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wkreher/Documents/iMSA/ACCY502/MOOC1/mod2/"/>
    </mc:Choice>
  </mc:AlternateContent>
  <bookViews>
    <workbookView xWindow="0" yWindow="460" windowWidth="23040" windowHeight="14640" firstSheet="3" activeTab="3"/>
  </bookViews>
  <sheets>
    <sheet name="Price is given" sheetId="2" r:id="rId1"/>
    <sheet name="yield is given" sheetId="1" r:id="rId2"/>
    <sheet name="straight-line" sheetId="3" r:id="rId3"/>
    <sheet name="Discount and issuance costs" sheetId="4" r:id="rId4"/>
    <sheet name="Between dates with discount" sheetId="5" r:id="rId5"/>
    <sheet name="Troubled debt type I" sheetId="7" r:id="rId6"/>
    <sheet name="Troubled debt type II" sheetId="6" r:id="rId7"/>
  </sheets>
  <calcPr calcId="150001" calcMode="manual" iterate="1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6" l="1"/>
  <c r="J8" i="6"/>
  <c r="F5" i="7"/>
  <c r="J5" i="6"/>
  <c r="J7" i="6"/>
  <c r="J9" i="6"/>
  <c r="J10" i="7"/>
  <c r="F20" i="6"/>
  <c r="L23" i="6"/>
  <c r="J13" i="5"/>
  <c r="F13" i="5"/>
  <c r="F9" i="5"/>
  <c r="F10" i="5"/>
  <c r="J16" i="4"/>
  <c r="F10" i="4"/>
  <c r="F10" i="1"/>
  <c r="F9" i="1"/>
  <c r="F11" i="2"/>
  <c r="F10" i="2"/>
  <c r="Q14" i="2"/>
  <c r="Q11" i="2"/>
  <c r="Q10" i="2"/>
  <c r="Q12" i="2"/>
  <c r="Q15" i="2"/>
  <c r="J9" i="3"/>
  <c r="J11" i="3"/>
  <c r="E27" i="3"/>
  <c r="J13" i="3"/>
  <c r="F12" i="4"/>
  <c r="K11" i="6"/>
  <c r="L12" i="6"/>
  <c r="F9" i="6"/>
  <c r="K22" i="6"/>
  <c r="F11" i="1"/>
  <c r="F12" i="2"/>
  <c r="L28" i="5"/>
  <c r="L30" i="5"/>
  <c r="F14" i="1"/>
  <c r="J16" i="1"/>
  <c r="J17" i="1"/>
  <c r="J7" i="7"/>
  <c r="C10" i="6"/>
  <c r="C9" i="7"/>
  <c r="J9" i="7"/>
  <c r="J11" i="7"/>
  <c r="K15" i="6"/>
  <c r="L16" i="6"/>
  <c r="C11" i="6"/>
  <c r="C12" i="6"/>
  <c r="C13" i="6"/>
  <c r="C14" i="6"/>
  <c r="C15" i="6"/>
  <c r="C16" i="6"/>
  <c r="C10" i="7"/>
  <c r="C11" i="7"/>
  <c r="C12" i="7"/>
  <c r="C13" i="7"/>
  <c r="C14" i="7"/>
  <c r="C15" i="7"/>
  <c r="C16" i="7"/>
  <c r="C17" i="7"/>
  <c r="C18" i="7"/>
  <c r="L20" i="7"/>
  <c r="L15" i="7"/>
  <c r="C17" i="6"/>
  <c r="L20" i="6"/>
  <c r="K19" i="6"/>
  <c r="D10" i="6"/>
  <c r="E10" i="6"/>
  <c r="F10" i="6"/>
  <c r="L35" i="5"/>
  <c r="J19" i="5"/>
  <c r="J14" i="5"/>
  <c r="F4" i="7"/>
  <c r="F6" i="7"/>
  <c r="C18" i="6"/>
  <c r="C19" i="6"/>
  <c r="F5" i="6"/>
  <c r="F7" i="6"/>
  <c r="F17" i="5"/>
  <c r="F11" i="5"/>
  <c r="F12" i="5"/>
  <c r="F14" i="5"/>
  <c r="L29" i="5"/>
  <c r="F16" i="5"/>
  <c r="F21" i="5"/>
  <c r="J20" i="5"/>
  <c r="F18" i="5"/>
  <c r="K26" i="5"/>
  <c r="J12" i="4"/>
  <c r="C16" i="4"/>
  <c r="J23" i="5"/>
  <c r="J21" i="5"/>
  <c r="K27" i="5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D22" i="5"/>
  <c r="E22" i="5"/>
  <c r="F22" i="5"/>
  <c r="D11" i="6"/>
  <c r="E11" i="6"/>
  <c r="F11" i="6"/>
  <c r="F9" i="4"/>
  <c r="K32" i="5"/>
  <c r="D12" i="6"/>
  <c r="E12" i="6"/>
  <c r="F12" i="6"/>
  <c r="L23" i="4"/>
  <c r="L34" i="5"/>
  <c r="L19" i="3"/>
  <c r="F11" i="3"/>
  <c r="F15" i="2"/>
  <c r="D16" i="2"/>
  <c r="L23" i="2"/>
  <c r="J14" i="2"/>
  <c r="L22" i="1"/>
  <c r="J15" i="1"/>
  <c r="F11" i="4"/>
  <c r="F13" i="4"/>
  <c r="F15" i="4"/>
  <c r="D16" i="4"/>
  <c r="J13" i="4"/>
  <c r="J14" i="4"/>
  <c r="E16" i="3"/>
  <c r="E20" i="3"/>
  <c r="E24" i="3"/>
  <c r="E12" i="3"/>
  <c r="E13" i="3"/>
  <c r="E17" i="3"/>
  <c r="E21" i="3"/>
  <c r="E25" i="3"/>
  <c r="E14" i="3"/>
  <c r="E18" i="3"/>
  <c r="E22" i="3"/>
  <c r="E26" i="3"/>
  <c r="E15" i="3"/>
  <c r="E19" i="3"/>
  <c r="E23" i="3"/>
  <c r="D13" i="6"/>
  <c r="E13" i="6"/>
  <c r="F13" i="6"/>
  <c r="D23" i="5"/>
  <c r="E23" i="5"/>
  <c r="F23" i="5"/>
  <c r="D15" i="1"/>
  <c r="K24" i="3"/>
  <c r="K21" i="4"/>
  <c r="E16" i="4"/>
  <c r="L22" i="4"/>
  <c r="D14" i="6"/>
  <c r="E14" i="6"/>
  <c r="F14" i="6"/>
  <c r="D24" i="5"/>
  <c r="E24" i="5"/>
  <c r="F24" i="5"/>
  <c r="E15" i="1"/>
  <c r="K20" i="1"/>
  <c r="E16" i="2"/>
  <c r="K21" i="2"/>
  <c r="F16" i="4"/>
  <c r="D17" i="4"/>
  <c r="E17" i="4"/>
  <c r="D15" i="6"/>
  <c r="E15" i="6"/>
  <c r="F15" i="6"/>
  <c r="D25" i="5"/>
  <c r="E25" i="5"/>
  <c r="F25" i="5"/>
  <c r="F15" i="1"/>
  <c r="D16" i="1"/>
  <c r="K21" i="1"/>
  <c r="K22" i="2"/>
  <c r="F16" i="2"/>
  <c r="D17" i="2"/>
  <c r="D16" i="6"/>
  <c r="E16" i="6"/>
  <c r="F16" i="6"/>
  <c r="F17" i="4"/>
  <c r="D18" i="4"/>
  <c r="E18" i="4"/>
  <c r="D26" i="5"/>
  <c r="E26" i="5"/>
  <c r="F26" i="5"/>
  <c r="E16" i="1"/>
  <c r="F16" i="1"/>
  <c r="E17" i="2"/>
  <c r="F17" i="2"/>
  <c r="D18" i="2"/>
  <c r="D17" i="6"/>
  <c r="E17" i="6"/>
  <c r="F17" i="6"/>
  <c r="D27" i="5"/>
  <c r="E27" i="5"/>
  <c r="F27" i="5"/>
  <c r="F18" i="4"/>
  <c r="D17" i="1"/>
  <c r="E17" i="1"/>
  <c r="F17" i="1"/>
  <c r="E18" i="2"/>
  <c r="F18" i="2"/>
  <c r="D19" i="2"/>
  <c r="D18" i="6"/>
  <c r="E18" i="6"/>
  <c r="F18" i="6"/>
  <c r="D28" i="5"/>
  <c r="E28" i="5"/>
  <c r="F28" i="5"/>
  <c r="D19" i="4"/>
  <c r="E19" i="4"/>
  <c r="D18" i="1"/>
  <c r="E18" i="1"/>
  <c r="F18" i="1"/>
  <c r="E19" i="2"/>
  <c r="F19" i="2"/>
  <c r="D20" i="2"/>
  <c r="D19" i="6"/>
  <c r="E19" i="6"/>
  <c r="F19" i="6"/>
  <c r="D29" i="5"/>
  <c r="E29" i="5"/>
  <c r="F29" i="5"/>
  <c r="F19" i="4"/>
  <c r="D19" i="1"/>
  <c r="E19" i="1"/>
  <c r="F19" i="1"/>
  <c r="E20" i="2"/>
  <c r="F20" i="2"/>
  <c r="D21" i="2"/>
  <c r="D30" i="5"/>
  <c r="E30" i="5"/>
  <c r="F30" i="5"/>
  <c r="D20" i="4"/>
  <c r="E20" i="4"/>
  <c r="D20" i="1"/>
  <c r="E20" i="1"/>
  <c r="F20" i="1"/>
  <c r="E21" i="2"/>
  <c r="F21" i="2"/>
  <c r="D22" i="2"/>
  <c r="D31" i="5"/>
  <c r="E31" i="5"/>
  <c r="F31" i="5"/>
  <c r="F20" i="4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2" i="2"/>
  <c r="F22" i="2"/>
  <c r="D23" i="2"/>
  <c r="D32" i="5"/>
  <c r="E32" i="5"/>
  <c r="F32" i="5"/>
  <c r="D21" i="4"/>
  <c r="E21" i="4"/>
  <c r="E23" i="2"/>
  <c r="F23" i="2"/>
  <c r="D24" i="2"/>
  <c r="E27" i="1"/>
  <c r="F27" i="1"/>
  <c r="D28" i="1"/>
  <c r="D33" i="5"/>
  <c r="E33" i="5"/>
  <c r="F33" i="5"/>
  <c r="F21" i="4"/>
  <c r="E24" i="2"/>
  <c r="F24" i="2"/>
  <c r="D25" i="2"/>
  <c r="E28" i="1"/>
  <c r="F28" i="1"/>
  <c r="D29" i="1"/>
  <c r="D34" i="5"/>
  <c r="E34" i="5"/>
  <c r="F34" i="5"/>
  <c r="D22" i="4"/>
  <c r="E22" i="4"/>
  <c r="E25" i="2"/>
  <c r="F25" i="2"/>
  <c r="D26" i="2"/>
  <c r="E29" i="1"/>
  <c r="F29" i="1"/>
  <c r="D35" i="5"/>
  <c r="E35" i="5"/>
  <c r="F35" i="5"/>
  <c r="F22" i="4"/>
  <c r="D30" i="1"/>
  <c r="K26" i="1"/>
  <c r="E26" i="2"/>
  <c r="F26" i="2"/>
  <c r="D27" i="2"/>
  <c r="D36" i="5"/>
  <c r="E36" i="5"/>
  <c r="F36" i="5"/>
  <c r="D23" i="4"/>
  <c r="E23" i="4"/>
  <c r="E30" i="1"/>
  <c r="E27" i="2"/>
  <c r="F27" i="2"/>
  <c r="D28" i="2"/>
  <c r="F30" i="1"/>
  <c r="K27" i="1"/>
  <c r="D37" i="5"/>
  <c r="F23" i="4"/>
  <c r="E28" i="2"/>
  <c r="F28" i="2"/>
  <c r="D29" i="2"/>
  <c r="E37" i="5"/>
  <c r="L39" i="5"/>
  <c r="K38" i="5"/>
  <c r="D24" i="4"/>
  <c r="E24" i="4"/>
  <c r="E29" i="2"/>
  <c r="F29" i="2"/>
  <c r="D30" i="2"/>
  <c r="F37" i="5"/>
  <c r="F24" i="4"/>
  <c r="E30" i="2"/>
  <c r="F30" i="2"/>
  <c r="D31" i="2"/>
  <c r="D25" i="4"/>
  <c r="E25" i="4"/>
  <c r="F25" i="4"/>
  <c r="D26" i="4"/>
  <c r="E26" i="4"/>
  <c r="K27" i="2"/>
  <c r="E31" i="2"/>
  <c r="K28" i="2"/>
  <c r="F26" i="4"/>
  <c r="F31" i="2"/>
  <c r="D27" i="4"/>
  <c r="E27" i="4"/>
  <c r="K18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K2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7" i="4"/>
  <c r="K17" i="3"/>
  <c r="D28" i="4"/>
  <c r="E28" i="4"/>
  <c r="F28" i="4"/>
  <c r="D29" i="4"/>
  <c r="E29" i="4"/>
  <c r="F29" i="4"/>
  <c r="D30" i="4"/>
  <c r="E30" i="4"/>
  <c r="F30" i="4"/>
  <c r="D31" i="4"/>
  <c r="K27" i="4"/>
  <c r="L28" i="4"/>
  <c r="E31" i="4"/>
  <c r="F31" i="4"/>
  <c r="D9" i="7"/>
  <c r="K13" i="7"/>
  <c r="E9" i="7"/>
  <c r="F9" i="7"/>
  <c r="L14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K18" i="7"/>
  <c r="E18" i="7"/>
  <c r="L19" i="7"/>
  <c r="F18" i="7"/>
</calcChain>
</file>

<file path=xl/sharedStrings.xml><?xml version="1.0" encoding="utf-8"?>
<sst xmlns="http://schemas.openxmlformats.org/spreadsheetml/2006/main" count="244" uniqueCount="80">
  <si>
    <t>Calculation of the price of the bonds</t>
  </si>
  <si>
    <t>Padre Pizza issues 10,000,000 of bonds on 1//1/2016 that mature in eight years on 12/31/2023. The bonds pay interest semi-annually.</t>
  </si>
  <si>
    <t>What is the price paid for the bonds?</t>
  </si>
  <si>
    <t>Interest = 10,000,000 times 8%  times 180/360</t>
  </si>
  <si>
    <t>Principal</t>
  </si>
  <si>
    <t>Interest</t>
  </si>
  <si>
    <t>Rate</t>
  </si>
  <si>
    <t>Semi-annual</t>
  </si>
  <si>
    <t>Yield</t>
  </si>
  <si>
    <t xml:space="preserve">The bonds have a stated interest of 8% but were sold to yield 7.75%.  </t>
  </si>
  <si>
    <t>NPV</t>
  </si>
  <si>
    <t>Were the bonds sold at a discount or a premium?</t>
  </si>
  <si>
    <t xml:space="preserve">Payment </t>
  </si>
  <si>
    <t>Interest expense</t>
  </si>
  <si>
    <t>Amortization of premium</t>
  </si>
  <si>
    <t>Carrying value</t>
  </si>
  <si>
    <t>Cash</t>
  </si>
  <si>
    <t>Final entry</t>
  </si>
  <si>
    <t>Bonds payable</t>
  </si>
  <si>
    <t>Cash'</t>
  </si>
  <si>
    <t>The bonds have a stated interest of 8% but were sold for 10,200,000</t>
  </si>
  <si>
    <t>Proceeds</t>
  </si>
  <si>
    <t>Premium (discount)</t>
  </si>
  <si>
    <t>Semi-annual amortization</t>
  </si>
  <si>
    <t>Periods</t>
  </si>
  <si>
    <t>Issuance costs</t>
  </si>
  <si>
    <t>Effective rate</t>
  </si>
  <si>
    <t>Discount</t>
  </si>
  <si>
    <t>Premium</t>
  </si>
  <si>
    <t>15 periods</t>
  </si>
  <si>
    <t>Partial period</t>
  </si>
  <si>
    <t>Amortization of discount</t>
  </si>
  <si>
    <t>Cash received</t>
  </si>
  <si>
    <t>Undiscounted accrual</t>
  </si>
  <si>
    <t xml:space="preserve">NPV </t>
  </si>
  <si>
    <t xml:space="preserve">    Bonds payable</t>
  </si>
  <si>
    <t xml:space="preserve">    Accrued interest</t>
  </si>
  <si>
    <t xml:space="preserve">    Cash/payables</t>
  </si>
  <si>
    <t>Discount on BP</t>
  </si>
  <si>
    <t>PV</t>
  </si>
  <si>
    <t>Total present value</t>
  </si>
  <si>
    <t>Total carrying value</t>
  </si>
  <si>
    <t xml:space="preserve">The bonds have a stated interest of 8% but were sold to yield 8.25%. </t>
  </si>
  <si>
    <t>Amortization</t>
  </si>
  <si>
    <t>Assume that the issuance costs are zero</t>
  </si>
  <si>
    <t>Padre elects to amortize the premium straight-line</t>
  </si>
  <si>
    <t>Maturity</t>
  </si>
  <si>
    <t>Stated rate</t>
  </si>
  <si>
    <t>Semi-annual interest</t>
  </si>
  <si>
    <t>First interest payment</t>
  </si>
  <si>
    <t>State rate</t>
  </si>
  <si>
    <t>interest</t>
  </si>
  <si>
    <t xml:space="preserve">PV </t>
  </si>
  <si>
    <t>Assume the issuance costs are zero</t>
  </si>
  <si>
    <t>3 months interest</t>
  </si>
  <si>
    <t>PV Principal</t>
  </si>
  <si>
    <t>16 periods</t>
  </si>
  <si>
    <t>Present value</t>
  </si>
  <si>
    <t>Accrued interest</t>
  </si>
  <si>
    <t>Issuance date</t>
  </si>
  <si>
    <t>Interest date</t>
  </si>
  <si>
    <t>Days to interest period</t>
  </si>
  <si>
    <t>15 periods + partial</t>
  </si>
  <si>
    <t>Accrued interest payable</t>
  </si>
  <si>
    <t xml:space="preserve">This is a Type II </t>
  </si>
  <si>
    <t>Undiscounted interest</t>
  </si>
  <si>
    <t>Undiscounted principal</t>
  </si>
  <si>
    <t>Total cash flows</t>
  </si>
  <si>
    <t>Revised rate</t>
  </si>
  <si>
    <t>revised</t>
  </si>
  <si>
    <t>Principle</t>
  </si>
  <si>
    <t>Revised principal</t>
  </si>
  <si>
    <t>Revised interest</t>
  </si>
  <si>
    <t>Remaining periods</t>
  </si>
  <si>
    <t>Total cash</t>
  </si>
  <si>
    <t>First period entry</t>
  </si>
  <si>
    <t>Gain on restructuring</t>
  </si>
  <si>
    <t>Original rate</t>
  </si>
  <si>
    <t xml:space="preserve">Type I </t>
  </si>
  <si>
    <t>Padre Pizza incurred $100,000 of qualifying issuance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</si>
</sst>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Font="1"/>
    <xf numFmtId="10" fontId="0" fillId="0" borderId="0" xfId="0" applyNumberFormat="1" applyFont="1"/>
    <xf numFmtId="8" fontId="0" fillId="0" borderId="0" xfId="0" applyNumberFormat="1" applyFont="1"/>
    <xf numFmtId="6" fontId="0" fillId="0" borderId="0" xfId="0" applyNumberFormat="1" applyFont="1"/>
    <xf numFmtId="3" fontId="0" fillId="0" borderId="0" xfId="0" applyNumberFormat="1" applyFont="1"/>
    <xf numFmtId="14" fontId="0" fillId="0" borderId="0" xfId="0" applyNumberFormat="1"/>
    <xf numFmtId="6" fontId="0" fillId="0" borderId="0" xfId="0" applyNumberFormat="1"/>
    <xf numFmtId="8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38" fontId="0" fillId="0" borderId="0" xfId="0" applyNumberFormat="1"/>
    <xf numFmtId="42" fontId="0" fillId="0" borderId="0" xfId="0" applyNumberFormat="1"/>
    <xf numFmtId="0" fontId="1" fillId="0" borderId="0" xfId="0" applyFont="1"/>
    <xf numFmtId="6" fontId="1" fillId="0" borderId="0" xfId="0" applyNumberFormat="1" applyFont="1"/>
    <xf numFmtId="0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  <xf numFmtId="8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</a:t>
            </a:r>
            <a:r>
              <a:rPr lang="en-US" baseline="0"/>
              <a:t> method</a:t>
            </a:r>
          </a:p>
          <a:p>
            <a:pPr>
              <a:defRPr/>
            </a:pPr>
            <a:r>
              <a:rPr lang="en-US" baseline="0"/>
              <a:t>Bonds issued at a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 expense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'yield is given'!$B$15:$B$30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'yield is given'!$D$15:$D$30</c:f>
              <c:numCache>
                <c:formatCode>#,##0</c:formatCode>
                <c:ptCount val="16"/>
                <c:pt idx="0">
                  <c:v>393196.483782755</c:v>
                </c:pt>
                <c:pt idx="1">
                  <c:v>392932.8475293369</c:v>
                </c:pt>
                <c:pt idx="2">
                  <c:v>392658.9953710987</c:v>
                </c:pt>
                <c:pt idx="3">
                  <c:v>392374.5314417288</c:v>
                </c:pt>
                <c:pt idx="4">
                  <c:v>392079.0445350958</c:v>
                </c:pt>
                <c:pt idx="5">
                  <c:v>391772.1075108307</c:v>
                </c:pt>
                <c:pt idx="6">
                  <c:v>391453.2766768754</c:v>
                </c:pt>
                <c:pt idx="7">
                  <c:v>391122.0911481043</c:v>
                </c:pt>
                <c:pt idx="8">
                  <c:v>390778.0721800934</c:v>
                </c:pt>
                <c:pt idx="9">
                  <c:v>390420.722477072</c:v>
                </c:pt>
                <c:pt idx="10">
                  <c:v>390049.5254730586</c:v>
                </c:pt>
                <c:pt idx="11">
                  <c:v>389663.9445851396</c:v>
                </c:pt>
                <c:pt idx="12">
                  <c:v>389263.4224378137</c:v>
                </c:pt>
                <c:pt idx="13">
                  <c:v>388847.380057279</c:v>
                </c:pt>
                <c:pt idx="14">
                  <c:v>388415.2160344986</c:v>
                </c:pt>
                <c:pt idx="15">
                  <c:v>387966.3056558354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6A-4181-A150-AC20B51B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9751200"/>
        <c:axId val="-89749424"/>
      </c:lineChart>
      <c:catAx>
        <c:axId val="-8975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749424"/>
        <c:crosses val="autoZero"/>
        <c:auto val="1"/>
        <c:lblAlgn val="ctr"/>
        <c:lblOffset val="100"/>
        <c:noMultiLvlLbl val="0"/>
      </c:catAx>
      <c:valAx>
        <c:axId val="-897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7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</a:t>
            </a:r>
            <a:r>
              <a:rPr lang="en-US" baseline="0"/>
              <a:t> method</a:t>
            </a:r>
          </a:p>
          <a:p>
            <a:pPr>
              <a:defRPr/>
            </a:pPr>
            <a:r>
              <a:rPr lang="en-US" baseline="0"/>
              <a:t>Bonds issued at a 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'Discount and issuance costs'!$D$16:$D$31</c:f>
              <c:numCache>
                <c:formatCode>#,##0</c:formatCode>
                <c:ptCount val="16"/>
                <c:pt idx="0">
                  <c:v>411005.1353954021</c:v>
                </c:pt>
                <c:pt idx="1">
                  <c:v>411468.7798613095</c:v>
                </c:pt>
                <c:pt idx="2">
                  <c:v>411951.957589012</c:v>
                </c:pt>
                <c:pt idx="3">
                  <c:v>412455.4915114772</c:v>
                </c:pt>
                <c:pt idx="4">
                  <c:v>412980.2392316976</c:v>
                </c:pt>
                <c:pt idx="5">
                  <c:v>413527.0944833328</c:v>
                </c:pt>
                <c:pt idx="6">
                  <c:v>414096.9886528881</c:v>
                </c:pt>
                <c:pt idx="7">
                  <c:v>414690.8923660222</c:v>
                </c:pt>
                <c:pt idx="8">
                  <c:v>415309.8171406865</c:v>
                </c:pt>
                <c:pt idx="9">
                  <c:v>415954.8171099101</c:v>
                </c:pt>
                <c:pt idx="10">
                  <c:v>416626.9908171657</c:v>
                </c:pt>
                <c:pt idx="11">
                  <c:v>417327.4830873738</c:v>
                </c:pt>
                <c:pt idx="12">
                  <c:v>418057.486976733</c:v>
                </c:pt>
                <c:pt idx="13">
                  <c:v>418818.2458046941</c:v>
                </c:pt>
                <c:pt idx="14">
                  <c:v>419611.0552715435</c:v>
                </c:pt>
                <c:pt idx="15">
                  <c:v>420437.2656651981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44-40E9-9A07-6CAE2A900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0562832"/>
        <c:axId val="-100560512"/>
      </c:lineChart>
      <c:catAx>
        <c:axId val="-1005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60512"/>
        <c:crosses val="autoZero"/>
        <c:auto val="1"/>
        <c:lblAlgn val="ctr"/>
        <c:lblOffset val="100"/>
        <c:noMultiLvlLbl val="0"/>
      </c:catAx>
      <c:valAx>
        <c:axId val="-1005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5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38</xdr:row>
      <xdr:rowOff>0</xdr:rowOff>
    </xdr:from>
    <xdr:to>
      <xdr:col>16</xdr:col>
      <xdr:colOff>99060</xdr:colOff>
      <xdr:row>53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36</xdr:row>
      <xdr:rowOff>0</xdr:rowOff>
    </xdr:from>
    <xdr:to>
      <xdr:col>5</xdr:col>
      <xdr:colOff>929640</xdr:colOff>
      <xdr:row>51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topLeftCell="A5" workbookViewId="0">
      <selection activeCell="D33" sqref="D33"/>
    </sheetView>
  </sheetViews>
  <sheetFormatPr baseColWidth="10" defaultColWidth="8.83203125" defaultRowHeight="15" x14ac:dyDescent="0.2"/>
  <cols>
    <col min="3" max="3" width="11.83203125" customWidth="1"/>
    <col min="4" max="4" width="9.83203125" customWidth="1"/>
    <col min="5" max="5" width="11.5" bestFit="1" customWidth="1"/>
    <col min="6" max="7" width="14.1640625" bestFit="1" customWidth="1"/>
    <col min="9" max="9" width="21.83203125" customWidth="1"/>
    <col min="10" max="10" width="9.83203125" bestFit="1" customWidth="1"/>
    <col min="11" max="11" width="10.33203125" customWidth="1"/>
    <col min="12" max="12" width="12.1640625" customWidth="1"/>
    <col min="13" max="13" width="11.1640625" customWidth="1"/>
  </cols>
  <sheetData>
    <row r="2" spans="2:17" x14ac:dyDescent="0.2">
      <c r="C2" t="s">
        <v>0</v>
      </c>
    </row>
    <row r="3" spans="2:17" x14ac:dyDescent="0.2">
      <c r="C3" t="s">
        <v>1</v>
      </c>
    </row>
    <row r="4" spans="2:17" x14ac:dyDescent="0.2">
      <c r="C4" t="s">
        <v>20</v>
      </c>
    </row>
    <row r="5" spans="2:17" x14ac:dyDescent="0.2">
      <c r="C5" t="s">
        <v>11</v>
      </c>
    </row>
    <row r="6" spans="2:17" x14ac:dyDescent="0.2">
      <c r="C6" t="s">
        <v>2</v>
      </c>
    </row>
    <row r="8" spans="2:17" x14ac:dyDescent="0.2">
      <c r="C8" t="s">
        <v>26</v>
      </c>
      <c r="F8" s="3">
        <v>7.6609984918096716E-2</v>
      </c>
      <c r="N8" s="5" t="s">
        <v>26</v>
      </c>
      <c r="O8" s="5"/>
      <c r="P8" s="5"/>
      <c r="Q8" s="6">
        <v>8.4259656832797528E-2</v>
      </c>
    </row>
    <row r="9" spans="2:17" x14ac:dyDescent="0.2">
      <c r="C9" t="s">
        <v>47</v>
      </c>
      <c r="F9" s="3">
        <v>0.08</v>
      </c>
      <c r="N9" s="5" t="s">
        <v>8</v>
      </c>
      <c r="O9" s="5"/>
      <c r="P9" s="5"/>
      <c r="Q9" s="6">
        <v>8.2500000000000004E-2</v>
      </c>
    </row>
    <row r="10" spans="2:17" x14ac:dyDescent="0.2">
      <c r="C10" t="s">
        <v>10</v>
      </c>
      <c r="D10" t="s">
        <v>5</v>
      </c>
      <c r="F10" s="4">
        <f>NPV(F8/2,C16:C31)</f>
        <v>4719743.0139508927</v>
      </c>
      <c r="N10" s="5" t="s">
        <v>10</v>
      </c>
      <c r="O10" s="5" t="s">
        <v>5</v>
      </c>
      <c r="P10" s="5"/>
      <c r="Q10" s="8">
        <f>NPV(Q9/2,N18:N33)</f>
        <v>0</v>
      </c>
    </row>
    <row r="11" spans="2:17" x14ac:dyDescent="0.2">
      <c r="C11" t="s">
        <v>39</v>
      </c>
      <c r="D11" t="s">
        <v>4</v>
      </c>
      <c r="F11" s="4">
        <f>PV(F8/2,J15,0,-J12)</f>
        <v>5480256.9860491185</v>
      </c>
      <c r="N11" s="5" t="s">
        <v>39</v>
      </c>
      <c r="O11" s="5" t="s">
        <v>4</v>
      </c>
      <c r="P11" s="5"/>
      <c r="Q11" s="8">
        <f>PV(Q9/2,16,0,-U10)</f>
        <v>0</v>
      </c>
    </row>
    <row r="12" spans="2:17" x14ac:dyDescent="0.2">
      <c r="F12" s="14">
        <f>SUM(F10:F11)</f>
        <v>10200000.000000011</v>
      </c>
      <c r="I12" t="s">
        <v>4</v>
      </c>
      <c r="J12" s="2">
        <v>10000000</v>
      </c>
      <c r="N12" s="5" t="s">
        <v>40</v>
      </c>
      <c r="O12" s="5"/>
      <c r="P12" s="5"/>
      <c r="Q12" s="8">
        <f>SUM(Q10:Q11)</f>
        <v>0</v>
      </c>
    </row>
    <row r="13" spans="2:17" x14ac:dyDescent="0.2">
      <c r="F13" s="14"/>
      <c r="I13" t="s">
        <v>6</v>
      </c>
      <c r="J13" s="1">
        <v>0.08</v>
      </c>
      <c r="N13" s="5"/>
      <c r="O13" s="5"/>
      <c r="P13" s="5"/>
      <c r="Q13" s="8"/>
    </row>
    <row r="14" spans="2:17" x14ac:dyDescent="0.2">
      <c r="F14" s="14" t="s">
        <v>15</v>
      </c>
      <c r="I14" t="s">
        <v>48</v>
      </c>
      <c r="J14" s="2">
        <f>J12*J13/2</f>
        <v>400000</v>
      </c>
      <c r="N14" s="5" t="s">
        <v>25</v>
      </c>
      <c r="O14" s="5"/>
      <c r="P14" s="5"/>
      <c r="Q14" s="8">
        <f>-U16</f>
        <v>0</v>
      </c>
    </row>
    <row r="15" spans="2:17" x14ac:dyDescent="0.2">
      <c r="C15" t="s">
        <v>12</v>
      </c>
      <c r="D15" t="s">
        <v>5</v>
      </c>
      <c r="E15" t="s">
        <v>43</v>
      </c>
      <c r="F15" s="14">
        <f>F12</f>
        <v>10200000.000000011</v>
      </c>
      <c r="I15" t="s">
        <v>24</v>
      </c>
      <c r="J15">
        <v>16</v>
      </c>
      <c r="N15" s="5" t="s">
        <v>41</v>
      </c>
      <c r="O15" s="5"/>
      <c r="P15" s="5"/>
      <c r="Q15" s="8">
        <f>SUM(Q12:Q14)</f>
        <v>0</v>
      </c>
    </row>
    <row r="16" spans="2:17" x14ac:dyDescent="0.2">
      <c r="B16">
        <v>1</v>
      </c>
      <c r="C16" s="2">
        <v>400000</v>
      </c>
      <c r="D16" s="2">
        <f>$F$8/2*F15</f>
        <v>390710.92308229365</v>
      </c>
      <c r="E16" s="2">
        <f>C16-D16</f>
        <v>9289.0769177063485</v>
      </c>
      <c r="F16" s="14">
        <f>F15-E16</f>
        <v>10190710.923082305</v>
      </c>
    </row>
    <row r="17" spans="2:12" x14ac:dyDescent="0.2">
      <c r="B17">
        <v>2</v>
      </c>
      <c r="C17" s="2">
        <v>400000</v>
      </c>
      <c r="D17" s="2">
        <f t="shared" ref="D17:D31" si="0">$F$8/2*F16</f>
        <v>390355.10506100941</v>
      </c>
      <c r="E17" s="2">
        <f t="shared" ref="E17:E31" si="1">C17-D17</f>
        <v>9644.8949389905902</v>
      </c>
      <c r="F17" s="14">
        <f t="shared" ref="F17:F31" si="2">F16-E17</f>
        <v>10181066.028143315</v>
      </c>
    </row>
    <row r="18" spans="2:12" x14ac:dyDescent="0.2">
      <c r="B18">
        <v>3</v>
      </c>
      <c r="C18" s="2">
        <v>400000</v>
      </c>
      <c r="D18" s="2">
        <f t="shared" si="0"/>
        <v>389985.65743310307</v>
      </c>
      <c r="E18" s="2">
        <f t="shared" si="1"/>
        <v>10014.342566896928</v>
      </c>
      <c r="F18" s="14">
        <f t="shared" si="2"/>
        <v>10171051.685576418</v>
      </c>
    </row>
    <row r="19" spans="2:12" x14ac:dyDescent="0.2">
      <c r="B19">
        <v>4</v>
      </c>
      <c r="C19" s="2">
        <v>400000</v>
      </c>
      <c r="D19" s="2">
        <f t="shared" si="0"/>
        <v>389602.05811659578</v>
      </c>
      <c r="E19" s="2">
        <f t="shared" si="1"/>
        <v>10397.941883404215</v>
      </c>
      <c r="F19" s="14">
        <f t="shared" si="2"/>
        <v>10160653.743693015</v>
      </c>
    </row>
    <row r="20" spans="2:12" x14ac:dyDescent="0.2">
      <c r="B20">
        <v>5</v>
      </c>
      <c r="C20" s="2">
        <v>400000</v>
      </c>
      <c r="D20" s="2">
        <f t="shared" si="0"/>
        <v>389203.76503116242</v>
      </c>
      <c r="E20" s="2">
        <f t="shared" si="1"/>
        <v>10796.234968837583</v>
      </c>
      <c r="F20" s="14">
        <f t="shared" si="2"/>
        <v>10149857.508724177</v>
      </c>
      <c r="I20" t="s">
        <v>49</v>
      </c>
    </row>
    <row r="21" spans="2:12" x14ac:dyDescent="0.2">
      <c r="B21">
        <v>6</v>
      </c>
      <c r="C21" s="2">
        <v>400000</v>
      </c>
      <c r="D21" s="2">
        <f t="shared" si="0"/>
        <v>388790.21533209499</v>
      </c>
      <c r="E21" s="2">
        <f t="shared" si="1"/>
        <v>11209.784667905013</v>
      </c>
      <c r="F21" s="14">
        <f t="shared" si="2"/>
        <v>10138647.724056272</v>
      </c>
      <c r="I21" t="s">
        <v>13</v>
      </c>
      <c r="K21" s="2">
        <f>D16</f>
        <v>390710.92308229365</v>
      </c>
    </row>
    <row r="22" spans="2:12" x14ac:dyDescent="0.2">
      <c r="B22">
        <v>7</v>
      </c>
      <c r="C22" s="2">
        <v>400000</v>
      </c>
      <c r="D22" s="2">
        <f t="shared" si="0"/>
        <v>388360.82461492327</v>
      </c>
      <c r="E22" s="2">
        <f t="shared" si="1"/>
        <v>11639.175385076727</v>
      </c>
      <c r="F22" s="14">
        <f t="shared" si="2"/>
        <v>10127008.548671195</v>
      </c>
      <c r="I22" t="s">
        <v>14</v>
      </c>
      <c r="K22" s="2">
        <f>E16</f>
        <v>9289.0769177063485</v>
      </c>
    </row>
    <row r="23" spans="2:12" x14ac:dyDescent="0.2">
      <c r="B23">
        <v>8</v>
      </c>
      <c r="C23" s="2">
        <v>400000</v>
      </c>
      <c r="D23" s="2">
        <f t="shared" si="0"/>
        <v>387914.98608956841</v>
      </c>
      <c r="E23" s="2">
        <f t="shared" si="1"/>
        <v>12085.013910431589</v>
      </c>
      <c r="F23" s="14">
        <f t="shared" si="2"/>
        <v>10114923.534760764</v>
      </c>
      <c r="J23" t="s">
        <v>16</v>
      </c>
      <c r="L23" s="2">
        <f>C16</f>
        <v>400000</v>
      </c>
    </row>
    <row r="24" spans="2:12" x14ac:dyDescent="0.2">
      <c r="B24">
        <v>9</v>
      </c>
      <c r="C24" s="2">
        <v>400000</v>
      </c>
      <c r="D24" s="2">
        <f t="shared" si="0"/>
        <v>387452.06972286181</v>
      </c>
      <c r="E24" s="2">
        <f t="shared" si="1"/>
        <v>12547.930277138192</v>
      </c>
      <c r="F24" s="14">
        <f t="shared" si="2"/>
        <v>10102375.604483625</v>
      </c>
    </row>
    <row r="25" spans="2:12" x14ac:dyDescent="0.2">
      <c r="B25">
        <v>10</v>
      </c>
      <c r="C25" s="2">
        <v>400000</v>
      </c>
      <c r="D25" s="2">
        <f t="shared" si="0"/>
        <v>386971.42134821933</v>
      </c>
      <c r="E25" s="2">
        <f t="shared" si="1"/>
        <v>13028.57865178067</v>
      </c>
      <c r="F25" s="14">
        <f t="shared" si="2"/>
        <v>10089347.025831845</v>
      </c>
    </row>
    <row r="26" spans="2:12" x14ac:dyDescent="0.2">
      <c r="B26">
        <v>11</v>
      </c>
      <c r="C26" s="2">
        <v>400000</v>
      </c>
      <c r="D26" s="2">
        <f t="shared" si="0"/>
        <v>386472.3617412108</v>
      </c>
      <c r="E26" s="2">
        <f t="shared" si="1"/>
        <v>13527.6382587892</v>
      </c>
      <c r="F26" s="14">
        <f t="shared" si="2"/>
        <v>10075819.387573056</v>
      </c>
      <c r="I26" t="s">
        <v>17</v>
      </c>
    </row>
    <row r="27" spans="2:12" x14ac:dyDescent="0.2">
      <c r="B27">
        <v>12</v>
      </c>
      <c r="C27" s="2">
        <v>400000</v>
      </c>
      <c r="D27" s="2">
        <f t="shared" si="0"/>
        <v>385954.18565971917</v>
      </c>
      <c r="E27" s="2">
        <f t="shared" si="1"/>
        <v>14045.814340280835</v>
      </c>
      <c r="F27" s="14">
        <f t="shared" si="2"/>
        <v>10061773.573232776</v>
      </c>
      <c r="I27" t="s">
        <v>13</v>
      </c>
      <c r="K27" s="2">
        <f>D31</f>
        <v>383675.2442368854</v>
      </c>
    </row>
    <row r="28" spans="2:12" x14ac:dyDescent="0.2">
      <c r="B28">
        <v>13</v>
      </c>
      <c r="C28" s="2">
        <v>400000</v>
      </c>
      <c r="D28" s="2">
        <f t="shared" si="0"/>
        <v>385416.16084733349</v>
      </c>
      <c r="E28" s="2">
        <f t="shared" si="1"/>
        <v>14583.839152666507</v>
      </c>
      <c r="F28" s="14">
        <f t="shared" si="2"/>
        <v>10047189.73408011</v>
      </c>
      <c r="I28" t="s">
        <v>14</v>
      </c>
      <c r="K28" s="2">
        <f>E31</f>
        <v>16324.755763114605</v>
      </c>
    </row>
    <row r="29" spans="2:12" x14ac:dyDescent="0.2">
      <c r="B29">
        <v>14</v>
      </c>
      <c r="C29" s="2">
        <v>400000</v>
      </c>
      <c r="D29" s="2">
        <f t="shared" si="0"/>
        <v>384857.5269985667</v>
      </c>
      <c r="E29" s="2">
        <f t="shared" si="1"/>
        <v>15142.473001433304</v>
      </c>
      <c r="F29" s="14">
        <f t="shared" si="2"/>
        <v>10032047.261078676</v>
      </c>
      <c r="J29" t="s">
        <v>16</v>
      </c>
      <c r="L29" s="2">
        <v>400000</v>
      </c>
    </row>
    <row r="30" spans="2:12" x14ac:dyDescent="0.2">
      <c r="B30">
        <v>15</v>
      </c>
      <c r="C30" s="2">
        <v>400000</v>
      </c>
      <c r="D30" s="2">
        <f t="shared" si="0"/>
        <v>384277.49468443543</v>
      </c>
      <c r="E30" s="2">
        <f t="shared" si="1"/>
        <v>15722.505315564573</v>
      </c>
      <c r="F30" s="14">
        <f t="shared" si="2"/>
        <v>10016324.755763112</v>
      </c>
    </row>
    <row r="31" spans="2:12" x14ac:dyDescent="0.2">
      <c r="B31">
        <v>16</v>
      </c>
      <c r="C31" s="2">
        <v>400000</v>
      </c>
      <c r="D31" s="2">
        <f t="shared" si="0"/>
        <v>383675.2442368854</v>
      </c>
      <c r="E31" s="2">
        <f t="shared" si="1"/>
        <v>16324.755763114605</v>
      </c>
      <c r="F31" s="14">
        <f t="shared" si="2"/>
        <v>9999999.9999999963</v>
      </c>
      <c r="I31" t="s">
        <v>18</v>
      </c>
      <c r="K31" s="2">
        <v>10000000</v>
      </c>
      <c r="L31" s="2"/>
    </row>
    <row r="32" spans="2:12" x14ac:dyDescent="0.2">
      <c r="B32" t="s">
        <v>46</v>
      </c>
      <c r="F32" s="14">
        <v>-10000000</v>
      </c>
      <c r="J32" t="s">
        <v>19</v>
      </c>
      <c r="K32" s="2"/>
      <c r="L32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workbookViewId="0">
      <selection activeCell="I12" sqref="I12:J17"/>
    </sheetView>
  </sheetViews>
  <sheetFormatPr baseColWidth="10" defaultColWidth="8.83203125" defaultRowHeight="15" x14ac:dyDescent="0.2"/>
  <cols>
    <col min="3" max="3" width="11.6640625" customWidth="1"/>
    <col min="4" max="4" width="9.83203125" bestFit="1" customWidth="1"/>
    <col min="5" max="5" width="9.83203125" customWidth="1"/>
    <col min="6" max="6" width="14.1640625" bestFit="1" customWidth="1"/>
    <col min="9" max="9" width="12.83203125" customWidth="1"/>
    <col min="10" max="10" width="15.6640625" customWidth="1"/>
    <col min="11" max="12" width="11.5" bestFit="1" customWidth="1"/>
  </cols>
  <sheetData>
    <row r="2" spans="2:10" x14ac:dyDescent="0.2">
      <c r="C2" t="s">
        <v>0</v>
      </c>
    </row>
    <row r="3" spans="2:10" x14ac:dyDescent="0.2">
      <c r="C3" t="s">
        <v>1</v>
      </c>
    </row>
    <row r="4" spans="2:10" x14ac:dyDescent="0.2">
      <c r="C4" t="s">
        <v>9</v>
      </c>
    </row>
    <row r="5" spans="2:10" x14ac:dyDescent="0.2">
      <c r="C5" t="s">
        <v>53</v>
      </c>
    </row>
    <row r="7" spans="2:10" x14ac:dyDescent="0.2">
      <c r="C7" t="s">
        <v>26</v>
      </c>
      <c r="F7" s="3">
        <v>7.7499999999999999E-2</v>
      </c>
    </row>
    <row r="8" spans="2:10" x14ac:dyDescent="0.2">
      <c r="C8" t="s">
        <v>50</v>
      </c>
      <c r="F8" s="3">
        <v>0.08</v>
      </c>
      <c r="I8" t="s">
        <v>3</v>
      </c>
    </row>
    <row r="9" spans="2:10" x14ac:dyDescent="0.2">
      <c r="C9" t="s">
        <v>10</v>
      </c>
      <c r="D9" t="s">
        <v>5</v>
      </c>
      <c r="F9" s="11">
        <f>NPV(F7/2,C15:C30)</f>
        <v>4704193.0593079124</v>
      </c>
    </row>
    <row r="10" spans="2:10" x14ac:dyDescent="0.2">
      <c r="C10" t="s">
        <v>52</v>
      </c>
      <c r="D10" t="s">
        <v>4</v>
      </c>
      <c r="F10" s="11">
        <f>PV(F7/2,J13,0,-J12)</f>
        <v>5442812.9737954447</v>
      </c>
    </row>
    <row r="11" spans="2:10" x14ac:dyDescent="0.2">
      <c r="C11" t="s">
        <v>40</v>
      </c>
      <c r="F11" s="11">
        <f>SUM(F9:F10)</f>
        <v>10147006.033103358</v>
      </c>
    </row>
    <row r="12" spans="2:10" x14ac:dyDescent="0.2">
      <c r="F12" s="15"/>
      <c r="I12" t="s">
        <v>4</v>
      </c>
      <c r="J12" s="11">
        <v>10000000</v>
      </c>
    </row>
    <row r="13" spans="2:10" x14ac:dyDescent="0.2">
      <c r="F13" s="15" t="s">
        <v>15</v>
      </c>
      <c r="I13" t="s">
        <v>24</v>
      </c>
      <c r="J13" s="2">
        <v>16</v>
      </c>
    </row>
    <row r="14" spans="2:10" x14ac:dyDescent="0.2">
      <c r="C14" t="s">
        <v>12</v>
      </c>
      <c r="D14" t="s">
        <v>5</v>
      </c>
      <c r="F14" s="11">
        <f>F11</f>
        <v>10147006.033103358</v>
      </c>
      <c r="I14" t="s">
        <v>6</v>
      </c>
      <c r="J14" s="1">
        <v>0.08</v>
      </c>
    </row>
    <row r="15" spans="2:10" x14ac:dyDescent="0.2">
      <c r="B15">
        <v>1</v>
      </c>
      <c r="C15" s="2">
        <v>400000</v>
      </c>
      <c r="D15" s="2">
        <f>$F$7/2*F14</f>
        <v>393196.48378275509</v>
      </c>
      <c r="E15" s="2">
        <f>C15-D15</f>
        <v>6803.5162172449054</v>
      </c>
      <c r="F15" s="11">
        <f>F14-E15</f>
        <v>10140202.516886113</v>
      </c>
      <c r="I15" t="s">
        <v>7</v>
      </c>
      <c r="J15" s="2">
        <f>J12*J14/2</f>
        <v>400000</v>
      </c>
    </row>
    <row r="16" spans="2:10" x14ac:dyDescent="0.2">
      <c r="B16">
        <v>2</v>
      </c>
      <c r="C16" s="2">
        <v>400000</v>
      </c>
      <c r="D16" s="2">
        <f t="shared" ref="D16:D30" si="0">$F$7/2*F15</f>
        <v>392932.84752933687</v>
      </c>
      <c r="E16" s="2">
        <f t="shared" ref="E16:E30" si="1">C16-D16</f>
        <v>7067.1524706631317</v>
      </c>
      <c r="F16" s="11">
        <f t="shared" ref="F16:F30" si="2">F15-E16</f>
        <v>10133135.36441545</v>
      </c>
      <c r="I16" t="s">
        <v>15</v>
      </c>
      <c r="J16" s="11">
        <f>F11</f>
        <v>10147006.033103358</v>
      </c>
    </row>
    <row r="17" spans="2:13" x14ac:dyDescent="0.2">
      <c r="B17">
        <v>3</v>
      </c>
      <c r="C17" s="2">
        <v>400000</v>
      </c>
      <c r="D17" s="2">
        <f t="shared" si="0"/>
        <v>392658.99537109869</v>
      </c>
      <c r="E17" s="2">
        <f t="shared" si="1"/>
        <v>7341.0046289013117</v>
      </c>
      <c r="F17" s="11">
        <f t="shared" si="2"/>
        <v>10125794.35978655</v>
      </c>
      <c r="I17" t="s">
        <v>28</v>
      </c>
      <c r="J17" s="11">
        <f>J16-J12</f>
        <v>147006.033103358</v>
      </c>
      <c r="M17" s="2"/>
    </row>
    <row r="18" spans="2:13" x14ac:dyDescent="0.2">
      <c r="B18">
        <v>4</v>
      </c>
      <c r="C18" s="2">
        <v>400000</v>
      </c>
      <c r="D18" s="2">
        <f t="shared" si="0"/>
        <v>392374.53144172882</v>
      </c>
      <c r="E18" s="2">
        <f t="shared" si="1"/>
        <v>7625.4685582711827</v>
      </c>
      <c r="F18" s="11">
        <f t="shared" si="2"/>
        <v>10118168.891228279</v>
      </c>
      <c r="J18" s="4"/>
    </row>
    <row r="19" spans="2:13" x14ac:dyDescent="0.2">
      <c r="B19">
        <v>5</v>
      </c>
      <c r="C19" s="2">
        <v>400000</v>
      </c>
      <c r="D19" s="2">
        <f t="shared" si="0"/>
        <v>392079.0445350958</v>
      </c>
      <c r="E19" s="2">
        <f t="shared" si="1"/>
        <v>7920.9554649041966</v>
      </c>
      <c r="F19" s="11">
        <f t="shared" si="2"/>
        <v>10110247.935763374</v>
      </c>
    </row>
    <row r="20" spans="2:13" x14ac:dyDescent="0.2">
      <c r="B20">
        <v>6</v>
      </c>
      <c r="C20" s="2">
        <v>400000</v>
      </c>
      <c r="D20" s="2">
        <f t="shared" si="0"/>
        <v>391772.10751083074</v>
      </c>
      <c r="E20" s="2">
        <f t="shared" si="1"/>
        <v>8227.8924891692586</v>
      </c>
      <c r="F20" s="11">
        <f t="shared" si="2"/>
        <v>10102020.043274205</v>
      </c>
      <c r="I20" t="s">
        <v>13</v>
      </c>
      <c r="K20" s="11">
        <f>D15</f>
        <v>393196.48378275509</v>
      </c>
      <c r="L20" s="11"/>
    </row>
    <row r="21" spans="2:13" x14ac:dyDescent="0.2">
      <c r="B21">
        <v>7</v>
      </c>
      <c r="C21" s="2">
        <v>400000</v>
      </c>
      <c r="D21" s="2">
        <f t="shared" si="0"/>
        <v>391453.27667687542</v>
      </c>
      <c r="E21" s="2">
        <f t="shared" si="1"/>
        <v>8546.7233231245773</v>
      </c>
      <c r="F21" s="11">
        <f t="shared" si="2"/>
        <v>10093473.31995108</v>
      </c>
      <c r="I21" t="s">
        <v>14</v>
      </c>
      <c r="K21" s="11">
        <f>E15</f>
        <v>6803.5162172449054</v>
      </c>
      <c r="L21" s="11"/>
    </row>
    <row r="22" spans="2:13" x14ac:dyDescent="0.2">
      <c r="B22">
        <v>8</v>
      </c>
      <c r="C22" s="2">
        <v>400000</v>
      </c>
      <c r="D22" s="2">
        <f t="shared" si="0"/>
        <v>391122.09114810434</v>
      </c>
      <c r="E22" s="2">
        <f t="shared" si="1"/>
        <v>8877.908851895656</v>
      </c>
      <c r="F22" s="11">
        <f t="shared" si="2"/>
        <v>10084595.411099184</v>
      </c>
      <c r="J22" t="s">
        <v>16</v>
      </c>
      <c r="K22" s="11"/>
      <c r="L22" s="11">
        <f>C15</f>
        <v>400000</v>
      </c>
    </row>
    <row r="23" spans="2:13" x14ac:dyDescent="0.2">
      <c r="B23">
        <v>9</v>
      </c>
      <c r="C23" s="2">
        <v>400000</v>
      </c>
      <c r="D23" s="2">
        <f t="shared" si="0"/>
        <v>390778.07218009338</v>
      </c>
      <c r="E23" s="2">
        <f t="shared" si="1"/>
        <v>9221.9278199066175</v>
      </c>
      <c r="F23" s="11">
        <f t="shared" si="2"/>
        <v>10075373.483279279</v>
      </c>
      <c r="K23" s="11"/>
      <c r="L23" s="11"/>
    </row>
    <row r="24" spans="2:13" x14ac:dyDescent="0.2">
      <c r="B24">
        <v>10</v>
      </c>
      <c r="C24" s="2">
        <v>400000</v>
      </c>
      <c r="D24" s="2">
        <f t="shared" si="0"/>
        <v>390420.72247707203</v>
      </c>
      <c r="E24" s="2">
        <f t="shared" si="1"/>
        <v>9579.277522927965</v>
      </c>
      <c r="F24" s="11">
        <f t="shared" si="2"/>
        <v>10065794.205756351</v>
      </c>
      <c r="K24" s="11"/>
      <c r="L24" s="11"/>
    </row>
    <row r="25" spans="2:13" x14ac:dyDescent="0.2">
      <c r="B25">
        <v>11</v>
      </c>
      <c r="C25" s="2">
        <v>400000</v>
      </c>
      <c r="D25" s="2">
        <f t="shared" si="0"/>
        <v>390049.52547305863</v>
      </c>
      <c r="E25" s="2">
        <f t="shared" si="1"/>
        <v>9950.4745269413688</v>
      </c>
      <c r="F25" s="11">
        <f t="shared" si="2"/>
        <v>10055843.73122941</v>
      </c>
      <c r="I25" t="s">
        <v>17</v>
      </c>
      <c r="K25" s="11"/>
      <c r="L25" s="11"/>
    </row>
    <row r="26" spans="2:13" x14ac:dyDescent="0.2">
      <c r="B26">
        <v>12</v>
      </c>
      <c r="C26" s="2">
        <v>400000</v>
      </c>
      <c r="D26" s="2">
        <f t="shared" si="0"/>
        <v>389663.94458513963</v>
      </c>
      <c r="E26" s="2">
        <f t="shared" si="1"/>
        <v>10336.05541486037</v>
      </c>
      <c r="F26" s="11">
        <f t="shared" si="2"/>
        <v>10045507.675814549</v>
      </c>
      <c r="I26" t="s">
        <v>13</v>
      </c>
      <c r="K26" s="11">
        <f>D30</f>
        <v>387966.30565583537</v>
      </c>
      <c r="L26" s="11"/>
    </row>
    <row r="27" spans="2:13" x14ac:dyDescent="0.2">
      <c r="B27">
        <v>13</v>
      </c>
      <c r="C27" s="2">
        <v>400000</v>
      </c>
      <c r="D27" s="2">
        <f t="shared" si="0"/>
        <v>389263.42243781377</v>
      </c>
      <c r="E27" s="2">
        <f t="shared" si="1"/>
        <v>10736.577562186227</v>
      </c>
      <c r="F27" s="11">
        <f t="shared" si="2"/>
        <v>10034771.098252362</v>
      </c>
      <c r="I27" t="s">
        <v>14</v>
      </c>
      <c r="K27" s="11">
        <f>E30</f>
        <v>12033.694344164629</v>
      </c>
      <c r="L27" s="11"/>
    </row>
    <row r="28" spans="2:13" x14ac:dyDescent="0.2">
      <c r="B28">
        <v>14</v>
      </c>
      <c r="C28" s="2">
        <v>400000</v>
      </c>
      <c r="D28" s="2">
        <f t="shared" si="0"/>
        <v>388847.38005727902</v>
      </c>
      <c r="E28" s="2">
        <f t="shared" si="1"/>
        <v>11152.619942720979</v>
      </c>
      <c r="F28" s="11">
        <f t="shared" si="2"/>
        <v>10023618.478309641</v>
      </c>
      <c r="J28" t="s">
        <v>16</v>
      </c>
      <c r="K28" s="11"/>
      <c r="L28" s="11">
        <v>400000</v>
      </c>
    </row>
    <row r="29" spans="2:13" x14ac:dyDescent="0.2">
      <c r="B29">
        <v>15</v>
      </c>
      <c r="C29" s="2">
        <v>400000</v>
      </c>
      <c r="D29" s="2">
        <f t="shared" si="0"/>
        <v>388415.21603449859</v>
      </c>
      <c r="E29" s="2">
        <f t="shared" si="1"/>
        <v>11584.78396550141</v>
      </c>
      <c r="F29" s="11">
        <f t="shared" si="2"/>
        <v>10012033.694344139</v>
      </c>
      <c r="K29" s="11"/>
      <c r="L29" s="11"/>
    </row>
    <row r="30" spans="2:13" x14ac:dyDescent="0.2">
      <c r="B30">
        <v>16</v>
      </c>
      <c r="C30" s="2">
        <v>400000</v>
      </c>
      <c r="D30" s="2">
        <f t="shared" si="0"/>
        <v>387966.30565583537</v>
      </c>
      <c r="E30" s="2">
        <f t="shared" si="1"/>
        <v>12033.694344164629</v>
      </c>
      <c r="F30" s="11">
        <f t="shared" si="2"/>
        <v>9999999.9999999739</v>
      </c>
      <c r="I30" t="s">
        <v>18</v>
      </c>
      <c r="K30" s="11">
        <v>10000000</v>
      </c>
      <c r="L30" s="11"/>
    </row>
    <row r="31" spans="2:13" x14ac:dyDescent="0.2">
      <c r="C31" t="s">
        <v>46</v>
      </c>
      <c r="F31" s="11">
        <v>-10000000</v>
      </c>
      <c r="J31" t="s">
        <v>19</v>
      </c>
      <c r="K31" s="11"/>
      <c r="L31" s="11">
        <v>10000000</v>
      </c>
    </row>
    <row r="33" spans="3:6" x14ac:dyDescent="0.2">
      <c r="C33" s="2"/>
      <c r="E33" s="3"/>
      <c r="F33" s="4"/>
    </row>
    <row r="34" spans="3:6" x14ac:dyDescent="0.2">
      <c r="C34" s="2"/>
      <c r="E34" s="3"/>
      <c r="F34" s="4"/>
    </row>
    <row r="35" spans="3:6" x14ac:dyDescent="0.2">
      <c r="F35" s="4"/>
    </row>
    <row r="36" spans="3:6" x14ac:dyDescent="0.2">
      <c r="F36" s="4"/>
    </row>
    <row r="37" spans="3:6" x14ac:dyDescent="0.2">
      <c r="F37" s="4"/>
    </row>
    <row r="38" spans="3:6" x14ac:dyDescent="0.2">
      <c r="F38" s="4"/>
    </row>
  </sheetData>
  <pageMargins left="0.7" right="0.7" top="0.75" bottom="0.75" header="0.3" footer="0.3"/>
  <pageSetup orientation="portrait" verticalDpi="599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workbookViewId="0">
      <selection activeCell="F6" sqref="F6"/>
    </sheetView>
  </sheetViews>
  <sheetFormatPr baseColWidth="10" defaultColWidth="8.83203125" defaultRowHeight="15" x14ac:dyDescent="0.2"/>
  <cols>
    <col min="3" max="3" width="12" customWidth="1"/>
    <col min="5" max="5" width="10.5" bestFit="1" customWidth="1"/>
    <col min="6" max="6" width="14.1640625" bestFit="1" customWidth="1"/>
    <col min="9" max="9" width="22.1640625" customWidth="1"/>
    <col min="10" max="10" width="10.33203125" bestFit="1" customWidth="1"/>
    <col min="11" max="12" width="9.83203125" bestFit="1" customWidth="1"/>
  </cols>
  <sheetData>
    <row r="2" spans="2:10" x14ac:dyDescent="0.2">
      <c r="C2" t="s">
        <v>0</v>
      </c>
    </row>
    <row r="3" spans="2:10" x14ac:dyDescent="0.2">
      <c r="C3" t="s">
        <v>1</v>
      </c>
    </row>
    <row r="4" spans="2:10" x14ac:dyDescent="0.2">
      <c r="C4" t="s">
        <v>20</v>
      </c>
    </row>
    <row r="5" spans="2:10" x14ac:dyDescent="0.2">
      <c r="C5" t="s">
        <v>44</v>
      </c>
    </row>
    <row r="6" spans="2:10" x14ac:dyDescent="0.2">
      <c r="C6" t="s">
        <v>45</v>
      </c>
    </row>
    <row r="7" spans="2:10" x14ac:dyDescent="0.2">
      <c r="I7" t="s">
        <v>4</v>
      </c>
      <c r="J7" s="2">
        <v>10000000</v>
      </c>
    </row>
    <row r="8" spans="2:10" x14ac:dyDescent="0.2">
      <c r="F8" s="3"/>
      <c r="I8" t="s">
        <v>21</v>
      </c>
      <c r="J8" s="2">
        <v>10200000</v>
      </c>
    </row>
    <row r="9" spans="2:10" x14ac:dyDescent="0.2">
      <c r="C9" t="s">
        <v>10</v>
      </c>
      <c r="F9" s="4">
        <v>10200000</v>
      </c>
      <c r="I9" t="s">
        <v>22</v>
      </c>
      <c r="J9" s="2">
        <f>J8-J7</f>
        <v>200000</v>
      </c>
    </row>
    <row r="10" spans="2:10" x14ac:dyDescent="0.2">
      <c r="F10" s="4" t="s">
        <v>15</v>
      </c>
      <c r="I10" t="s">
        <v>24</v>
      </c>
      <c r="J10">
        <v>16</v>
      </c>
    </row>
    <row r="11" spans="2:10" x14ac:dyDescent="0.2">
      <c r="C11" t="s">
        <v>12</v>
      </c>
      <c r="D11" t="s">
        <v>5</v>
      </c>
      <c r="E11" t="s">
        <v>28</v>
      </c>
      <c r="F11" s="4">
        <f>F9</f>
        <v>10200000</v>
      </c>
      <c r="I11" t="s">
        <v>23</v>
      </c>
      <c r="J11" s="2">
        <f>J9/J10</f>
        <v>12500</v>
      </c>
    </row>
    <row r="12" spans="2:10" x14ac:dyDescent="0.2">
      <c r="B12">
        <v>1</v>
      </c>
      <c r="C12" s="2">
        <v>400000</v>
      </c>
      <c r="D12" s="2">
        <f>C12-E12</f>
        <v>387500</v>
      </c>
      <c r="E12" s="2">
        <f t="shared" ref="E12:E27" si="0">$J$11</f>
        <v>12500</v>
      </c>
      <c r="F12" s="4">
        <f>F11-E12</f>
        <v>10187500</v>
      </c>
      <c r="I12" t="s">
        <v>6</v>
      </c>
      <c r="J12" s="1">
        <v>0.08</v>
      </c>
    </row>
    <row r="13" spans="2:10" x14ac:dyDescent="0.2">
      <c r="B13">
        <v>2</v>
      </c>
      <c r="C13" s="2">
        <v>400000</v>
      </c>
      <c r="D13" s="2">
        <f>D12</f>
        <v>387500</v>
      </c>
      <c r="E13" s="2">
        <f t="shared" si="0"/>
        <v>12500</v>
      </c>
      <c r="F13" s="4">
        <f t="shared" ref="F13:F26" si="1">F12-E13</f>
        <v>10175000</v>
      </c>
      <c r="I13" t="s">
        <v>7</v>
      </c>
      <c r="J13" s="2">
        <f>J12*J7*180/360</f>
        <v>400000</v>
      </c>
    </row>
    <row r="14" spans="2:10" x14ac:dyDescent="0.2">
      <c r="B14">
        <v>3</v>
      </c>
      <c r="C14" s="2">
        <v>400000</v>
      </c>
      <c r="D14" s="2">
        <f t="shared" ref="D14:D27" si="2">D13</f>
        <v>387500</v>
      </c>
      <c r="E14" s="2">
        <f t="shared" si="0"/>
        <v>12500</v>
      </c>
      <c r="F14" s="4">
        <f t="shared" si="1"/>
        <v>10162500</v>
      </c>
    </row>
    <row r="15" spans="2:10" x14ac:dyDescent="0.2">
      <c r="B15">
        <v>4</v>
      </c>
      <c r="C15" s="2">
        <v>400000</v>
      </c>
      <c r="D15" s="2">
        <f t="shared" si="2"/>
        <v>387500</v>
      </c>
      <c r="E15" s="2">
        <f t="shared" si="0"/>
        <v>12500</v>
      </c>
      <c r="F15" s="4">
        <f t="shared" si="1"/>
        <v>10150000</v>
      </c>
    </row>
    <row r="16" spans="2:10" x14ac:dyDescent="0.2">
      <c r="B16">
        <v>5</v>
      </c>
      <c r="C16" s="2">
        <v>400000</v>
      </c>
      <c r="D16" s="2">
        <f t="shared" si="2"/>
        <v>387500</v>
      </c>
      <c r="E16" s="2">
        <f t="shared" si="0"/>
        <v>12500</v>
      </c>
      <c r="F16" s="4">
        <f t="shared" si="1"/>
        <v>10137500</v>
      </c>
    </row>
    <row r="17" spans="2:12" x14ac:dyDescent="0.2">
      <c r="B17">
        <v>6</v>
      </c>
      <c r="C17" s="2">
        <v>400000</v>
      </c>
      <c r="D17" s="2">
        <f t="shared" si="2"/>
        <v>387500</v>
      </c>
      <c r="E17" s="2">
        <f t="shared" si="0"/>
        <v>12500</v>
      </c>
      <c r="F17" s="4">
        <f t="shared" si="1"/>
        <v>10125000</v>
      </c>
      <c r="I17" t="s">
        <v>13</v>
      </c>
      <c r="K17" s="2">
        <f>D12</f>
        <v>387500</v>
      </c>
      <c r="L17" s="2"/>
    </row>
    <row r="18" spans="2:12" x14ac:dyDescent="0.2">
      <c r="B18">
        <v>7</v>
      </c>
      <c r="C18" s="2">
        <v>400000</v>
      </c>
      <c r="D18" s="2">
        <f t="shared" si="2"/>
        <v>387500</v>
      </c>
      <c r="E18" s="2">
        <f t="shared" si="0"/>
        <v>12500</v>
      </c>
      <c r="F18" s="4">
        <f t="shared" si="1"/>
        <v>10112500</v>
      </c>
      <c r="I18" t="s">
        <v>14</v>
      </c>
      <c r="K18" s="2">
        <f>E12</f>
        <v>12500</v>
      </c>
      <c r="L18" s="2"/>
    </row>
    <row r="19" spans="2:12" x14ac:dyDescent="0.2">
      <c r="B19">
        <v>8</v>
      </c>
      <c r="C19" s="2">
        <v>400000</v>
      </c>
      <c r="D19" s="2">
        <f t="shared" si="2"/>
        <v>387500</v>
      </c>
      <c r="E19" s="2">
        <f t="shared" si="0"/>
        <v>12500</v>
      </c>
      <c r="F19" s="4">
        <f t="shared" si="1"/>
        <v>10100000</v>
      </c>
      <c r="J19" t="s">
        <v>16</v>
      </c>
      <c r="K19" s="2"/>
      <c r="L19" s="2">
        <f>C12</f>
        <v>400000</v>
      </c>
    </row>
    <row r="20" spans="2:12" x14ac:dyDescent="0.2">
      <c r="B20">
        <v>9</v>
      </c>
      <c r="C20" s="2">
        <v>400000</v>
      </c>
      <c r="D20" s="2">
        <f t="shared" si="2"/>
        <v>387500</v>
      </c>
      <c r="E20" s="2">
        <f t="shared" si="0"/>
        <v>12500</v>
      </c>
      <c r="F20" s="4">
        <f t="shared" si="1"/>
        <v>10087500</v>
      </c>
      <c r="K20" s="2"/>
      <c r="L20" s="2"/>
    </row>
    <row r="21" spans="2:12" x14ac:dyDescent="0.2">
      <c r="B21">
        <v>10</v>
      </c>
      <c r="C21" s="2">
        <v>400000</v>
      </c>
      <c r="D21" s="2">
        <f t="shared" si="2"/>
        <v>387500</v>
      </c>
      <c r="E21" s="2">
        <f t="shared" si="0"/>
        <v>12500</v>
      </c>
      <c r="F21" s="4">
        <f t="shared" si="1"/>
        <v>10075000</v>
      </c>
      <c r="K21" s="2"/>
      <c r="L21" s="2"/>
    </row>
    <row r="22" spans="2:12" x14ac:dyDescent="0.2">
      <c r="B22">
        <v>11</v>
      </c>
      <c r="C22" s="2">
        <v>400000</v>
      </c>
      <c r="D22" s="2">
        <f t="shared" si="2"/>
        <v>387500</v>
      </c>
      <c r="E22" s="2">
        <f t="shared" si="0"/>
        <v>12500</v>
      </c>
      <c r="F22" s="4">
        <f t="shared" si="1"/>
        <v>10062500</v>
      </c>
      <c r="I22" t="s">
        <v>17</v>
      </c>
      <c r="K22" s="2"/>
      <c r="L22" s="2"/>
    </row>
    <row r="23" spans="2:12" x14ac:dyDescent="0.2">
      <c r="B23">
        <v>12</v>
      </c>
      <c r="C23" s="2">
        <v>400000</v>
      </c>
      <c r="D23" s="2">
        <f t="shared" si="2"/>
        <v>387500</v>
      </c>
      <c r="E23" s="2">
        <f t="shared" si="0"/>
        <v>12500</v>
      </c>
      <c r="F23" s="4">
        <f t="shared" si="1"/>
        <v>10050000</v>
      </c>
      <c r="I23" t="s">
        <v>13</v>
      </c>
      <c r="K23" s="2">
        <f>D27</f>
        <v>387500</v>
      </c>
      <c r="L23" s="2"/>
    </row>
    <row r="24" spans="2:12" x14ac:dyDescent="0.2">
      <c r="B24">
        <v>13</v>
      </c>
      <c r="C24" s="2">
        <v>400000</v>
      </c>
      <c r="D24" s="2">
        <f t="shared" si="2"/>
        <v>387500</v>
      </c>
      <c r="E24" s="2">
        <f t="shared" si="0"/>
        <v>12500</v>
      </c>
      <c r="F24" s="4">
        <f t="shared" si="1"/>
        <v>10037500</v>
      </c>
      <c r="I24" t="s">
        <v>14</v>
      </c>
      <c r="K24" s="2">
        <f>E12</f>
        <v>12500</v>
      </c>
      <c r="L24" s="2"/>
    </row>
    <row r="25" spans="2:12" x14ac:dyDescent="0.2">
      <c r="B25">
        <v>14</v>
      </c>
      <c r="C25" s="2">
        <v>400000</v>
      </c>
      <c r="D25" s="2">
        <f t="shared" si="2"/>
        <v>387500</v>
      </c>
      <c r="E25" s="2">
        <f t="shared" si="0"/>
        <v>12500</v>
      </c>
      <c r="F25" s="4">
        <f t="shared" si="1"/>
        <v>10025000</v>
      </c>
      <c r="J25" t="s">
        <v>16</v>
      </c>
      <c r="K25" s="2"/>
      <c r="L25" s="2">
        <v>400000</v>
      </c>
    </row>
    <row r="26" spans="2:12" x14ac:dyDescent="0.2">
      <c r="B26">
        <v>15</v>
      </c>
      <c r="C26" s="2">
        <v>400000</v>
      </c>
      <c r="D26" s="2">
        <f t="shared" si="2"/>
        <v>387500</v>
      </c>
      <c r="E26" s="2">
        <f t="shared" si="0"/>
        <v>12500</v>
      </c>
      <c r="F26" s="4">
        <f t="shared" si="1"/>
        <v>10012500</v>
      </c>
      <c r="K26" s="2"/>
      <c r="L26" s="2"/>
    </row>
    <row r="27" spans="2:12" x14ac:dyDescent="0.2">
      <c r="B27">
        <v>16</v>
      </c>
      <c r="C27" s="2">
        <v>400000</v>
      </c>
      <c r="D27" s="2">
        <f t="shared" si="2"/>
        <v>387500</v>
      </c>
      <c r="E27" s="2">
        <f t="shared" si="0"/>
        <v>12500</v>
      </c>
      <c r="F27" s="4">
        <f>F26-E27-J7</f>
        <v>0</v>
      </c>
      <c r="I27" t="s">
        <v>18</v>
      </c>
      <c r="K27" s="2">
        <v>10000000</v>
      </c>
      <c r="L27" s="2"/>
    </row>
    <row r="28" spans="2:12" x14ac:dyDescent="0.2">
      <c r="J28" t="s">
        <v>16</v>
      </c>
      <c r="K28" s="2"/>
      <c r="L28" s="2">
        <v>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2" max="2" width="6.1640625" customWidth="1"/>
    <col min="3" max="3" width="11.33203125" customWidth="1"/>
    <col min="4" max="4" width="13.6640625" bestFit="1" customWidth="1"/>
    <col min="5" max="5" width="13.1640625" customWidth="1"/>
    <col min="6" max="6" width="14.33203125" customWidth="1"/>
    <col min="9" max="9" width="18.33203125" customWidth="1"/>
    <col min="10" max="10" width="13.1640625" bestFit="1" customWidth="1"/>
    <col min="11" max="12" width="11.5" bestFit="1" customWidth="1"/>
  </cols>
  <sheetData>
    <row r="2" spans="2:13" x14ac:dyDescent="0.2">
      <c r="C2" t="s">
        <v>0</v>
      </c>
    </row>
    <row r="3" spans="2:13" x14ac:dyDescent="0.2">
      <c r="C3" t="s">
        <v>1</v>
      </c>
    </row>
    <row r="4" spans="2:13" x14ac:dyDescent="0.2">
      <c r="C4" t="s">
        <v>42</v>
      </c>
    </row>
    <row r="5" spans="2:13" x14ac:dyDescent="0.2">
      <c r="C5" t="s">
        <v>79</v>
      </c>
    </row>
    <row r="7" spans="2:13" x14ac:dyDescent="0.2">
      <c r="C7" s="5" t="s">
        <v>26</v>
      </c>
      <c r="D7" s="5"/>
      <c r="E7" s="5"/>
      <c r="F7" s="6">
        <v>8.4259656832797528E-2</v>
      </c>
    </row>
    <row r="8" spans="2:13" x14ac:dyDescent="0.2">
      <c r="C8" s="5" t="s">
        <v>8</v>
      </c>
      <c r="D8" s="5"/>
      <c r="E8" s="5"/>
      <c r="F8" s="6">
        <v>8.2500000000000004E-2</v>
      </c>
    </row>
    <row r="9" spans="2:13" x14ac:dyDescent="0.2">
      <c r="C9" s="5" t="s">
        <v>10</v>
      </c>
      <c r="D9" s="5" t="s">
        <v>5</v>
      </c>
      <c r="E9" s="5" t="s">
        <v>56</v>
      </c>
      <c r="F9" s="8">
        <f>NPV(F8/2,C16:C31)</f>
        <v>4618231.7131517939</v>
      </c>
      <c r="I9" t="s">
        <v>4</v>
      </c>
      <c r="J9" s="2">
        <v>10000000</v>
      </c>
      <c r="M9" s="11"/>
    </row>
    <row r="10" spans="2:13" x14ac:dyDescent="0.2">
      <c r="C10" s="5" t="s">
        <v>39</v>
      </c>
      <c r="D10" s="5" t="s">
        <v>4</v>
      </c>
      <c r="E10" s="5" t="s">
        <v>56</v>
      </c>
      <c r="F10" s="8">
        <f>PV(F8/2,J10,0,-J9)</f>
        <v>5237448.5458122091</v>
      </c>
      <c r="I10" t="s">
        <v>24</v>
      </c>
      <c r="J10">
        <v>16</v>
      </c>
      <c r="M10" s="2"/>
    </row>
    <row r="11" spans="2:13" x14ac:dyDescent="0.2">
      <c r="C11" s="5" t="s">
        <v>40</v>
      </c>
      <c r="D11" s="5"/>
      <c r="E11" s="5"/>
      <c r="F11" s="8">
        <f>SUM(F9:F10)</f>
        <v>9855680.2589640021</v>
      </c>
      <c r="I11" t="s">
        <v>6</v>
      </c>
      <c r="J11" s="1">
        <v>0.08</v>
      </c>
      <c r="M11" s="1"/>
    </row>
    <row r="12" spans="2:13" x14ac:dyDescent="0.2">
      <c r="C12" s="5" t="s">
        <v>25</v>
      </c>
      <c r="D12" s="5"/>
      <c r="E12" s="5"/>
      <c r="F12" s="8">
        <f>-J15</f>
        <v>-100000</v>
      </c>
      <c r="I12" t="s">
        <v>7</v>
      </c>
      <c r="J12" s="8">
        <f>J9*J11/2</f>
        <v>400000</v>
      </c>
      <c r="M12" s="2"/>
    </row>
    <row r="13" spans="2:13" x14ac:dyDescent="0.2">
      <c r="C13" s="5" t="s">
        <v>41</v>
      </c>
      <c r="D13" s="5"/>
      <c r="E13" s="5"/>
      <c r="F13" s="8">
        <f>SUM(F11:F12)</f>
        <v>9755680.2589640021</v>
      </c>
      <c r="I13" t="s">
        <v>57</v>
      </c>
      <c r="J13" s="8">
        <f>F9+F10</f>
        <v>9855680.2589640021</v>
      </c>
      <c r="M13" s="11"/>
    </row>
    <row r="14" spans="2:13" x14ac:dyDescent="0.2">
      <c r="C14" s="5"/>
      <c r="D14" s="5"/>
      <c r="E14" s="5"/>
      <c r="F14" s="12"/>
      <c r="I14" t="s">
        <v>27</v>
      </c>
      <c r="J14" s="8">
        <f>J9-J13</f>
        <v>144319.74103599787</v>
      </c>
      <c r="M14" s="11"/>
    </row>
    <row r="15" spans="2:13" x14ac:dyDescent="0.2">
      <c r="C15" s="13" t="s">
        <v>12</v>
      </c>
      <c r="D15" s="13" t="s">
        <v>5</v>
      </c>
      <c r="E15" s="13" t="s">
        <v>43</v>
      </c>
      <c r="F15" s="8">
        <f>F13</f>
        <v>9755680.2589640021</v>
      </c>
      <c r="I15" t="s">
        <v>25</v>
      </c>
      <c r="J15" s="8">
        <v>100000</v>
      </c>
    </row>
    <row r="16" spans="2:13" x14ac:dyDescent="0.2">
      <c r="B16">
        <v>1</v>
      </c>
      <c r="C16" s="9">
        <f>J12</f>
        <v>400000</v>
      </c>
      <c r="D16" s="9">
        <f>$F$7/2*F15</f>
        <v>411005.13539540209</v>
      </c>
      <c r="E16" s="8">
        <f>D16-C16</f>
        <v>11005.135395402089</v>
      </c>
      <c r="F16" s="8">
        <f>F15+E16</f>
        <v>9766685.3943594042</v>
      </c>
      <c r="I16" t="s">
        <v>15</v>
      </c>
      <c r="J16" s="11">
        <f>J13-J15</f>
        <v>9755680.2589640021</v>
      </c>
    </row>
    <row r="17" spans="2:13" x14ac:dyDescent="0.2">
      <c r="B17">
        <v>2</v>
      </c>
      <c r="C17" s="9">
        <f>C16</f>
        <v>400000</v>
      </c>
      <c r="D17" s="9">
        <f t="shared" ref="D17:D31" si="0">$F$7/2*F16</f>
        <v>411468.77986130957</v>
      </c>
      <c r="E17" s="8">
        <f t="shared" ref="E17:E31" si="1">D17-C17</f>
        <v>11468.779861309566</v>
      </c>
      <c r="F17" s="8">
        <f t="shared" ref="F17:F31" si="2">F16+E17</f>
        <v>9778154.1742207147</v>
      </c>
    </row>
    <row r="18" spans="2:13" x14ac:dyDescent="0.2">
      <c r="B18">
        <v>3</v>
      </c>
      <c r="C18" s="9">
        <f t="shared" ref="C18:C30" si="3">C17</f>
        <v>400000</v>
      </c>
      <c r="D18" s="9">
        <f t="shared" si="0"/>
        <v>411951.95758901205</v>
      </c>
      <c r="E18" s="8">
        <f t="shared" si="1"/>
        <v>11951.957589012047</v>
      </c>
      <c r="F18" s="8">
        <f t="shared" si="2"/>
        <v>9790106.1318097264</v>
      </c>
      <c r="M18" s="2"/>
    </row>
    <row r="19" spans="2:13" x14ac:dyDescent="0.2">
      <c r="B19">
        <v>4</v>
      </c>
      <c r="C19" s="9">
        <f t="shared" si="3"/>
        <v>400000</v>
      </c>
      <c r="D19" s="9">
        <f t="shared" si="0"/>
        <v>412455.49151147722</v>
      </c>
      <c r="E19" s="8">
        <f t="shared" si="1"/>
        <v>12455.491511477216</v>
      </c>
      <c r="F19" s="8">
        <f t="shared" si="2"/>
        <v>9802561.6233212035</v>
      </c>
      <c r="J19" s="4"/>
    </row>
    <row r="20" spans="2:13" x14ac:dyDescent="0.2">
      <c r="B20">
        <v>5</v>
      </c>
      <c r="C20" s="9">
        <f t="shared" si="3"/>
        <v>400000</v>
      </c>
      <c r="D20" s="9">
        <f t="shared" si="0"/>
        <v>412980.23923169763</v>
      </c>
      <c r="E20" s="8">
        <f t="shared" si="1"/>
        <v>12980.239231697633</v>
      </c>
      <c r="F20" s="8">
        <f t="shared" si="2"/>
        <v>9815541.8625529017</v>
      </c>
    </row>
    <row r="21" spans="2:13" x14ac:dyDescent="0.2">
      <c r="B21">
        <v>6</v>
      </c>
      <c r="C21" s="9">
        <f t="shared" si="3"/>
        <v>400000</v>
      </c>
      <c r="D21" s="9">
        <f t="shared" si="0"/>
        <v>413527.09448333288</v>
      </c>
      <c r="E21" s="8">
        <f t="shared" si="1"/>
        <v>13527.094483332883</v>
      </c>
      <c r="F21" s="8">
        <f t="shared" si="2"/>
        <v>9829068.9570362344</v>
      </c>
      <c r="I21" t="s">
        <v>13</v>
      </c>
      <c r="K21" s="8">
        <f>D16</f>
        <v>411005.13539540209</v>
      </c>
      <c r="L21" s="8"/>
    </row>
    <row r="22" spans="2:13" x14ac:dyDescent="0.2">
      <c r="B22">
        <v>7</v>
      </c>
      <c r="C22" s="9">
        <f t="shared" si="3"/>
        <v>400000</v>
      </c>
      <c r="D22" s="9">
        <f t="shared" si="0"/>
        <v>414096.9886528881</v>
      </c>
      <c r="E22" s="8">
        <f t="shared" si="1"/>
        <v>14096.988652888103</v>
      </c>
      <c r="F22" s="8">
        <f t="shared" si="2"/>
        <v>9843165.9456891231</v>
      </c>
      <c r="J22" t="s">
        <v>31</v>
      </c>
      <c r="K22" s="8"/>
      <c r="L22" s="8">
        <f>E16</f>
        <v>11005.135395402089</v>
      </c>
    </row>
    <row r="23" spans="2:13" x14ac:dyDescent="0.2">
      <c r="B23">
        <v>8</v>
      </c>
      <c r="C23" s="9">
        <f t="shared" si="3"/>
        <v>400000</v>
      </c>
      <c r="D23" s="9">
        <f t="shared" si="0"/>
        <v>414690.89236602222</v>
      </c>
      <c r="E23" s="8">
        <f t="shared" si="1"/>
        <v>14690.892366022221</v>
      </c>
      <c r="F23" s="8">
        <f t="shared" si="2"/>
        <v>9857856.838055145</v>
      </c>
      <c r="J23" t="s">
        <v>16</v>
      </c>
      <c r="K23" s="8"/>
      <c r="L23" s="8">
        <f>C16</f>
        <v>400000</v>
      </c>
    </row>
    <row r="24" spans="2:13" x14ac:dyDescent="0.2">
      <c r="B24">
        <v>9</v>
      </c>
      <c r="C24" s="9">
        <f t="shared" si="3"/>
        <v>400000</v>
      </c>
      <c r="D24" s="9">
        <f t="shared" si="0"/>
        <v>415309.8171406865</v>
      </c>
      <c r="E24" s="8">
        <f t="shared" si="1"/>
        <v>15309.8171406865</v>
      </c>
      <c r="F24" s="8">
        <f t="shared" si="2"/>
        <v>9873166.6551958323</v>
      </c>
      <c r="K24" s="8"/>
      <c r="L24" s="8"/>
    </row>
    <row r="25" spans="2:13" x14ac:dyDescent="0.2">
      <c r="B25">
        <v>10</v>
      </c>
      <c r="C25" s="9">
        <f t="shared" si="3"/>
        <v>400000</v>
      </c>
      <c r="D25" s="9">
        <f t="shared" si="0"/>
        <v>415954.81710991013</v>
      </c>
      <c r="E25" s="8">
        <f t="shared" si="1"/>
        <v>15954.817109910131</v>
      </c>
      <c r="F25" s="8">
        <f t="shared" si="2"/>
        <v>9889121.472305743</v>
      </c>
      <c r="K25" s="8"/>
      <c r="L25" s="8"/>
    </row>
    <row r="26" spans="2:13" x14ac:dyDescent="0.2">
      <c r="B26">
        <v>11</v>
      </c>
      <c r="C26" s="9">
        <f t="shared" si="3"/>
        <v>400000</v>
      </c>
      <c r="D26" s="9">
        <f t="shared" si="0"/>
        <v>416626.9908171657</v>
      </c>
      <c r="E26" s="8">
        <f t="shared" si="1"/>
        <v>16626.990817165701</v>
      </c>
      <c r="F26" s="8">
        <f t="shared" si="2"/>
        <v>9905748.463122908</v>
      </c>
      <c r="I26" t="s">
        <v>17</v>
      </c>
      <c r="K26" s="8"/>
      <c r="L26" s="8"/>
    </row>
    <row r="27" spans="2:13" x14ac:dyDescent="0.2">
      <c r="B27">
        <v>12</v>
      </c>
      <c r="C27" s="9">
        <f t="shared" si="3"/>
        <v>400000</v>
      </c>
      <c r="D27" s="9">
        <f t="shared" si="0"/>
        <v>417327.4830873739</v>
      </c>
      <c r="E27" s="8">
        <f t="shared" si="1"/>
        <v>17327.483087373897</v>
      </c>
      <c r="F27" s="8">
        <f t="shared" si="2"/>
        <v>9923075.9462102819</v>
      </c>
      <c r="I27" t="s">
        <v>13</v>
      </c>
      <c r="K27" s="8">
        <f>D31</f>
        <v>420437.26566519809</v>
      </c>
      <c r="L27" s="8"/>
    </row>
    <row r="28" spans="2:13" x14ac:dyDescent="0.2">
      <c r="B28">
        <v>13</v>
      </c>
      <c r="C28" s="9">
        <f t="shared" si="3"/>
        <v>400000</v>
      </c>
      <c r="D28" s="9">
        <f t="shared" si="0"/>
        <v>418057.48697673297</v>
      </c>
      <c r="E28" s="8">
        <f t="shared" si="1"/>
        <v>18057.486976732966</v>
      </c>
      <c r="F28" s="8">
        <f t="shared" si="2"/>
        <v>9941133.4331870154</v>
      </c>
      <c r="J28" t="s">
        <v>31</v>
      </c>
      <c r="K28" s="8"/>
      <c r="L28" s="8">
        <f>K27-L29</f>
        <v>20437.265665198094</v>
      </c>
    </row>
    <row r="29" spans="2:13" x14ac:dyDescent="0.2">
      <c r="B29">
        <v>14</v>
      </c>
      <c r="C29" s="9">
        <f t="shared" si="3"/>
        <v>400000</v>
      </c>
      <c r="D29" s="9">
        <f t="shared" si="0"/>
        <v>418818.24580469413</v>
      </c>
      <c r="E29" s="8">
        <f t="shared" si="1"/>
        <v>18818.245804694132</v>
      </c>
      <c r="F29" s="8">
        <f t="shared" si="2"/>
        <v>9959951.6789917089</v>
      </c>
      <c r="J29" t="s">
        <v>16</v>
      </c>
      <c r="K29" s="8"/>
      <c r="L29" s="8">
        <v>400000</v>
      </c>
    </row>
    <row r="30" spans="2:13" x14ac:dyDescent="0.2">
      <c r="B30">
        <v>15</v>
      </c>
      <c r="C30" s="9">
        <f t="shared" si="3"/>
        <v>400000</v>
      </c>
      <c r="D30" s="9">
        <f t="shared" si="0"/>
        <v>419611.0552715435</v>
      </c>
      <c r="E30" s="8">
        <f t="shared" si="1"/>
        <v>19611.055271543504</v>
      </c>
      <c r="F30" s="8">
        <f t="shared" si="2"/>
        <v>9979562.7342632525</v>
      </c>
      <c r="K30" s="8"/>
      <c r="L30" s="8"/>
    </row>
    <row r="31" spans="2:13" x14ac:dyDescent="0.2">
      <c r="B31">
        <v>16</v>
      </c>
      <c r="C31" s="9">
        <v>400000</v>
      </c>
      <c r="D31" s="9">
        <f t="shared" si="0"/>
        <v>420437.26566519809</v>
      </c>
      <c r="E31" s="8">
        <f t="shared" si="1"/>
        <v>20437.265665198094</v>
      </c>
      <c r="F31" s="8">
        <f t="shared" si="2"/>
        <v>9999999.9999284502</v>
      </c>
      <c r="I31" t="s">
        <v>18</v>
      </c>
      <c r="K31" s="8">
        <v>10000000</v>
      </c>
      <c r="L31" s="8"/>
    </row>
    <row r="32" spans="2:13" x14ac:dyDescent="0.2">
      <c r="C32" t="s">
        <v>46</v>
      </c>
      <c r="F32" s="8">
        <v>-10000000</v>
      </c>
      <c r="J32" t="s">
        <v>19</v>
      </c>
      <c r="K32" s="8"/>
      <c r="L32" s="8">
        <v>10000000</v>
      </c>
    </row>
    <row r="33" spans="11:12" x14ac:dyDescent="0.2">
      <c r="K33" s="8"/>
      <c r="L33" s="8"/>
    </row>
    <row r="34" spans="11:12" x14ac:dyDescent="0.2">
      <c r="K34" s="8"/>
      <c r="L34" s="8"/>
    </row>
    <row r="35" spans="11:12" x14ac:dyDescent="0.2">
      <c r="K35" s="8"/>
      <c r="L35" s="8"/>
    </row>
    <row r="36" spans="11:12" x14ac:dyDescent="0.2">
      <c r="K36" s="8"/>
      <c r="L36" s="8"/>
    </row>
    <row r="37" spans="11:12" x14ac:dyDescent="0.2">
      <c r="K37" s="8"/>
      <c r="L37" s="8"/>
    </row>
    <row r="38" spans="11:12" x14ac:dyDescent="0.2">
      <c r="K38" s="8"/>
      <c r="L38" s="8"/>
    </row>
    <row r="39" spans="11:12" x14ac:dyDescent="0.2">
      <c r="K39" s="8"/>
      <c r="L39" s="8"/>
    </row>
    <row r="40" spans="11:12" x14ac:dyDescent="0.2">
      <c r="K40" s="8"/>
      <c r="L40" s="8"/>
    </row>
  </sheetData>
  <pageMargins left="0.7" right="0.7" top="0.75" bottom="0.75" header="0.3" footer="0.3"/>
  <pageSetup orientation="portrait" verticalDpi="599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49"/>
  <sheetViews>
    <sheetView topLeftCell="A29" zoomScale="85" zoomScaleNormal="85" workbookViewId="0">
      <selection activeCell="D19" sqref="D19"/>
    </sheetView>
  </sheetViews>
  <sheetFormatPr baseColWidth="10" defaultColWidth="8.83203125" defaultRowHeight="15" x14ac:dyDescent="0.2"/>
  <cols>
    <col min="3" max="3" width="10.83203125" customWidth="1"/>
    <col min="5" max="5" width="12.5" bestFit="1" customWidth="1"/>
    <col min="6" max="6" width="14.6640625" bestFit="1" customWidth="1"/>
    <col min="9" max="9" width="23.5" customWidth="1"/>
    <col min="10" max="10" width="15.1640625" customWidth="1"/>
    <col min="11" max="11" width="14.5" bestFit="1" customWidth="1"/>
    <col min="12" max="12" width="14.83203125" bestFit="1" customWidth="1"/>
  </cols>
  <sheetData>
    <row r="7" spans="3:13" x14ac:dyDescent="0.2">
      <c r="C7" s="5" t="s">
        <v>26</v>
      </c>
      <c r="D7" s="5"/>
      <c r="E7" s="5"/>
      <c r="F7" s="6">
        <v>8.4299159091780804E-2</v>
      </c>
      <c r="K7" s="10"/>
    </row>
    <row r="8" spans="3:13" x14ac:dyDescent="0.2">
      <c r="C8" s="5" t="s">
        <v>8</v>
      </c>
      <c r="D8" s="5"/>
      <c r="E8" s="5"/>
      <c r="F8" s="6">
        <v>8.2500000000000004E-2</v>
      </c>
    </row>
    <row r="9" spans="3:13" x14ac:dyDescent="0.2">
      <c r="C9" s="5" t="s">
        <v>10</v>
      </c>
      <c r="D9" s="5" t="s">
        <v>29</v>
      </c>
      <c r="E9" s="5"/>
      <c r="F9" s="8">
        <f>NPV(F7/2,C23:C37)</f>
        <v>4381247.1693167314</v>
      </c>
    </row>
    <row r="10" spans="3:13" x14ac:dyDescent="0.2">
      <c r="C10" s="5" t="s">
        <v>10</v>
      </c>
      <c r="D10" s="5" t="s">
        <v>30</v>
      </c>
      <c r="E10" s="5"/>
      <c r="F10" s="8">
        <f>NPV(F7*(L9/360),F9)</f>
        <v>4381247.1693167314</v>
      </c>
      <c r="J10" s="2"/>
    </row>
    <row r="11" spans="3:13" x14ac:dyDescent="0.2">
      <c r="C11" s="5" t="s">
        <v>34</v>
      </c>
      <c r="D11" t="s">
        <v>54</v>
      </c>
      <c r="F11" s="8">
        <f>NPV(F8/2*J13/360,J14)</f>
        <v>197958.55242808539</v>
      </c>
      <c r="I11" t="s">
        <v>59</v>
      </c>
      <c r="J11" s="10">
        <v>42461</v>
      </c>
      <c r="M11" s="2"/>
    </row>
    <row r="12" spans="3:13" x14ac:dyDescent="0.2">
      <c r="C12" s="5" t="s">
        <v>34</v>
      </c>
      <c r="D12" s="5" t="s">
        <v>51</v>
      </c>
      <c r="E12" s="5"/>
      <c r="F12" s="8">
        <f>SUM(F10:F11)</f>
        <v>4579205.7217448168</v>
      </c>
      <c r="I12" t="s">
        <v>60</v>
      </c>
      <c r="J12" s="10">
        <v>42551</v>
      </c>
    </row>
    <row r="13" spans="3:13" x14ac:dyDescent="0.2">
      <c r="C13" s="5" t="s">
        <v>55</v>
      </c>
      <c r="D13" s="5" t="s">
        <v>62</v>
      </c>
      <c r="E13" s="5"/>
      <c r="F13" s="8">
        <f>PV(F7/2,J17-J13/180,0,-J16)</f>
        <v>5273319.7584384354</v>
      </c>
      <c r="I13" t="s">
        <v>61</v>
      </c>
      <c r="J13" s="2">
        <f>J12-J11</f>
        <v>90</v>
      </c>
      <c r="M13" s="1"/>
    </row>
    <row r="14" spans="3:13" x14ac:dyDescent="0.2">
      <c r="C14" s="5" t="s">
        <v>40</v>
      </c>
      <c r="D14" s="5"/>
      <c r="E14" s="5"/>
      <c r="F14" s="8">
        <f>SUM(F12:F13)</f>
        <v>9852525.4801832512</v>
      </c>
      <c r="I14" t="s">
        <v>33</v>
      </c>
      <c r="J14" s="8">
        <f>J19*(180-J13)/180</f>
        <v>200000</v>
      </c>
      <c r="M14" s="8"/>
    </row>
    <row r="15" spans="3:13" x14ac:dyDescent="0.2">
      <c r="C15" s="5" t="s">
        <v>25</v>
      </c>
      <c r="F15" s="8">
        <v>-100000</v>
      </c>
      <c r="J15" s="8"/>
      <c r="M15" s="8"/>
    </row>
    <row r="16" spans="3:13" x14ac:dyDescent="0.2">
      <c r="C16" s="5" t="s">
        <v>15</v>
      </c>
      <c r="F16" s="8">
        <f>SUM(F14:F15)</f>
        <v>9752525.4801832512</v>
      </c>
      <c r="I16" t="s">
        <v>4</v>
      </c>
      <c r="J16" s="8">
        <v>10000000</v>
      </c>
      <c r="M16" s="8"/>
    </row>
    <row r="17" spans="2:13" x14ac:dyDescent="0.2">
      <c r="C17" s="5" t="s">
        <v>58</v>
      </c>
      <c r="D17" s="5"/>
      <c r="E17" s="5"/>
      <c r="F17" s="8">
        <f>J14</f>
        <v>200000</v>
      </c>
      <c r="I17" t="s">
        <v>24</v>
      </c>
      <c r="J17">
        <v>16</v>
      </c>
      <c r="M17" s="8"/>
    </row>
    <row r="18" spans="2:13" x14ac:dyDescent="0.2">
      <c r="C18" s="5" t="s">
        <v>32</v>
      </c>
      <c r="F18" s="8">
        <f>SUM(F16:F17)</f>
        <v>9952525.4801832512</v>
      </c>
      <c r="I18" t="s">
        <v>6</v>
      </c>
      <c r="J18" s="1">
        <v>0.08</v>
      </c>
      <c r="M18" s="11"/>
    </row>
    <row r="19" spans="2:13" x14ac:dyDescent="0.2">
      <c r="C19" s="5"/>
      <c r="F19" s="14"/>
      <c r="I19" t="s">
        <v>7</v>
      </c>
      <c r="J19" s="2">
        <f>J16*J18/2</f>
        <v>400000</v>
      </c>
    </row>
    <row r="20" spans="2:13" x14ac:dyDescent="0.2">
      <c r="C20" s="5"/>
      <c r="D20" s="5"/>
      <c r="E20" s="5"/>
      <c r="F20" s="7" t="s">
        <v>15</v>
      </c>
      <c r="I20" t="s">
        <v>57</v>
      </c>
      <c r="J20" s="11">
        <f>F14</f>
        <v>9852525.4801832512</v>
      </c>
    </row>
    <row r="21" spans="2:13" x14ac:dyDescent="0.2">
      <c r="C21" s="5" t="s">
        <v>12</v>
      </c>
      <c r="D21" s="5" t="s">
        <v>5</v>
      </c>
      <c r="E21" s="5"/>
      <c r="F21" s="8">
        <f>F16</f>
        <v>9752525.4801832512</v>
      </c>
      <c r="I21" t="s">
        <v>27</v>
      </c>
      <c r="J21" s="11">
        <f>J16-J20</f>
        <v>147474.5198167488</v>
      </c>
    </row>
    <row r="22" spans="2:13" x14ac:dyDescent="0.2">
      <c r="B22">
        <v>1</v>
      </c>
      <c r="C22" s="9">
        <v>400000</v>
      </c>
      <c r="D22" s="9">
        <f>F21*$F$7/4</f>
        <v>205532.42425015348</v>
      </c>
      <c r="E22" s="8">
        <f>D22-C22+J14</f>
        <v>5532.4242501534754</v>
      </c>
      <c r="F22" s="8">
        <f>F21+E22</f>
        <v>9758057.904433405</v>
      </c>
      <c r="I22" t="s">
        <v>25</v>
      </c>
      <c r="J22" s="8">
        <v>100000</v>
      </c>
    </row>
    <row r="23" spans="2:13" x14ac:dyDescent="0.2">
      <c r="B23">
        <v>2</v>
      </c>
      <c r="C23" s="9">
        <v>400000</v>
      </c>
      <c r="D23" s="9">
        <f t="shared" ref="D23:D37" si="0">$F$7/2*F22</f>
        <v>411298.03785632038</v>
      </c>
      <c r="E23" s="8">
        <f t="shared" ref="E23:E37" si="1">D23-C23</f>
        <v>11298.037856320385</v>
      </c>
      <c r="F23" s="8">
        <f t="shared" ref="F23:F37" si="2">F22+E23</f>
        <v>9769355.9422897249</v>
      </c>
      <c r="I23" t="s">
        <v>15</v>
      </c>
      <c r="J23" s="11">
        <f>J20-J22</f>
        <v>9752525.4801832512</v>
      </c>
    </row>
    <row r="24" spans="2:13" x14ac:dyDescent="0.2">
      <c r="B24">
        <v>3</v>
      </c>
      <c r="C24" s="9">
        <v>400000</v>
      </c>
      <c r="D24" s="9">
        <f t="shared" si="0"/>
        <v>411774.24540165783</v>
      </c>
      <c r="E24" s="8">
        <f t="shared" si="1"/>
        <v>11774.245401657827</v>
      </c>
      <c r="F24" s="8">
        <f t="shared" si="2"/>
        <v>9781130.1876913831</v>
      </c>
    </row>
    <row r="25" spans="2:13" x14ac:dyDescent="0.2">
      <c r="B25">
        <v>4</v>
      </c>
      <c r="C25" s="9">
        <v>400000</v>
      </c>
      <c r="D25" s="9">
        <f t="shared" si="0"/>
        <v>412270.5248948079</v>
      </c>
      <c r="E25" s="8">
        <f t="shared" si="1"/>
        <v>12270.524894807895</v>
      </c>
      <c r="F25" s="8">
        <f t="shared" si="2"/>
        <v>9793400.7125861906</v>
      </c>
    </row>
    <row r="26" spans="2:13" x14ac:dyDescent="0.2">
      <c r="B26">
        <v>5</v>
      </c>
      <c r="C26" s="9">
        <v>400000</v>
      </c>
      <c r="D26" s="9">
        <f t="shared" si="0"/>
        <v>412787.72235993139</v>
      </c>
      <c r="E26" s="8">
        <f t="shared" si="1"/>
        <v>12787.722359931387</v>
      </c>
      <c r="F26" s="8">
        <f t="shared" si="2"/>
        <v>9806188.4349461216</v>
      </c>
      <c r="I26" t="s">
        <v>16</v>
      </c>
      <c r="K26" s="11">
        <f>F18</f>
        <v>9952525.4801832512</v>
      </c>
      <c r="L26" s="11"/>
    </row>
    <row r="27" spans="2:13" x14ac:dyDescent="0.2">
      <c r="B27">
        <v>6</v>
      </c>
      <c r="C27" s="9">
        <v>400000</v>
      </c>
      <c r="D27" s="9">
        <f t="shared" si="0"/>
        <v>413326.71948075207</v>
      </c>
      <c r="E27" s="8">
        <f t="shared" si="1"/>
        <v>13326.719480752072</v>
      </c>
      <c r="F27" s="8">
        <f t="shared" si="2"/>
        <v>9819515.1544268746</v>
      </c>
      <c r="I27" t="s">
        <v>38</v>
      </c>
      <c r="K27" s="11">
        <f>J21+J22</f>
        <v>247474.5198167488</v>
      </c>
      <c r="L27" s="11"/>
    </row>
    <row r="28" spans="2:13" x14ac:dyDescent="0.2">
      <c r="B28">
        <v>7</v>
      </c>
      <c r="C28" s="9">
        <v>400000</v>
      </c>
      <c r="D28" s="9">
        <f t="shared" si="0"/>
        <v>413888.43510359182</v>
      </c>
      <c r="E28" s="8">
        <f t="shared" si="1"/>
        <v>13888.435103591823</v>
      </c>
      <c r="F28" s="8">
        <f t="shared" si="2"/>
        <v>9833403.5895304661</v>
      </c>
      <c r="J28" t="s">
        <v>35</v>
      </c>
      <c r="K28" s="11"/>
      <c r="L28" s="11">
        <f>J16</f>
        <v>10000000</v>
      </c>
      <c r="M28" s="2"/>
    </row>
    <row r="29" spans="2:13" x14ac:dyDescent="0.2">
      <c r="B29">
        <v>8</v>
      </c>
      <c r="C29" s="9">
        <v>400000</v>
      </c>
      <c r="D29" s="9">
        <f t="shared" si="0"/>
        <v>414473.82680375857</v>
      </c>
      <c r="E29" s="8">
        <f t="shared" si="1"/>
        <v>14473.826803758566</v>
      </c>
      <c r="F29" s="8">
        <f t="shared" si="2"/>
        <v>9847877.4163342249</v>
      </c>
      <c r="J29" t="s">
        <v>36</v>
      </c>
      <c r="K29" s="11"/>
      <c r="L29" s="11">
        <f>J14</f>
        <v>200000</v>
      </c>
    </row>
    <row r="30" spans="2:13" x14ac:dyDescent="0.2">
      <c r="B30">
        <v>9</v>
      </c>
      <c r="C30" s="9">
        <v>400000</v>
      </c>
      <c r="D30" s="9">
        <f t="shared" si="0"/>
        <v>415083.89251795708</v>
      </c>
      <c r="E30" s="8">
        <f t="shared" si="1"/>
        <v>15083.89251795708</v>
      </c>
      <c r="F30" s="8">
        <f t="shared" si="2"/>
        <v>9862961.3088521827</v>
      </c>
      <c r="J30" t="s">
        <v>37</v>
      </c>
      <c r="K30" s="11"/>
      <c r="L30" s="11">
        <f>J22</f>
        <v>100000</v>
      </c>
    </row>
    <row r="31" spans="2:13" x14ac:dyDescent="0.2">
      <c r="B31">
        <v>10</v>
      </c>
      <c r="C31" s="9">
        <v>400000</v>
      </c>
      <c r="D31" s="9">
        <f t="shared" si="0"/>
        <v>415719.67224550439</v>
      </c>
      <c r="E31" s="8">
        <f t="shared" si="1"/>
        <v>15719.672245504393</v>
      </c>
      <c r="F31" s="8">
        <f t="shared" si="2"/>
        <v>9878680.981097687</v>
      </c>
    </row>
    <row r="32" spans="2:13" x14ac:dyDescent="0.2">
      <c r="B32">
        <v>11</v>
      </c>
      <c r="C32" s="9">
        <v>400000</v>
      </c>
      <c r="D32" s="9">
        <f t="shared" si="0"/>
        <v>416382.24982125161</v>
      </c>
      <c r="E32" s="8">
        <f t="shared" si="1"/>
        <v>16382.249821251608</v>
      </c>
      <c r="F32" s="8">
        <f t="shared" si="2"/>
        <v>9895063.2309189383</v>
      </c>
      <c r="I32" t="s">
        <v>13</v>
      </c>
      <c r="K32" s="11">
        <f>D22</f>
        <v>205532.42425015348</v>
      </c>
      <c r="L32" s="11"/>
    </row>
    <row r="33" spans="2:12" x14ac:dyDescent="0.2">
      <c r="B33">
        <v>12</v>
      </c>
      <c r="C33" s="9">
        <v>400000</v>
      </c>
      <c r="D33" s="9">
        <f t="shared" si="0"/>
        <v>417072.75476323307</v>
      </c>
      <c r="E33" s="8">
        <f t="shared" si="1"/>
        <v>17072.754763233068</v>
      </c>
      <c r="F33" s="8">
        <f t="shared" si="2"/>
        <v>9912135.9856821708</v>
      </c>
      <c r="I33" t="s">
        <v>63</v>
      </c>
      <c r="K33" s="11">
        <v>200000</v>
      </c>
    </row>
    <row r="34" spans="2:12" x14ac:dyDescent="0.2">
      <c r="B34">
        <v>13</v>
      </c>
      <c r="C34" s="9">
        <v>400000</v>
      </c>
      <c r="D34" s="9">
        <f t="shared" si="0"/>
        <v>417792.36419819342</v>
      </c>
      <c r="E34" s="8">
        <f t="shared" si="1"/>
        <v>17792.36419819342</v>
      </c>
      <c r="F34" s="8">
        <f t="shared" si="2"/>
        <v>9929928.3498803638</v>
      </c>
      <c r="J34" t="s">
        <v>31</v>
      </c>
      <c r="K34" s="11"/>
      <c r="L34" s="11">
        <f>E22</f>
        <v>5532.4242501534754</v>
      </c>
    </row>
    <row r="35" spans="2:12" x14ac:dyDescent="0.2">
      <c r="B35">
        <v>14</v>
      </c>
      <c r="C35" s="9">
        <v>400000</v>
      </c>
      <c r="D35" s="9">
        <f t="shared" si="0"/>
        <v>418542.3048682746</v>
      </c>
      <c r="E35" s="8">
        <f t="shared" si="1"/>
        <v>18542.304868274601</v>
      </c>
      <c r="F35" s="8">
        <f t="shared" si="2"/>
        <v>9948470.6547486391</v>
      </c>
      <c r="J35" t="s">
        <v>16</v>
      </c>
      <c r="K35" s="11"/>
      <c r="L35" s="11">
        <f>C22</f>
        <v>400000</v>
      </c>
    </row>
    <row r="36" spans="2:12" x14ac:dyDescent="0.2">
      <c r="B36">
        <v>15</v>
      </c>
      <c r="C36" s="9">
        <v>400000</v>
      </c>
      <c r="D36" s="9">
        <f t="shared" si="0"/>
        <v>419323.85522228415</v>
      </c>
      <c r="E36" s="8">
        <f t="shared" si="1"/>
        <v>19323.855222284154</v>
      </c>
      <c r="F36" s="8">
        <f t="shared" si="2"/>
        <v>9967794.5099709239</v>
      </c>
      <c r="K36" s="11"/>
      <c r="L36" s="11"/>
    </row>
    <row r="37" spans="2:12" x14ac:dyDescent="0.2">
      <c r="B37">
        <v>16</v>
      </c>
      <c r="C37" s="9">
        <v>400000</v>
      </c>
      <c r="D37" s="9">
        <f t="shared" si="0"/>
        <v>420138.34759510908</v>
      </c>
      <c r="E37" s="8">
        <f t="shared" si="1"/>
        <v>20138.34759510908</v>
      </c>
      <c r="F37" s="8">
        <f t="shared" si="2"/>
        <v>9987932.8575660326</v>
      </c>
      <c r="I37" t="s">
        <v>17</v>
      </c>
      <c r="K37" s="11"/>
      <c r="L37" s="11"/>
    </row>
    <row r="38" spans="2:12" x14ac:dyDescent="0.2">
      <c r="C38" t="s">
        <v>46</v>
      </c>
      <c r="F38" s="8">
        <v>-10000000</v>
      </c>
      <c r="I38" t="s">
        <v>13</v>
      </c>
      <c r="K38" s="11">
        <f>D37</f>
        <v>420138.34759510908</v>
      </c>
      <c r="L38" s="11"/>
    </row>
    <row r="39" spans="2:12" x14ac:dyDescent="0.2">
      <c r="J39" t="s">
        <v>31</v>
      </c>
      <c r="K39" s="11"/>
      <c r="L39" s="11">
        <f>E37</f>
        <v>20138.34759510908</v>
      </c>
    </row>
    <row r="40" spans="2:12" x14ac:dyDescent="0.2">
      <c r="J40" t="s">
        <v>16</v>
      </c>
      <c r="K40" s="11"/>
      <c r="L40" s="11">
        <v>400000</v>
      </c>
    </row>
    <row r="41" spans="2:12" x14ac:dyDescent="0.2">
      <c r="K41" s="11"/>
      <c r="L41" s="11"/>
    </row>
    <row r="42" spans="2:12" x14ac:dyDescent="0.2">
      <c r="I42" t="s">
        <v>18</v>
      </c>
      <c r="K42" s="11">
        <v>10000000</v>
      </c>
      <c r="L42" s="11"/>
    </row>
    <row r="43" spans="2:12" x14ac:dyDescent="0.2">
      <c r="J43" t="s">
        <v>19</v>
      </c>
      <c r="K43" s="11"/>
      <c r="L43" s="11">
        <v>10000000</v>
      </c>
    </row>
    <row r="44" spans="2:12" x14ac:dyDescent="0.2">
      <c r="K44" s="11"/>
      <c r="L44" s="11"/>
    </row>
    <row r="49" spans="10:12" x14ac:dyDescent="0.2">
      <c r="J49" s="4"/>
      <c r="K49" s="4"/>
      <c r="L49" s="11"/>
    </row>
  </sheetData>
  <pageMargins left="0.7" right="0.7" top="0.75" bottom="0.75" header="0.3" footer="0.3"/>
  <pageSetup orientation="portrait" verticalDpi="599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workbookViewId="0">
      <selection activeCell="K8" sqref="K8"/>
    </sheetView>
  </sheetViews>
  <sheetFormatPr baseColWidth="10" defaultColWidth="8.83203125" defaultRowHeight="19" x14ac:dyDescent="0.25"/>
  <cols>
    <col min="1" max="1" width="8.83203125" style="16"/>
    <col min="2" max="2" width="3.6640625" style="16" bestFit="1" customWidth="1"/>
    <col min="3" max="3" width="15.6640625" style="16" bestFit="1" customWidth="1"/>
    <col min="4" max="4" width="9.83203125" style="16" bestFit="1" customWidth="1"/>
    <col min="5" max="5" width="10.5" style="16" bestFit="1" customWidth="1"/>
    <col min="6" max="6" width="16" style="16" bestFit="1" customWidth="1"/>
    <col min="7" max="8" width="8.83203125" style="16"/>
    <col min="9" max="9" width="25.1640625" style="16" bestFit="1" customWidth="1"/>
    <col min="10" max="10" width="27" style="16" bestFit="1" customWidth="1"/>
    <col min="11" max="12" width="15.1640625" style="16" bestFit="1" customWidth="1"/>
    <col min="13" max="16384" width="8.83203125" style="16"/>
  </cols>
  <sheetData>
    <row r="1" spans="2:12" x14ac:dyDescent="0.25">
      <c r="C1" s="16" t="s">
        <v>78</v>
      </c>
    </row>
    <row r="2" spans="2:12" x14ac:dyDescent="0.25">
      <c r="C2" s="16" t="s">
        <v>26</v>
      </c>
      <c r="F2" s="19">
        <v>4.384420636036733E-2</v>
      </c>
    </row>
    <row r="3" spans="2:12" x14ac:dyDescent="0.25">
      <c r="C3" s="16" t="s">
        <v>77</v>
      </c>
      <c r="F3" s="19">
        <v>8.43E-2</v>
      </c>
    </row>
    <row r="4" spans="2:12" x14ac:dyDescent="0.25">
      <c r="C4" s="16" t="s">
        <v>10</v>
      </c>
      <c r="D4" s="16" t="s">
        <v>5</v>
      </c>
      <c r="E4" s="16" t="s">
        <v>69</v>
      </c>
      <c r="F4" s="17">
        <f>NPV(F3/2,C9:C18)</f>
        <v>1604955.3004004825</v>
      </c>
      <c r="I4" s="16" t="s">
        <v>71</v>
      </c>
      <c r="J4" s="17">
        <v>10000000</v>
      </c>
    </row>
    <row r="5" spans="2:12" x14ac:dyDescent="0.25">
      <c r="C5" s="16" t="s">
        <v>39</v>
      </c>
      <c r="D5" s="16" t="s">
        <v>4</v>
      </c>
      <c r="E5" s="16" t="s">
        <v>69</v>
      </c>
      <c r="F5" s="17">
        <f>PV(F3/2,10,0,-J4)</f>
        <v>6617556.7044059914</v>
      </c>
      <c r="I5" s="16" t="s">
        <v>25</v>
      </c>
      <c r="J5" s="17">
        <v>100000</v>
      </c>
    </row>
    <row r="6" spans="2:12" x14ac:dyDescent="0.25">
      <c r="C6" s="16" t="s">
        <v>15</v>
      </c>
      <c r="F6" s="17">
        <f>SUM(F4:F5)</f>
        <v>8222512.0048064739</v>
      </c>
      <c r="I6" s="16" t="s">
        <v>68</v>
      </c>
      <c r="J6" s="20">
        <v>0.04</v>
      </c>
    </row>
    <row r="7" spans="2:12" x14ac:dyDescent="0.25">
      <c r="F7" s="21" t="s">
        <v>15</v>
      </c>
      <c r="I7" s="16" t="s">
        <v>7</v>
      </c>
      <c r="J7" s="17">
        <f>J4*J6/2</f>
        <v>200000</v>
      </c>
    </row>
    <row r="8" spans="2:12" x14ac:dyDescent="0.25">
      <c r="C8" s="16" t="s">
        <v>12</v>
      </c>
      <c r="D8" s="16" t="s">
        <v>5</v>
      </c>
      <c r="F8" s="17">
        <v>9829068.9570362363</v>
      </c>
      <c r="I8" s="16" t="s">
        <v>15</v>
      </c>
      <c r="J8" s="17">
        <v>9829068.9570362363</v>
      </c>
    </row>
    <row r="9" spans="2:12" x14ac:dyDescent="0.25">
      <c r="B9" s="16">
        <v>7</v>
      </c>
      <c r="C9" s="22">
        <f>J7</f>
        <v>200000</v>
      </c>
      <c r="D9" s="22">
        <f>$F$2/2*F8</f>
        <v>215473.86384128861</v>
      </c>
      <c r="E9" s="17">
        <f>D9-C9</f>
        <v>15473.863841288607</v>
      </c>
      <c r="F9" s="17">
        <f>F8+E9</f>
        <v>9844542.8208775241</v>
      </c>
      <c r="I9" s="16" t="s">
        <v>65</v>
      </c>
      <c r="J9" s="17">
        <f>J7*14</f>
        <v>2800000</v>
      </c>
    </row>
    <row r="10" spans="2:12" x14ac:dyDescent="0.25">
      <c r="B10" s="16">
        <v>8</v>
      </c>
      <c r="C10" s="22">
        <f>C9</f>
        <v>200000</v>
      </c>
      <c r="D10" s="22">
        <f t="shared" ref="D10:D18" si="0">$F$2/2*F9</f>
        <v>215813.08348101343</v>
      </c>
      <c r="E10" s="17">
        <f t="shared" ref="E10:E18" si="1">D10-C10</f>
        <v>15813.083481013426</v>
      </c>
      <c r="F10" s="17">
        <f t="shared" ref="F10:F18" si="2">F9+E10</f>
        <v>9860355.9043585379</v>
      </c>
      <c r="I10" s="16" t="s">
        <v>66</v>
      </c>
      <c r="J10" s="17">
        <f>J4</f>
        <v>10000000</v>
      </c>
    </row>
    <row r="11" spans="2:12" x14ac:dyDescent="0.25">
      <c r="B11" s="16">
        <v>9</v>
      </c>
      <c r="C11" s="22">
        <f t="shared" ref="C11:C18" si="3">C10</f>
        <v>200000</v>
      </c>
      <c r="D11" s="22">
        <f t="shared" si="0"/>
        <v>216159.73952868109</v>
      </c>
      <c r="E11" s="17">
        <f t="shared" si="1"/>
        <v>16159.739528681093</v>
      </c>
      <c r="F11" s="17">
        <f t="shared" si="2"/>
        <v>9876515.6438872181</v>
      </c>
      <c r="I11" s="16" t="s">
        <v>67</v>
      </c>
      <c r="J11" s="17">
        <f>SUM(J9:J10)</f>
        <v>12800000</v>
      </c>
    </row>
    <row r="12" spans="2:12" x14ac:dyDescent="0.25">
      <c r="B12" s="16">
        <v>10</v>
      </c>
      <c r="C12" s="22">
        <f t="shared" si="3"/>
        <v>200000</v>
      </c>
      <c r="D12" s="22">
        <f t="shared" si="0"/>
        <v>216513.9950059937</v>
      </c>
      <c r="E12" s="17">
        <f t="shared" si="1"/>
        <v>16513.995005993696</v>
      </c>
      <c r="F12" s="17">
        <f t="shared" si="2"/>
        <v>9893029.6388932113</v>
      </c>
    </row>
    <row r="13" spans="2:12" x14ac:dyDescent="0.25">
      <c r="B13" s="16">
        <v>11</v>
      </c>
      <c r="C13" s="22">
        <f t="shared" si="3"/>
        <v>200000</v>
      </c>
      <c r="D13" s="22">
        <f t="shared" si="0"/>
        <v>216876.01650843213</v>
      </c>
      <c r="E13" s="17">
        <f t="shared" si="1"/>
        <v>16876.016508432134</v>
      </c>
      <c r="F13" s="17">
        <f t="shared" si="2"/>
        <v>9909905.6554016434</v>
      </c>
      <c r="I13" s="16" t="s">
        <v>13</v>
      </c>
      <c r="K13" s="17">
        <f>D9</f>
        <v>215473.86384128861</v>
      </c>
      <c r="L13" s="17"/>
    </row>
    <row r="14" spans="2:12" x14ac:dyDescent="0.25">
      <c r="B14" s="16">
        <v>12</v>
      </c>
      <c r="C14" s="22">
        <f t="shared" si="3"/>
        <v>200000</v>
      </c>
      <c r="D14" s="22">
        <f t="shared" si="0"/>
        <v>217245.97428360046</v>
      </c>
      <c r="E14" s="17">
        <f t="shared" si="1"/>
        <v>17245.974283600459</v>
      </c>
      <c r="F14" s="17">
        <f t="shared" si="2"/>
        <v>9927151.6296852436</v>
      </c>
      <c r="J14" s="16" t="s">
        <v>31</v>
      </c>
      <c r="K14" s="17"/>
      <c r="L14" s="17">
        <f>E9</f>
        <v>15473.863841288607</v>
      </c>
    </row>
    <row r="15" spans="2:12" x14ac:dyDescent="0.25">
      <c r="B15" s="16">
        <v>13</v>
      </c>
      <c r="C15" s="22">
        <f t="shared" si="3"/>
        <v>200000</v>
      </c>
      <c r="D15" s="22">
        <f t="shared" si="0"/>
        <v>217624.04231128833</v>
      </c>
      <c r="E15" s="17">
        <f t="shared" si="1"/>
        <v>17624.042311288329</v>
      </c>
      <c r="F15" s="17">
        <f t="shared" si="2"/>
        <v>9944775.671996532</v>
      </c>
      <c r="J15" s="16" t="s">
        <v>16</v>
      </c>
      <c r="K15" s="17"/>
      <c r="L15" s="17">
        <f>C9</f>
        <v>200000</v>
      </c>
    </row>
    <row r="16" spans="2:12" x14ac:dyDescent="0.25">
      <c r="B16" s="16">
        <v>14</v>
      </c>
      <c r="C16" s="22">
        <f t="shared" si="3"/>
        <v>200000</v>
      </c>
      <c r="D16" s="22">
        <f t="shared" si="0"/>
        <v>218010.39838528831</v>
      </c>
      <c r="E16" s="17">
        <f t="shared" si="1"/>
        <v>18010.39838528831</v>
      </c>
      <c r="F16" s="17">
        <f t="shared" si="2"/>
        <v>9962786.0703818202</v>
      </c>
      <c r="K16" s="17"/>
      <c r="L16" s="17"/>
    </row>
    <row r="17" spans="2:12" x14ac:dyDescent="0.25">
      <c r="B17" s="16">
        <v>15</v>
      </c>
      <c r="C17" s="22">
        <f t="shared" si="3"/>
        <v>200000</v>
      </c>
      <c r="D17" s="22">
        <f t="shared" si="0"/>
        <v>218405.22419700681</v>
      </c>
      <c r="E17" s="17">
        <f t="shared" si="1"/>
        <v>18405.224197006813</v>
      </c>
      <c r="F17" s="17">
        <f t="shared" si="2"/>
        <v>9981191.2945788279</v>
      </c>
      <c r="I17" s="16" t="s">
        <v>17</v>
      </c>
      <c r="K17" s="17"/>
      <c r="L17" s="17"/>
    </row>
    <row r="18" spans="2:12" x14ac:dyDescent="0.25">
      <c r="B18" s="16">
        <v>16</v>
      </c>
      <c r="C18" s="22">
        <f t="shared" si="3"/>
        <v>200000</v>
      </c>
      <c r="D18" s="22">
        <f t="shared" si="0"/>
        <v>218808.70542090802</v>
      </c>
      <c r="E18" s="17">
        <f t="shared" si="1"/>
        <v>18808.705420908023</v>
      </c>
      <c r="F18" s="17">
        <f t="shared" si="2"/>
        <v>9999999.9999997355</v>
      </c>
      <c r="I18" s="16" t="s">
        <v>13</v>
      </c>
      <c r="K18" s="17">
        <f>D18</f>
        <v>218808.70542090802</v>
      </c>
      <c r="L18" s="17"/>
    </row>
    <row r="19" spans="2:12" x14ac:dyDescent="0.25">
      <c r="C19" s="22" t="s">
        <v>46</v>
      </c>
      <c r="D19" s="22"/>
      <c r="E19" s="17"/>
      <c r="F19" s="17">
        <v>-10000000</v>
      </c>
      <c r="J19" s="16" t="s">
        <v>31</v>
      </c>
      <c r="K19" s="17"/>
      <c r="L19" s="17">
        <f>E18</f>
        <v>18808.705420908023</v>
      </c>
    </row>
    <row r="20" spans="2:12" x14ac:dyDescent="0.25">
      <c r="C20" s="22"/>
      <c r="D20" s="22"/>
      <c r="E20" s="17"/>
      <c r="F20" s="17"/>
      <c r="J20" s="16" t="s">
        <v>16</v>
      </c>
      <c r="K20" s="17"/>
      <c r="L20" s="17">
        <f>C18</f>
        <v>200000</v>
      </c>
    </row>
    <row r="21" spans="2:12" x14ac:dyDescent="0.25">
      <c r="C21" s="22"/>
      <c r="D21" s="22"/>
      <c r="E21" s="17"/>
      <c r="F21" s="17"/>
      <c r="K21" s="17"/>
      <c r="L21" s="17"/>
    </row>
    <row r="22" spans="2:12" x14ac:dyDescent="0.25">
      <c r="C22" s="22"/>
      <c r="D22" s="22"/>
      <c r="E22" s="17"/>
      <c r="F22" s="17"/>
      <c r="I22" s="16" t="s">
        <v>18</v>
      </c>
      <c r="K22" s="17">
        <v>10000000</v>
      </c>
      <c r="L22" s="17"/>
    </row>
    <row r="23" spans="2:12" x14ac:dyDescent="0.25">
      <c r="J23" s="16" t="s">
        <v>19</v>
      </c>
      <c r="K23" s="17"/>
      <c r="L23" s="17">
        <v>10000000</v>
      </c>
    </row>
    <row r="24" spans="2:12" x14ac:dyDescent="0.25">
      <c r="C24" s="22"/>
      <c r="D24" s="22"/>
      <c r="E24" s="17"/>
      <c r="F2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workbookViewId="0">
      <selection activeCell="L8" sqref="L8"/>
    </sheetView>
  </sheetViews>
  <sheetFormatPr baseColWidth="10" defaultColWidth="8.83203125" defaultRowHeight="19" x14ac:dyDescent="0.25"/>
  <cols>
    <col min="1" max="1" width="8.83203125" style="16"/>
    <col min="2" max="2" width="9" style="16" bestFit="1" customWidth="1"/>
    <col min="3" max="3" width="12.1640625" style="16" bestFit="1" customWidth="1"/>
    <col min="4" max="4" width="9" style="16" bestFit="1" customWidth="1"/>
    <col min="5" max="5" width="12.5" style="16" bestFit="1" customWidth="1"/>
    <col min="6" max="6" width="13.83203125" style="16" bestFit="1" customWidth="1"/>
    <col min="7" max="8" width="8.83203125" style="16"/>
    <col min="9" max="9" width="19.83203125" style="16" bestFit="1" customWidth="1"/>
    <col min="10" max="10" width="23.5" style="16" bestFit="1" customWidth="1"/>
    <col min="11" max="12" width="13.83203125" style="16" bestFit="1" customWidth="1"/>
    <col min="13" max="13" width="19.83203125" style="16" bestFit="1" customWidth="1"/>
    <col min="14" max="14" width="10.5" style="16" bestFit="1" customWidth="1"/>
    <col min="15" max="16384" width="8.83203125" style="16"/>
  </cols>
  <sheetData>
    <row r="1" spans="2:14" x14ac:dyDescent="0.25">
      <c r="C1" s="16" t="s">
        <v>64</v>
      </c>
      <c r="I1" s="16" t="s">
        <v>71</v>
      </c>
      <c r="J1" s="17">
        <v>7000000</v>
      </c>
    </row>
    <row r="2" spans="2:14" x14ac:dyDescent="0.25">
      <c r="I2" s="16" t="s">
        <v>73</v>
      </c>
      <c r="J2" s="18">
        <v>10</v>
      </c>
    </row>
    <row r="3" spans="2:14" x14ac:dyDescent="0.25">
      <c r="C3" s="16" t="s">
        <v>26</v>
      </c>
      <c r="F3" s="19">
        <v>0</v>
      </c>
      <c r="I3" s="16" t="s">
        <v>25</v>
      </c>
      <c r="J3" s="17">
        <v>100000</v>
      </c>
    </row>
    <row r="4" spans="2:14" x14ac:dyDescent="0.25">
      <c r="C4" s="16" t="s">
        <v>68</v>
      </c>
      <c r="F4" s="19">
        <v>8.43E-2</v>
      </c>
      <c r="I4" s="16" t="s">
        <v>68</v>
      </c>
      <c r="J4" s="20">
        <v>0.05</v>
      </c>
    </row>
    <row r="5" spans="2:14" x14ac:dyDescent="0.25">
      <c r="C5" s="16" t="s">
        <v>10</v>
      </c>
      <c r="D5" s="16" t="s">
        <v>5</v>
      </c>
      <c r="E5" s="16" t="s">
        <v>69</v>
      </c>
      <c r="F5" s="17">
        <f>NPV(F4/2,C10:C19)</f>
        <v>1404335.8878504224</v>
      </c>
      <c r="I5" s="16" t="s">
        <v>72</v>
      </c>
      <c r="J5" s="17">
        <f>J1*J4/2</f>
        <v>175000</v>
      </c>
    </row>
    <row r="6" spans="2:14" x14ac:dyDescent="0.25">
      <c r="C6" s="16" t="s">
        <v>39</v>
      </c>
      <c r="D6" s="16" t="s">
        <v>70</v>
      </c>
      <c r="E6" s="16" t="s">
        <v>69</v>
      </c>
      <c r="F6" s="17">
        <f>PV(F4/2,10,0,-J1)</f>
        <v>4632289.6930841943</v>
      </c>
      <c r="I6" s="16" t="s">
        <v>15</v>
      </c>
      <c r="J6" s="17">
        <v>9829069</v>
      </c>
    </row>
    <row r="7" spans="2:14" x14ac:dyDescent="0.25">
      <c r="F7" s="17">
        <f>SUM(F5:F6)</f>
        <v>6036625.5809346167</v>
      </c>
      <c r="I7" s="16" t="s">
        <v>65</v>
      </c>
      <c r="J7" s="17">
        <f>J5*J2</f>
        <v>1750000</v>
      </c>
    </row>
    <row r="8" spans="2:14" x14ac:dyDescent="0.25">
      <c r="F8" s="21" t="s">
        <v>15</v>
      </c>
      <c r="I8" s="16" t="s">
        <v>66</v>
      </c>
      <c r="J8" s="17">
        <f>J1</f>
        <v>7000000</v>
      </c>
      <c r="N8" s="17"/>
    </row>
    <row r="9" spans="2:14" x14ac:dyDescent="0.25">
      <c r="C9" s="16" t="s">
        <v>12</v>
      </c>
      <c r="D9" s="16" t="s">
        <v>5</v>
      </c>
      <c r="E9" s="16" t="s">
        <v>43</v>
      </c>
      <c r="F9" s="17">
        <f>J9</f>
        <v>8750000</v>
      </c>
      <c r="I9" s="16" t="s">
        <v>74</v>
      </c>
      <c r="J9" s="17">
        <f>SUM(J7:J8)</f>
        <v>8750000</v>
      </c>
      <c r="N9" s="20"/>
    </row>
    <row r="10" spans="2:14" x14ac:dyDescent="0.25">
      <c r="B10" s="16">
        <v>7</v>
      </c>
      <c r="C10" s="22">
        <f>J5</f>
        <v>175000</v>
      </c>
      <c r="D10" s="22">
        <f t="shared" ref="D10:D19" si="0">$F$3/2*F9</f>
        <v>0</v>
      </c>
      <c r="E10" s="17">
        <f>D10-C10</f>
        <v>-175000</v>
      </c>
      <c r="F10" s="17">
        <f>F9+E10</f>
        <v>8575000</v>
      </c>
      <c r="N10" s="17"/>
    </row>
    <row r="11" spans="2:14" x14ac:dyDescent="0.25">
      <c r="B11" s="16">
        <v>8</v>
      </c>
      <c r="C11" s="22">
        <f>C10</f>
        <v>175000</v>
      </c>
      <c r="D11" s="22">
        <f t="shared" si="0"/>
        <v>0</v>
      </c>
      <c r="E11" s="17">
        <f t="shared" ref="E11:E19" si="1">D11-C11</f>
        <v>-175000</v>
      </c>
      <c r="F11" s="17">
        <f t="shared" ref="F11:F19" si="2">F10+E11</f>
        <v>8400000</v>
      </c>
      <c r="I11" s="16" t="s">
        <v>18</v>
      </c>
      <c r="K11" s="17">
        <f>J6-J9</f>
        <v>1079069</v>
      </c>
      <c r="N11" s="17"/>
    </row>
    <row r="12" spans="2:14" x14ac:dyDescent="0.25">
      <c r="B12" s="16">
        <v>9</v>
      </c>
      <c r="C12" s="22">
        <f t="shared" ref="C12:C19" si="3">C11</f>
        <v>175000</v>
      </c>
      <c r="D12" s="22">
        <f t="shared" si="0"/>
        <v>0</v>
      </c>
      <c r="E12" s="17">
        <f t="shared" si="1"/>
        <v>-175000</v>
      </c>
      <c r="F12" s="17">
        <f t="shared" si="2"/>
        <v>8225000</v>
      </c>
      <c r="J12" s="16" t="s">
        <v>76</v>
      </c>
      <c r="L12" s="17">
        <f>K11</f>
        <v>1079069</v>
      </c>
      <c r="N12" s="17"/>
    </row>
    <row r="13" spans="2:14" x14ac:dyDescent="0.25">
      <c r="B13" s="16">
        <v>10</v>
      </c>
      <c r="C13" s="22">
        <f t="shared" si="3"/>
        <v>175000</v>
      </c>
      <c r="D13" s="22">
        <f t="shared" si="0"/>
        <v>0</v>
      </c>
      <c r="E13" s="17">
        <f t="shared" si="1"/>
        <v>-175000</v>
      </c>
      <c r="F13" s="17">
        <f t="shared" si="2"/>
        <v>8050000</v>
      </c>
      <c r="N13" s="17"/>
    </row>
    <row r="14" spans="2:14" x14ac:dyDescent="0.25">
      <c r="B14" s="16">
        <v>11</v>
      </c>
      <c r="C14" s="22">
        <f t="shared" si="3"/>
        <v>175000</v>
      </c>
      <c r="D14" s="22">
        <f t="shared" si="0"/>
        <v>0</v>
      </c>
      <c r="E14" s="17">
        <f t="shared" si="1"/>
        <v>-175000</v>
      </c>
      <c r="F14" s="17">
        <f t="shared" si="2"/>
        <v>7875000</v>
      </c>
      <c r="I14" s="16" t="s">
        <v>75</v>
      </c>
      <c r="N14" s="17"/>
    </row>
    <row r="15" spans="2:14" x14ac:dyDescent="0.25">
      <c r="B15" s="16">
        <v>12</v>
      </c>
      <c r="C15" s="22">
        <f t="shared" si="3"/>
        <v>175000</v>
      </c>
      <c r="D15" s="22">
        <f t="shared" si="0"/>
        <v>0</v>
      </c>
      <c r="E15" s="17">
        <f t="shared" si="1"/>
        <v>-175000</v>
      </c>
      <c r="F15" s="17">
        <f t="shared" si="2"/>
        <v>7700000</v>
      </c>
      <c r="I15" s="16" t="s">
        <v>18</v>
      </c>
      <c r="K15" s="17">
        <f>C10</f>
        <v>175000</v>
      </c>
      <c r="L15" s="17"/>
    </row>
    <row r="16" spans="2:14" x14ac:dyDescent="0.25">
      <c r="B16" s="16">
        <v>13</v>
      </c>
      <c r="C16" s="22">
        <f t="shared" si="3"/>
        <v>175000</v>
      </c>
      <c r="D16" s="22">
        <f t="shared" si="0"/>
        <v>0</v>
      </c>
      <c r="E16" s="17">
        <f t="shared" si="1"/>
        <v>-175000</v>
      </c>
      <c r="F16" s="17">
        <f t="shared" si="2"/>
        <v>7525000</v>
      </c>
      <c r="J16" s="16" t="s">
        <v>16</v>
      </c>
      <c r="K16" s="17"/>
      <c r="L16" s="17">
        <f>C10</f>
        <v>175000</v>
      </c>
    </row>
    <row r="17" spans="2:12" x14ac:dyDescent="0.25">
      <c r="B17" s="16">
        <v>14</v>
      </c>
      <c r="C17" s="22">
        <f t="shared" si="3"/>
        <v>175000</v>
      </c>
      <c r="D17" s="22">
        <f t="shared" si="0"/>
        <v>0</v>
      </c>
      <c r="E17" s="17">
        <f t="shared" si="1"/>
        <v>-175000</v>
      </c>
      <c r="F17" s="17">
        <f t="shared" si="2"/>
        <v>7350000</v>
      </c>
      <c r="K17" s="17"/>
      <c r="L17" s="17"/>
    </row>
    <row r="18" spans="2:12" x14ac:dyDescent="0.25">
      <c r="B18" s="16">
        <v>15</v>
      </c>
      <c r="C18" s="22">
        <f t="shared" si="3"/>
        <v>175000</v>
      </c>
      <c r="D18" s="22">
        <f t="shared" si="0"/>
        <v>0</v>
      </c>
      <c r="E18" s="17">
        <f t="shared" si="1"/>
        <v>-175000</v>
      </c>
      <c r="F18" s="17">
        <f t="shared" si="2"/>
        <v>7175000</v>
      </c>
      <c r="I18" s="16" t="s">
        <v>17</v>
      </c>
      <c r="K18" s="17"/>
      <c r="L18" s="17"/>
    </row>
    <row r="19" spans="2:12" x14ac:dyDescent="0.25">
      <c r="B19" s="16">
        <v>16</v>
      </c>
      <c r="C19" s="22">
        <f t="shared" si="3"/>
        <v>175000</v>
      </c>
      <c r="D19" s="22">
        <f t="shared" si="0"/>
        <v>0</v>
      </c>
      <c r="E19" s="17">
        <f t="shared" si="1"/>
        <v>-175000</v>
      </c>
      <c r="F19" s="17">
        <f t="shared" si="2"/>
        <v>7000000</v>
      </c>
      <c r="I19" s="16" t="s">
        <v>18</v>
      </c>
      <c r="K19" s="17">
        <f>C16</f>
        <v>175000</v>
      </c>
      <c r="L19" s="17"/>
    </row>
    <row r="20" spans="2:12" x14ac:dyDescent="0.25">
      <c r="C20" s="22" t="s">
        <v>46</v>
      </c>
      <c r="D20" s="22"/>
      <c r="E20" s="17"/>
      <c r="F20" s="17">
        <f>J1</f>
        <v>7000000</v>
      </c>
      <c r="J20" s="16" t="s">
        <v>16</v>
      </c>
      <c r="K20" s="17"/>
      <c r="L20" s="17">
        <f>C16</f>
        <v>175000</v>
      </c>
    </row>
    <row r="21" spans="2:12" x14ac:dyDescent="0.25">
      <c r="C21" s="22"/>
      <c r="D21" s="22"/>
      <c r="E21" s="17"/>
      <c r="F21" s="17"/>
      <c r="K21" s="17"/>
      <c r="L21" s="17"/>
    </row>
    <row r="22" spans="2:12" x14ac:dyDescent="0.25">
      <c r="I22" s="16" t="s">
        <v>18</v>
      </c>
      <c r="K22" s="17">
        <f>F20</f>
        <v>7000000</v>
      </c>
      <c r="L22" s="17"/>
    </row>
    <row r="23" spans="2:12" x14ac:dyDescent="0.25">
      <c r="C23" s="22"/>
      <c r="D23" s="22"/>
      <c r="E23" s="17"/>
      <c r="F23" s="17"/>
      <c r="J23" s="16" t="s">
        <v>16</v>
      </c>
      <c r="K23" s="17"/>
      <c r="L23" s="17">
        <f>F20</f>
        <v>7000000</v>
      </c>
    </row>
    <row r="24" spans="2:12" x14ac:dyDescent="0.25">
      <c r="C24" s="22"/>
      <c r="D24" s="22"/>
      <c r="E24" s="17"/>
      <c r="F24" s="17"/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is given</vt:lpstr>
      <vt:lpstr>yield is given</vt:lpstr>
      <vt:lpstr>straight-line</vt:lpstr>
      <vt:lpstr>Discount and issuance costs</vt:lpstr>
      <vt:lpstr>Between dates with discount</vt:lpstr>
      <vt:lpstr>Troubled debt type I</vt:lpstr>
      <vt:lpstr>Troubled debt type II</vt:lpstr>
    </vt:vector>
  </TitlesOfParts>
  <Company>Rank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Hepp, John A.</dc:creator>
  <cp:lastModifiedBy>Microsoft Office User</cp:lastModifiedBy>
  <dcterms:created xsi:type="dcterms:W3CDTF">2017-08-16T22:38:13Z</dcterms:created>
  <dcterms:modified xsi:type="dcterms:W3CDTF">2018-01-03T20:57:06Z</dcterms:modified>
</cp:coreProperties>
</file>