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slicers/slicer3.xml" ContentType="application/vnd.ms-excel.slicer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\Downloads\Projeto Construção Civil\"/>
    </mc:Choice>
  </mc:AlternateContent>
  <xr:revisionPtr revIDLastSave="0" documentId="13_ncr:1_{E6F5C340-EC07-45CF-809E-FCE0A77B2A58}" xr6:coauthVersionLast="47" xr6:coauthVersionMax="47" xr10:uidLastSave="{00000000-0000-0000-0000-000000000000}"/>
  <bookViews>
    <workbookView xWindow="-28920" yWindow="-5595" windowWidth="29040" windowHeight="16440" activeTab="5" xr2:uid="{5381DF8A-56E2-4C9B-A361-882A20F71046}"/>
  </bookViews>
  <sheets>
    <sheet name="CONTROLE AQUISIÇÃO" sheetId="1" r:id="rId1"/>
    <sheet name="CONTROLE CONSUMO" sheetId="2" r:id="rId2"/>
    <sheet name="ANÁLISE MENSAL" sheetId="3" r:id="rId3"/>
    <sheet name="TABELA PRODUTOS" sheetId="4" r:id="rId4"/>
    <sheet name="TABELA DINÂMICA" sheetId="5" r:id="rId5"/>
    <sheet name="DASHBOARD" sheetId="6" r:id="rId6"/>
  </sheets>
  <definedNames>
    <definedName name="SegmentaçãodeDados_MÊS">#N/A</definedName>
    <definedName name="SegmentaçãodeDados_MÊS1">#N/A</definedName>
    <definedName name="SegmentaçãodeDados_MÊS2">#N/A</definedName>
    <definedName name="SegmentaçãodeDados_MÊS3">#N/A</definedName>
  </definedNames>
  <calcPr calcId="19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4" i="2"/>
  <c r="H4" i="2"/>
  <c r="J4" i="2"/>
  <c r="J5" i="2"/>
  <c r="J6" i="2"/>
  <c r="J7" i="2"/>
  <c r="L7" i="2" s="1"/>
  <c r="J8" i="2"/>
  <c r="J9" i="2"/>
  <c r="J10" i="2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16" i="2"/>
  <c r="D16" i="2" s="1"/>
  <c r="B17" i="2"/>
  <c r="D17" i="2" s="1"/>
  <c r="B18" i="2"/>
  <c r="D18" i="2" s="1"/>
  <c r="B19" i="2"/>
  <c r="D19" i="2" s="1"/>
  <c r="B20" i="2"/>
  <c r="D20" i="2" s="1"/>
  <c r="B21" i="2"/>
  <c r="D21" i="2" s="1"/>
  <c r="B22" i="2"/>
  <c r="D22" i="2" s="1"/>
  <c r="B23" i="2"/>
  <c r="D23" i="2" s="1"/>
  <c r="B24" i="2"/>
  <c r="D24" i="2" s="1"/>
  <c r="B25" i="2"/>
  <c r="D25" i="2" s="1"/>
  <c r="B26" i="2"/>
  <c r="D26" i="2" s="1"/>
  <c r="B27" i="2"/>
  <c r="D27" i="2" s="1"/>
  <c r="B28" i="2"/>
  <c r="D28" i="2" s="1"/>
  <c r="B29" i="2"/>
  <c r="D29" i="2" s="1"/>
  <c r="B30" i="2"/>
  <c r="D30" i="2" s="1"/>
  <c r="B31" i="2"/>
  <c r="D31" i="2" s="1"/>
  <c r="B32" i="2"/>
  <c r="D32" i="2" s="1"/>
  <c r="B33" i="2"/>
  <c r="D33" i="2" s="1"/>
  <c r="B34" i="2"/>
  <c r="D34" i="2" s="1"/>
  <c r="B35" i="2"/>
  <c r="D35" i="2" s="1"/>
  <c r="B36" i="2"/>
  <c r="D36" i="2" s="1"/>
  <c r="B37" i="2"/>
  <c r="D37" i="2" s="1"/>
  <c r="B38" i="2"/>
  <c r="D38" i="2" s="1"/>
  <c r="B39" i="2"/>
  <c r="D39" i="2" s="1"/>
  <c r="B40" i="2"/>
  <c r="D40" i="2" s="1"/>
  <c r="B41" i="2"/>
  <c r="D41" i="2" s="1"/>
  <c r="B42" i="2"/>
  <c r="D42" i="2" s="1"/>
  <c r="B43" i="2"/>
  <c r="D43" i="2" s="1"/>
  <c r="B44" i="2"/>
  <c r="D44" i="2" s="1"/>
  <c r="B45" i="2"/>
  <c r="D45" i="2" s="1"/>
  <c r="B46" i="2"/>
  <c r="D46" i="2" s="1"/>
  <c r="B47" i="2"/>
  <c r="D47" i="2" s="1"/>
  <c r="B48" i="2"/>
  <c r="D48" i="2" s="1"/>
  <c r="B49" i="2"/>
  <c r="D49" i="2" s="1"/>
  <c r="B50" i="2"/>
  <c r="D50" i="2" s="1"/>
  <c r="B51" i="2"/>
  <c r="D51" i="2" s="1"/>
  <c r="B52" i="2"/>
  <c r="D52" i="2" s="1"/>
  <c r="B53" i="2"/>
  <c r="D53" i="2" s="1"/>
  <c r="B54" i="2"/>
  <c r="D54" i="2" s="1"/>
  <c r="B55" i="2"/>
  <c r="D55" i="2" s="1"/>
  <c r="B56" i="2"/>
  <c r="D56" i="2" s="1"/>
  <c r="B57" i="2"/>
  <c r="D57" i="2" s="1"/>
  <c r="B58" i="2"/>
  <c r="D58" i="2" s="1"/>
  <c r="B59" i="2"/>
  <c r="D59" i="2" s="1"/>
  <c r="B60" i="2"/>
  <c r="D60" i="2" s="1"/>
  <c r="B61" i="2"/>
  <c r="D61" i="2" s="1"/>
  <c r="B62" i="2"/>
  <c r="D62" i="2" s="1"/>
  <c r="B63" i="2"/>
  <c r="D63" i="2" s="1"/>
  <c r="B64" i="2"/>
  <c r="D64" i="2" s="1"/>
  <c r="B65" i="2"/>
  <c r="D65" i="2" s="1"/>
  <c r="B66" i="2"/>
  <c r="D66" i="2" s="1"/>
  <c r="B67" i="2"/>
  <c r="D67" i="2" s="1"/>
  <c r="B68" i="2"/>
  <c r="D68" i="2" s="1"/>
  <c r="B69" i="2"/>
  <c r="D69" i="2" s="1"/>
  <c r="B70" i="2"/>
  <c r="D70" i="2" s="1"/>
  <c r="B71" i="2"/>
  <c r="D71" i="2" s="1"/>
  <c r="B72" i="2"/>
  <c r="D72" i="2" s="1"/>
  <c r="B73" i="2"/>
  <c r="D73" i="2" s="1"/>
  <c r="B74" i="2"/>
  <c r="D74" i="2" s="1"/>
  <c r="B75" i="2"/>
  <c r="D75" i="2" s="1"/>
  <c r="B76" i="2"/>
  <c r="D76" i="2" s="1"/>
  <c r="B77" i="2"/>
  <c r="D77" i="2" s="1"/>
  <c r="B78" i="2"/>
  <c r="D78" i="2" s="1"/>
  <c r="B79" i="2"/>
  <c r="D79" i="2" s="1"/>
  <c r="B80" i="2"/>
  <c r="D80" i="2" s="1"/>
  <c r="B81" i="2"/>
  <c r="D81" i="2" s="1"/>
  <c r="B82" i="2"/>
  <c r="D82" i="2" s="1"/>
  <c r="B83" i="2"/>
  <c r="D83" i="2" s="1"/>
  <c r="B84" i="2"/>
  <c r="D84" i="2" s="1"/>
  <c r="B85" i="2"/>
  <c r="D85" i="2" s="1"/>
  <c r="B86" i="2"/>
  <c r="D86" i="2" s="1"/>
  <c r="B87" i="2"/>
  <c r="D87" i="2" s="1"/>
  <c r="B88" i="2"/>
  <c r="D88" i="2" s="1"/>
  <c r="B89" i="2"/>
  <c r="D89" i="2" s="1"/>
  <c r="B4" i="2"/>
  <c r="D4" i="2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4" i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23" i="1"/>
  <c r="I23" i="1" s="1"/>
  <c r="D24" i="1"/>
  <c r="I24" i="1" s="1"/>
  <c r="D25" i="1"/>
  <c r="I25" i="1" s="1"/>
  <c r="D26" i="1"/>
  <c r="I26" i="1" s="1"/>
  <c r="D27" i="1"/>
  <c r="I27" i="1" s="1"/>
  <c r="D28" i="1"/>
  <c r="I28" i="1" s="1"/>
  <c r="D29" i="1"/>
  <c r="I29" i="1" s="1"/>
  <c r="D30" i="1"/>
  <c r="I30" i="1" s="1"/>
  <c r="D31" i="1"/>
  <c r="I31" i="1" s="1"/>
  <c r="D32" i="1"/>
  <c r="I32" i="1" s="1"/>
  <c r="D33" i="1"/>
  <c r="I33" i="1" s="1"/>
  <c r="D34" i="1"/>
  <c r="I34" i="1" s="1"/>
  <c r="D35" i="1"/>
  <c r="I35" i="1" s="1"/>
  <c r="D36" i="1"/>
  <c r="I36" i="1" s="1"/>
  <c r="D37" i="1"/>
  <c r="I37" i="1" s="1"/>
  <c r="D38" i="1"/>
  <c r="I38" i="1" s="1"/>
  <c r="D39" i="1"/>
  <c r="I39" i="1" s="1"/>
  <c r="D40" i="1"/>
  <c r="I40" i="1" s="1"/>
  <c r="D41" i="1"/>
  <c r="I41" i="1" s="1"/>
  <c r="D42" i="1"/>
  <c r="I42" i="1" s="1"/>
  <c r="D43" i="1"/>
  <c r="I43" i="1" s="1"/>
  <c r="D44" i="1"/>
  <c r="I44" i="1" s="1"/>
  <c r="D45" i="1"/>
  <c r="I45" i="1" s="1"/>
  <c r="D46" i="1"/>
  <c r="I46" i="1" s="1"/>
  <c r="D47" i="1"/>
  <c r="I47" i="1" s="1"/>
  <c r="D48" i="1"/>
  <c r="I48" i="1" s="1"/>
  <c r="D49" i="1"/>
  <c r="I49" i="1" s="1"/>
  <c r="D50" i="1"/>
  <c r="I50" i="1" s="1"/>
  <c r="D51" i="1"/>
  <c r="I51" i="1" s="1"/>
  <c r="D52" i="1"/>
  <c r="I52" i="1" s="1"/>
  <c r="D53" i="1"/>
  <c r="I53" i="1" s="1"/>
  <c r="D54" i="1"/>
  <c r="I54" i="1" s="1"/>
  <c r="D55" i="1"/>
  <c r="I55" i="1" s="1"/>
  <c r="D56" i="1"/>
  <c r="I56" i="1" s="1"/>
  <c r="D57" i="1"/>
  <c r="I57" i="1" s="1"/>
  <c r="D58" i="1"/>
  <c r="I58" i="1" s="1"/>
  <c r="D59" i="1"/>
  <c r="I59" i="1" s="1"/>
  <c r="D60" i="1"/>
  <c r="I60" i="1" s="1"/>
  <c r="D61" i="1"/>
  <c r="I61" i="1" s="1"/>
  <c r="D62" i="1"/>
  <c r="I62" i="1" s="1"/>
  <c r="D63" i="1"/>
  <c r="I63" i="1" s="1"/>
  <c r="D64" i="1"/>
  <c r="I64" i="1" s="1"/>
  <c r="D65" i="1"/>
  <c r="I65" i="1" s="1"/>
  <c r="D66" i="1"/>
  <c r="I66" i="1" s="1"/>
  <c r="D67" i="1"/>
  <c r="I67" i="1" s="1"/>
  <c r="D68" i="1"/>
  <c r="I68" i="1" s="1"/>
  <c r="D69" i="1"/>
  <c r="I69" i="1" s="1"/>
  <c r="D70" i="1"/>
  <c r="I70" i="1" s="1"/>
  <c r="D71" i="1"/>
  <c r="I71" i="1" s="1"/>
  <c r="D72" i="1"/>
  <c r="I72" i="1" s="1"/>
  <c r="D73" i="1"/>
  <c r="I73" i="1" s="1"/>
  <c r="D74" i="1"/>
  <c r="I74" i="1" s="1"/>
  <c r="D75" i="1"/>
  <c r="I75" i="1" s="1"/>
  <c r="D76" i="1"/>
  <c r="I76" i="1" s="1"/>
  <c r="D77" i="1"/>
  <c r="I77" i="1" s="1"/>
  <c r="D78" i="1"/>
  <c r="I78" i="1" s="1"/>
  <c r="D79" i="1"/>
  <c r="I79" i="1" s="1"/>
  <c r="D80" i="1"/>
  <c r="I80" i="1" s="1"/>
  <c r="D81" i="1"/>
  <c r="I81" i="1" s="1"/>
  <c r="D82" i="1"/>
  <c r="I82" i="1" s="1"/>
  <c r="D83" i="1"/>
  <c r="I83" i="1" s="1"/>
  <c r="D84" i="1"/>
  <c r="I84" i="1" s="1"/>
  <c r="D85" i="1"/>
  <c r="I85" i="1" s="1"/>
  <c r="D86" i="1"/>
  <c r="I86" i="1" s="1"/>
  <c r="D87" i="1"/>
  <c r="I87" i="1" s="1"/>
  <c r="D88" i="1"/>
  <c r="I88" i="1" s="1"/>
  <c r="D89" i="1"/>
  <c r="I89" i="1" s="1"/>
  <c r="D4" i="1"/>
  <c r="I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4" i="1"/>
  <c r="J14" i="3" l="1"/>
  <c r="J11" i="3"/>
  <c r="I11" i="3"/>
  <c r="I14" i="3"/>
  <c r="H14" i="3"/>
  <c r="H11" i="3"/>
  <c r="H15" i="3"/>
  <c r="H13" i="3"/>
  <c r="H10" i="3"/>
  <c r="H12" i="3"/>
  <c r="H6" i="3"/>
  <c r="H9" i="3"/>
  <c r="H7" i="3"/>
  <c r="H5" i="3"/>
  <c r="H8" i="3"/>
  <c r="G14" i="3"/>
  <c r="G11" i="3"/>
  <c r="F9" i="3"/>
  <c r="C5" i="3"/>
  <c r="A8" i="3"/>
  <c r="B11" i="3"/>
  <c r="A13" i="3"/>
  <c r="A7" i="3"/>
  <c r="B8" i="3"/>
  <c r="C11" i="3"/>
  <c r="B13" i="3"/>
  <c r="F4" i="3"/>
  <c r="B7" i="3"/>
  <c r="C8" i="3"/>
  <c r="A12" i="3"/>
  <c r="C13" i="3"/>
  <c r="F5" i="3"/>
  <c r="A5" i="3"/>
  <c r="C7" i="3"/>
  <c r="A11" i="3"/>
  <c r="B12" i="3"/>
  <c r="F15" i="3"/>
  <c r="C12" i="3"/>
  <c r="F11" i="3"/>
  <c r="A15" i="3"/>
  <c r="F6" i="3"/>
  <c r="F12" i="3"/>
  <c r="C15" i="3"/>
  <c r="F10" i="3"/>
  <c r="F7" i="3"/>
  <c r="F13" i="3"/>
  <c r="B15" i="3"/>
  <c r="F8" i="3"/>
  <c r="F14" i="3"/>
  <c r="D15" i="3"/>
  <c r="E12" i="3"/>
  <c r="E5" i="3"/>
  <c r="E13" i="3"/>
  <c r="E7" i="3"/>
  <c r="E10" i="3"/>
  <c r="E14" i="3"/>
  <c r="E8" i="3"/>
  <c r="E9" i="3"/>
  <c r="E6" i="3"/>
  <c r="E11" i="3"/>
  <c r="E15" i="3"/>
  <c r="D5" i="3"/>
  <c r="D7" i="3"/>
  <c r="D11" i="3"/>
  <c r="D12" i="3"/>
  <c r="D8" i="3"/>
  <c r="D13" i="3"/>
  <c r="C9" i="3"/>
  <c r="C6" i="3"/>
  <c r="C10" i="3"/>
  <c r="C14" i="3"/>
  <c r="B14" i="3"/>
  <c r="C4" i="3"/>
  <c r="E4" i="3"/>
  <c r="D4" i="3"/>
  <c r="D6" i="3"/>
  <c r="D9" i="3"/>
  <c r="D10" i="3"/>
  <c r="D14" i="3"/>
  <c r="A4" i="3"/>
  <c r="B4" i="3"/>
  <c r="A9" i="3"/>
  <c r="B5" i="3"/>
  <c r="B9" i="3"/>
  <c r="A6" i="3"/>
  <c r="A10" i="3"/>
  <c r="A14" i="3"/>
  <c r="B6" i="3"/>
  <c r="B10" i="3"/>
  <c r="L10" i="2"/>
  <c r="L6" i="2"/>
  <c r="L9" i="2"/>
  <c r="L5" i="2"/>
  <c r="L8" i="2"/>
  <c r="L4" i="2"/>
  <c r="N84" i="2"/>
  <c r="N68" i="2"/>
  <c r="N60" i="2"/>
  <c r="N52" i="2"/>
  <c r="N36" i="2"/>
  <c r="N24" i="2"/>
  <c r="N8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88" i="2"/>
  <c r="N76" i="2"/>
  <c r="N56" i="2"/>
  <c r="N44" i="2"/>
  <c r="N28" i="2"/>
  <c r="N12" i="2"/>
  <c r="N4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80" i="2"/>
  <c r="N72" i="2"/>
  <c r="N64" i="2"/>
  <c r="N48" i="2"/>
  <c r="N40" i="2"/>
  <c r="N32" i="2"/>
  <c r="N20" i="2"/>
  <c r="N16" i="2"/>
  <c r="N89" i="2"/>
  <c r="N85" i="2"/>
  <c r="N81" i="2"/>
  <c r="N77" i="2"/>
  <c r="N73" i="2"/>
  <c r="N69" i="2"/>
  <c r="N65" i="2"/>
  <c r="N61" i="2"/>
  <c r="N57" i="2"/>
  <c r="N53" i="2"/>
  <c r="N49" i="2"/>
  <c r="N45" i="2"/>
  <c r="N41" i="2"/>
  <c r="N37" i="2"/>
  <c r="N33" i="2"/>
  <c r="N29" i="2"/>
  <c r="N25" i="2"/>
  <c r="N21" i="2"/>
  <c r="N17" i="2"/>
  <c r="N13" i="2"/>
  <c r="N9" i="2"/>
  <c r="N5" i="2"/>
  <c r="I6" i="2"/>
  <c r="I88" i="2"/>
  <c r="I80" i="2"/>
  <c r="I72" i="2"/>
  <c r="I64" i="2"/>
  <c r="I56" i="2"/>
  <c r="I52" i="2"/>
  <c r="I40" i="2"/>
  <c r="I32" i="2"/>
  <c r="I28" i="2"/>
  <c r="I20" i="2"/>
  <c r="I12" i="2"/>
  <c r="I84" i="2"/>
  <c r="I76" i="2"/>
  <c r="I68" i="2"/>
  <c r="I60" i="2"/>
  <c r="I48" i="2"/>
  <c r="I44" i="2"/>
  <c r="I36" i="2"/>
  <c r="I24" i="2"/>
  <c r="I16" i="2"/>
  <c r="I8" i="2"/>
  <c r="I87" i="2"/>
  <c r="I79" i="2"/>
  <c r="I71" i="2"/>
  <c r="I9" i="3" s="1"/>
  <c r="I63" i="2"/>
  <c r="I55" i="2"/>
  <c r="I47" i="2"/>
  <c r="I39" i="2"/>
  <c r="I31" i="2"/>
  <c r="I23" i="2"/>
  <c r="I19" i="2"/>
  <c r="I11" i="2"/>
  <c r="I86" i="2"/>
  <c r="I82" i="2"/>
  <c r="I78" i="2"/>
  <c r="I74" i="2"/>
  <c r="I70" i="2"/>
  <c r="I66" i="2"/>
  <c r="I62" i="2"/>
  <c r="I58" i="2"/>
  <c r="I54" i="2"/>
  <c r="I50" i="2"/>
  <c r="I46" i="2"/>
  <c r="I42" i="2"/>
  <c r="I38" i="2"/>
  <c r="I34" i="2"/>
  <c r="I30" i="2"/>
  <c r="I26" i="2"/>
  <c r="I22" i="2"/>
  <c r="I18" i="2"/>
  <c r="I14" i="2"/>
  <c r="I10" i="2"/>
  <c r="I4" i="2"/>
  <c r="I83" i="2"/>
  <c r="I75" i="2"/>
  <c r="I67" i="2"/>
  <c r="I59" i="2"/>
  <c r="I51" i="2"/>
  <c r="I43" i="2"/>
  <c r="I35" i="2"/>
  <c r="I27" i="2"/>
  <c r="I15" i="2"/>
  <c r="I7" i="2"/>
  <c r="I89" i="2"/>
  <c r="I85" i="2"/>
  <c r="I81" i="2"/>
  <c r="I77" i="2"/>
  <c r="I73" i="2"/>
  <c r="I10" i="3" s="1"/>
  <c r="I69" i="2"/>
  <c r="I65" i="2"/>
  <c r="I61" i="2"/>
  <c r="I57" i="2"/>
  <c r="I53" i="2"/>
  <c r="I49" i="2"/>
  <c r="I45" i="2"/>
  <c r="I41" i="2"/>
  <c r="I37" i="2"/>
  <c r="I33" i="2"/>
  <c r="I29" i="2"/>
  <c r="I25" i="2"/>
  <c r="I21" i="2"/>
  <c r="I17" i="2"/>
  <c r="I13" i="2"/>
  <c r="I9" i="2"/>
  <c r="I5" i="2"/>
  <c r="J12" i="3" l="1"/>
  <c r="J6" i="3"/>
  <c r="J7" i="3"/>
  <c r="J8" i="3"/>
  <c r="J13" i="3"/>
  <c r="J15" i="3"/>
  <c r="J5" i="3"/>
  <c r="J10" i="3"/>
  <c r="J4" i="3"/>
  <c r="I4" i="3"/>
  <c r="J9" i="3"/>
  <c r="I7" i="3"/>
  <c r="I8" i="3"/>
  <c r="I13" i="3"/>
  <c r="I15" i="3"/>
  <c r="I12" i="3"/>
  <c r="I5" i="3"/>
  <c r="I6" i="3"/>
  <c r="H4" i="3"/>
  <c r="G13" i="3"/>
  <c r="G9" i="3"/>
  <c r="G15" i="3"/>
  <c r="G10" i="3"/>
  <c r="G6" i="3"/>
  <c r="G4" i="3"/>
  <c r="G5" i="3"/>
  <c r="G12" i="3"/>
  <c r="G7" i="3"/>
  <c r="G8" i="3"/>
</calcChain>
</file>

<file path=xl/sharedStrings.xml><?xml version="1.0" encoding="utf-8"?>
<sst xmlns="http://schemas.openxmlformats.org/spreadsheetml/2006/main" count="335" uniqueCount="86">
  <si>
    <t>PRODUTO</t>
  </si>
  <si>
    <t>MEDIDA</t>
  </si>
  <si>
    <t>VALOR DE COMPRA</t>
  </si>
  <si>
    <t>VALOR DE REVENDA</t>
  </si>
  <si>
    <t>PRAZO DE VALIDADE</t>
  </si>
  <si>
    <t>PRAZO DE ENTREGA/DIAS</t>
  </si>
  <si>
    <t>Cimento 1kg</t>
  </si>
  <si>
    <t>Areia 1kg</t>
  </si>
  <si>
    <t>Brita 1kg</t>
  </si>
  <si>
    <t>Água 1000l</t>
  </si>
  <si>
    <t>Madeira 1kg</t>
  </si>
  <si>
    <t>Tijolo Comum 1kg</t>
  </si>
  <si>
    <t>Tijolo Ecológico 1kg</t>
  </si>
  <si>
    <t>Bloco de Cimento 1kg</t>
  </si>
  <si>
    <t>Gesso 1kg</t>
  </si>
  <si>
    <t>Aço 1kg</t>
  </si>
  <si>
    <t>Cerâmica 1kg</t>
  </si>
  <si>
    <t>Tinta 1l</t>
  </si>
  <si>
    <t>Selante 1kg</t>
  </si>
  <si>
    <t>Cola Pva 1kg</t>
  </si>
  <si>
    <t>Argamassa Pronta 1kg</t>
  </si>
  <si>
    <t>Impermeabilizante à Base de Latex 1kg</t>
  </si>
  <si>
    <t>Não Tem</t>
  </si>
  <si>
    <t>8,7x4,3x18,6cm</t>
  </si>
  <si>
    <t>6,25x12,5x25cm</t>
  </si>
  <si>
    <t>14x19x39cm</t>
  </si>
  <si>
    <t>60x60cm</t>
  </si>
  <si>
    <t>Indeterminado</t>
  </si>
  <si>
    <t>ID-A</t>
  </si>
  <si>
    <t>PROD</t>
  </si>
  <si>
    <t>VAL COMPRA</t>
  </si>
  <si>
    <t>VAL REVENDA</t>
  </si>
  <si>
    <t>QTD</t>
  </si>
  <si>
    <t>PRAZO VALID</t>
  </si>
  <si>
    <t>DATA PEDIDO</t>
  </si>
  <si>
    <t>MÊS</t>
  </si>
  <si>
    <t>VAL PEDIDO</t>
  </si>
  <si>
    <t>CONTROLE DE AQUISIÇÃO 2024</t>
  </si>
  <si>
    <t>ID-C</t>
  </si>
  <si>
    <t>QTD NECESSÁRIA</t>
  </si>
  <si>
    <t>PRAZO VAL</t>
  </si>
  <si>
    <t>PRAZO USO/DIAS</t>
  </si>
  <si>
    <t>DATA DA CHEGADA</t>
  </si>
  <si>
    <t>DEMOROU CHEGAR/DIAS</t>
  </si>
  <si>
    <t>CHEGOU ATRASADO/ADIANTADO</t>
  </si>
  <si>
    <t>SOBROU</t>
  </si>
  <si>
    <t>FALTOU</t>
  </si>
  <si>
    <t>LUCRO REVENDA</t>
  </si>
  <si>
    <t>PREJUÍZO</t>
  </si>
  <si>
    <t>INCIDENTE/PERDA</t>
  </si>
  <si>
    <t>CONTROLE DE CONSUMO 2024</t>
  </si>
  <si>
    <t>QTD PROD INCLUSOS NAS AQUISIÇÕES</t>
  </si>
  <si>
    <t>QTD PROD CHEGARAM</t>
  </si>
  <si>
    <t>QTD SOBROU</t>
  </si>
  <si>
    <t>QTD FALTOU</t>
  </si>
  <si>
    <t>QTD TOTAL DE GASTOS</t>
  </si>
  <si>
    <t>QTD TOTAL PRODUTOS QUE CHEGARAM ADIANTADOS</t>
  </si>
  <si>
    <t>QTD AQUISIÇÃO</t>
  </si>
  <si>
    <t>QTD TOTAL PREJUÍZO</t>
  </si>
  <si>
    <t>VALOR TOTAL LUCRO REVENDA</t>
  </si>
  <si>
    <t>QTD PRODUTOS CHEGARAM ATRASADOS</t>
  </si>
  <si>
    <t>Jan</t>
  </si>
  <si>
    <t>Mar</t>
  </si>
  <si>
    <t>Jun</t>
  </si>
  <si>
    <t>Jul</t>
  </si>
  <si>
    <t>Nov</t>
  </si>
  <si>
    <t>Fev</t>
  </si>
  <si>
    <t>Abr</t>
  </si>
  <si>
    <t>Mai</t>
  </si>
  <si>
    <t>Ago</t>
  </si>
  <si>
    <t>Set</t>
  </si>
  <si>
    <t>Out</t>
  </si>
  <si>
    <t>Dez</t>
  </si>
  <si>
    <t>ANÁLISE MENSAL</t>
  </si>
  <si>
    <t>Rótulos de Linha</t>
  </si>
  <si>
    <t>Total Geral</t>
  </si>
  <si>
    <t>Soma de QTD AQUISIÇÃO</t>
  </si>
  <si>
    <t>Soma de QTD PROD INCLUSOS NAS AQUISIÇÕES</t>
  </si>
  <si>
    <t>Soma de QTD PROD CHEGARAM</t>
  </si>
  <si>
    <t>Soma de QTD SOBROU</t>
  </si>
  <si>
    <t>Soma de QTD FALTOU</t>
  </si>
  <si>
    <t>Soma de QTD TOTAL DE GASTOS</t>
  </si>
  <si>
    <t>Soma de QTD TOTAL PREJUÍZO</t>
  </si>
  <si>
    <t>Soma de VALOR TOTAL LUCRO REVENDA</t>
  </si>
  <si>
    <t>Soma de QTD PRODUTOS CHEGARAM ATRASADOS</t>
  </si>
  <si>
    <t>Soma de QTD TOTAL PRODUTOS QUE CHEGARAM ADIANTADOS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</si>
</sst>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[$R$-416]\ * #,##0.00_-;\-[$R$-416]\ * #,##0.00_-;_-[$R$-416]\ * &quot;-&quot;??_-;_-@_-"/>
    <numFmt numFmtId="165" formatCode="[$-416]d\-mmm\-yy;@"/>
    <numFmt numFmtId="166" formatCode="[$-416]dd\-mmm\-yy;@"/>
  </numFmts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5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6" formatCode="[$-416]dd\-mmm\-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5" formatCode="[$-416]d\-mmm\-yy;@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z val="12"/>
        <color theme="0"/>
        <name val="Calibri"/>
        <family val="2"/>
        <scheme val="minor"/>
      </font>
      <fill>
        <patternFill>
          <bgColor theme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1" defaultTableStyle="TableStyleMedium2" defaultPivotStyle="PivotStyleLight16">
    <tableStyle name="Estilo de Segmentação de Dados 1" pivot="0" table="0" count="2" xr9:uid="{4F39DECD-5DE5-4D86-B0A3-F9171B1CF71F}">
      <tableStyleElement type="wholeTable" dxfId="50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[Construção Civil.xlsx]TABELA DINÂMICA!Tabela dinâmica4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DOS PRODUTOS QUE CHEGARAM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  <c:marker>
          <c:symbol val="none"/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0264205089813694E-2"/>
          <c:y val="0.1405005005005005"/>
          <c:w val="0.90936228047894696"/>
          <c:h val="0.807447447447447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DINÂMICA'!$H$2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20000"/>
                  <a:lumOff val="8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0E92-49BC-BB47-C1A90C38634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92-49BC-BB47-C1A90C38634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E92-49BC-BB47-C1A90C38634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92-49BC-BB47-C1A90C38634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E92-49BC-BB47-C1A90C38634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92-49BC-BB47-C1A90C38634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E92-49BC-BB47-C1A90C38634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E92-49BC-BB47-C1A90C38634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E92-49BC-BB47-C1A90C386346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E92-49BC-BB47-C1A90C386346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E92-49BC-BB47-C1A90C386346}"/>
              </c:ext>
            </c:extLst>
          </c:dPt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DINÂMICA'!$G$3:$G$15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DINÂMICA'!$H$3:$H$15</c:f>
              <c:numCache>
                <c:formatCode>General</c:formatCode>
                <c:ptCount val="1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80</c:v>
                </c:pt>
                <c:pt idx="4">
                  <c:v>15</c:v>
                </c:pt>
                <c:pt idx="5">
                  <c:v>15</c:v>
                </c:pt>
                <c:pt idx="6">
                  <c:v>5</c:v>
                </c:pt>
                <c:pt idx="7">
                  <c:v>20</c:v>
                </c:pt>
                <c:pt idx="8">
                  <c:v>15</c:v>
                </c:pt>
                <c:pt idx="9">
                  <c:v>25</c:v>
                </c:pt>
                <c:pt idx="10">
                  <c:v>10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B-4782-B04C-457EAF54A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831856"/>
        <c:axId val="1055841424"/>
      </c:barChart>
      <c:catAx>
        <c:axId val="105583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841424"/>
        <c:crosses val="autoZero"/>
        <c:auto val="1"/>
        <c:lblAlgn val="ctr"/>
        <c:lblOffset val="100"/>
        <c:noMultiLvlLbl val="0"/>
      </c:catAx>
      <c:valAx>
        <c:axId val="1055841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583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[Construção Civil.xlsx]TABELA DINÂMICA!Tabela dinâmica7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DOS PRODUTOS QUE FALTARAM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  <c:marker>
          <c:symbol val="none"/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3391812865497075E-2"/>
          <c:y val="0.14092369477911645"/>
          <c:w val="0.95321637426900585"/>
          <c:h val="0.757878442905480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DINÂMICA'!$E$17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20000"/>
                  <a:lumOff val="8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BA5F-441F-BD26-8ACC3F8B5F4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5F-441F-BD26-8ACC3F8B5F4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5F-441F-BD26-8ACC3F8B5F4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5F-441F-BD26-8ACC3F8B5F4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A5F-441F-BD26-8ACC3F8B5F4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5F-441F-BD26-8ACC3F8B5F4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A5F-441F-BD26-8ACC3F8B5F4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A5F-441F-BD26-8ACC3F8B5F4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A5F-441F-BD26-8ACC3F8B5F4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A5F-441F-BD26-8ACC3F8B5F4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algn="ctr" rotWithShape="0">
                  <a:schemeClr val="accent1">
                    <a:lumMod val="20000"/>
                    <a:lumOff val="8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A5F-441F-BD26-8ACC3F8B5F43}"/>
              </c:ext>
            </c:extLst>
          </c:dPt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DINÂMICA'!$D$18:$D$30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DINÂMICA'!$E$18:$E$30</c:f>
              <c:numCache>
                <c:formatCode>General</c:formatCode>
                <c:ptCount val="12"/>
                <c:pt idx="0">
                  <c:v>0</c:v>
                </c:pt>
                <c:pt idx="1">
                  <c:v>520</c:v>
                </c:pt>
                <c:pt idx="2">
                  <c:v>640</c:v>
                </c:pt>
                <c:pt idx="3">
                  <c:v>675</c:v>
                </c:pt>
                <c:pt idx="4">
                  <c:v>660</c:v>
                </c:pt>
                <c:pt idx="5">
                  <c:v>90</c:v>
                </c:pt>
                <c:pt idx="6">
                  <c:v>90</c:v>
                </c:pt>
                <c:pt idx="7">
                  <c:v>0</c:v>
                </c:pt>
                <c:pt idx="8">
                  <c:v>270</c:v>
                </c:pt>
                <c:pt idx="9">
                  <c:v>270</c:v>
                </c:pt>
                <c:pt idx="10">
                  <c:v>0</c:v>
                </c:pt>
                <c:pt idx="11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7-4B35-9390-ECD452A033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0485056"/>
        <c:axId val="950482144"/>
      </c:barChart>
      <c:catAx>
        <c:axId val="95048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0482144"/>
        <c:crosses val="autoZero"/>
        <c:auto val="1"/>
        <c:lblAlgn val="ctr"/>
        <c:lblOffset val="100"/>
        <c:noMultiLvlLbl val="0"/>
      </c:catAx>
      <c:valAx>
        <c:axId val="950482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048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[Construção Civil.xlsx]TABELA DINÂMICA!Tabela dinâmica9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TOTAL DE PREJUÍZO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9082774049217001E-2"/>
          <c:y val="0.15986705387394465"/>
          <c:w val="0.95078299776286357"/>
          <c:h val="0.732942428844384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20000"/>
                  <a:lumOff val="80000"/>
                </a:schemeClr>
              </a:outerShdw>
            </a:effectLst>
          </c:spPr>
          <c:invertIfNegative val="0"/>
          <c:dLbls>
            <c:numFmt formatCode="&quot;R$&quot;\ #,##0.00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DINÂMICA'!$A$33:$A$45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DINÂMICA'!$B$33:$B$45</c:f>
              <c:numCache>
                <c:formatCode>General</c:formatCode>
                <c:ptCount val="12"/>
                <c:pt idx="0">
                  <c:v>20355</c:v>
                </c:pt>
                <c:pt idx="1">
                  <c:v>21763</c:v>
                </c:pt>
                <c:pt idx="2">
                  <c:v>21956</c:v>
                </c:pt>
                <c:pt idx="3">
                  <c:v>21956</c:v>
                </c:pt>
                <c:pt idx="4">
                  <c:v>1874</c:v>
                </c:pt>
                <c:pt idx="5">
                  <c:v>1029</c:v>
                </c:pt>
                <c:pt idx="6">
                  <c:v>409</c:v>
                </c:pt>
                <c:pt idx="7">
                  <c:v>0</c:v>
                </c:pt>
                <c:pt idx="8">
                  <c:v>886</c:v>
                </c:pt>
                <c:pt idx="9">
                  <c:v>20348</c:v>
                </c:pt>
                <c:pt idx="10">
                  <c:v>0</c:v>
                </c:pt>
                <c:pt idx="1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A-4482-A981-3A1FB49DBC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5833936"/>
        <c:axId val="1055834352"/>
      </c:barChart>
      <c:catAx>
        <c:axId val="105583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834352"/>
        <c:crosses val="autoZero"/>
        <c:auto val="1"/>
        <c:lblAlgn val="ctr"/>
        <c:lblOffset val="100"/>
        <c:noMultiLvlLbl val="0"/>
      </c:catAx>
      <c:valAx>
        <c:axId val="1055834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583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[Construção Civil.xlsx]TABELA DINÂMICA!Tabela dinâmica11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300"/>
              <a:t>QUANTIDADE DOS PRODUTOS QUE CHEGARAM ATRASADOS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  <c:marker>
          <c:symbol val="none"/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7.6822990346545661E-2"/>
          <c:y val="0.15123343527013253"/>
          <c:w val="0.90735780061390636"/>
          <c:h val="0.803914373088684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'TABELA DINÂMICA'!$H$32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20000"/>
                  <a:lumOff val="80000"/>
                </a:scheme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15F-4AD0-93EC-1510034526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B15F-4AD0-93EC-1510034526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B15F-4AD0-93EC-1510034526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B15F-4AD0-93EC-15100345263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B15F-4AD0-93EC-15100345263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15F-4AD0-93EC-15100345263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B15F-4AD0-93EC-15100345263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B15F-4AD0-93EC-15100345263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B15F-4AD0-93EC-15100345263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15F-4AD0-93EC-15100345263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B15F-4AD0-93EC-151003452632}"/>
              </c:ext>
            </c:extLst>
          </c:dPt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DINÂMICA'!$G$33:$G$45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DINÂMICA'!$H$33:$H$45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F-440E-891B-999B193CAA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56861808"/>
        <c:axId val="1056861392"/>
      </c:barChart>
      <c:catAx>
        <c:axId val="105686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6861392"/>
        <c:crosses val="autoZero"/>
        <c:auto val="1"/>
        <c:lblAlgn val="ctr"/>
        <c:lblOffset val="100"/>
        <c:noMultiLvlLbl val="0"/>
      </c:catAx>
      <c:valAx>
        <c:axId val="1056861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5686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[Construção Civil.xlsx]TABELA DINÂMICA!Tabela dinâmica10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TOTAL DO LUCRO DE REVENDA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20000"/>
                <a:lumOff val="80000"/>
              </a:scheme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20000"/>
                  <a:lumOff val="80000"/>
                </a:schemeClr>
              </a:outerShdw>
            </a:effectLst>
          </c:spPr>
          <c:invertIfNegative val="0"/>
          <c:dLbls>
            <c:numFmt formatCode="&quot;R$&quot;\ #,##0.00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DINÂMICA'!$D$33:$D$45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DINÂMICA'!$E$33:$E$45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F4D-8A42-1D2EB9DBB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2779248"/>
        <c:axId val="952779664"/>
      </c:barChart>
      <c:catAx>
        <c:axId val="95277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2779664"/>
        <c:crosses val="autoZero"/>
        <c:auto val="1"/>
        <c:lblAlgn val="ctr"/>
        <c:lblOffset val="100"/>
        <c:noMultiLvlLbl val="0"/>
      </c:catAx>
      <c:valAx>
        <c:axId val="95277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27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[Construção Civil.xlsx]TABELA DINÂMICA!Tabela dinâmica8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TOTAL DE GASTOS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40000"/>
                <a:lumOff val="60000"/>
              </a:schemeClr>
            </a:outerShdw>
          </a:effectLst>
        </c:spPr>
        <c:marker>
          <c:symbol val="none"/>
        </c:marker>
        <c:dLbl>
          <c:idx val="0"/>
          <c:numFmt formatCode="&quot;R$&quot;\ #,##0.00" sourceLinked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DINÂMICA'!$H$17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40000"/>
                  <a:lumOff val="60000"/>
                </a:schemeClr>
              </a:outerShdw>
            </a:effectLst>
          </c:spPr>
          <c:invertIfNegative val="0"/>
          <c:dLbls>
            <c:numFmt formatCode="&quot;R$&quot;\ #,##0.00" sourceLinked="0"/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DINÂMICA'!$G$18:$G$30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DINÂMICA'!$H$18:$H$30</c:f>
              <c:numCache>
                <c:formatCode>General</c:formatCode>
                <c:ptCount val="12"/>
                <c:pt idx="0">
                  <c:v>21956</c:v>
                </c:pt>
                <c:pt idx="1">
                  <c:v>21956</c:v>
                </c:pt>
                <c:pt idx="2">
                  <c:v>21956</c:v>
                </c:pt>
                <c:pt idx="3">
                  <c:v>10978</c:v>
                </c:pt>
                <c:pt idx="4">
                  <c:v>40</c:v>
                </c:pt>
                <c:pt idx="5">
                  <c:v>594</c:v>
                </c:pt>
                <c:pt idx="6">
                  <c:v>125</c:v>
                </c:pt>
                <c:pt idx="7">
                  <c:v>430.5</c:v>
                </c:pt>
                <c:pt idx="8">
                  <c:v>21.5</c:v>
                </c:pt>
                <c:pt idx="9">
                  <c:v>10165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E2E-AB57-DBCF8A350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2780496"/>
        <c:axId val="1313797072"/>
      </c:barChart>
      <c:catAx>
        <c:axId val="95278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3797072"/>
        <c:crosses val="autoZero"/>
        <c:auto val="1"/>
        <c:lblAlgn val="ctr"/>
        <c:lblOffset val="100"/>
        <c:noMultiLvlLbl val="0"/>
      </c:catAx>
      <c:valAx>
        <c:axId val="1313797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5278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="1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1003</xdr:rowOff>
    </xdr:from>
    <xdr:to>
      <xdr:col>11</xdr:col>
      <xdr:colOff>5013</xdr:colOff>
      <xdr:row>1</xdr:row>
      <xdr:rowOff>711869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20023284-8BA3-4831-AF44-AEEDE90D4A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1898"/>
              <a:ext cx="9264316" cy="7108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16565</xdr:rowOff>
    </xdr:from>
    <xdr:to>
      <xdr:col>13</xdr:col>
      <xdr:colOff>1018761</xdr:colOff>
      <xdr:row>2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MÊS 1">
              <a:extLst>
                <a:ext uri="{FF2B5EF4-FFF2-40B4-BE49-F238E27FC236}">
                  <a16:creationId xmlns:a16="http://schemas.microsoft.com/office/drawing/2014/main" id="{9224412D-FCDD-4C9F-A395-3A058F98F9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6152"/>
              <a:ext cx="15413935" cy="6626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11470</xdr:rowOff>
    </xdr:from>
    <xdr:to>
      <xdr:col>11</xdr:col>
      <xdr:colOff>9719</xdr:colOff>
      <xdr:row>2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ÊS 2">
              <a:extLst>
                <a:ext uri="{FF2B5EF4-FFF2-40B4-BE49-F238E27FC236}">
                  <a16:creationId xmlns:a16="http://schemas.microsoft.com/office/drawing/2014/main" id="{E47F226E-D219-47A0-8595-15E1CE71C6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36317"/>
              <a:ext cx="18097500" cy="6786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590550</xdr:rowOff>
    </xdr:from>
    <xdr:to>
      <xdr:col>9</xdr:col>
      <xdr:colOff>247650</xdr:colOff>
      <xdr:row>16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AB971A-847E-43C8-8330-37D41A19E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0</xdr:row>
      <xdr:rowOff>590551</xdr:rowOff>
    </xdr:from>
    <xdr:to>
      <xdr:col>19</xdr:col>
      <xdr:colOff>209550</xdr:colOff>
      <xdr:row>16</xdr:row>
      <xdr:rowOff>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86A72F-94CB-4164-AFDC-2002739C8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295275</xdr:colOff>
      <xdr:row>0</xdr:row>
      <xdr:rowOff>590550</xdr:rowOff>
    </xdr:from>
    <xdr:to>
      <xdr:col>28</xdr:col>
      <xdr:colOff>638175</xdr:colOff>
      <xdr:row>16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22DB8BA-E049-45A0-815D-84A192E89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16</xdr:row>
      <xdr:rowOff>95250</xdr:rowOff>
    </xdr:from>
    <xdr:to>
      <xdr:col>9</xdr:col>
      <xdr:colOff>247650</xdr:colOff>
      <xdr:row>32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EA1CD-746D-48C6-89CC-5B0D4CAE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304799</xdr:colOff>
      <xdr:row>16</xdr:row>
      <xdr:rowOff>85725</xdr:rowOff>
    </xdr:from>
    <xdr:to>
      <xdr:col>28</xdr:col>
      <xdr:colOff>638174</xdr:colOff>
      <xdr:row>32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C2C9BE6-9A18-4CF7-8925-BE874C172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333375</xdr:colOff>
      <xdr:row>16</xdr:row>
      <xdr:rowOff>85724</xdr:rowOff>
    </xdr:from>
    <xdr:to>
      <xdr:col>19</xdr:col>
      <xdr:colOff>209549</xdr:colOff>
      <xdr:row>32</xdr:row>
      <xdr:rowOff>152399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F969F25-4723-411E-9658-5804B9776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161923</xdr:colOff>
      <xdr:row>0</xdr:row>
      <xdr:rowOff>85726</xdr:rowOff>
    </xdr:from>
    <xdr:to>
      <xdr:col>28</xdr:col>
      <xdr:colOff>676274</xdr:colOff>
      <xdr:row>0</xdr:row>
      <xdr:rowOff>504826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 3">
              <a:extLst>
                <a:ext uri="{FF2B5EF4-FFF2-40B4-BE49-F238E27FC236}">
                  <a16:creationId xmlns:a16="http://schemas.microsoft.com/office/drawing/2014/main" id="{C0E49F83-D324-4A04-A2B1-B005DCA81C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3" y="85726"/>
              <a:ext cx="17583151" cy="419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5656.018116666666" createdVersion="7" refreshedVersion="7" minRefreshableVersion="3" recordCount="12" xr:uid="{D15E1D7A-87E1-4FD8-B128-90AAFACAA9F3}">
  <cacheSource type="worksheet">
    <worksheetSource name="Tabela3"/>
  </cacheSource>
  <cacheFields count="11">
    <cacheField name="QTD AQUISIÇÃO" numFmtId="0">
      <sharedItems containsSemiMixedTypes="0" containsString="0" containsNumber="1" containsInteger="1" minValue="1" maxValue="16"/>
    </cacheField>
    <cacheField name="QTD PROD INCLUSOS NAS AQUISIÇÕES" numFmtId="0">
      <sharedItems containsSemiMixedTypes="0" containsString="0" containsNumber="1" containsInteger="1" minValue="5" maxValue="160"/>
    </cacheField>
    <cacheField name="QTD PROD CHEGARAM" numFmtId="0">
      <sharedItems containsSemiMixedTypes="0" containsString="0" containsNumber="1" containsInteger="1" minValue="5" maxValue="160"/>
    </cacheField>
    <cacheField name="QTD SOBROU" numFmtId="0">
      <sharedItems containsSemiMixedTypes="0" containsString="0" containsNumber="1" containsInteger="1" minValue="0" maxValue="0"/>
    </cacheField>
    <cacheField name="QTD FALTOU" numFmtId="0">
      <sharedItems containsSemiMixedTypes="0" containsString="0" containsNumber="1" containsInteger="1" minValue="0" maxValue="675"/>
    </cacheField>
    <cacheField name="QTD TOTAL DE GASTOS" numFmtId="164">
      <sharedItems containsSemiMixedTypes="0" containsString="0" containsNumber="1" minValue="17" maxValue="21956"/>
    </cacheField>
    <cacheField name="QTD TOTAL PREJUÍZO" numFmtId="164">
      <sharedItems containsSemiMixedTypes="0" containsString="0" containsNumber="1" containsInteger="1" minValue="0" maxValue="21956"/>
    </cacheField>
    <cacheField name="VALOR TOTAL LUCRO REVENDA" numFmtId="0">
      <sharedItems containsSemiMixedTypes="0" containsString="0" containsNumber="1" containsInteger="1" minValue="0" maxValue="0"/>
    </cacheField>
    <cacheField name="QTD PRODUTOS CHEGARAM ATRASADOS" numFmtId="0">
      <sharedItems containsSemiMixedTypes="0" containsString="0" containsNumber="1" containsInteger="1" minValue="0" maxValue="0"/>
    </cacheField>
    <cacheField name="QTD TOTAL PRODUTOS QUE CHEGARAM ADIANTADOS" numFmtId="0">
      <sharedItems containsSemiMixedTypes="0" containsString="0" containsNumber="1" containsInteger="1" minValue="0" maxValue="16"/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</cacheFields>
  <extLst>
    <ext xmlns:x14="http://schemas.microsoft.com/office/spreadsheetml/2009/9/main" uri="{725AE2AE-9491-48be-B2B4-4EB974FC3084}">
      <x14:pivotCacheDefinition pivotCacheId="7390367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6"/>
    <n v="160"/>
    <n v="160"/>
    <n v="0"/>
    <n v="0"/>
    <n v="21956"/>
    <n v="20355"/>
    <n v="0"/>
    <n v="0"/>
    <n v="7"/>
    <x v="0"/>
  </r>
  <r>
    <n v="16"/>
    <n v="160"/>
    <n v="160"/>
    <n v="0"/>
    <n v="520"/>
    <n v="21956"/>
    <n v="21763"/>
    <n v="0"/>
    <n v="0"/>
    <n v="13"/>
    <x v="1"/>
  </r>
  <r>
    <n v="16"/>
    <n v="160"/>
    <n v="160"/>
    <n v="0"/>
    <n v="640"/>
    <n v="21956"/>
    <n v="21956"/>
    <n v="0"/>
    <n v="0"/>
    <n v="16"/>
    <x v="2"/>
  </r>
  <r>
    <n v="16"/>
    <n v="80"/>
    <n v="80"/>
    <n v="0"/>
    <n v="675"/>
    <n v="10978"/>
    <n v="21956"/>
    <n v="0"/>
    <n v="0"/>
    <n v="16"/>
    <x v="3"/>
  </r>
  <r>
    <n v="3"/>
    <n v="15"/>
    <n v="15"/>
    <n v="0"/>
    <n v="660"/>
    <n v="40"/>
    <n v="1874"/>
    <n v="0"/>
    <n v="0"/>
    <n v="15"/>
    <x v="4"/>
  </r>
  <r>
    <n v="3"/>
    <n v="15"/>
    <n v="15"/>
    <n v="0"/>
    <n v="90"/>
    <n v="594"/>
    <n v="1029"/>
    <n v="0"/>
    <n v="0"/>
    <n v="2"/>
    <x v="5"/>
  </r>
  <r>
    <n v="1"/>
    <n v="5"/>
    <n v="5"/>
    <n v="0"/>
    <n v="90"/>
    <n v="125"/>
    <n v="409"/>
    <n v="0"/>
    <n v="0"/>
    <n v="2"/>
    <x v="6"/>
  </r>
  <r>
    <n v="4"/>
    <n v="20"/>
    <n v="20"/>
    <n v="0"/>
    <n v="0"/>
    <n v="430.5"/>
    <n v="0"/>
    <n v="0"/>
    <n v="0"/>
    <n v="0"/>
    <x v="7"/>
  </r>
  <r>
    <n v="3"/>
    <n v="15"/>
    <n v="15"/>
    <n v="0"/>
    <n v="270"/>
    <n v="21.5"/>
    <n v="886"/>
    <n v="0"/>
    <n v="0"/>
    <n v="6"/>
    <x v="8"/>
  </r>
  <r>
    <n v="5"/>
    <n v="25"/>
    <n v="25"/>
    <n v="0"/>
    <n v="270"/>
    <n v="10165"/>
    <n v="20348"/>
    <n v="0"/>
    <n v="0"/>
    <n v="6"/>
    <x v="9"/>
  </r>
  <r>
    <n v="2"/>
    <n v="10"/>
    <n v="10"/>
    <n v="0"/>
    <n v="0"/>
    <n v="17"/>
    <n v="0"/>
    <n v="0"/>
    <n v="0"/>
    <n v="0"/>
    <x v="10"/>
  </r>
  <r>
    <n v="1"/>
    <n v="5"/>
    <n v="5"/>
    <n v="0"/>
    <n v="135"/>
    <n v="25"/>
    <n v="84"/>
    <n v="0"/>
    <n v="0"/>
    <n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4342B0-43A9-4E23-B43C-AB94CB26DFC9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2:E15" firstHeaderRow="1" firstDataRow="1" firstDataCol="1"/>
  <pivotFields count="11">
    <pivotField showAll="0"/>
    <pivotField dataField="1"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 PROD INCLUSOS NAS AQUISIÇÕ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CB833-2686-4D1D-A613-7D02B0739BA1}" name="Tabela dinâmica7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17:E30" firstHeaderRow="1" firstDataRow="1" firstDataCol="1"/>
  <pivotFields count="11">
    <pivotField showAll="0"/>
    <pivotField showAll="0"/>
    <pivotField showAll="0"/>
    <pivotField showAll="0"/>
    <pivotField dataField="1" showAll="0"/>
    <pivotField numFmtId="164" showAll="0"/>
    <pivotField numFmtId="164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 FALTOU" fld="4" baseField="0" baseItem="0"/>
  </dataFields>
  <chartFormats count="1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795A1-2A7F-4D72-9497-5CCE46F44367}" name="Tabela dinâmica1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7:B60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 TOTAL PRODUTOS QUE CHEGARAM ADIANTADO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5A252-707D-4742-BF67-30E298643D99}" name="Tabela dinâmica1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G32:H45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numFmtId="164" showAll="0"/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 PRODUTOS CHEGARAM ATRASADOS" fld="8" baseField="0" baseItem="0"/>
  </dataFields>
  <chartFormats count="1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18E8A-BC0C-4F64-9619-D170C0A4F94E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32:B45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 TOTAL PREJUÍZO" fld="6" baseField="0" baseItem="0"/>
  </dataFields>
  <chartFormats count="13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FFDB4-2F05-48C8-9E37-EE9E85C05F6E}" name="Tabela dinâmica6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17:B30" firstHeaderRow="1" firstDataRow="1" firstDataCol="1"/>
  <pivotFields count="11">
    <pivotField showAll="0"/>
    <pivotField showAll="0"/>
    <pivotField showAll="0"/>
    <pivotField dataField="1"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 SOBROU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A9B56-2374-4EA2-A79C-49EE19D3F092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2:B15" firstHeaderRow="1" firstDataRow="1" firstDataCol="1"/>
  <pivotFields count="11">
    <pivotField dataField="1" showAll="0"/>
    <pivotField showAll="0"/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 AQUISIÇÃO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11489-56B8-4AEB-8A82-6D95A8CB94EE}" name="Tabela dinâmica8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G17:H30" firstHeaderRow="1" firstDataRow="1" firstDataCol="1"/>
  <pivotFields count="11">
    <pivotField showAll="0"/>
    <pivotField showAll="0"/>
    <pivotField showAll="0"/>
    <pivotField showAll="0"/>
    <pivotField showAll="0"/>
    <pivotField dataField="1" numFmtId="164" showAll="0"/>
    <pivotField numFmtId="164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 TOTAL DE GASTOS" fld="5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8BD9B-8682-489C-982B-C7E29F52D90B}" name="Tabela dinâmica10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32:E45" firstHeaderRow="1" firstDataRow="1" firstDataCol="1"/>
  <pivotFields count="11">
    <pivotField showAll="0"/>
    <pivotField showAll="0"/>
    <pivotField showAll="0"/>
    <pivotField showAll="0"/>
    <pivotField showAll="0"/>
    <pivotField numFmtId="164" showAll="0"/>
    <pivotField numFmtId="164" showAll="0"/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 TOTAL LUCRO REVENDA" fld="7" baseField="0" baseItem="0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7E2C6A-B63F-4439-A65A-75F4DDDB3785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4">
  <location ref="G2:H15" firstHeaderRow="1" firstDataRow="1" firstDataCol="1"/>
  <pivotFields count="11">
    <pivotField showAll="0"/>
    <pivotField showAll="0"/>
    <pivotField dataField="1"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QTD PROD CHEGARAM" fld="2" baseField="0" baseItem="0"/>
  </dataFields>
  <chartFormats count="1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3" xr10:uid="{29256670-ACDA-4484-951C-06E5D948B994}" sourceName="MÊS">
  <pivotTables>
    <pivotTable tabId="5" name="Tabela dinâmica3"/>
    <pivotTable tabId="5" name="Tabela dinâmica1"/>
    <pivotTable tabId="5" name="Tabela dinâmica10"/>
    <pivotTable tabId="5" name="Tabela dinâmica11"/>
    <pivotTable tabId="5" name="Tabela dinâmica12"/>
    <pivotTable tabId="5" name="Tabela dinâmica4"/>
    <pivotTable tabId="5" name="Tabela dinâmica6"/>
    <pivotTable tabId="5" name="Tabela dinâmica7"/>
    <pivotTable tabId="5" name="Tabela dinâmica8"/>
    <pivotTable tabId="5" name="Tabela dinâmica9"/>
  </pivotTables>
  <data>
    <tabular pivotCacheId="73903673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8E962F0-510A-486F-98FF-C8101F5C0345}" sourceName="MÊS">
  <extLst>
    <x:ext xmlns:x15="http://schemas.microsoft.com/office/spreadsheetml/2010/11/main" uri="{2F2917AC-EB37-4324-AD4E-5DD8C200BD13}">
      <x15:tableSlicerCache tableId="2" column="1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CCBE22E8-F4DA-4854-AFC7-8AFDF762D3FE}" sourceName="MÊS">
  <extLst>
    <x:ext xmlns:x15="http://schemas.microsoft.com/office/spreadsheetml/2010/11/main" uri="{2F2917AC-EB37-4324-AD4E-5DD8C200BD13}">
      <x15:tableSlicerCache tableId="4" column="7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2" xr10:uid="{7497CB74-BEEB-4AE4-BEEC-E7C4CDDD7348}" sourceName="MÊS">
  <extLst>
    <x:ext xmlns:x15="http://schemas.microsoft.com/office/spreadsheetml/2010/11/main" uri="{2F2917AC-EB37-4324-AD4E-5DD8C200BD13}">
      <x15:tableSlicerCache tableId="3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BA3327D-60E4-4BB3-AAB6-26BB1D8E0898}" cache="SegmentaçãodeDados_MÊS" caption="MÊS" columnCount="1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500457B9-71CF-48D2-9EC9-FE6534586314}" cache="SegmentaçãodeDados_MÊS1" caption="MÊS" columnCount="1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2" xr10:uid="{CE958C2E-ADEA-43EB-AB0C-ADACF43FA831}" cache="SegmentaçãodeDados_MÊS2" caption="MÊS" columnCount="1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3" xr10:uid="{FB0F86C7-D776-4E0B-BC0E-4770AFA67979}" cache="SegmentaçãodeDados_MÊS3" caption="MÊS" columnCount="12" showCaption="0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B5C715-70D6-4DB7-81E5-493DFF449FB7}" name="Tabela2" displayName="Tabela2" ref="A3:K89" totalsRowShown="0" headerRowDxfId="49" dataDxfId="48">
  <autoFilter ref="A3:K89" xr:uid="{36B5C715-70D6-4DB7-81E5-493DFF449FB7}"/>
  <tableColumns count="11">
    <tableColumn id="1" xr3:uid="{139157FE-641F-44B7-B0EB-B8E12D8D384C}" name="ID-A" dataDxfId="47"/>
    <tableColumn id="2" xr3:uid="{8051B73C-20FE-4579-8EEA-25794FB44261}" name="PROD" dataDxfId="46"/>
    <tableColumn id="3" xr3:uid="{BF2667A3-1C3F-4871-B945-5C7DCCAFB6AF}" name="MEDIDA" dataDxfId="45">
      <calculatedColumnFormula>VLOOKUP(B4,Tabela1[#All],2,FALSE)</calculatedColumnFormula>
    </tableColumn>
    <tableColumn id="4" xr3:uid="{F64A78AF-C24E-4019-B209-1046CF036DE5}" name="VAL COMPRA" dataDxfId="44">
      <calculatedColumnFormula>VLOOKUP(B4,Tabela1[#All],3,FALSE)</calculatedColumnFormula>
    </tableColumn>
    <tableColumn id="5" xr3:uid="{1AAD538B-59F5-41D5-977D-50EB8B8B780A}" name="VAL REVENDA" dataDxfId="43">
      <calculatedColumnFormula>VLOOKUP(B4,Tabela1[#All],4,FALSE)</calculatedColumnFormula>
    </tableColumn>
    <tableColumn id="6" xr3:uid="{F23B9FC8-D963-4055-AA60-71FADC7B50B6}" name="QTD" dataDxfId="42"/>
    <tableColumn id="7" xr3:uid="{82E09CA0-434E-42AE-9C70-429309D4ED3B}" name="PRAZO DE ENTREGA/DIAS" dataDxfId="41"/>
    <tableColumn id="8" xr3:uid="{CF8B5633-FE84-44B8-BD1A-DAF8853C4E05}" name="PRAZO VALID" dataDxfId="40">
      <calculatedColumnFormula>VLOOKUP(B4,Tabela1[#All],5,FALSE)</calculatedColumnFormula>
    </tableColumn>
    <tableColumn id="9" xr3:uid="{DAD04664-62F8-4FB8-BB54-3FA448B19666}" name="VAL PEDIDO" dataDxfId="39">
      <calculatedColumnFormula>D4*F4</calculatedColumnFormula>
    </tableColumn>
    <tableColumn id="10" xr3:uid="{E8CE80E2-B8E9-45CB-895C-B826C3825EEC}" name="DATA PEDIDO" dataDxfId="38"/>
    <tableColumn id="11" xr3:uid="{1A7FD26F-EF98-4B62-9DC3-C63A2E63CC0D}" name="MÊS" dataDxfId="37">
      <calculatedColumnFormula>PROPER(TEXT(J4,"mmm;"))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307A41-AB20-4248-A45F-35E115693251}" name="Tabela4" displayName="Tabela4" ref="A3:N89" totalsRowShown="0" headerRowDxfId="36" dataDxfId="35">
  <autoFilter ref="A3:N89" xr:uid="{14307A41-AB20-4248-A45F-35E115693251}"/>
  <tableColumns count="14">
    <tableColumn id="1" xr3:uid="{440E879D-3EF3-4EB4-860D-CBAA54B6C5B2}" name="ID-C" dataDxfId="34"/>
    <tableColumn id="2" xr3:uid="{5E206B8D-3BB7-4804-99B6-9089BDFEF07B}" name="PROD" dataDxfId="33">
      <calculatedColumnFormula>VLOOKUP(A4,Tabela2[[#All],[ID-A]:[PROD]],2,FALSE)</calculatedColumnFormula>
    </tableColumn>
    <tableColumn id="3" xr3:uid="{F8060B87-9F17-43EE-866D-C9EA38E3B058}" name="QTD NECESSÁRIA" dataDxfId="32"/>
    <tableColumn id="4" xr3:uid="{B8972227-5B14-4D92-9958-30C7352904E6}" name="PRAZO VAL" dataDxfId="31">
      <calculatedColumnFormula>VLOOKUP(B4,Tabela1[#All],5,FALSE)</calculatedColumnFormula>
    </tableColumn>
    <tableColumn id="5" xr3:uid="{AD1EB754-3B85-4921-B0DB-16897D0C5FAC}" name="PRAZO USO/DIAS" dataDxfId="30"/>
    <tableColumn id="6" xr3:uid="{ED7805C7-E102-43B3-B21B-51DB72173512}" name="DATA DA CHEGADA" dataDxfId="29"/>
    <tableColumn id="7" xr3:uid="{6F9E137D-951D-4B97-BF53-F53BE76BD5B5}" name="MÊS" dataDxfId="28">
      <calculatedColumnFormula>PROPER(TEXT(F4,"mmm;"))</calculatedColumnFormula>
    </tableColumn>
    <tableColumn id="8" xr3:uid="{B9CB4460-4589-4B6F-A14C-B32493FE1E30}" name="DEMOROU CHEGAR/DIAS" dataDxfId="27">
      <calculatedColumnFormula>DAYS360(Tabela2[[#This Row],[DATA PEDIDO]],'CONTROLE CONSUMO'!F4,)</calculatedColumnFormula>
    </tableColumn>
    <tableColumn id="9" xr3:uid="{BE1B2416-3632-48D5-8D0D-EAFDEFBA2636}" name="CHEGOU ATRASADO/ADIANTADO" dataDxfId="26">
      <calculatedColumnFormula>IF(H4&gt;Tabela2[[#This Row],[PRAZO DE ENTREGA/DIAS]],"ATRASADO",IF('CONTROLE CONSUMO'!H4&lt;Tabela2[[#This Row],[PRAZO DE ENTREGA/DIAS]],"ADIANTADO",IF('CONTROLE CONSUMO'!H4=Tabela2[[#This Row],[PRAZO DE ENTREGA/DIAS]],"NÃO")))</calculatedColumnFormula>
    </tableColumn>
    <tableColumn id="10" xr3:uid="{FF60CEB5-23C8-44A5-A243-BAF7F9B27A6C}" name="SOBROU" dataDxfId="25">
      <calculatedColumnFormula>IF(Tabela2[[#This Row],[QTD]]-'CONTROLE CONSUMO'!C4&lt;=0,"NÃO",Tabela2[[#This Row],[QTD]]-'CONTROLE CONSUMO'!C4)</calculatedColumnFormula>
    </tableColumn>
    <tableColumn id="11" xr3:uid="{248291E8-8236-4865-9456-55376DBF68EC}" name="FALTOU" dataDxfId="24">
      <calculatedColumnFormula>IF(Tabela2[[#This Row],[QTD]]-'CONTROLE CONSUMO'!C4&gt;=0,"NÃO",ABS(Tabela2[[#This Row],[QTD]]-'CONTROLE CONSUMO'!C4))</calculatedColumnFormula>
    </tableColumn>
    <tableColumn id="12" xr3:uid="{0A6CCCC0-1CC1-433C-9344-6F8EF6E05AC7}" name="LUCRO REVENDA" dataDxfId="23">
      <calculatedColumnFormula>IF(J4="NÃO","NÃO",IF(J4&gt;0,J4*VLOOKUP(B4,Tabela1[#All],4,FALSE),"Erro"))</calculatedColumnFormula>
    </tableColumn>
    <tableColumn id="13" xr3:uid="{1149FD6B-C03A-4303-B45E-9EBDC1432B4E}" name="INCIDENTE/PERDA" dataDxfId="22"/>
    <tableColumn id="14" xr3:uid="{92A6E1EF-C256-431A-8D54-B7D403EF273C}" name="PREJUÍZO" dataDxfId="21">
      <calculatedColumnFormula>M4*VLOOKUP(B4,Tabela1[#All],3,FALSE)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F9A970-FB8E-457A-A63C-ED7B54F5D8AF}" name="Tabela3" displayName="Tabela3" ref="A3:K15" totalsRowShown="0" headerRowDxfId="20" dataDxfId="19">
  <autoFilter ref="A3:K15" xr:uid="{02F9A970-FB8E-457A-A63C-ED7B54F5D8AF}"/>
  <tableColumns count="11">
    <tableColumn id="1" xr3:uid="{5CE86C7A-1CE6-4A48-8C31-F964220E956E}" name="QTD AQUISIÇÃO" dataDxfId="18"/>
    <tableColumn id="2" xr3:uid="{38BA3D5E-2638-4737-B7FA-F036584B5B21}" name="QTD PROD INCLUSOS NAS AQUISIÇÕES" dataDxfId="17"/>
    <tableColumn id="3" xr3:uid="{85089C7D-6B8A-460D-B1C9-42D8E7592AE4}" name="QTD PROD CHEGARAM" dataDxfId="16"/>
    <tableColumn id="4" xr3:uid="{3CD59620-3DE4-4E8E-B7B7-ABC9BF236D86}" name="QTD SOBROU" dataDxfId="15"/>
    <tableColumn id="5" xr3:uid="{A9CE2FBF-7DE1-4A57-A67F-3D181DAC147E}" name="QTD FALTOU" dataDxfId="14"/>
    <tableColumn id="6" xr3:uid="{588B2E01-089A-4A25-83AD-1B60C117C284}" name="QTD TOTAL DE GASTOS" dataDxfId="13"/>
    <tableColumn id="7" xr3:uid="{9DD4C9BA-617F-4901-BDBD-83C65407D4E8}" name="QTD TOTAL PREJUÍZO" dataDxfId="12"/>
    <tableColumn id="8" xr3:uid="{4FD253B4-92DF-4BC9-96B5-A166FD5C6F83}" name="VALOR TOTAL LUCRO REVENDA" dataDxfId="11"/>
    <tableColumn id="9" xr3:uid="{1C3350CF-4B22-472F-A49A-93B510C4B3E7}" name="QTD PRODUTOS CHEGARAM ATRASADOS" dataDxfId="10"/>
    <tableColumn id="10" xr3:uid="{2C0BBDB1-1F90-43AE-BA1D-B8A895CA0177}" name="QTD TOTAL PRODUTOS QUE CHEGARAM ADIANTADOS" dataDxfId="9"/>
    <tableColumn id="11" xr3:uid="{8F307536-7200-4CF6-8CB9-A4305459307F}" name="MÊS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F042F8-B83D-4281-95B3-2278AE366ACD}" name="Tabela1" displayName="Tabela1" ref="A1:F17" totalsRowShown="0" headerRowDxfId="7" dataDxfId="6">
  <autoFilter ref="A1:F17" xr:uid="{A0F042F8-B83D-4281-95B3-2278AE366ACD}"/>
  <tableColumns count="6">
    <tableColumn id="1" xr3:uid="{D3037D82-AD3F-4541-A858-8E8FB3475F96}" name="PRODUTO" dataDxfId="5"/>
    <tableColumn id="2" xr3:uid="{AD82CA2B-8574-4D6E-91D6-54C68E242DAB}" name="MEDIDA" dataDxfId="4"/>
    <tableColumn id="3" xr3:uid="{E0D6364F-EFDB-4CED-A5B1-90C3E909A119}" name="VALOR DE COMPRA" dataDxfId="3"/>
    <tableColumn id="4" xr3:uid="{85B066D5-8DBB-4A42-84A5-D5F71FADB489}" name="VALOR DE REVENDA" dataDxfId="2"/>
    <tableColumn id="5" xr3:uid="{320A2724-1905-48DD-A493-4D657B40278A}" name="PRAZO DE VALIDADE" dataDxfId="1"/>
    <tableColumn id="6" xr3:uid="{D5C5253B-E1ED-4041-A8CF-32173357EFF1}" name="PRAZO DE ENTREGA/DI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6C2A-7178-4AFF-911F-6C33BD372887}">
  <dimension ref="A1:K89"/>
  <sheetViews>
    <sheetView zoomScale="190" zoomScaleNormal="190" workbookViewId="0">
      <selection activeCell="G4" sqref="G4:G89"/>
    </sheetView>
  </sheetViews>
  <sheetFormatPr defaultRowHeight="15" x14ac:dyDescent="0.25"/>
  <cols>
    <col min="2" max="2" width="14.7109375" customWidth="1"/>
    <col min="4" max="4" width="13.42578125" customWidth="1"/>
    <col min="5" max="5" width="14" customWidth="1"/>
    <col min="6" max="6" width="6.140625" customWidth="1"/>
    <col min="7" max="7" width="24.140625" customWidth="1"/>
    <col min="8" max="8" width="13.28515625" customWidth="1"/>
    <col min="9" max="9" width="14" customWidth="1"/>
    <col min="10" max="10" width="14.28515625" customWidth="1"/>
    <col min="11" max="11" width="6.42578125" customWidth="1"/>
  </cols>
  <sheetData>
    <row r="1" spans="1:11" ht="27" customHeight="1" x14ac:dyDescent="0.4">
      <c r="A1" s="10" t="s">
        <v>37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56.25" customHeight="1" x14ac:dyDescent="0.25"/>
    <row r="3" spans="1:11" x14ac:dyDescent="0.25">
      <c r="A3" s="1" t="s">
        <v>28</v>
      </c>
      <c r="B3" s="1" t="s">
        <v>29</v>
      </c>
      <c r="C3" s="1" t="s">
        <v>1</v>
      </c>
      <c r="D3" s="1" t="s">
        <v>30</v>
      </c>
      <c r="E3" s="1" t="s">
        <v>31</v>
      </c>
      <c r="F3" s="1" t="s">
        <v>32</v>
      </c>
      <c r="G3" s="1" t="s">
        <v>5</v>
      </c>
      <c r="H3" s="1" t="s">
        <v>33</v>
      </c>
      <c r="I3" s="1" t="s">
        <v>36</v>
      </c>
      <c r="J3" s="1" t="s">
        <v>34</v>
      </c>
      <c r="K3" s="1" t="s">
        <v>35</v>
      </c>
    </row>
    <row r="4" spans="1:11" x14ac:dyDescent="0.25">
      <c r="A4" s="1">
        <v>1</v>
      </c>
      <c r="B4" s="1" t="s">
        <v>6</v>
      </c>
      <c r="C4" s="1" t="str">
        <f>VLOOKUP(B4,Tabela1[#All],2,FALSE)</f>
        <v>Não Tem</v>
      </c>
      <c r="D4" s="2">
        <f>VLOOKUP(B4,Tabela1[#All],3,FALSE)</f>
        <v>5</v>
      </c>
      <c r="E4" s="2">
        <f>VLOOKUP(B4,Tabela1[#All],4,FALSE)</f>
        <v>3</v>
      </c>
      <c r="F4" s="1">
        <v>10</v>
      </c>
      <c r="G4" s="1">
        <v>120</v>
      </c>
      <c r="H4" s="1">
        <f>VLOOKUP(B4,Tabela1[#All],5,FALSE)</f>
        <v>90</v>
      </c>
      <c r="I4" s="2">
        <f>D4*F4</f>
        <v>50</v>
      </c>
      <c r="J4" s="3">
        <v>45292</v>
      </c>
      <c r="K4" s="1" t="str">
        <f t="shared" ref="K4:K35" si="0">PROPER(TEXT(J4,"mmm;"))</f>
        <v>Jan</v>
      </c>
    </row>
    <row r="5" spans="1:11" x14ac:dyDescent="0.25">
      <c r="A5" s="1">
        <v>2</v>
      </c>
      <c r="B5" s="1" t="s">
        <v>7</v>
      </c>
      <c r="C5" s="1" t="str">
        <f>VLOOKUP(B5,Tabela1[#All],2,FALSE)</f>
        <v>Não Tem</v>
      </c>
      <c r="D5" s="2">
        <f>VLOOKUP(B5,Tabela1[#All],3,FALSE)</f>
        <v>2</v>
      </c>
      <c r="E5" s="2">
        <f>VLOOKUP(B5,Tabela1[#All],4,FALSE)</f>
        <v>0.5</v>
      </c>
      <c r="F5" s="1">
        <v>10</v>
      </c>
      <c r="G5" s="1">
        <v>120</v>
      </c>
      <c r="H5" s="1" t="str">
        <f>VLOOKUP(B5,Tabela1[#All],5,FALSE)</f>
        <v>Indeterminado</v>
      </c>
      <c r="I5" s="2">
        <f t="shared" ref="I5:I68" si="1">D5*F5</f>
        <v>20</v>
      </c>
      <c r="J5" s="3">
        <v>45292</v>
      </c>
      <c r="K5" s="1" t="str">
        <f t="shared" si="0"/>
        <v>Jan</v>
      </c>
    </row>
    <row r="6" spans="1:11" x14ac:dyDescent="0.25">
      <c r="A6" s="1">
        <v>3</v>
      </c>
      <c r="B6" s="1" t="s">
        <v>8</v>
      </c>
      <c r="C6" s="1" t="str">
        <f>VLOOKUP(B6,Tabela1[#All],2,FALSE)</f>
        <v>Não Tem</v>
      </c>
      <c r="D6" s="2">
        <f>VLOOKUP(B6,Tabela1[#All],3,FALSE)</f>
        <v>1</v>
      </c>
      <c r="E6" s="2">
        <f>VLOOKUP(B6,Tabela1[#All],4,FALSE)</f>
        <v>0.2</v>
      </c>
      <c r="F6" s="1">
        <v>10</v>
      </c>
      <c r="G6" s="1">
        <v>120</v>
      </c>
      <c r="H6" s="1" t="str">
        <f>VLOOKUP(B6,Tabela1[#All],5,FALSE)</f>
        <v>Indeterminado</v>
      </c>
      <c r="I6" s="2">
        <f t="shared" si="1"/>
        <v>10</v>
      </c>
      <c r="J6" s="3">
        <v>45292</v>
      </c>
      <c r="K6" s="1" t="str">
        <f t="shared" si="0"/>
        <v>Jan</v>
      </c>
    </row>
    <row r="7" spans="1:11" x14ac:dyDescent="0.25">
      <c r="A7" s="1">
        <v>4</v>
      </c>
      <c r="B7" s="1" t="s">
        <v>9</v>
      </c>
      <c r="C7" s="1" t="str">
        <f>VLOOKUP(B7,Tabela1[#All],2,FALSE)</f>
        <v>Não Tem</v>
      </c>
      <c r="D7" s="2">
        <f>VLOOKUP(B7,Tabela1[#All],3,FALSE)</f>
        <v>2000</v>
      </c>
      <c r="E7" s="2">
        <f>VLOOKUP(B7,Tabela1[#All],4,FALSE)</f>
        <v>1000</v>
      </c>
      <c r="F7" s="1">
        <v>10</v>
      </c>
      <c r="G7" s="1">
        <v>120</v>
      </c>
      <c r="H7" s="1" t="str">
        <f>VLOOKUP(B7,Tabela1[#All],5,FALSE)</f>
        <v>Indeterminado</v>
      </c>
      <c r="I7" s="2">
        <f t="shared" si="1"/>
        <v>20000</v>
      </c>
      <c r="J7" s="3">
        <v>45292</v>
      </c>
      <c r="K7" s="1" t="str">
        <f t="shared" si="0"/>
        <v>Jan</v>
      </c>
    </row>
    <row r="8" spans="1:11" x14ac:dyDescent="0.25">
      <c r="A8" s="1">
        <v>5</v>
      </c>
      <c r="B8" s="1" t="s">
        <v>10</v>
      </c>
      <c r="C8" s="1" t="str">
        <f>VLOOKUP(B8,Tabela1[#All],2,FALSE)</f>
        <v>Não Tem</v>
      </c>
      <c r="D8" s="2">
        <f>VLOOKUP(B8,Tabela1[#All],3,FALSE)</f>
        <v>25</v>
      </c>
      <c r="E8" s="2">
        <f>VLOOKUP(B8,Tabela1[#All],4,FALSE)</f>
        <v>12.5</v>
      </c>
      <c r="F8" s="1">
        <v>10</v>
      </c>
      <c r="G8" s="1">
        <v>120</v>
      </c>
      <c r="H8" s="1" t="str">
        <f>VLOOKUP(B8,Tabela1[#All],5,FALSE)</f>
        <v>Indeterminado</v>
      </c>
      <c r="I8" s="2">
        <f t="shared" si="1"/>
        <v>250</v>
      </c>
      <c r="J8" s="3">
        <v>45292</v>
      </c>
      <c r="K8" s="1" t="str">
        <f t="shared" si="0"/>
        <v>Jan</v>
      </c>
    </row>
    <row r="9" spans="1:11" x14ac:dyDescent="0.25">
      <c r="A9" s="1">
        <v>6</v>
      </c>
      <c r="B9" s="1" t="s">
        <v>11</v>
      </c>
      <c r="C9" s="1" t="str">
        <f>VLOOKUP(B9,Tabela1[#All],2,FALSE)</f>
        <v>8,7x4,3x18,6cm</v>
      </c>
      <c r="D9" s="2">
        <f>VLOOKUP(B9,Tabela1[#All],3,FALSE)</f>
        <v>1</v>
      </c>
      <c r="E9" s="2">
        <f>VLOOKUP(B9,Tabela1[#All],4,FALSE)</f>
        <v>0.8</v>
      </c>
      <c r="F9" s="1">
        <v>10</v>
      </c>
      <c r="G9" s="1">
        <v>120</v>
      </c>
      <c r="H9" s="1" t="str">
        <f>VLOOKUP(B9,Tabela1[#All],5,FALSE)</f>
        <v>Indeterminado</v>
      </c>
      <c r="I9" s="2">
        <f t="shared" si="1"/>
        <v>10</v>
      </c>
      <c r="J9" s="3">
        <v>45292</v>
      </c>
      <c r="K9" s="1" t="str">
        <f t="shared" si="0"/>
        <v>Jan</v>
      </c>
    </row>
    <row r="10" spans="1:11" x14ac:dyDescent="0.25">
      <c r="A10" s="1">
        <v>7</v>
      </c>
      <c r="B10" s="1" t="s">
        <v>12</v>
      </c>
      <c r="C10" s="1" t="str">
        <f>VLOOKUP(B10,Tabela1[#All],2,FALSE)</f>
        <v>6,25x12,5x25cm</v>
      </c>
      <c r="D10" s="2">
        <f>VLOOKUP(B10,Tabela1[#All],3,FALSE)</f>
        <v>1.5</v>
      </c>
      <c r="E10" s="2">
        <f>VLOOKUP(B10,Tabela1[#All],4,FALSE)</f>
        <v>0.9</v>
      </c>
      <c r="F10" s="1">
        <v>10</v>
      </c>
      <c r="G10" s="1">
        <v>120</v>
      </c>
      <c r="H10" s="1" t="str">
        <f>VLOOKUP(B10,Tabela1[#All],5,FALSE)</f>
        <v>Indeterminado</v>
      </c>
      <c r="I10" s="2">
        <f t="shared" si="1"/>
        <v>15</v>
      </c>
      <c r="J10" s="3">
        <v>45292</v>
      </c>
      <c r="K10" s="1" t="str">
        <f t="shared" si="0"/>
        <v>Jan</v>
      </c>
    </row>
    <row r="11" spans="1:11" x14ac:dyDescent="0.25">
      <c r="A11" s="1">
        <v>8</v>
      </c>
      <c r="B11" s="1" t="s">
        <v>13</v>
      </c>
      <c r="C11" s="1" t="str">
        <f>VLOOKUP(B11,Tabela1[#All],2,FALSE)</f>
        <v>14x19x39cm</v>
      </c>
      <c r="D11" s="2">
        <f>VLOOKUP(B11,Tabela1[#All],3,FALSE)</f>
        <v>1.8</v>
      </c>
      <c r="E11" s="2">
        <f>VLOOKUP(B11,Tabela1[#All],4,FALSE)</f>
        <v>1</v>
      </c>
      <c r="F11" s="1">
        <v>10</v>
      </c>
      <c r="G11" s="1">
        <v>120</v>
      </c>
      <c r="H11" s="1" t="str">
        <f>VLOOKUP(B11,Tabela1[#All],5,FALSE)</f>
        <v>Indeterminado</v>
      </c>
      <c r="I11" s="2">
        <f t="shared" si="1"/>
        <v>18</v>
      </c>
      <c r="J11" s="3">
        <v>45292</v>
      </c>
      <c r="K11" s="1" t="str">
        <f t="shared" si="0"/>
        <v>Jan</v>
      </c>
    </row>
    <row r="12" spans="1:11" x14ac:dyDescent="0.25">
      <c r="A12" s="1">
        <v>9</v>
      </c>
      <c r="B12" s="1" t="s">
        <v>14</v>
      </c>
      <c r="C12" s="1" t="str">
        <f>VLOOKUP(B12,Tabela1[#All],2,FALSE)</f>
        <v>Não Tem</v>
      </c>
      <c r="D12" s="2">
        <f>VLOOKUP(B12,Tabela1[#All],3,FALSE)</f>
        <v>3.1</v>
      </c>
      <c r="E12" s="2">
        <f>VLOOKUP(B12,Tabela1[#All],4,FALSE)</f>
        <v>2</v>
      </c>
      <c r="F12" s="1">
        <v>10</v>
      </c>
      <c r="G12" s="1">
        <v>120</v>
      </c>
      <c r="H12" s="1">
        <f>VLOOKUP(B12,Tabela1[#All],5,FALSE)</f>
        <v>90</v>
      </c>
      <c r="I12" s="2">
        <f t="shared" si="1"/>
        <v>31</v>
      </c>
      <c r="J12" s="3">
        <v>45292</v>
      </c>
      <c r="K12" s="1" t="str">
        <f t="shared" si="0"/>
        <v>Jan</v>
      </c>
    </row>
    <row r="13" spans="1:11" x14ac:dyDescent="0.25">
      <c r="A13" s="1">
        <v>10</v>
      </c>
      <c r="B13" s="1" t="s">
        <v>15</v>
      </c>
      <c r="C13" s="1" t="str">
        <f>VLOOKUP(B13,Tabela1[#All],2,FALSE)</f>
        <v>Não Tem</v>
      </c>
      <c r="D13" s="2">
        <f>VLOOKUP(B13,Tabela1[#All],3,FALSE)</f>
        <v>12</v>
      </c>
      <c r="E13" s="2">
        <f>VLOOKUP(B13,Tabela1[#All],4,FALSE)</f>
        <v>6</v>
      </c>
      <c r="F13" s="1">
        <v>10</v>
      </c>
      <c r="G13" s="1">
        <v>120</v>
      </c>
      <c r="H13" s="1" t="str">
        <f>VLOOKUP(B13,Tabela1[#All],5,FALSE)</f>
        <v>Indeterminado</v>
      </c>
      <c r="I13" s="2">
        <f t="shared" si="1"/>
        <v>120</v>
      </c>
      <c r="J13" s="3">
        <v>45292</v>
      </c>
      <c r="K13" s="1" t="str">
        <f t="shared" si="0"/>
        <v>Jan</v>
      </c>
    </row>
    <row r="14" spans="1:11" x14ac:dyDescent="0.25">
      <c r="A14" s="1">
        <v>11</v>
      </c>
      <c r="B14" s="1" t="s">
        <v>16</v>
      </c>
      <c r="C14" s="1" t="str">
        <f>VLOOKUP(B14,Tabela1[#All],2,FALSE)</f>
        <v>60x60cm</v>
      </c>
      <c r="D14" s="2">
        <f>VLOOKUP(B14,Tabela1[#All],3,FALSE)</f>
        <v>21</v>
      </c>
      <c r="E14" s="2">
        <f>VLOOKUP(B14,Tabela1[#All],4,FALSE)</f>
        <v>11</v>
      </c>
      <c r="F14" s="1">
        <v>10</v>
      </c>
      <c r="G14" s="1">
        <v>120</v>
      </c>
      <c r="H14" s="1" t="str">
        <f>VLOOKUP(B14,Tabela1[#All],5,FALSE)</f>
        <v>Indeterminado</v>
      </c>
      <c r="I14" s="2">
        <f t="shared" si="1"/>
        <v>210</v>
      </c>
      <c r="J14" s="3">
        <v>45292</v>
      </c>
      <c r="K14" s="1" t="str">
        <f t="shared" si="0"/>
        <v>Jan</v>
      </c>
    </row>
    <row r="15" spans="1:11" x14ac:dyDescent="0.25">
      <c r="A15" s="1">
        <v>12</v>
      </c>
      <c r="B15" s="1" t="s">
        <v>17</v>
      </c>
      <c r="C15" s="1" t="str">
        <f>VLOOKUP(B15,Tabela1[#All],2,FALSE)</f>
        <v>Não Tem</v>
      </c>
      <c r="D15" s="2">
        <f>VLOOKUP(B15,Tabela1[#All],3,FALSE)</f>
        <v>50</v>
      </c>
      <c r="E15" s="2">
        <f>VLOOKUP(B15,Tabela1[#All],4,FALSE)</f>
        <v>40</v>
      </c>
      <c r="F15" s="1">
        <v>10</v>
      </c>
      <c r="G15" s="1">
        <v>120</v>
      </c>
      <c r="H15" s="1" t="str">
        <f>VLOOKUP(B15,Tabela1[#All],5,FALSE)</f>
        <v>Indeterminado</v>
      </c>
      <c r="I15" s="2">
        <f t="shared" si="1"/>
        <v>500</v>
      </c>
      <c r="J15" s="3">
        <v>45292</v>
      </c>
      <c r="K15" s="1" t="str">
        <f t="shared" si="0"/>
        <v>Jan</v>
      </c>
    </row>
    <row r="16" spans="1:11" x14ac:dyDescent="0.25">
      <c r="A16" s="1">
        <v>13</v>
      </c>
      <c r="B16" s="1" t="s">
        <v>18</v>
      </c>
      <c r="C16" s="1" t="str">
        <f>VLOOKUP(B16,Tabela1[#All],2,FALSE)</f>
        <v>Não Tem</v>
      </c>
      <c r="D16" s="2">
        <f>VLOOKUP(B16,Tabela1[#All],3,FALSE)</f>
        <v>52.9</v>
      </c>
      <c r="E16" s="2">
        <f>VLOOKUP(B16,Tabela1[#All],4,FALSE)</f>
        <v>25</v>
      </c>
      <c r="F16" s="1">
        <v>10</v>
      </c>
      <c r="G16" s="1">
        <v>120</v>
      </c>
      <c r="H16" s="1">
        <f>VLOOKUP(B16,Tabela1[#All],5,FALSE)</f>
        <v>90</v>
      </c>
      <c r="I16" s="2">
        <f t="shared" si="1"/>
        <v>529</v>
      </c>
      <c r="J16" s="3">
        <v>45292</v>
      </c>
      <c r="K16" s="1" t="str">
        <f t="shared" si="0"/>
        <v>Jan</v>
      </c>
    </row>
    <row r="17" spans="1:11" x14ac:dyDescent="0.25">
      <c r="A17" s="1">
        <v>14</v>
      </c>
      <c r="B17" s="1" t="s">
        <v>19</v>
      </c>
      <c r="C17" s="1" t="str">
        <f>VLOOKUP(B17,Tabela1[#All],2,FALSE)</f>
        <v>Não Tem</v>
      </c>
      <c r="D17" s="2">
        <f>VLOOKUP(B17,Tabela1[#All],3,FALSE)</f>
        <v>15.9</v>
      </c>
      <c r="E17" s="2">
        <f>VLOOKUP(B17,Tabela1[#All],4,FALSE)</f>
        <v>8</v>
      </c>
      <c r="F17" s="1">
        <v>10</v>
      </c>
      <c r="G17" s="1">
        <v>120</v>
      </c>
      <c r="H17" s="1">
        <f>VLOOKUP(B17,Tabela1[#All],5,FALSE)</f>
        <v>90</v>
      </c>
      <c r="I17" s="2">
        <f t="shared" si="1"/>
        <v>159</v>
      </c>
      <c r="J17" s="3">
        <v>45292</v>
      </c>
      <c r="K17" s="1" t="str">
        <f t="shared" si="0"/>
        <v>Jan</v>
      </c>
    </row>
    <row r="18" spans="1:11" x14ac:dyDescent="0.25">
      <c r="A18" s="1">
        <v>15</v>
      </c>
      <c r="B18" s="1" t="s">
        <v>20</v>
      </c>
      <c r="C18" s="1" t="str">
        <f>VLOOKUP(B18,Tabela1[#All],2,FALSE)</f>
        <v>Não Tem</v>
      </c>
      <c r="D18" s="2">
        <f>VLOOKUP(B18,Tabela1[#All],3,FALSE)</f>
        <v>1.9</v>
      </c>
      <c r="E18" s="2">
        <f>VLOOKUP(B18,Tabela1[#All],4,FALSE)</f>
        <v>0.2</v>
      </c>
      <c r="F18" s="1">
        <v>10</v>
      </c>
      <c r="G18" s="1">
        <v>120</v>
      </c>
      <c r="H18" s="1">
        <f>VLOOKUP(B18,Tabela1[#All],5,FALSE)</f>
        <v>120</v>
      </c>
      <c r="I18" s="2">
        <f t="shared" si="1"/>
        <v>19</v>
      </c>
      <c r="J18" s="3">
        <v>45292</v>
      </c>
      <c r="K18" s="1" t="str">
        <f t="shared" si="0"/>
        <v>Jan</v>
      </c>
    </row>
    <row r="19" spans="1:11" x14ac:dyDescent="0.25">
      <c r="A19" s="1">
        <v>16</v>
      </c>
      <c r="B19" s="1" t="s">
        <v>21</v>
      </c>
      <c r="C19" s="1" t="str">
        <f>VLOOKUP(B19,Tabela1[#All],2,FALSE)</f>
        <v>Não Tem</v>
      </c>
      <c r="D19" s="2">
        <f>VLOOKUP(B19,Tabela1[#All],3,FALSE)</f>
        <v>1.5</v>
      </c>
      <c r="E19" s="2">
        <f>VLOOKUP(B19,Tabela1[#All],4,FALSE)</f>
        <v>0.1</v>
      </c>
      <c r="F19" s="1">
        <v>10</v>
      </c>
      <c r="G19" s="1">
        <v>120</v>
      </c>
      <c r="H19" s="1">
        <f>VLOOKUP(B19,Tabela1[#All],5,FALSE)</f>
        <v>180</v>
      </c>
      <c r="I19" s="2">
        <f t="shared" si="1"/>
        <v>15</v>
      </c>
      <c r="J19" s="3">
        <v>45292</v>
      </c>
      <c r="K19" s="1" t="str">
        <f t="shared" si="0"/>
        <v>Jan</v>
      </c>
    </row>
    <row r="20" spans="1:11" x14ac:dyDescent="0.25">
      <c r="A20" s="1">
        <v>17</v>
      </c>
      <c r="B20" s="1" t="s">
        <v>6</v>
      </c>
      <c r="C20" s="1" t="str">
        <f>VLOOKUP(B20,Tabela1[#All],2,FALSE)</f>
        <v>Não Tem</v>
      </c>
      <c r="D20" s="2">
        <f>VLOOKUP(B20,Tabela1[#All],3,FALSE)</f>
        <v>5</v>
      </c>
      <c r="E20" s="2">
        <f>VLOOKUP(B20,Tabela1[#All],4,FALSE)</f>
        <v>3</v>
      </c>
      <c r="F20" s="1">
        <v>10</v>
      </c>
      <c r="G20" s="1">
        <v>120</v>
      </c>
      <c r="H20" s="1">
        <f>VLOOKUP(B20,Tabela1[#All],5,FALSE)</f>
        <v>90</v>
      </c>
      <c r="I20" s="2">
        <f t="shared" si="1"/>
        <v>50</v>
      </c>
      <c r="J20" s="3">
        <v>45323</v>
      </c>
      <c r="K20" s="1" t="str">
        <f t="shared" si="0"/>
        <v>Fev</v>
      </c>
    </row>
    <row r="21" spans="1:11" x14ac:dyDescent="0.25">
      <c r="A21" s="1">
        <v>18</v>
      </c>
      <c r="B21" s="1" t="s">
        <v>7</v>
      </c>
      <c r="C21" s="1" t="str">
        <f>VLOOKUP(B21,Tabela1[#All],2,FALSE)</f>
        <v>Não Tem</v>
      </c>
      <c r="D21" s="2">
        <f>VLOOKUP(B21,Tabela1[#All],3,FALSE)</f>
        <v>2</v>
      </c>
      <c r="E21" s="2">
        <f>VLOOKUP(B21,Tabela1[#All],4,FALSE)</f>
        <v>0.5</v>
      </c>
      <c r="F21" s="1">
        <v>10</v>
      </c>
      <c r="G21" s="1">
        <v>120</v>
      </c>
      <c r="H21" s="1" t="str">
        <f>VLOOKUP(B21,Tabela1[#All],5,FALSE)</f>
        <v>Indeterminado</v>
      </c>
      <c r="I21" s="2">
        <f t="shared" si="1"/>
        <v>20</v>
      </c>
      <c r="J21" s="3">
        <v>45323</v>
      </c>
      <c r="K21" s="1" t="str">
        <f t="shared" si="0"/>
        <v>Fev</v>
      </c>
    </row>
    <row r="22" spans="1:11" x14ac:dyDescent="0.25">
      <c r="A22" s="1">
        <v>19</v>
      </c>
      <c r="B22" s="1" t="s">
        <v>8</v>
      </c>
      <c r="C22" s="1" t="str">
        <f>VLOOKUP(B22,Tabela1[#All],2,FALSE)</f>
        <v>Não Tem</v>
      </c>
      <c r="D22" s="2">
        <f>VLOOKUP(B22,Tabela1[#All],3,FALSE)</f>
        <v>1</v>
      </c>
      <c r="E22" s="2">
        <f>VLOOKUP(B22,Tabela1[#All],4,FALSE)</f>
        <v>0.2</v>
      </c>
      <c r="F22" s="1">
        <v>10</v>
      </c>
      <c r="G22" s="1">
        <v>120</v>
      </c>
      <c r="H22" s="1" t="str">
        <f>VLOOKUP(B22,Tabela1[#All],5,FALSE)</f>
        <v>Indeterminado</v>
      </c>
      <c r="I22" s="2">
        <f t="shared" si="1"/>
        <v>10</v>
      </c>
      <c r="J22" s="3">
        <v>45323</v>
      </c>
      <c r="K22" s="1" t="str">
        <f t="shared" si="0"/>
        <v>Fev</v>
      </c>
    </row>
    <row r="23" spans="1:11" x14ac:dyDescent="0.25">
      <c r="A23" s="1">
        <v>20</v>
      </c>
      <c r="B23" s="1" t="s">
        <v>9</v>
      </c>
      <c r="C23" s="1" t="str">
        <f>VLOOKUP(B23,Tabela1[#All],2,FALSE)</f>
        <v>Não Tem</v>
      </c>
      <c r="D23" s="2">
        <f>VLOOKUP(B23,Tabela1[#All],3,FALSE)</f>
        <v>2000</v>
      </c>
      <c r="E23" s="2">
        <f>VLOOKUP(B23,Tabela1[#All],4,FALSE)</f>
        <v>1000</v>
      </c>
      <c r="F23" s="1">
        <v>10</v>
      </c>
      <c r="G23" s="1">
        <v>120</v>
      </c>
      <c r="H23" s="1" t="str">
        <f>VLOOKUP(B23,Tabela1[#All],5,FALSE)</f>
        <v>Indeterminado</v>
      </c>
      <c r="I23" s="2">
        <f t="shared" si="1"/>
        <v>20000</v>
      </c>
      <c r="J23" s="3">
        <v>45323</v>
      </c>
      <c r="K23" s="1" t="str">
        <f t="shared" si="0"/>
        <v>Fev</v>
      </c>
    </row>
    <row r="24" spans="1:11" x14ac:dyDescent="0.25">
      <c r="A24" s="1">
        <v>21</v>
      </c>
      <c r="B24" s="1" t="s">
        <v>10</v>
      </c>
      <c r="C24" s="1" t="str">
        <f>VLOOKUP(B24,Tabela1[#All],2,FALSE)</f>
        <v>Não Tem</v>
      </c>
      <c r="D24" s="2">
        <f>VLOOKUP(B24,Tabela1[#All],3,FALSE)</f>
        <v>25</v>
      </c>
      <c r="E24" s="2">
        <f>VLOOKUP(B24,Tabela1[#All],4,FALSE)</f>
        <v>12.5</v>
      </c>
      <c r="F24" s="1">
        <v>10</v>
      </c>
      <c r="G24" s="1">
        <v>120</v>
      </c>
      <c r="H24" s="1" t="str">
        <f>VLOOKUP(B24,Tabela1[#All],5,FALSE)</f>
        <v>Indeterminado</v>
      </c>
      <c r="I24" s="2">
        <f t="shared" si="1"/>
        <v>250</v>
      </c>
      <c r="J24" s="3">
        <v>45323</v>
      </c>
      <c r="K24" s="1" t="str">
        <f t="shared" si="0"/>
        <v>Fev</v>
      </c>
    </row>
    <row r="25" spans="1:11" x14ac:dyDescent="0.25">
      <c r="A25" s="1">
        <v>22</v>
      </c>
      <c r="B25" s="1" t="s">
        <v>11</v>
      </c>
      <c r="C25" s="1" t="str">
        <f>VLOOKUP(B25,Tabela1[#All],2,FALSE)</f>
        <v>8,7x4,3x18,6cm</v>
      </c>
      <c r="D25" s="2">
        <f>VLOOKUP(B25,Tabela1[#All],3,FALSE)</f>
        <v>1</v>
      </c>
      <c r="E25" s="2">
        <f>VLOOKUP(B25,Tabela1[#All],4,FALSE)</f>
        <v>0.8</v>
      </c>
      <c r="F25" s="1">
        <v>10</v>
      </c>
      <c r="G25" s="1">
        <v>120</v>
      </c>
      <c r="H25" s="1" t="str">
        <f>VLOOKUP(B25,Tabela1[#All],5,FALSE)</f>
        <v>Indeterminado</v>
      </c>
      <c r="I25" s="2">
        <f t="shared" si="1"/>
        <v>10</v>
      </c>
      <c r="J25" s="3">
        <v>45323</v>
      </c>
      <c r="K25" s="1" t="str">
        <f t="shared" si="0"/>
        <v>Fev</v>
      </c>
    </row>
    <row r="26" spans="1:11" x14ac:dyDescent="0.25">
      <c r="A26" s="1">
        <v>23</v>
      </c>
      <c r="B26" s="1" t="s">
        <v>12</v>
      </c>
      <c r="C26" s="1" t="str">
        <f>VLOOKUP(B26,Tabela1[#All],2,FALSE)</f>
        <v>6,25x12,5x25cm</v>
      </c>
      <c r="D26" s="2">
        <f>VLOOKUP(B26,Tabela1[#All],3,FALSE)</f>
        <v>1.5</v>
      </c>
      <c r="E26" s="2">
        <f>VLOOKUP(B26,Tabela1[#All],4,FALSE)</f>
        <v>0.9</v>
      </c>
      <c r="F26" s="1">
        <v>10</v>
      </c>
      <c r="G26" s="1">
        <v>120</v>
      </c>
      <c r="H26" s="1" t="str">
        <f>VLOOKUP(B26,Tabela1[#All],5,FALSE)</f>
        <v>Indeterminado</v>
      </c>
      <c r="I26" s="2">
        <f t="shared" si="1"/>
        <v>15</v>
      </c>
      <c r="J26" s="3">
        <v>45323</v>
      </c>
      <c r="K26" s="1" t="str">
        <f t="shared" si="0"/>
        <v>Fev</v>
      </c>
    </row>
    <row r="27" spans="1:11" x14ac:dyDescent="0.25">
      <c r="A27" s="1">
        <v>24</v>
      </c>
      <c r="B27" s="1" t="s">
        <v>13</v>
      </c>
      <c r="C27" s="1" t="str">
        <f>VLOOKUP(B27,Tabela1[#All],2,FALSE)</f>
        <v>14x19x39cm</v>
      </c>
      <c r="D27" s="2">
        <f>VLOOKUP(B27,Tabela1[#All],3,FALSE)</f>
        <v>1.8</v>
      </c>
      <c r="E27" s="2">
        <f>VLOOKUP(B27,Tabela1[#All],4,FALSE)</f>
        <v>1</v>
      </c>
      <c r="F27" s="1">
        <v>10</v>
      </c>
      <c r="G27" s="1">
        <v>120</v>
      </c>
      <c r="H27" s="1" t="str">
        <f>VLOOKUP(B27,Tabela1[#All],5,FALSE)</f>
        <v>Indeterminado</v>
      </c>
      <c r="I27" s="2">
        <f t="shared" si="1"/>
        <v>18</v>
      </c>
      <c r="J27" s="3">
        <v>45323</v>
      </c>
      <c r="K27" s="1" t="str">
        <f t="shared" si="0"/>
        <v>Fev</v>
      </c>
    </row>
    <row r="28" spans="1:11" x14ac:dyDescent="0.25">
      <c r="A28" s="1">
        <v>25</v>
      </c>
      <c r="B28" s="1" t="s">
        <v>14</v>
      </c>
      <c r="C28" s="1" t="str">
        <f>VLOOKUP(B28,Tabela1[#All],2,FALSE)</f>
        <v>Não Tem</v>
      </c>
      <c r="D28" s="2">
        <f>VLOOKUP(B28,Tabela1[#All],3,FALSE)</f>
        <v>3.1</v>
      </c>
      <c r="E28" s="2">
        <f>VLOOKUP(B28,Tabela1[#All],4,FALSE)</f>
        <v>2</v>
      </c>
      <c r="F28" s="1">
        <v>10</v>
      </c>
      <c r="G28" s="1">
        <v>120</v>
      </c>
      <c r="H28" s="1">
        <f>VLOOKUP(B28,Tabela1[#All],5,FALSE)</f>
        <v>90</v>
      </c>
      <c r="I28" s="2">
        <f t="shared" si="1"/>
        <v>31</v>
      </c>
      <c r="J28" s="3">
        <v>45323</v>
      </c>
      <c r="K28" s="1" t="str">
        <f t="shared" si="0"/>
        <v>Fev</v>
      </c>
    </row>
    <row r="29" spans="1:11" x14ac:dyDescent="0.25">
      <c r="A29" s="1">
        <v>26</v>
      </c>
      <c r="B29" s="1" t="s">
        <v>15</v>
      </c>
      <c r="C29" s="1" t="str">
        <f>VLOOKUP(B29,Tabela1[#All],2,FALSE)</f>
        <v>Não Tem</v>
      </c>
      <c r="D29" s="2">
        <f>VLOOKUP(B29,Tabela1[#All],3,FALSE)</f>
        <v>12</v>
      </c>
      <c r="E29" s="2">
        <f>VLOOKUP(B29,Tabela1[#All],4,FALSE)</f>
        <v>6</v>
      </c>
      <c r="F29" s="1">
        <v>10</v>
      </c>
      <c r="G29" s="1">
        <v>120</v>
      </c>
      <c r="H29" s="1" t="str">
        <f>VLOOKUP(B29,Tabela1[#All],5,FALSE)</f>
        <v>Indeterminado</v>
      </c>
      <c r="I29" s="2">
        <f t="shared" si="1"/>
        <v>120</v>
      </c>
      <c r="J29" s="3">
        <v>45323</v>
      </c>
      <c r="K29" s="1" t="str">
        <f t="shared" si="0"/>
        <v>Fev</v>
      </c>
    </row>
    <row r="30" spans="1:11" x14ac:dyDescent="0.25">
      <c r="A30" s="1">
        <v>27</v>
      </c>
      <c r="B30" s="1" t="s">
        <v>16</v>
      </c>
      <c r="C30" s="1" t="str">
        <f>VLOOKUP(B30,Tabela1[#All],2,FALSE)</f>
        <v>60x60cm</v>
      </c>
      <c r="D30" s="2">
        <f>VLOOKUP(B30,Tabela1[#All],3,FALSE)</f>
        <v>21</v>
      </c>
      <c r="E30" s="2">
        <f>VLOOKUP(B30,Tabela1[#All],4,FALSE)</f>
        <v>11</v>
      </c>
      <c r="F30" s="1">
        <v>10</v>
      </c>
      <c r="G30" s="1">
        <v>120</v>
      </c>
      <c r="H30" s="1" t="str">
        <f>VLOOKUP(B30,Tabela1[#All],5,FALSE)</f>
        <v>Indeterminado</v>
      </c>
      <c r="I30" s="2">
        <f t="shared" si="1"/>
        <v>210</v>
      </c>
      <c r="J30" s="3">
        <v>45323</v>
      </c>
      <c r="K30" s="1" t="str">
        <f t="shared" si="0"/>
        <v>Fev</v>
      </c>
    </row>
    <row r="31" spans="1:11" x14ac:dyDescent="0.25">
      <c r="A31" s="1">
        <v>28</v>
      </c>
      <c r="B31" s="1" t="s">
        <v>17</v>
      </c>
      <c r="C31" s="1" t="str">
        <f>VLOOKUP(B31,Tabela1[#All],2,FALSE)</f>
        <v>Não Tem</v>
      </c>
      <c r="D31" s="2">
        <f>VLOOKUP(B31,Tabela1[#All],3,FALSE)</f>
        <v>50</v>
      </c>
      <c r="E31" s="2">
        <f>VLOOKUP(B31,Tabela1[#All],4,FALSE)</f>
        <v>40</v>
      </c>
      <c r="F31" s="1">
        <v>10</v>
      </c>
      <c r="G31" s="1">
        <v>120</v>
      </c>
      <c r="H31" s="1" t="str">
        <f>VLOOKUP(B31,Tabela1[#All],5,FALSE)</f>
        <v>Indeterminado</v>
      </c>
      <c r="I31" s="2">
        <f t="shared" si="1"/>
        <v>500</v>
      </c>
      <c r="J31" s="3">
        <v>45323</v>
      </c>
      <c r="K31" s="1" t="str">
        <f t="shared" si="0"/>
        <v>Fev</v>
      </c>
    </row>
    <row r="32" spans="1:11" x14ac:dyDescent="0.25">
      <c r="A32" s="1">
        <v>29</v>
      </c>
      <c r="B32" s="1" t="s">
        <v>18</v>
      </c>
      <c r="C32" s="1" t="str">
        <f>VLOOKUP(B32,Tabela1[#All],2,FALSE)</f>
        <v>Não Tem</v>
      </c>
      <c r="D32" s="2">
        <f>VLOOKUP(B32,Tabela1[#All],3,FALSE)</f>
        <v>52.9</v>
      </c>
      <c r="E32" s="2">
        <f>VLOOKUP(B32,Tabela1[#All],4,FALSE)</f>
        <v>25</v>
      </c>
      <c r="F32" s="1">
        <v>10</v>
      </c>
      <c r="G32" s="1">
        <v>120</v>
      </c>
      <c r="H32" s="1">
        <f>VLOOKUP(B32,Tabela1[#All],5,FALSE)</f>
        <v>90</v>
      </c>
      <c r="I32" s="2">
        <f t="shared" si="1"/>
        <v>529</v>
      </c>
      <c r="J32" s="3">
        <v>45323</v>
      </c>
      <c r="K32" s="1" t="str">
        <f t="shared" si="0"/>
        <v>Fev</v>
      </c>
    </row>
    <row r="33" spans="1:11" x14ac:dyDescent="0.25">
      <c r="A33" s="1">
        <v>30</v>
      </c>
      <c r="B33" s="1" t="s">
        <v>19</v>
      </c>
      <c r="C33" s="1" t="str">
        <f>VLOOKUP(B33,Tabela1[#All],2,FALSE)</f>
        <v>Não Tem</v>
      </c>
      <c r="D33" s="2">
        <f>VLOOKUP(B33,Tabela1[#All],3,FALSE)</f>
        <v>15.9</v>
      </c>
      <c r="E33" s="2">
        <f>VLOOKUP(B33,Tabela1[#All],4,FALSE)</f>
        <v>8</v>
      </c>
      <c r="F33" s="1">
        <v>10</v>
      </c>
      <c r="G33" s="1">
        <v>120</v>
      </c>
      <c r="H33" s="1">
        <f>VLOOKUP(B33,Tabela1[#All],5,FALSE)</f>
        <v>90</v>
      </c>
      <c r="I33" s="2">
        <f t="shared" si="1"/>
        <v>159</v>
      </c>
      <c r="J33" s="3">
        <v>45323</v>
      </c>
      <c r="K33" s="1" t="str">
        <f t="shared" si="0"/>
        <v>Fev</v>
      </c>
    </row>
    <row r="34" spans="1:11" x14ac:dyDescent="0.25">
      <c r="A34" s="1">
        <v>31</v>
      </c>
      <c r="B34" s="1" t="s">
        <v>20</v>
      </c>
      <c r="C34" s="1" t="str">
        <f>VLOOKUP(B34,Tabela1[#All],2,FALSE)</f>
        <v>Não Tem</v>
      </c>
      <c r="D34" s="2">
        <f>VLOOKUP(B34,Tabela1[#All],3,FALSE)</f>
        <v>1.9</v>
      </c>
      <c r="E34" s="2">
        <f>VLOOKUP(B34,Tabela1[#All],4,FALSE)</f>
        <v>0.2</v>
      </c>
      <c r="F34" s="1">
        <v>10</v>
      </c>
      <c r="G34" s="1">
        <v>120</v>
      </c>
      <c r="H34" s="1">
        <f>VLOOKUP(B34,Tabela1[#All],5,FALSE)</f>
        <v>120</v>
      </c>
      <c r="I34" s="2">
        <f t="shared" si="1"/>
        <v>19</v>
      </c>
      <c r="J34" s="3">
        <v>45323</v>
      </c>
      <c r="K34" s="1" t="str">
        <f t="shared" si="0"/>
        <v>Fev</v>
      </c>
    </row>
    <row r="35" spans="1:11" x14ac:dyDescent="0.25">
      <c r="A35" s="1">
        <v>32</v>
      </c>
      <c r="B35" s="1" t="s">
        <v>21</v>
      </c>
      <c r="C35" s="1" t="str">
        <f>VLOOKUP(B35,Tabela1[#All],2,FALSE)</f>
        <v>Não Tem</v>
      </c>
      <c r="D35" s="2">
        <f>VLOOKUP(B35,Tabela1[#All],3,FALSE)</f>
        <v>1.5</v>
      </c>
      <c r="E35" s="2">
        <f>VLOOKUP(B35,Tabela1[#All],4,FALSE)</f>
        <v>0.1</v>
      </c>
      <c r="F35" s="1">
        <v>10</v>
      </c>
      <c r="G35" s="1">
        <v>120</v>
      </c>
      <c r="H35" s="1">
        <f>VLOOKUP(B35,Tabela1[#All],5,FALSE)</f>
        <v>180</v>
      </c>
      <c r="I35" s="2">
        <f t="shared" si="1"/>
        <v>15</v>
      </c>
      <c r="J35" s="3">
        <v>45323</v>
      </c>
      <c r="K35" s="1" t="str">
        <f t="shared" si="0"/>
        <v>Fev</v>
      </c>
    </row>
    <row r="36" spans="1:11" x14ac:dyDescent="0.25">
      <c r="A36" s="1">
        <v>33</v>
      </c>
      <c r="B36" s="1" t="s">
        <v>6</v>
      </c>
      <c r="C36" s="1" t="str">
        <f>VLOOKUP(B36,Tabela1[#All],2,FALSE)</f>
        <v>Não Tem</v>
      </c>
      <c r="D36" s="2">
        <f>VLOOKUP(B36,Tabela1[#All],3,FALSE)</f>
        <v>5</v>
      </c>
      <c r="E36" s="2">
        <f>VLOOKUP(B36,Tabela1[#All],4,FALSE)</f>
        <v>3</v>
      </c>
      <c r="F36" s="1">
        <v>10</v>
      </c>
      <c r="G36" s="1">
        <v>120</v>
      </c>
      <c r="H36" s="1">
        <f>VLOOKUP(B36,Tabela1[#All],5,FALSE)</f>
        <v>90</v>
      </c>
      <c r="I36" s="2">
        <f t="shared" si="1"/>
        <v>50</v>
      </c>
      <c r="J36" s="3">
        <v>45352</v>
      </c>
      <c r="K36" s="1" t="str">
        <f t="shared" ref="K36:K67" si="2">PROPER(TEXT(J36,"mmm;"))</f>
        <v>Mar</v>
      </c>
    </row>
    <row r="37" spans="1:11" x14ac:dyDescent="0.25">
      <c r="A37" s="1">
        <v>34</v>
      </c>
      <c r="B37" s="1" t="s">
        <v>7</v>
      </c>
      <c r="C37" s="1" t="str">
        <f>VLOOKUP(B37,Tabela1[#All],2,FALSE)</f>
        <v>Não Tem</v>
      </c>
      <c r="D37" s="2">
        <f>VLOOKUP(B37,Tabela1[#All],3,FALSE)</f>
        <v>2</v>
      </c>
      <c r="E37" s="2">
        <f>VLOOKUP(B37,Tabela1[#All],4,FALSE)</f>
        <v>0.5</v>
      </c>
      <c r="F37" s="1">
        <v>10</v>
      </c>
      <c r="G37" s="1">
        <v>120</v>
      </c>
      <c r="H37" s="1" t="str">
        <f>VLOOKUP(B37,Tabela1[#All],5,FALSE)</f>
        <v>Indeterminado</v>
      </c>
      <c r="I37" s="2">
        <f t="shared" si="1"/>
        <v>20</v>
      </c>
      <c r="J37" s="3">
        <v>45352</v>
      </c>
      <c r="K37" s="1" t="str">
        <f t="shared" si="2"/>
        <v>Mar</v>
      </c>
    </row>
    <row r="38" spans="1:11" x14ac:dyDescent="0.25">
      <c r="A38" s="1">
        <v>35</v>
      </c>
      <c r="B38" s="1" t="s">
        <v>8</v>
      </c>
      <c r="C38" s="1" t="str">
        <f>VLOOKUP(B38,Tabela1[#All],2,FALSE)</f>
        <v>Não Tem</v>
      </c>
      <c r="D38" s="2">
        <f>VLOOKUP(B38,Tabela1[#All],3,FALSE)</f>
        <v>1</v>
      </c>
      <c r="E38" s="2">
        <f>VLOOKUP(B38,Tabela1[#All],4,FALSE)</f>
        <v>0.2</v>
      </c>
      <c r="F38" s="1">
        <v>10</v>
      </c>
      <c r="G38" s="1">
        <v>120</v>
      </c>
      <c r="H38" s="1" t="str">
        <f>VLOOKUP(B38,Tabela1[#All],5,FALSE)</f>
        <v>Indeterminado</v>
      </c>
      <c r="I38" s="2">
        <f t="shared" si="1"/>
        <v>10</v>
      </c>
      <c r="J38" s="3">
        <v>45352</v>
      </c>
      <c r="K38" s="1" t="str">
        <f t="shared" si="2"/>
        <v>Mar</v>
      </c>
    </row>
    <row r="39" spans="1:11" x14ac:dyDescent="0.25">
      <c r="A39" s="1">
        <v>36</v>
      </c>
      <c r="B39" s="1" t="s">
        <v>9</v>
      </c>
      <c r="C39" s="1" t="str">
        <f>VLOOKUP(B39,Tabela1[#All],2,FALSE)</f>
        <v>Não Tem</v>
      </c>
      <c r="D39" s="2">
        <f>VLOOKUP(B39,Tabela1[#All],3,FALSE)</f>
        <v>2000</v>
      </c>
      <c r="E39" s="2">
        <f>VLOOKUP(B39,Tabela1[#All],4,FALSE)</f>
        <v>1000</v>
      </c>
      <c r="F39" s="1">
        <v>10</v>
      </c>
      <c r="G39" s="1">
        <v>120</v>
      </c>
      <c r="H39" s="1" t="str">
        <f>VLOOKUP(B39,Tabela1[#All],5,FALSE)</f>
        <v>Indeterminado</v>
      </c>
      <c r="I39" s="2">
        <f t="shared" si="1"/>
        <v>20000</v>
      </c>
      <c r="J39" s="3">
        <v>45352</v>
      </c>
      <c r="K39" s="1" t="str">
        <f t="shared" si="2"/>
        <v>Mar</v>
      </c>
    </row>
    <row r="40" spans="1:11" x14ac:dyDescent="0.25">
      <c r="A40" s="1">
        <v>37</v>
      </c>
      <c r="B40" s="1" t="s">
        <v>10</v>
      </c>
      <c r="C40" s="1" t="str">
        <f>VLOOKUP(B40,Tabela1[#All],2,FALSE)</f>
        <v>Não Tem</v>
      </c>
      <c r="D40" s="2">
        <f>VLOOKUP(B40,Tabela1[#All],3,FALSE)</f>
        <v>25</v>
      </c>
      <c r="E40" s="2">
        <f>VLOOKUP(B40,Tabela1[#All],4,FALSE)</f>
        <v>12.5</v>
      </c>
      <c r="F40" s="1">
        <v>10</v>
      </c>
      <c r="G40" s="1">
        <v>120</v>
      </c>
      <c r="H40" s="1" t="str">
        <f>VLOOKUP(B40,Tabela1[#All],5,FALSE)</f>
        <v>Indeterminado</v>
      </c>
      <c r="I40" s="2">
        <f t="shared" si="1"/>
        <v>250</v>
      </c>
      <c r="J40" s="3">
        <v>45352</v>
      </c>
      <c r="K40" s="1" t="str">
        <f t="shared" si="2"/>
        <v>Mar</v>
      </c>
    </row>
    <row r="41" spans="1:11" x14ac:dyDescent="0.25">
      <c r="A41" s="1">
        <v>38</v>
      </c>
      <c r="B41" s="1" t="s">
        <v>11</v>
      </c>
      <c r="C41" s="1" t="str">
        <f>VLOOKUP(B41,Tabela1[#All],2,FALSE)</f>
        <v>8,7x4,3x18,6cm</v>
      </c>
      <c r="D41" s="2">
        <f>VLOOKUP(B41,Tabela1[#All],3,FALSE)</f>
        <v>1</v>
      </c>
      <c r="E41" s="2">
        <f>VLOOKUP(B41,Tabela1[#All],4,FALSE)</f>
        <v>0.8</v>
      </c>
      <c r="F41" s="1">
        <v>10</v>
      </c>
      <c r="G41" s="1">
        <v>120</v>
      </c>
      <c r="H41" s="1" t="str">
        <f>VLOOKUP(B41,Tabela1[#All],5,FALSE)</f>
        <v>Indeterminado</v>
      </c>
      <c r="I41" s="2">
        <f t="shared" si="1"/>
        <v>10</v>
      </c>
      <c r="J41" s="3">
        <v>45352</v>
      </c>
      <c r="K41" s="1" t="str">
        <f t="shared" si="2"/>
        <v>Mar</v>
      </c>
    </row>
    <row r="42" spans="1:11" x14ac:dyDescent="0.25">
      <c r="A42" s="1">
        <v>39</v>
      </c>
      <c r="B42" s="1" t="s">
        <v>12</v>
      </c>
      <c r="C42" s="1" t="str">
        <f>VLOOKUP(B42,Tabela1[#All],2,FALSE)</f>
        <v>6,25x12,5x25cm</v>
      </c>
      <c r="D42" s="2">
        <f>VLOOKUP(B42,Tabela1[#All],3,FALSE)</f>
        <v>1.5</v>
      </c>
      <c r="E42" s="2">
        <f>VLOOKUP(B42,Tabela1[#All],4,FALSE)</f>
        <v>0.9</v>
      </c>
      <c r="F42" s="1">
        <v>10</v>
      </c>
      <c r="G42" s="1">
        <v>120</v>
      </c>
      <c r="H42" s="1" t="str">
        <f>VLOOKUP(B42,Tabela1[#All],5,FALSE)</f>
        <v>Indeterminado</v>
      </c>
      <c r="I42" s="2">
        <f t="shared" si="1"/>
        <v>15</v>
      </c>
      <c r="J42" s="3">
        <v>45352</v>
      </c>
      <c r="K42" s="1" t="str">
        <f t="shared" si="2"/>
        <v>Mar</v>
      </c>
    </row>
    <row r="43" spans="1:11" x14ac:dyDescent="0.25">
      <c r="A43" s="1">
        <v>40</v>
      </c>
      <c r="B43" s="1" t="s">
        <v>13</v>
      </c>
      <c r="C43" s="1" t="str">
        <f>VLOOKUP(B43,Tabela1[#All],2,FALSE)</f>
        <v>14x19x39cm</v>
      </c>
      <c r="D43" s="2">
        <f>VLOOKUP(B43,Tabela1[#All],3,FALSE)</f>
        <v>1.8</v>
      </c>
      <c r="E43" s="2">
        <f>VLOOKUP(B43,Tabela1[#All],4,FALSE)</f>
        <v>1</v>
      </c>
      <c r="F43" s="1">
        <v>10</v>
      </c>
      <c r="G43" s="1">
        <v>120</v>
      </c>
      <c r="H43" s="1" t="str">
        <f>VLOOKUP(B43,Tabela1[#All],5,FALSE)</f>
        <v>Indeterminado</v>
      </c>
      <c r="I43" s="2">
        <f t="shared" si="1"/>
        <v>18</v>
      </c>
      <c r="J43" s="3">
        <v>45352</v>
      </c>
      <c r="K43" s="1" t="str">
        <f t="shared" si="2"/>
        <v>Mar</v>
      </c>
    </row>
    <row r="44" spans="1:11" x14ac:dyDescent="0.25">
      <c r="A44" s="1">
        <v>41</v>
      </c>
      <c r="B44" s="1" t="s">
        <v>14</v>
      </c>
      <c r="C44" s="1" t="str">
        <f>VLOOKUP(B44,Tabela1[#All],2,FALSE)</f>
        <v>Não Tem</v>
      </c>
      <c r="D44" s="2">
        <f>VLOOKUP(B44,Tabela1[#All],3,FALSE)</f>
        <v>3.1</v>
      </c>
      <c r="E44" s="2">
        <f>VLOOKUP(B44,Tabela1[#All],4,FALSE)</f>
        <v>2</v>
      </c>
      <c r="F44" s="1">
        <v>10</v>
      </c>
      <c r="G44" s="1">
        <v>120</v>
      </c>
      <c r="H44" s="1">
        <f>VLOOKUP(B44,Tabela1[#All],5,FALSE)</f>
        <v>90</v>
      </c>
      <c r="I44" s="2">
        <f t="shared" si="1"/>
        <v>31</v>
      </c>
      <c r="J44" s="3">
        <v>45352</v>
      </c>
      <c r="K44" s="1" t="str">
        <f t="shared" si="2"/>
        <v>Mar</v>
      </c>
    </row>
    <row r="45" spans="1:11" x14ac:dyDescent="0.25">
      <c r="A45" s="1">
        <v>42</v>
      </c>
      <c r="B45" s="1" t="s">
        <v>15</v>
      </c>
      <c r="C45" s="1" t="str">
        <f>VLOOKUP(B45,Tabela1[#All],2,FALSE)</f>
        <v>Não Tem</v>
      </c>
      <c r="D45" s="2">
        <f>VLOOKUP(B45,Tabela1[#All],3,FALSE)</f>
        <v>12</v>
      </c>
      <c r="E45" s="2">
        <f>VLOOKUP(B45,Tabela1[#All],4,FALSE)</f>
        <v>6</v>
      </c>
      <c r="F45" s="1">
        <v>10</v>
      </c>
      <c r="G45" s="1">
        <v>120</v>
      </c>
      <c r="H45" s="1" t="str">
        <f>VLOOKUP(B45,Tabela1[#All],5,FALSE)</f>
        <v>Indeterminado</v>
      </c>
      <c r="I45" s="2">
        <f t="shared" si="1"/>
        <v>120</v>
      </c>
      <c r="J45" s="3">
        <v>45352</v>
      </c>
      <c r="K45" s="1" t="str">
        <f t="shared" si="2"/>
        <v>Mar</v>
      </c>
    </row>
    <row r="46" spans="1:11" x14ac:dyDescent="0.25">
      <c r="A46" s="1">
        <v>43</v>
      </c>
      <c r="B46" s="1" t="s">
        <v>16</v>
      </c>
      <c r="C46" s="1" t="str">
        <f>VLOOKUP(B46,Tabela1[#All],2,FALSE)</f>
        <v>60x60cm</v>
      </c>
      <c r="D46" s="2">
        <f>VLOOKUP(B46,Tabela1[#All],3,FALSE)</f>
        <v>21</v>
      </c>
      <c r="E46" s="2">
        <f>VLOOKUP(B46,Tabela1[#All],4,FALSE)</f>
        <v>11</v>
      </c>
      <c r="F46" s="1">
        <v>10</v>
      </c>
      <c r="G46" s="1">
        <v>120</v>
      </c>
      <c r="H46" s="1" t="str">
        <f>VLOOKUP(B46,Tabela1[#All],5,FALSE)</f>
        <v>Indeterminado</v>
      </c>
      <c r="I46" s="2">
        <f t="shared" si="1"/>
        <v>210</v>
      </c>
      <c r="J46" s="3">
        <v>45352</v>
      </c>
      <c r="K46" s="1" t="str">
        <f t="shared" si="2"/>
        <v>Mar</v>
      </c>
    </row>
    <row r="47" spans="1:11" x14ac:dyDescent="0.25">
      <c r="A47" s="1">
        <v>44</v>
      </c>
      <c r="B47" s="1" t="s">
        <v>17</v>
      </c>
      <c r="C47" s="1" t="str">
        <f>VLOOKUP(B47,Tabela1[#All],2,FALSE)</f>
        <v>Não Tem</v>
      </c>
      <c r="D47" s="2">
        <f>VLOOKUP(B47,Tabela1[#All],3,FALSE)</f>
        <v>50</v>
      </c>
      <c r="E47" s="2">
        <f>VLOOKUP(B47,Tabela1[#All],4,FALSE)</f>
        <v>40</v>
      </c>
      <c r="F47" s="1">
        <v>10</v>
      </c>
      <c r="G47" s="1">
        <v>120</v>
      </c>
      <c r="H47" s="1" t="str">
        <f>VLOOKUP(B47,Tabela1[#All],5,FALSE)</f>
        <v>Indeterminado</v>
      </c>
      <c r="I47" s="2">
        <f t="shared" si="1"/>
        <v>500</v>
      </c>
      <c r="J47" s="3">
        <v>45352</v>
      </c>
      <c r="K47" s="1" t="str">
        <f t="shared" si="2"/>
        <v>Mar</v>
      </c>
    </row>
    <row r="48" spans="1:11" x14ac:dyDescent="0.25">
      <c r="A48" s="1">
        <v>45</v>
      </c>
      <c r="B48" s="1" t="s">
        <v>18</v>
      </c>
      <c r="C48" s="1" t="str">
        <f>VLOOKUP(B48,Tabela1[#All],2,FALSE)</f>
        <v>Não Tem</v>
      </c>
      <c r="D48" s="2">
        <f>VLOOKUP(B48,Tabela1[#All],3,FALSE)</f>
        <v>52.9</v>
      </c>
      <c r="E48" s="2">
        <f>VLOOKUP(B48,Tabela1[#All],4,FALSE)</f>
        <v>25</v>
      </c>
      <c r="F48" s="1">
        <v>10</v>
      </c>
      <c r="G48" s="1">
        <v>120</v>
      </c>
      <c r="H48" s="1">
        <f>VLOOKUP(B48,Tabela1[#All],5,FALSE)</f>
        <v>90</v>
      </c>
      <c r="I48" s="2">
        <f t="shared" si="1"/>
        <v>529</v>
      </c>
      <c r="J48" s="3">
        <v>45352</v>
      </c>
      <c r="K48" s="1" t="str">
        <f t="shared" si="2"/>
        <v>Mar</v>
      </c>
    </row>
    <row r="49" spans="1:11" x14ac:dyDescent="0.25">
      <c r="A49" s="1">
        <v>46</v>
      </c>
      <c r="B49" s="1" t="s">
        <v>19</v>
      </c>
      <c r="C49" s="1" t="str">
        <f>VLOOKUP(B49,Tabela1[#All],2,FALSE)</f>
        <v>Não Tem</v>
      </c>
      <c r="D49" s="2">
        <f>VLOOKUP(B49,Tabela1[#All],3,FALSE)</f>
        <v>15.9</v>
      </c>
      <c r="E49" s="2">
        <f>VLOOKUP(B49,Tabela1[#All],4,FALSE)</f>
        <v>8</v>
      </c>
      <c r="F49" s="1">
        <v>10</v>
      </c>
      <c r="G49" s="1">
        <v>120</v>
      </c>
      <c r="H49" s="1">
        <f>VLOOKUP(B49,Tabela1[#All],5,FALSE)</f>
        <v>90</v>
      </c>
      <c r="I49" s="2">
        <f t="shared" si="1"/>
        <v>159</v>
      </c>
      <c r="J49" s="3">
        <v>45352</v>
      </c>
      <c r="K49" s="1" t="str">
        <f t="shared" si="2"/>
        <v>Mar</v>
      </c>
    </row>
    <row r="50" spans="1:11" x14ac:dyDescent="0.25">
      <c r="A50" s="1">
        <v>47</v>
      </c>
      <c r="B50" s="1" t="s">
        <v>20</v>
      </c>
      <c r="C50" s="1" t="str">
        <f>VLOOKUP(B50,Tabela1[#All],2,FALSE)</f>
        <v>Não Tem</v>
      </c>
      <c r="D50" s="2">
        <f>VLOOKUP(B50,Tabela1[#All],3,FALSE)</f>
        <v>1.9</v>
      </c>
      <c r="E50" s="2">
        <f>VLOOKUP(B50,Tabela1[#All],4,FALSE)</f>
        <v>0.2</v>
      </c>
      <c r="F50" s="1">
        <v>10</v>
      </c>
      <c r="G50" s="1">
        <v>120</v>
      </c>
      <c r="H50" s="1">
        <f>VLOOKUP(B50,Tabela1[#All],5,FALSE)</f>
        <v>120</v>
      </c>
      <c r="I50" s="2">
        <f t="shared" si="1"/>
        <v>19</v>
      </c>
      <c r="J50" s="3">
        <v>45352</v>
      </c>
      <c r="K50" s="1" t="str">
        <f t="shared" si="2"/>
        <v>Mar</v>
      </c>
    </row>
    <row r="51" spans="1:11" x14ac:dyDescent="0.25">
      <c r="A51" s="1">
        <v>48</v>
      </c>
      <c r="B51" s="1" t="s">
        <v>21</v>
      </c>
      <c r="C51" s="1" t="str">
        <f>VLOOKUP(B51,Tabela1[#All],2,FALSE)</f>
        <v>Não Tem</v>
      </c>
      <c r="D51" s="2">
        <f>VLOOKUP(B51,Tabela1[#All],3,FALSE)</f>
        <v>1.5</v>
      </c>
      <c r="E51" s="2">
        <f>VLOOKUP(B51,Tabela1[#All],4,FALSE)</f>
        <v>0.1</v>
      </c>
      <c r="F51" s="1">
        <v>10</v>
      </c>
      <c r="G51" s="1">
        <v>120</v>
      </c>
      <c r="H51" s="1">
        <f>VLOOKUP(B51,Tabela1[#All],5,FALSE)</f>
        <v>180</v>
      </c>
      <c r="I51" s="2">
        <f t="shared" si="1"/>
        <v>15</v>
      </c>
      <c r="J51" s="3">
        <v>45352</v>
      </c>
      <c r="K51" s="1" t="str">
        <f t="shared" si="2"/>
        <v>Mar</v>
      </c>
    </row>
    <row r="52" spans="1:11" x14ac:dyDescent="0.25">
      <c r="A52" s="1">
        <v>49</v>
      </c>
      <c r="B52" s="1" t="s">
        <v>6</v>
      </c>
      <c r="C52" s="1" t="str">
        <f>VLOOKUP(B52,Tabela1[#All],2,FALSE)</f>
        <v>Não Tem</v>
      </c>
      <c r="D52" s="2">
        <f>VLOOKUP(B52,Tabela1[#All],3,FALSE)</f>
        <v>5</v>
      </c>
      <c r="E52" s="2">
        <f>VLOOKUP(B52,Tabela1[#All],4,FALSE)</f>
        <v>3</v>
      </c>
      <c r="F52" s="1">
        <v>5</v>
      </c>
      <c r="G52" s="1">
        <v>120</v>
      </c>
      <c r="H52" s="1">
        <f>VLOOKUP(B52,Tabela1[#All],5,FALSE)</f>
        <v>90</v>
      </c>
      <c r="I52" s="2">
        <f t="shared" si="1"/>
        <v>25</v>
      </c>
      <c r="J52" s="3">
        <v>45383</v>
      </c>
      <c r="K52" s="1" t="str">
        <f t="shared" si="2"/>
        <v>Abr</v>
      </c>
    </row>
    <row r="53" spans="1:11" x14ac:dyDescent="0.25">
      <c r="A53" s="1">
        <v>50</v>
      </c>
      <c r="B53" s="1" t="s">
        <v>7</v>
      </c>
      <c r="C53" s="1" t="str">
        <f>VLOOKUP(B53,Tabela1[#All],2,FALSE)</f>
        <v>Não Tem</v>
      </c>
      <c r="D53" s="2">
        <f>VLOOKUP(B53,Tabela1[#All],3,FALSE)</f>
        <v>2</v>
      </c>
      <c r="E53" s="2">
        <f>VLOOKUP(B53,Tabela1[#All],4,FALSE)</f>
        <v>0.5</v>
      </c>
      <c r="F53" s="1">
        <v>5</v>
      </c>
      <c r="G53" s="1">
        <v>120</v>
      </c>
      <c r="H53" s="1" t="str">
        <f>VLOOKUP(B53,Tabela1[#All],5,FALSE)</f>
        <v>Indeterminado</v>
      </c>
      <c r="I53" s="2">
        <f t="shared" si="1"/>
        <v>10</v>
      </c>
      <c r="J53" s="3">
        <v>45383</v>
      </c>
      <c r="K53" s="1" t="str">
        <f t="shared" si="2"/>
        <v>Abr</v>
      </c>
    </row>
    <row r="54" spans="1:11" x14ac:dyDescent="0.25">
      <c r="A54" s="1">
        <v>51</v>
      </c>
      <c r="B54" s="1" t="s">
        <v>8</v>
      </c>
      <c r="C54" s="1" t="str">
        <f>VLOOKUP(B54,Tabela1[#All],2,FALSE)</f>
        <v>Não Tem</v>
      </c>
      <c r="D54" s="2">
        <f>VLOOKUP(B54,Tabela1[#All],3,FALSE)</f>
        <v>1</v>
      </c>
      <c r="E54" s="2">
        <f>VLOOKUP(B54,Tabela1[#All],4,FALSE)</f>
        <v>0.2</v>
      </c>
      <c r="F54" s="1">
        <v>5</v>
      </c>
      <c r="G54" s="1">
        <v>120</v>
      </c>
      <c r="H54" s="1" t="str">
        <f>VLOOKUP(B54,Tabela1[#All],5,FALSE)</f>
        <v>Indeterminado</v>
      </c>
      <c r="I54" s="2">
        <f t="shared" si="1"/>
        <v>5</v>
      </c>
      <c r="J54" s="3">
        <v>45383</v>
      </c>
      <c r="K54" s="1" t="str">
        <f t="shared" si="2"/>
        <v>Abr</v>
      </c>
    </row>
    <row r="55" spans="1:11" x14ac:dyDescent="0.25">
      <c r="A55" s="1">
        <v>52</v>
      </c>
      <c r="B55" s="1" t="s">
        <v>9</v>
      </c>
      <c r="C55" s="1" t="str">
        <f>VLOOKUP(B55,Tabela1[#All],2,FALSE)</f>
        <v>Não Tem</v>
      </c>
      <c r="D55" s="2">
        <f>VLOOKUP(B55,Tabela1[#All],3,FALSE)</f>
        <v>2000</v>
      </c>
      <c r="E55" s="2">
        <f>VLOOKUP(B55,Tabela1[#All],4,FALSE)</f>
        <v>1000</v>
      </c>
      <c r="F55" s="1">
        <v>5</v>
      </c>
      <c r="G55" s="1">
        <v>120</v>
      </c>
      <c r="H55" s="1" t="str">
        <f>VLOOKUP(B55,Tabela1[#All],5,FALSE)</f>
        <v>Indeterminado</v>
      </c>
      <c r="I55" s="2">
        <f t="shared" si="1"/>
        <v>10000</v>
      </c>
      <c r="J55" s="3">
        <v>45383</v>
      </c>
      <c r="K55" s="1" t="str">
        <f t="shared" si="2"/>
        <v>Abr</v>
      </c>
    </row>
    <row r="56" spans="1:11" x14ac:dyDescent="0.25">
      <c r="A56" s="1">
        <v>53</v>
      </c>
      <c r="B56" s="1" t="s">
        <v>10</v>
      </c>
      <c r="C56" s="1" t="str">
        <f>VLOOKUP(B56,Tabela1[#All],2,FALSE)</f>
        <v>Não Tem</v>
      </c>
      <c r="D56" s="2">
        <f>VLOOKUP(B56,Tabela1[#All],3,FALSE)</f>
        <v>25</v>
      </c>
      <c r="E56" s="2">
        <f>VLOOKUP(B56,Tabela1[#All],4,FALSE)</f>
        <v>12.5</v>
      </c>
      <c r="F56" s="1">
        <v>5</v>
      </c>
      <c r="G56" s="1">
        <v>120</v>
      </c>
      <c r="H56" s="1" t="str">
        <f>VLOOKUP(B56,Tabela1[#All],5,FALSE)</f>
        <v>Indeterminado</v>
      </c>
      <c r="I56" s="2">
        <f t="shared" si="1"/>
        <v>125</v>
      </c>
      <c r="J56" s="3">
        <v>45383</v>
      </c>
      <c r="K56" s="1" t="str">
        <f t="shared" si="2"/>
        <v>Abr</v>
      </c>
    </row>
    <row r="57" spans="1:11" x14ac:dyDescent="0.25">
      <c r="A57" s="1">
        <v>54</v>
      </c>
      <c r="B57" s="1" t="s">
        <v>11</v>
      </c>
      <c r="C57" s="1" t="str">
        <f>VLOOKUP(B57,Tabela1[#All],2,FALSE)</f>
        <v>8,7x4,3x18,6cm</v>
      </c>
      <c r="D57" s="2">
        <f>VLOOKUP(B57,Tabela1[#All],3,FALSE)</f>
        <v>1</v>
      </c>
      <c r="E57" s="2">
        <f>VLOOKUP(B57,Tabela1[#All],4,FALSE)</f>
        <v>0.8</v>
      </c>
      <c r="F57" s="1">
        <v>5</v>
      </c>
      <c r="G57" s="1">
        <v>120</v>
      </c>
      <c r="H57" s="1" t="str">
        <f>VLOOKUP(B57,Tabela1[#All],5,FALSE)</f>
        <v>Indeterminado</v>
      </c>
      <c r="I57" s="2">
        <f t="shared" si="1"/>
        <v>5</v>
      </c>
      <c r="J57" s="3">
        <v>45383</v>
      </c>
      <c r="K57" s="1" t="str">
        <f t="shared" si="2"/>
        <v>Abr</v>
      </c>
    </row>
    <row r="58" spans="1:11" x14ac:dyDescent="0.25">
      <c r="A58" s="1">
        <v>55</v>
      </c>
      <c r="B58" s="1" t="s">
        <v>12</v>
      </c>
      <c r="C58" s="1" t="str">
        <f>VLOOKUP(B58,Tabela1[#All],2,FALSE)</f>
        <v>6,25x12,5x25cm</v>
      </c>
      <c r="D58" s="2">
        <f>VLOOKUP(B58,Tabela1[#All],3,FALSE)</f>
        <v>1.5</v>
      </c>
      <c r="E58" s="2">
        <f>VLOOKUP(B58,Tabela1[#All],4,FALSE)</f>
        <v>0.9</v>
      </c>
      <c r="F58" s="1">
        <v>5</v>
      </c>
      <c r="G58" s="1">
        <v>120</v>
      </c>
      <c r="H58" s="1" t="str">
        <f>VLOOKUP(B58,Tabela1[#All],5,FALSE)</f>
        <v>Indeterminado</v>
      </c>
      <c r="I58" s="2">
        <f t="shared" si="1"/>
        <v>7.5</v>
      </c>
      <c r="J58" s="3">
        <v>45383</v>
      </c>
      <c r="K58" s="1" t="str">
        <f t="shared" si="2"/>
        <v>Abr</v>
      </c>
    </row>
    <row r="59" spans="1:11" x14ac:dyDescent="0.25">
      <c r="A59" s="1">
        <v>56</v>
      </c>
      <c r="B59" s="1" t="s">
        <v>13</v>
      </c>
      <c r="C59" s="1" t="str">
        <f>VLOOKUP(B59,Tabela1[#All],2,FALSE)</f>
        <v>14x19x39cm</v>
      </c>
      <c r="D59" s="2">
        <f>VLOOKUP(B59,Tabela1[#All],3,FALSE)</f>
        <v>1.8</v>
      </c>
      <c r="E59" s="2">
        <f>VLOOKUP(B59,Tabela1[#All],4,FALSE)</f>
        <v>1</v>
      </c>
      <c r="F59" s="1">
        <v>5</v>
      </c>
      <c r="G59" s="1">
        <v>120</v>
      </c>
      <c r="H59" s="1" t="str">
        <f>VLOOKUP(B59,Tabela1[#All],5,FALSE)</f>
        <v>Indeterminado</v>
      </c>
      <c r="I59" s="2">
        <f t="shared" si="1"/>
        <v>9</v>
      </c>
      <c r="J59" s="3">
        <v>45383</v>
      </c>
      <c r="K59" s="1" t="str">
        <f t="shared" si="2"/>
        <v>Abr</v>
      </c>
    </row>
    <row r="60" spans="1:11" x14ac:dyDescent="0.25">
      <c r="A60" s="1">
        <v>57</v>
      </c>
      <c r="B60" s="1" t="s">
        <v>14</v>
      </c>
      <c r="C60" s="1" t="str">
        <f>VLOOKUP(B60,Tabela1[#All],2,FALSE)</f>
        <v>Não Tem</v>
      </c>
      <c r="D60" s="2">
        <f>VLOOKUP(B60,Tabela1[#All],3,FALSE)</f>
        <v>3.1</v>
      </c>
      <c r="E60" s="2">
        <f>VLOOKUP(B60,Tabela1[#All],4,FALSE)</f>
        <v>2</v>
      </c>
      <c r="F60" s="1">
        <v>5</v>
      </c>
      <c r="G60" s="1">
        <v>120</v>
      </c>
      <c r="H60" s="1">
        <f>VLOOKUP(B60,Tabela1[#All],5,FALSE)</f>
        <v>90</v>
      </c>
      <c r="I60" s="2">
        <f t="shared" si="1"/>
        <v>15.5</v>
      </c>
      <c r="J60" s="3">
        <v>45383</v>
      </c>
      <c r="K60" s="1" t="str">
        <f t="shared" si="2"/>
        <v>Abr</v>
      </c>
    </row>
    <row r="61" spans="1:11" x14ac:dyDescent="0.25">
      <c r="A61" s="1">
        <v>58</v>
      </c>
      <c r="B61" s="1" t="s">
        <v>15</v>
      </c>
      <c r="C61" s="1" t="str">
        <f>VLOOKUP(B61,Tabela1[#All],2,FALSE)</f>
        <v>Não Tem</v>
      </c>
      <c r="D61" s="2">
        <f>VLOOKUP(B61,Tabela1[#All],3,FALSE)</f>
        <v>12</v>
      </c>
      <c r="E61" s="2">
        <f>VLOOKUP(B61,Tabela1[#All],4,FALSE)</f>
        <v>6</v>
      </c>
      <c r="F61" s="1">
        <v>5</v>
      </c>
      <c r="G61" s="1">
        <v>120</v>
      </c>
      <c r="H61" s="1" t="str">
        <f>VLOOKUP(B61,Tabela1[#All],5,FALSE)</f>
        <v>Indeterminado</v>
      </c>
      <c r="I61" s="2">
        <f t="shared" si="1"/>
        <v>60</v>
      </c>
      <c r="J61" s="3">
        <v>45383</v>
      </c>
      <c r="K61" s="1" t="str">
        <f t="shared" si="2"/>
        <v>Abr</v>
      </c>
    </row>
    <row r="62" spans="1:11" x14ac:dyDescent="0.25">
      <c r="A62" s="1">
        <v>59</v>
      </c>
      <c r="B62" s="1" t="s">
        <v>16</v>
      </c>
      <c r="C62" s="1" t="str">
        <f>VLOOKUP(B62,Tabela1[#All],2,FALSE)</f>
        <v>60x60cm</v>
      </c>
      <c r="D62" s="2">
        <f>VLOOKUP(B62,Tabela1[#All],3,FALSE)</f>
        <v>21</v>
      </c>
      <c r="E62" s="2">
        <f>VLOOKUP(B62,Tabela1[#All],4,FALSE)</f>
        <v>11</v>
      </c>
      <c r="F62" s="1">
        <v>5</v>
      </c>
      <c r="G62" s="1">
        <v>120</v>
      </c>
      <c r="H62" s="1" t="str">
        <f>VLOOKUP(B62,Tabela1[#All],5,FALSE)</f>
        <v>Indeterminado</v>
      </c>
      <c r="I62" s="2">
        <f t="shared" si="1"/>
        <v>105</v>
      </c>
      <c r="J62" s="3">
        <v>45383</v>
      </c>
      <c r="K62" s="1" t="str">
        <f t="shared" si="2"/>
        <v>Abr</v>
      </c>
    </row>
    <row r="63" spans="1:11" x14ac:dyDescent="0.25">
      <c r="A63" s="1">
        <v>60</v>
      </c>
      <c r="B63" s="1" t="s">
        <v>17</v>
      </c>
      <c r="C63" s="1" t="str">
        <f>VLOOKUP(B63,Tabela1[#All],2,FALSE)</f>
        <v>Não Tem</v>
      </c>
      <c r="D63" s="2">
        <f>VLOOKUP(B63,Tabela1[#All],3,FALSE)</f>
        <v>50</v>
      </c>
      <c r="E63" s="2">
        <f>VLOOKUP(B63,Tabela1[#All],4,FALSE)</f>
        <v>40</v>
      </c>
      <c r="F63" s="1">
        <v>5</v>
      </c>
      <c r="G63" s="1">
        <v>120</v>
      </c>
      <c r="H63" s="1" t="str">
        <f>VLOOKUP(B63,Tabela1[#All],5,FALSE)</f>
        <v>Indeterminado</v>
      </c>
      <c r="I63" s="2">
        <f t="shared" si="1"/>
        <v>250</v>
      </c>
      <c r="J63" s="3">
        <v>45383</v>
      </c>
      <c r="K63" s="1" t="str">
        <f t="shared" si="2"/>
        <v>Abr</v>
      </c>
    </row>
    <row r="64" spans="1:11" x14ac:dyDescent="0.25">
      <c r="A64" s="1">
        <v>61</v>
      </c>
      <c r="B64" s="1" t="s">
        <v>18</v>
      </c>
      <c r="C64" s="1" t="str">
        <f>VLOOKUP(B64,Tabela1[#All],2,FALSE)</f>
        <v>Não Tem</v>
      </c>
      <c r="D64" s="2">
        <f>VLOOKUP(B64,Tabela1[#All],3,FALSE)</f>
        <v>52.9</v>
      </c>
      <c r="E64" s="2">
        <f>VLOOKUP(B64,Tabela1[#All],4,FALSE)</f>
        <v>25</v>
      </c>
      <c r="F64" s="1">
        <v>5</v>
      </c>
      <c r="G64" s="1">
        <v>120</v>
      </c>
      <c r="H64" s="1">
        <f>VLOOKUP(B64,Tabela1[#All],5,FALSE)</f>
        <v>90</v>
      </c>
      <c r="I64" s="2">
        <f t="shared" si="1"/>
        <v>264.5</v>
      </c>
      <c r="J64" s="3">
        <v>45383</v>
      </c>
      <c r="K64" s="1" t="str">
        <f t="shared" si="2"/>
        <v>Abr</v>
      </c>
    </row>
    <row r="65" spans="1:11" x14ac:dyDescent="0.25">
      <c r="A65" s="1">
        <v>62</v>
      </c>
      <c r="B65" s="1" t="s">
        <v>19</v>
      </c>
      <c r="C65" s="1" t="str">
        <f>VLOOKUP(B65,Tabela1[#All],2,FALSE)</f>
        <v>Não Tem</v>
      </c>
      <c r="D65" s="2">
        <f>VLOOKUP(B65,Tabela1[#All],3,FALSE)</f>
        <v>15.9</v>
      </c>
      <c r="E65" s="2">
        <f>VLOOKUP(B65,Tabela1[#All],4,FALSE)</f>
        <v>8</v>
      </c>
      <c r="F65" s="1">
        <v>5</v>
      </c>
      <c r="G65" s="1">
        <v>120</v>
      </c>
      <c r="H65" s="1">
        <f>VLOOKUP(B65,Tabela1[#All],5,FALSE)</f>
        <v>90</v>
      </c>
      <c r="I65" s="2">
        <f t="shared" si="1"/>
        <v>79.5</v>
      </c>
      <c r="J65" s="3">
        <v>45383</v>
      </c>
      <c r="K65" s="1" t="str">
        <f t="shared" si="2"/>
        <v>Abr</v>
      </c>
    </row>
    <row r="66" spans="1:11" x14ac:dyDescent="0.25">
      <c r="A66" s="1">
        <v>63</v>
      </c>
      <c r="B66" s="1" t="s">
        <v>20</v>
      </c>
      <c r="C66" s="1" t="str">
        <f>VLOOKUP(B66,Tabela1[#All],2,FALSE)</f>
        <v>Não Tem</v>
      </c>
      <c r="D66" s="2">
        <f>VLOOKUP(B66,Tabela1[#All],3,FALSE)</f>
        <v>1.9</v>
      </c>
      <c r="E66" s="2">
        <f>VLOOKUP(B66,Tabela1[#All],4,FALSE)</f>
        <v>0.2</v>
      </c>
      <c r="F66" s="1">
        <v>5</v>
      </c>
      <c r="G66" s="1">
        <v>120</v>
      </c>
      <c r="H66" s="1">
        <f>VLOOKUP(B66,Tabela1[#All],5,FALSE)</f>
        <v>120</v>
      </c>
      <c r="I66" s="2">
        <f t="shared" si="1"/>
        <v>9.5</v>
      </c>
      <c r="J66" s="3">
        <v>45383</v>
      </c>
      <c r="K66" s="1" t="str">
        <f t="shared" si="2"/>
        <v>Abr</v>
      </c>
    </row>
    <row r="67" spans="1:11" x14ac:dyDescent="0.25">
      <c r="A67" s="1">
        <v>64</v>
      </c>
      <c r="B67" s="1" t="s">
        <v>21</v>
      </c>
      <c r="C67" s="1" t="str">
        <f>VLOOKUP(B67,Tabela1[#All],2,FALSE)</f>
        <v>Não Tem</v>
      </c>
      <c r="D67" s="2">
        <f>VLOOKUP(B67,Tabela1[#All],3,FALSE)</f>
        <v>1.5</v>
      </c>
      <c r="E67" s="2">
        <f>VLOOKUP(B67,Tabela1[#All],4,FALSE)</f>
        <v>0.1</v>
      </c>
      <c r="F67" s="1">
        <v>5</v>
      </c>
      <c r="G67" s="1">
        <v>120</v>
      </c>
      <c r="H67" s="1">
        <f>VLOOKUP(B67,Tabela1[#All],5,FALSE)</f>
        <v>180</v>
      </c>
      <c r="I67" s="2">
        <f t="shared" si="1"/>
        <v>7.5</v>
      </c>
      <c r="J67" s="3">
        <v>45383</v>
      </c>
      <c r="K67" s="1" t="str">
        <f t="shared" si="2"/>
        <v>Abr</v>
      </c>
    </row>
    <row r="68" spans="1:11" x14ac:dyDescent="0.25">
      <c r="A68" s="1">
        <v>65</v>
      </c>
      <c r="B68" s="1" t="s">
        <v>6</v>
      </c>
      <c r="C68" s="1" t="str">
        <f>VLOOKUP(B68,Tabela1[#All],2,FALSE)</f>
        <v>Não Tem</v>
      </c>
      <c r="D68" s="2">
        <f>VLOOKUP(B68,Tabela1[#All],3,FALSE)</f>
        <v>5</v>
      </c>
      <c r="E68" s="2">
        <f>VLOOKUP(B68,Tabela1[#All],4,FALSE)</f>
        <v>3</v>
      </c>
      <c r="F68" s="1">
        <v>5</v>
      </c>
      <c r="G68" s="1">
        <v>120</v>
      </c>
      <c r="H68" s="1">
        <f>VLOOKUP(B68,Tabela1[#All],5,FALSE)</f>
        <v>90</v>
      </c>
      <c r="I68" s="2">
        <f t="shared" si="1"/>
        <v>25</v>
      </c>
      <c r="J68" s="3">
        <v>45413</v>
      </c>
      <c r="K68" s="1" t="str">
        <f t="shared" ref="K68:K89" si="3">PROPER(TEXT(J68,"mmm;"))</f>
        <v>Mai</v>
      </c>
    </row>
    <row r="69" spans="1:11" x14ac:dyDescent="0.25">
      <c r="A69" s="1">
        <v>66</v>
      </c>
      <c r="B69" s="1" t="s">
        <v>7</v>
      </c>
      <c r="C69" s="1" t="str">
        <f>VLOOKUP(B69,Tabela1[#All],2,FALSE)</f>
        <v>Não Tem</v>
      </c>
      <c r="D69" s="2">
        <f>VLOOKUP(B69,Tabela1[#All],3,FALSE)</f>
        <v>2</v>
      </c>
      <c r="E69" s="2">
        <f>VLOOKUP(B69,Tabela1[#All],4,FALSE)</f>
        <v>0.5</v>
      </c>
      <c r="F69" s="1">
        <v>5</v>
      </c>
      <c r="G69" s="1">
        <v>120</v>
      </c>
      <c r="H69" s="1" t="str">
        <f>VLOOKUP(B69,Tabela1[#All],5,FALSE)</f>
        <v>Indeterminado</v>
      </c>
      <c r="I69" s="2">
        <f t="shared" ref="I69:I89" si="4">D69*F69</f>
        <v>10</v>
      </c>
      <c r="J69" s="3">
        <v>45413</v>
      </c>
      <c r="K69" s="1" t="str">
        <f t="shared" si="3"/>
        <v>Mai</v>
      </c>
    </row>
    <row r="70" spans="1:11" x14ac:dyDescent="0.25">
      <c r="A70" s="1">
        <v>67</v>
      </c>
      <c r="B70" s="1" t="s">
        <v>8</v>
      </c>
      <c r="C70" s="1" t="str">
        <f>VLOOKUP(B70,Tabela1[#All],2,FALSE)</f>
        <v>Não Tem</v>
      </c>
      <c r="D70" s="2">
        <f>VLOOKUP(B70,Tabela1[#All],3,FALSE)</f>
        <v>1</v>
      </c>
      <c r="E70" s="2">
        <f>VLOOKUP(B70,Tabela1[#All],4,FALSE)</f>
        <v>0.2</v>
      </c>
      <c r="F70" s="1">
        <v>5</v>
      </c>
      <c r="G70" s="1">
        <v>120</v>
      </c>
      <c r="H70" s="1" t="str">
        <f>VLOOKUP(B70,Tabela1[#All],5,FALSE)</f>
        <v>Indeterminado</v>
      </c>
      <c r="I70" s="2">
        <f t="shared" si="4"/>
        <v>5</v>
      </c>
      <c r="J70" s="3">
        <v>45413</v>
      </c>
      <c r="K70" s="1" t="str">
        <f t="shared" si="3"/>
        <v>Mai</v>
      </c>
    </row>
    <row r="71" spans="1:11" x14ac:dyDescent="0.25">
      <c r="A71" s="1">
        <v>68</v>
      </c>
      <c r="B71" s="1" t="s">
        <v>17</v>
      </c>
      <c r="C71" s="1" t="str">
        <f>VLOOKUP(B71,Tabela1[#All],2,FALSE)</f>
        <v>Não Tem</v>
      </c>
      <c r="D71" s="2">
        <f>VLOOKUP(B71,Tabela1[#All],3,FALSE)</f>
        <v>50</v>
      </c>
      <c r="E71" s="2">
        <f>VLOOKUP(B71,Tabela1[#All],4,FALSE)</f>
        <v>40</v>
      </c>
      <c r="F71" s="1">
        <v>5</v>
      </c>
      <c r="G71" s="1">
        <v>120</v>
      </c>
      <c r="H71" s="1" t="str">
        <f>VLOOKUP(B71,Tabela1[#All],5,FALSE)</f>
        <v>Indeterminado</v>
      </c>
      <c r="I71" s="2">
        <f t="shared" si="4"/>
        <v>250</v>
      </c>
      <c r="J71" s="3">
        <v>45444</v>
      </c>
      <c r="K71" s="1" t="str">
        <f t="shared" si="3"/>
        <v>Jun</v>
      </c>
    </row>
    <row r="72" spans="1:11" x14ac:dyDescent="0.25">
      <c r="A72" s="1">
        <v>69</v>
      </c>
      <c r="B72" s="1" t="s">
        <v>18</v>
      </c>
      <c r="C72" s="1" t="str">
        <f>VLOOKUP(B72,Tabela1[#All],2,FALSE)</f>
        <v>Não Tem</v>
      </c>
      <c r="D72" s="2">
        <f>VLOOKUP(B72,Tabela1[#All],3,FALSE)</f>
        <v>52.9</v>
      </c>
      <c r="E72" s="2">
        <f>VLOOKUP(B72,Tabela1[#All],4,FALSE)</f>
        <v>25</v>
      </c>
      <c r="F72" s="1">
        <v>5</v>
      </c>
      <c r="G72" s="1">
        <v>120</v>
      </c>
      <c r="H72" s="1">
        <f>VLOOKUP(B72,Tabela1[#All],5,FALSE)</f>
        <v>90</v>
      </c>
      <c r="I72" s="2">
        <f t="shared" si="4"/>
        <v>264.5</v>
      </c>
      <c r="J72" s="3">
        <v>45444</v>
      </c>
      <c r="K72" s="1" t="str">
        <f t="shared" si="3"/>
        <v>Jun</v>
      </c>
    </row>
    <row r="73" spans="1:11" x14ac:dyDescent="0.25">
      <c r="A73" s="1">
        <v>70</v>
      </c>
      <c r="B73" s="1" t="s">
        <v>19</v>
      </c>
      <c r="C73" s="1" t="str">
        <f>VLOOKUP(B73,Tabela1[#All],2,FALSE)</f>
        <v>Não Tem</v>
      </c>
      <c r="D73" s="2">
        <f>VLOOKUP(B73,Tabela1[#All],3,FALSE)</f>
        <v>15.9</v>
      </c>
      <c r="E73" s="2">
        <f>VLOOKUP(B73,Tabela1[#All],4,FALSE)</f>
        <v>8</v>
      </c>
      <c r="F73" s="1">
        <v>5</v>
      </c>
      <c r="G73" s="1">
        <v>120</v>
      </c>
      <c r="H73" s="1">
        <f>VLOOKUP(B73,Tabela1[#All],5,FALSE)</f>
        <v>90</v>
      </c>
      <c r="I73" s="2">
        <f t="shared" si="4"/>
        <v>79.5</v>
      </c>
      <c r="J73" s="3">
        <v>45444</v>
      </c>
      <c r="K73" s="1" t="str">
        <f t="shared" si="3"/>
        <v>Jun</v>
      </c>
    </row>
    <row r="74" spans="1:11" x14ac:dyDescent="0.25">
      <c r="A74" s="1">
        <v>71</v>
      </c>
      <c r="B74" s="1" t="s">
        <v>10</v>
      </c>
      <c r="C74" s="1" t="str">
        <f>VLOOKUP(B74,Tabela1[#All],2,FALSE)</f>
        <v>Não Tem</v>
      </c>
      <c r="D74" s="2">
        <f>VLOOKUP(B74,Tabela1[#All],3,FALSE)</f>
        <v>25</v>
      </c>
      <c r="E74" s="2">
        <f>VLOOKUP(B74,Tabela1[#All],4,FALSE)</f>
        <v>12.5</v>
      </c>
      <c r="F74" s="1">
        <v>5</v>
      </c>
      <c r="G74" s="1">
        <v>120</v>
      </c>
      <c r="H74" s="1" t="str">
        <f>VLOOKUP(B74,Tabela1[#All],5,FALSE)</f>
        <v>Indeterminado</v>
      </c>
      <c r="I74" s="2">
        <f t="shared" si="4"/>
        <v>125</v>
      </c>
      <c r="J74" s="3">
        <v>45474</v>
      </c>
      <c r="K74" s="1" t="str">
        <f t="shared" si="3"/>
        <v>Jul</v>
      </c>
    </row>
    <row r="75" spans="1:11" x14ac:dyDescent="0.25">
      <c r="A75" s="1">
        <v>72</v>
      </c>
      <c r="B75" s="1" t="s">
        <v>14</v>
      </c>
      <c r="C75" s="1" t="str">
        <f>VLOOKUP(B75,Tabela1[#All],2,FALSE)</f>
        <v>Não Tem</v>
      </c>
      <c r="D75" s="2">
        <f>VLOOKUP(B75,Tabela1[#All],3,FALSE)</f>
        <v>3.1</v>
      </c>
      <c r="E75" s="2">
        <f>VLOOKUP(B75,Tabela1[#All],4,FALSE)</f>
        <v>2</v>
      </c>
      <c r="F75" s="1">
        <v>5</v>
      </c>
      <c r="G75" s="1">
        <v>120</v>
      </c>
      <c r="H75" s="1">
        <f>VLOOKUP(B75,Tabela1[#All],5,FALSE)</f>
        <v>90</v>
      </c>
      <c r="I75" s="2">
        <f t="shared" si="4"/>
        <v>15.5</v>
      </c>
      <c r="J75" s="3">
        <v>45505</v>
      </c>
      <c r="K75" s="1" t="str">
        <f t="shared" si="3"/>
        <v>Ago</v>
      </c>
    </row>
    <row r="76" spans="1:11" x14ac:dyDescent="0.25">
      <c r="A76" s="1">
        <v>73</v>
      </c>
      <c r="B76" s="1" t="s">
        <v>15</v>
      </c>
      <c r="C76" s="1" t="str">
        <f>VLOOKUP(B76,Tabela1[#All],2,FALSE)</f>
        <v>Não Tem</v>
      </c>
      <c r="D76" s="2">
        <f>VLOOKUP(B76,Tabela1[#All],3,FALSE)</f>
        <v>12</v>
      </c>
      <c r="E76" s="2">
        <f>VLOOKUP(B76,Tabela1[#All],4,FALSE)</f>
        <v>6</v>
      </c>
      <c r="F76" s="1">
        <v>5</v>
      </c>
      <c r="G76" s="1">
        <v>120</v>
      </c>
      <c r="H76" s="1" t="str">
        <f>VLOOKUP(B76,Tabela1[#All],5,FALSE)</f>
        <v>Indeterminado</v>
      </c>
      <c r="I76" s="2">
        <f t="shared" si="4"/>
        <v>60</v>
      </c>
      <c r="J76" s="3">
        <v>45505</v>
      </c>
      <c r="K76" s="1" t="str">
        <f t="shared" si="3"/>
        <v>Ago</v>
      </c>
    </row>
    <row r="77" spans="1:11" x14ac:dyDescent="0.25">
      <c r="A77" s="1">
        <v>74</v>
      </c>
      <c r="B77" s="1" t="s">
        <v>16</v>
      </c>
      <c r="C77" s="1" t="str">
        <f>VLOOKUP(B77,Tabela1[#All],2,FALSE)</f>
        <v>60x60cm</v>
      </c>
      <c r="D77" s="2">
        <f>VLOOKUP(B77,Tabela1[#All],3,FALSE)</f>
        <v>21</v>
      </c>
      <c r="E77" s="2">
        <f>VLOOKUP(B77,Tabela1[#All],4,FALSE)</f>
        <v>11</v>
      </c>
      <c r="F77" s="1">
        <v>5</v>
      </c>
      <c r="G77" s="1">
        <v>120</v>
      </c>
      <c r="H77" s="1" t="str">
        <f>VLOOKUP(B77,Tabela1[#All],5,FALSE)</f>
        <v>Indeterminado</v>
      </c>
      <c r="I77" s="2">
        <f t="shared" si="4"/>
        <v>105</v>
      </c>
      <c r="J77" s="3">
        <v>45505</v>
      </c>
      <c r="K77" s="1" t="str">
        <f t="shared" si="3"/>
        <v>Ago</v>
      </c>
    </row>
    <row r="78" spans="1:11" x14ac:dyDescent="0.25">
      <c r="A78" s="1">
        <v>75</v>
      </c>
      <c r="B78" s="1" t="s">
        <v>17</v>
      </c>
      <c r="C78" s="1" t="str">
        <f>VLOOKUP(B78,Tabela1[#All],2,FALSE)</f>
        <v>Não Tem</v>
      </c>
      <c r="D78" s="2">
        <f>VLOOKUP(B78,Tabela1[#All],3,FALSE)</f>
        <v>50</v>
      </c>
      <c r="E78" s="2">
        <f>VLOOKUP(B78,Tabela1[#All],4,FALSE)</f>
        <v>40</v>
      </c>
      <c r="F78" s="1">
        <v>5</v>
      </c>
      <c r="G78" s="1">
        <v>120</v>
      </c>
      <c r="H78" s="1" t="str">
        <f>VLOOKUP(B78,Tabela1[#All],5,FALSE)</f>
        <v>Indeterminado</v>
      </c>
      <c r="I78" s="2">
        <f t="shared" si="4"/>
        <v>250</v>
      </c>
      <c r="J78" s="3">
        <v>45505</v>
      </c>
      <c r="K78" s="1" t="str">
        <f t="shared" si="3"/>
        <v>Ago</v>
      </c>
    </row>
    <row r="79" spans="1:11" x14ac:dyDescent="0.25">
      <c r="A79" s="1">
        <v>76</v>
      </c>
      <c r="B79" s="1" t="s">
        <v>11</v>
      </c>
      <c r="C79" s="1" t="str">
        <f>VLOOKUP(B79,Tabela1[#All],2,FALSE)</f>
        <v>8,7x4,3x18,6cm</v>
      </c>
      <c r="D79" s="2">
        <f>VLOOKUP(B79,Tabela1[#All],3,FALSE)</f>
        <v>1</v>
      </c>
      <c r="E79" s="2">
        <f>VLOOKUP(B79,Tabela1[#All],4,FALSE)</f>
        <v>0.8</v>
      </c>
      <c r="F79" s="1">
        <v>5</v>
      </c>
      <c r="G79" s="1">
        <v>120</v>
      </c>
      <c r="H79" s="1" t="str">
        <f>VLOOKUP(B79,Tabela1[#All],5,FALSE)</f>
        <v>Indeterminado</v>
      </c>
      <c r="I79" s="2">
        <f t="shared" si="4"/>
        <v>5</v>
      </c>
      <c r="J79" s="3">
        <v>45536</v>
      </c>
      <c r="K79" s="1" t="str">
        <f t="shared" si="3"/>
        <v>Set</v>
      </c>
    </row>
    <row r="80" spans="1:11" x14ac:dyDescent="0.25">
      <c r="A80" s="1">
        <v>77</v>
      </c>
      <c r="B80" s="1" t="s">
        <v>12</v>
      </c>
      <c r="C80" s="1" t="str">
        <f>VLOOKUP(B80,Tabela1[#All],2,FALSE)</f>
        <v>6,25x12,5x25cm</v>
      </c>
      <c r="D80" s="2">
        <f>VLOOKUP(B80,Tabela1[#All],3,FALSE)</f>
        <v>1.5</v>
      </c>
      <c r="E80" s="2">
        <f>VLOOKUP(B80,Tabela1[#All],4,FALSE)</f>
        <v>0.9</v>
      </c>
      <c r="F80" s="1">
        <v>5</v>
      </c>
      <c r="G80" s="1">
        <v>120</v>
      </c>
      <c r="H80" s="1" t="str">
        <f>VLOOKUP(B80,Tabela1[#All],5,FALSE)</f>
        <v>Indeterminado</v>
      </c>
      <c r="I80" s="2">
        <f t="shared" si="4"/>
        <v>7.5</v>
      </c>
      <c r="J80" s="3">
        <v>45536</v>
      </c>
      <c r="K80" s="1" t="str">
        <f t="shared" si="3"/>
        <v>Set</v>
      </c>
    </row>
    <row r="81" spans="1:11" x14ac:dyDescent="0.25">
      <c r="A81" s="1">
        <v>78</v>
      </c>
      <c r="B81" s="1" t="s">
        <v>13</v>
      </c>
      <c r="C81" s="1" t="str">
        <f>VLOOKUP(B81,Tabela1[#All],2,FALSE)</f>
        <v>14x19x39cm</v>
      </c>
      <c r="D81" s="2">
        <f>VLOOKUP(B81,Tabela1[#All],3,FALSE)</f>
        <v>1.8</v>
      </c>
      <c r="E81" s="2">
        <f>VLOOKUP(B81,Tabela1[#All],4,FALSE)</f>
        <v>1</v>
      </c>
      <c r="F81" s="1">
        <v>5</v>
      </c>
      <c r="G81" s="1">
        <v>120</v>
      </c>
      <c r="H81" s="1" t="str">
        <f>VLOOKUP(B81,Tabela1[#All],5,FALSE)</f>
        <v>Indeterminado</v>
      </c>
      <c r="I81" s="2">
        <f t="shared" si="4"/>
        <v>9</v>
      </c>
      <c r="J81" s="3">
        <v>45536</v>
      </c>
      <c r="K81" s="1" t="str">
        <f t="shared" si="3"/>
        <v>Set</v>
      </c>
    </row>
    <row r="82" spans="1:11" x14ac:dyDescent="0.25">
      <c r="A82" s="1">
        <v>79</v>
      </c>
      <c r="B82" s="1" t="s">
        <v>6</v>
      </c>
      <c r="C82" s="1" t="str">
        <f>VLOOKUP(B82,Tabela1[#All],2,FALSE)</f>
        <v>Não Tem</v>
      </c>
      <c r="D82" s="2">
        <f>VLOOKUP(B82,Tabela1[#All],3,FALSE)</f>
        <v>5</v>
      </c>
      <c r="E82" s="2">
        <f>VLOOKUP(B82,Tabela1[#All],4,FALSE)</f>
        <v>3</v>
      </c>
      <c r="F82" s="1">
        <v>5</v>
      </c>
      <c r="G82" s="1">
        <v>120</v>
      </c>
      <c r="H82" s="1">
        <f>VLOOKUP(B82,Tabela1[#All],5,FALSE)</f>
        <v>90</v>
      </c>
      <c r="I82" s="2">
        <f t="shared" si="4"/>
        <v>25</v>
      </c>
      <c r="J82" s="3">
        <v>45566</v>
      </c>
      <c r="K82" s="1" t="str">
        <f t="shared" si="3"/>
        <v>Out</v>
      </c>
    </row>
    <row r="83" spans="1:11" x14ac:dyDescent="0.25">
      <c r="A83" s="1">
        <v>80</v>
      </c>
      <c r="B83" s="1" t="s">
        <v>7</v>
      </c>
      <c r="C83" s="1" t="str">
        <f>VLOOKUP(B83,Tabela1[#All],2,FALSE)</f>
        <v>Não Tem</v>
      </c>
      <c r="D83" s="2">
        <f>VLOOKUP(B83,Tabela1[#All],3,FALSE)</f>
        <v>2</v>
      </c>
      <c r="E83" s="2">
        <f>VLOOKUP(B83,Tabela1[#All],4,FALSE)</f>
        <v>0.5</v>
      </c>
      <c r="F83" s="1">
        <v>5</v>
      </c>
      <c r="G83" s="1">
        <v>120</v>
      </c>
      <c r="H83" s="1" t="str">
        <f>VLOOKUP(B83,Tabela1[#All],5,FALSE)</f>
        <v>Indeterminado</v>
      </c>
      <c r="I83" s="2">
        <f t="shared" si="4"/>
        <v>10</v>
      </c>
      <c r="J83" s="3">
        <v>45566</v>
      </c>
      <c r="K83" s="1" t="str">
        <f t="shared" si="3"/>
        <v>Out</v>
      </c>
    </row>
    <row r="84" spans="1:11" x14ac:dyDescent="0.25">
      <c r="A84" s="1">
        <v>81</v>
      </c>
      <c r="B84" s="1" t="s">
        <v>8</v>
      </c>
      <c r="C84" s="1" t="str">
        <f>VLOOKUP(B84,Tabela1[#All],2,FALSE)</f>
        <v>Não Tem</v>
      </c>
      <c r="D84" s="2">
        <f>VLOOKUP(B84,Tabela1[#All],3,FALSE)</f>
        <v>1</v>
      </c>
      <c r="E84" s="2">
        <f>VLOOKUP(B84,Tabela1[#All],4,FALSE)</f>
        <v>0.2</v>
      </c>
      <c r="F84" s="1">
        <v>5</v>
      </c>
      <c r="G84" s="1">
        <v>120</v>
      </c>
      <c r="H84" s="1" t="str">
        <f>VLOOKUP(B84,Tabela1[#All],5,FALSE)</f>
        <v>Indeterminado</v>
      </c>
      <c r="I84" s="2">
        <f t="shared" si="4"/>
        <v>5</v>
      </c>
      <c r="J84" s="3">
        <v>45566</v>
      </c>
      <c r="K84" s="1" t="str">
        <f t="shared" si="3"/>
        <v>Out</v>
      </c>
    </row>
    <row r="85" spans="1:11" x14ac:dyDescent="0.25">
      <c r="A85" s="1">
        <v>82</v>
      </c>
      <c r="B85" s="1" t="s">
        <v>9</v>
      </c>
      <c r="C85" s="1" t="str">
        <f>VLOOKUP(B85,Tabela1[#All],2,FALSE)</f>
        <v>Não Tem</v>
      </c>
      <c r="D85" s="2">
        <f>VLOOKUP(B85,Tabela1[#All],3,FALSE)</f>
        <v>2000</v>
      </c>
      <c r="E85" s="2">
        <f>VLOOKUP(B85,Tabela1[#All],4,FALSE)</f>
        <v>1000</v>
      </c>
      <c r="F85" s="1">
        <v>5</v>
      </c>
      <c r="G85" s="1">
        <v>120</v>
      </c>
      <c r="H85" s="1" t="str">
        <f>VLOOKUP(B85,Tabela1[#All],5,FALSE)</f>
        <v>Indeterminado</v>
      </c>
      <c r="I85" s="2">
        <f t="shared" si="4"/>
        <v>10000</v>
      </c>
      <c r="J85" s="3">
        <v>45566</v>
      </c>
      <c r="K85" s="1" t="str">
        <f t="shared" si="3"/>
        <v>Out</v>
      </c>
    </row>
    <row r="86" spans="1:11" x14ac:dyDescent="0.25">
      <c r="A86" s="1">
        <v>83</v>
      </c>
      <c r="B86" s="1" t="s">
        <v>10</v>
      </c>
      <c r="C86" s="1" t="str">
        <f>VLOOKUP(B86,Tabela1[#All],2,FALSE)</f>
        <v>Não Tem</v>
      </c>
      <c r="D86" s="2">
        <f>VLOOKUP(B86,Tabela1[#All],3,FALSE)</f>
        <v>25</v>
      </c>
      <c r="E86" s="2">
        <f>VLOOKUP(B86,Tabela1[#All],4,FALSE)</f>
        <v>12.5</v>
      </c>
      <c r="F86" s="1">
        <v>5</v>
      </c>
      <c r="G86" s="1">
        <v>120</v>
      </c>
      <c r="H86" s="1" t="str">
        <f>VLOOKUP(B86,Tabela1[#All],5,FALSE)</f>
        <v>Indeterminado</v>
      </c>
      <c r="I86" s="2">
        <f t="shared" si="4"/>
        <v>125</v>
      </c>
      <c r="J86" s="3">
        <v>45566</v>
      </c>
      <c r="K86" s="1" t="str">
        <f t="shared" si="3"/>
        <v>Out</v>
      </c>
    </row>
    <row r="87" spans="1:11" x14ac:dyDescent="0.25">
      <c r="A87" s="1">
        <v>84</v>
      </c>
      <c r="B87" s="1" t="s">
        <v>20</v>
      </c>
      <c r="C87" s="1" t="str">
        <f>VLOOKUP(B87,Tabela1[#All],2,FALSE)</f>
        <v>Não Tem</v>
      </c>
      <c r="D87" s="2">
        <f>VLOOKUP(B87,Tabela1[#All],3,FALSE)</f>
        <v>1.9</v>
      </c>
      <c r="E87" s="2">
        <f>VLOOKUP(B87,Tabela1[#All],4,FALSE)</f>
        <v>0.2</v>
      </c>
      <c r="F87" s="1">
        <v>5</v>
      </c>
      <c r="G87" s="1">
        <v>120</v>
      </c>
      <c r="H87" s="1">
        <f>VLOOKUP(B87,Tabela1[#All],5,FALSE)</f>
        <v>120</v>
      </c>
      <c r="I87" s="2">
        <f t="shared" si="4"/>
        <v>9.5</v>
      </c>
      <c r="J87" s="3">
        <v>45597</v>
      </c>
      <c r="K87" s="1" t="str">
        <f t="shared" si="3"/>
        <v>Nov</v>
      </c>
    </row>
    <row r="88" spans="1:11" x14ac:dyDescent="0.25">
      <c r="A88" s="1">
        <v>85</v>
      </c>
      <c r="B88" s="1" t="s">
        <v>21</v>
      </c>
      <c r="C88" s="1" t="str">
        <f>VLOOKUP(B88,Tabela1[#All],2,FALSE)</f>
        <v>Não Tem</v>
      </c>
      <c r="D88" s="2">
        <f>VLOOKUP(B88,Tabela1[#All],3,FALSE)</f>
        <v>1.5</v>
      </c>
      <c r="E88" s="2">
        <f>VLOOKUP(B88,Tabela1[#All],4,FALSE)</f>
        <v>0.1</v>
      </c>
      <c r="F88" s="1">
        <v>5</v>
      </c>
      <c r="G88" s="1">
        <v>120</v>
      </c>
      <c r="H88" s="1">
        <f>VLOOKUP(B88,Tabela1[#All],5,FALSE)</f>
        <v>180</v>
      </c>
      <c r="I88" s="2">
        <f t="shared" si="4"/>
        <v>7.5</v>
      </c>
      <c r="J88" s="3">
        <v>45597</v>
      </c>
      <c r="K88" s="1" t="str">
        <f t="shared" si="3"/>
        <v>Nov</v>
      </c>
    </row>
    <row r="89" spans="1:11" x14ac:dyDescent="0.25">
      <c r="A89" s="1">
        <v>86</v>
      </c>
      <c r="B89" s="1" t="s">
        <v>6</v>
      </c>
      <c r="C89" s="1" t="str">
        <f>VLOOKUP(B89,Tabela1[#All],2,FALSE)</f>
        <v>Não Tem</v>
      </c>
      <c r="D89" s="2">
        <f>VLOOKUP(B89,Tabela1[#All],3,FALSE)</f>
        <v>5</v>
      </c>
      <c r="E89" s="2">
        <f>VLOOKUP(B89,Tabela1[#All],4,FALSE)</f>
        <v>3</v>
      </c>
      <c r="F89" s="1">
        <v>5</v>
      </c>
      <c r="G89" s="1">
        <v>120</v>
      </c>
      <c r="H89" s="1">
        <f>VLOOKUP(B89,Tabela1[#All],5,FALSE)</f>
        <v>90</v>
      </c>
      <c r="I89" s="2">
        <f t="shared" si="4"/>
        <v>25</v>
      </c>
      <c r="J89" s="3">
        <v>45627</v>
      </c>
      <c r="K89" s="1" t="str">
        <f t="shared" si="3"/>
        <v>Dez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AED04-CED0-4676-A314-D4B355A90640}">
  <dimension ref="A1:N89"/>
  <sheetViews>
    <sheetView topLeftCell="B1" zoomScale="115" zoomScaleNormal="115" workbookViewId="0">
      <selection activeCell="H7" sqref="H7"/>
    </sheetView>
  </sheetViews>
  <sheetFormatPr defaultRowHeight="15" x14ac:dyDescent="0.25"/>
  <cols>
    <col min="1" max="1" width="6" customWidth="1"/>
    <col min="2" max="2" width="26.140625" customWidth="1"/>
    <col min="3" max="3" width="18" customWidth="1"/>
    <col min="4" max="4" width="13.85546875" customWidth="1"/>
    <col min="5" max="5" width="17.7109375" customWidth="1"/>
    <col min="6" max="6" width="19.5703125" customWidth="1"/>
    <col min="7" max="7" width="6.85546875" customWidth="1"/>
    <col min="8" max="8" width="24.7109375" customWidth="1"/>
    <col min="9" max="9" width="32.140625" customWidth="1"/>
    <col min="10" max="10" width="10" customWidth="1"/>
    <col min="11" max="11" width="9.28515625" customWidth="1"/>
    <col min="12" max="12" width="17.28515625" customWidth="1"/>
    <col min="13" max="13" width="18" customWidth="1"/>
    <col min="14" max="14" width="15.5703125" customWidth="1"/>
  </cols>
  <sheetData>
    <row r="1" spans="1:14" ht="27" customHeight="1" x14ac:dyDescent="0.4">
      <c r="A1" s="10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53.25" customHeight="1" x14ac:dyDescent="0.25"/>
    <row r="3" spans="1:14" x14ac:dyDescent="0.25">
      <c r="A3" s="1" t="s">
        <v>38</v>
      </c>
      <c r="B3" s="1" t="s">
        <v>29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35</v>
      </c>
      <c r="H3" s="1" t="s">
        <v>43</v>
      </c>
      <c r="I3" s="1" t="s">
        <v>44</v>
      </c>
      <c r="J3" s="1" t="s">
        <v>45</v>
      </c>
      <c r="K3" s="1" t="s">
        <v>46</v>
      </c>
      <c r="L3" s="1" t="s">
        <v>47</v>
      </c>
      <c r="M3" s="1" t="s">
        <v>49</v>
      </c>
      <c r="N3" s="1" t="s">
        <v>48</v>
      </c>
    </row>
    <row r="4" spans="1:14" x14ac:dyDescent="0.25">
      <c r="A4" s="1">
        <v>1</v>
      </c>
      <c r="B4" s="1" t="str">
        <f>VLOOKUP(A4,Tabela2[[#All],[ID-A]:[PROD]],2,FALSE)</f>
        <v>Cimento 1kg</v>
      </c>
      <c r="C4" s="1">
        <v>50</v>
      </c>
      <c r="D4" s="1">
        <f>VLOOKUP(B4,Tabela1[#All],5,FALSE)</f>
        <v>90</v>
      </c>
      <c r="E4" s="1"/>
      <c r="F4" s="4">
        <v>45312</v>
      </c>
      <c r="G4" s="1" t="str">
        <f t="shared" ref="G4:G35" si="0">PROPER(TEXT(F4,"mmm;"))</f>
        <v>Jan</v>
      </c>
      <c r="H4" s="1">
        <f>DAYS360(Tabela2[[#This Row],[DATA PEDIDO]],'CONTROLE CONSUMO'!F4,)</f>
        <v>20</v>
      </c>
      <c r="I4" s="1" t="str">
        <f>IF(H4&gt;Tabela2[[#This Row],[PRAZO DE ENTREGA/DIAS]],"ATRASADO",IF('CONTROLE CONSUMO'!H4&lt;Tabela2[[#This Row],[PRAZO DE ENTREGA/DIAS]],"ADIANTADO",IF('CONTROLE CONSUMO'!H4=Tabela2[[#This Row],[PRAZO DE ENTREGA/DIAS]],"NÃO")))</f>
        <v>ADIANTADO</v>
      </c>
      <c r="J4" s="1" t="str">
        <f>IF(Tabela2[[#This Row],[QTD]]-'CONTROLE CONSUMO'!C4&lt;=0,"NÃO",Tabela2[[#This Row],[QTD]]-'CONTROLE CONSUMO'!C4)</f>
        <v>NÃO</v>
      </c>
      <c r="K4" s="1">
        <f>IF(Tabela2[[#This Row],[QTD]]-'CONTROLE CONSUMO'!C4&gt;=0,"NÃO",ABS(Tabela2[[#This Row],[QTD]]-'CONTROLE CONSUMO'!C4))</f>
        <v>40</v>
      </c>
      <c r="L4" s="2" t="str">
        <f>IF(J4="NÃO","NÃO",IF(J4&gt;0,J4*VLOOKUP(B4,Tabela1[#All],4,FALSE),"Erro"))</f>
        <v>NÃO</v>
      </c>
      <c r="M4" s="1">
        <v>10</v>
      </c>
      <c r="N4" s="2">
        <f>M4*VLOOKUP(B4,Tabela1[#All],3,FALSE)</f>
        <v>50</v>
      </c>
    </row>
    <row r="5" spans="1:14" x14ac:dyDescent="0.25">
      <c r="A5" s="1">
        <v>2</v>
      </c>
      <c r="B5" s="1" t="str">
        <f>VLOOKUP(A5,Tabela2[[#All],[ID-A]:[PROD]],2,FALSE)</f>
        <v>Areia 1kg</v>
      </c>
      <c r="C5" s="1">
        <v>50</v>
      </c>
      <c r="D5" s="1" t="str">
        <f>VLOOKUP(B5,Tabela1[#All],5,FALSE)</f>
        <v>Indeterminado</v>
      </c>
      <c r="E5" s="1"/>
      <c r="F5" s="4">
        <v>45312</v>
      </c>
      <c r="G5" s="1" t="str">
        <f t="shared" si="0"/>
        <v>Jan</v>
      </c>
      <c r="H5" s="1">
        <f>DAYS360(Tabela2[[#This Row],[DATA PEDIDO]],'CONTROLE CONSUMO'!F5,)</f>
        <v>20</v>
      </c>
      <c r="I5" s="1" t="str">
        <f>IF(H5&gt;Tabela2[[#This Row],[PRAZO DE ENTREGA/DIAS]],"ATRASADO",IF('CONTROLE CONSUMO'!H5&lt;Tabela2[[#This Row],[PRAZO DE ENTREGA/DIAS]],"ADIANTADO",IF('CONTROLE CONSUMO'!H5=Tabela2[[#This Row],[PRAZO DE ENTREGA/DIAS]],"NÃO")))</f>
        <v>ADIANTADO</v>
      </c>
      <c r="J5" s="1" t="str">
        <f>IF(Tabela2[[#This Row],[QTD]]-'CONTROLE CONSUMO'!C5&lt;=0,"NÃO",Tabela2[[#This Row],[QTD]]-'CONTROLE CONSUMO'!C5)</f>
        <v>NÃO</v>
      </c>
      <c r="K5" s="1">
        <f>IF(Tabela2[[#This Row],[QTD]]-'CONTROLE CONSUMO'!C5&gt;=0,"NÃO",ABS(Tabela2[[#This Row],[QTD]]-'CONTROLE CONSUMO'!C5))</f>
        <v>40</v>
      </c>
      <c r="L5" s="2" t="str">
        <f>IF(J5="NÃO","NÃO",IF(J5&gt;0,J5*VLOOKUP(B5,Tabela1[#All],4,FALSE),"Erro"))</f>
        <v>NÃO</v>
      </c>
      <c r="M5" s="1">
        <v>10</v>
      </c>
      <c r="N5" s="2">
        <f>M5*VLOOKUP(B5,Tabela1[#All],3,FALSE)</f>
        <v>20</v>
      </c>
    </row>
    <row r="6" spans="1:14" x14ac:dyDescent="0.25">
      <c r="A6" s="1">
        <v>3</v>
      </c>
      <c r="B6" s="1" t="str">
        <f>VLOOKUP(A6,Tabela2[[#All],[ID-A]:[PROD]],2,FALSE)</f>
        <v>Brita 1kg</v>
      </c>
      <c r="C6" s="1">
        <v>50</v>
      </c>
      <c r="D6" s="1" t="str">
        <f>VLOOKUP(B6,Tabela1[#All],5,FALSE)</f>
        <v>Indeterminado</v>
      </c>
      <c r="E6" s="1"/>
      <c r="F6" s="4">
        <v>45312</v>
      </c>
      <c r="G6" s="1" t="str">
        <f t="shared" si="0"/>
        <v>Jan</v>
      </c>
      <c r="H6" s="1">
        <f>DAYS360(Tabela2[[#This Row],[DATA PEDIDO]],'CONTROLE CONSUMO'!F6,)</f>
        <v>20</v>
      </c>
      <c r="I6" s="1" t="str">
        <f>IF(H6&gt;Tabela2[[#This Row],[PRAZO DE ENTREGA/DIAS]],"ATRASADO",IF('CONTROLE CONSUMO'!H6&lt;Tabela2[[#This Row],[PRAZO DE ENTREGA/DIAS]],"ADIANTADO",IF('CONTROLE CONSUMO'!H6=Tabela2[[#This Row],[PRAZO DE ENTREGA/DIAS]],"NÃO")))</f>
        <v>ADIANTADO</v>
      </c>
      <c r="J6" s="1" t="str">
        <f>IF(Tabela2[[#This Row],[QTD]]-'CONTROLE CONSUMO'!C6&lt;=0,"NÃO",Tabela2[[#This Row],[QTD]]-'CONTROLE CONSUMO'!C6)</f>
        <v>NÃO</v>
      </c>
      <c r="K6" s="1">
        <f>IF(Tabela2[[#This Row],[QTD]]-'CONTROLE CONSUMO'!C6&gt;=0,"NÃO",ABS(Tabela2[[#This Row],[QTD]]-'CONTROLE CONSUMO'!C6))</f>
        <v>40</v>
      </c>
      <c r="L6" s="2" t="str">
        <f>IF(J6="NÃO","NÃO",IF(J6&gt;0,J6*VLOOKUP(B6,Tabela1[#All],4,FALSE),"Erro"))</f>
        <v>NÃO</v>
      </c>
      <c r="M6" s="1">
        <v>10</v>
      </c>
      <c r="N6" s="2">
        <f>M6*VLOOKUP(B6,Tabela1[#All],3,FALSE)</f>
        <v>10</v>
      </c>
    </row>
    <row r="7" spans="1:14" x14ac:dyDescent="0.25">
      <c r="A7" s="1">
        <v>4</v>
      </c>
      <c r="B7" s="1" t="str">
        <f>VLOOKUP(A7,Tabela2[[#All],[ID-A]:[PROD]],2,FALSE)</f>
        <v>Água 1000l</v>
      </c>
      <c r="C7" s="1">
        <v>50</v>
      </c>
      <c r="D7" s="1" t="str">
        <f>VLOOKUP(B7,Tabela1[#All],5,FALSE)</f>
        <v>Indeterminado</v>
      </c>
      <c r="E7" s="1"/>
      <c r="F7" s="4">
        <v>45312</v>
      </c>
      <c r="G7" s="1" t="str">
        <f t="shared" si="0"/>
        <v>Jan</v>
      </c>
      <c r="H7" s="1">
        <f>DAYS360(Tabela2[[#This Row],[DATA PEDIDO]],'CONTROLE CONSUMO'!F7,)</f>
        <v>20</v>
      </c>
      <c r="I7" s="1" t="str">
        <f>IF(H7&gt;Tabela2[[#This Row],[PRAZO DE ENTREGA/DIAS]],"ATRASADO",IF('CONTROLE CONSUMO'!H7&lt;Tabela2[[#This Row],[PRAZO DE ENTREGA/DIAS]],"ADIANTADO",IF('CONTROLE CONSUMO'!H7=Tabela2[[#This Row],[PRAZO DE ENTREGA/DIAS]],"NÃO")))</f>
        <v>ADIANTADO</v>
      </c>
      <c r="J7" s="1" t="str">
        <f>IF(Tabela2[[#This Row],[QTD]]-'CONTROLE CONSUMO'!C7&lt;=0,"NÃO",Tabela2[[#This Row],[QTD]]-'CONTROLE CONSUMO'!C7)</f>
        <v>NÃO</v>
      </c>
      <c r="K7" s="1">
        <f>IF(Tabela2[[#This Row],[QTD]]-'CONTROLE CONSUMO'!C7&gt;=0,"NÃO",ABS(Tabela2[[#This Row],[QTD]]-'CONTROLE CONSUMO'!C7))</f>
        <v>40</v>
      </c>
      <c r="L7" s="2" t="str">
        <f>IF(J7="NÃO","NÃO",IF(J7&gt;0,J7*VLOOKUP(B7,Tabela1[#All],4,FALSE),"Erro"))</f>
        <v>NÃO</v>
      </c>
      <c r="M7" s="1">
        <v>10</v>
      </c>
      <c r="N7" s="2">
        <f>M7*VLOOKUP(B7,Tabela1[#All],3,FALSE)</f>
        <v>20000</v>
      </c>
    </row>
    <row r="8" spans="1:14" x14ac:dyDescent="0.25">
      <c r="A8" s="1">
        <v>5</v>
      </c>
      <c r="B8" s="1" t="str">
        <f>VLOOKUP(A8,Tabela2[[#All],[ID-A]:[PROD]],2,FALSE)</f>
        <v>Madeira 1kg</v>
      </c>
      <c r="C8" s="1">
        <v>50</v>
      </c>
      <c r="D8" s="1" t="str">
        <f>VLOOKUP(B8,Tabela1[#All],5,FALSE)</f>
        <v>Indeterminado</v>
      </c>
      <c r="E8" s="1"/>
      <c r="F8" s="4">
        <v>45312</v>
      </c>
      <c r="G8" s="1" t="str">
        <f t="shared" si="0"/>
        <v>Jan</v>
      </c>
      <c r="H8" s="1">
        <f>DAYS360(Tabela2[[#This Row],[DATA PEDIDO]],'CONTROLE CONSUMO'!F8,)</f>
        <v>20</v>
      </c>
      <c r="I8" s="1" t="str">
        <f>IF(H8&gt;Tabela2[[#This Row],[PRAZO DE ENTREGA/DIAS]],"ATRASADO",IF('CONTROLE CONSUMO'!H8&lt;Tabela2[[#This Row],[PRAZO DE ENTREGA/DIAS]],"ADIANTADO",IF('CONTROLE CONSUMO'!H8=Tabela2[[#This Row],[PRAZO DE ENTREGA/DIAS]],"NÃO")))</f>
        <v>ADIANTADO</v>
      </c>
      <c r="J8" s="1" t="str">
        <f>IF(Tabela2[[#This Row],[QTD]]-'CONTROLE CONSUMO'!C8&lt;=0,"NÃO",Tabela2[[#This Row],[QTD]]-'CONTROLE CONSUMO'!C8)</f>
        <v>NÃO</v>
      </c>
      <c r="K8" s="1">
        <f>IF(Tabela2[[#This Row],[QTD]]-'CONTROLE CONSUMO'!C8&gt;=0,"NÃO",ABS(Tabela2[[#This Row],[QTD]]-'CONTROLE CONSUMO'!C8))</f>
        <v>40</v>
      </c>
      <c r="L8" s="2" t="str">
        <f>IF(J8="NÃO","NÃO",IF(J8&gt;0,J8*VLOOKUP(B8,Tabela1[#All],4,FALSE),"Erro"))</f>
        <v>NÃO</v>
      </c>
      <c r="M8" s="1">
        <v>10</v>
      </c>
      <c r="N8" s="2">
        <f>M8*VLOOKUP(B8,Tabela1[#All],3,FALSE)</f>
        <v>250</v>
      </c>
    </row>
    <row r="9" spans="1:14" x14ac:dyDescent="0.25">
      <c r="A9" s="1">
        <v>6</v>
      </c>
      <c r="B9" s="1" t="str">
        <f>VLOOKUP(A9,Tabela2[[#All],[ID-A]:[PROD]],2,FALSE)</f>
        <v>Tijolo Comum 1kg</v>
      </c>
      <c r="C9" s="1">
        <v>50</v>
      </c>
      <c r="D9" s="1" t="str">
        <f>VLOOKUP(B9,Tabela1[#All],5,FALSE)</f>
        <v>Indeterminado</v>
      </c>
      <c r="E9" s="1"/>
      <c r="F9" s="4">
        <v>45312</v>
      </c>
      <c r="G9" s="1" t="str">
        <f t="shared" si="0"/>
        <v>Jan</v>
      </c>
      <c r="H9" s="1">
        <f>DAYS360(Tabela2[[#This Row],[DATA PEDIDO]],'CONTROLE CONSUMO'!F9,)</f>
        <v>20</v>
      </c>
      <c r="I9" s="1" t="str">
        <f>IF(H9&gt;Tabela2[[#This Row],[PRAZO DE ENTREGA/DIAS]],"ATRASADO",IF('CONTROLE CONSUMO'!H9&lt;Tabela2[[#This Row],[PRAZO DE ENTREGA/DIAS]],"ADIANTADO",IF('CONTROLE CONSUMO'!H9=Tabela2[[#This Row],[PRAZO DE ENTREGA/DIAS]],"NÃO")))</f>
        <v>ADIANTADO</v>
      </c>
      <c r="J9" s="1" t="str">
        <f>IF(Tabela2[[#This Row],[QTD]]-'CONTROLE CONSUMO'!C9&lt;=0,"NÃO",Tabela2[[#This Row],[QTD]]-'CONTROLE CONSUMO'!C9)</f>
        <v>NÃO</v>
      </c>
      <c r="K9" s="1">
        <f>IF(Tabela2[[#This Row],[QTD]]-'CONTROLE CONSUMO'!C9&gt;=0,"NÃO",ABS(Tabela2[[#This Row],[QTD]]-'CONTROLE CONSUMO'!C9))</f>
        <v>40</v>
      </c>
      <c r="L9" s="2" t="str">
        <f>IF(J9="NÃO","NÃO",IF(J9&gt;0,J9*VLOOKUP(B9,Tabela1[#All],4,FALSE),"Erro"))</f>
        <v>NÃO</v>
      </c>
      <c r="M9" s="1">
        <v>10</v>
      </c>
      <c r="N9" s="2">
        <f>M9*VLOOKUP(B9,Tabela1[#All],3,FALSE)</f>
        <v>10</v>
      </c>
    </row>
    <row r="10" spans="1:14" x14ac:dyDescent="0.25">
      <c r="A10" s="1">
        <v>7</v>
      </c>
      <c r="B10" s="1" t="str">
        <f>VLOOKUP(A10,Tabela2[[#All],[ID-A]:[PROD]],2,FALSE)</f>
        <v>Tijolo Ecológico 1kg</v>
      </c>
      <c r="C10" s="1">
        <v>50</v>
      </c>
      <c r="D10" s="1" t="str">
        <f>VLOOKUP(B10,Tabela1[#All],5,FALSE)</f>
        <v>Indeterminado</v>
      </c>
      <c r="E10" s="1"/>
      <c r="F10" s="4">
        <v>45312</v>
      </c>
      <c r="G10" s="1" t="str">
        <f t="shared" si="0"/>
        <v>Jan</v>
      </c>
      <c r="H10" s="1">
        <f>DAYS360(Tabela2[[#This Row],[DATA PEDIDO]],'CONTROLE CONSUMO'!F10,)</f>
        <v>20</v>
      </c>
      <c r="I10" s="1" t="str">
        <f>IF(H10&gt;Tabela2[[#This Row],[PRAZO DE ENTREGA/DIAS]],"ATRASADO",IF('CONTROLE CONSUMO'!H10&lt;Tabela2[[#This Row],[PRAZO DE ENTREGA/DIAS]],"ADIANTADO",IF('CONTROLE CONSUMO'!H10=Tabela2[[#This Row],[PRAZO DE ENTREGA/DIAS]],"NÃO")))</f>
        <v>ADIANTADO</v>
      </c>
      <c r="J10" s="1" t="str">
        <f>IF(Tabela2[[#This Row],[QTD]]-'CONTROLE CONSUMO'!C10&lt;=0,"NÃO",Tabela2[[#This Row],[QTD]]-'CONTROLE CONSUMO'!C10)</f>
        <v>NÃO</v>
      </c>
      <c r="K10" s="1">
        <f>IF(Tabela2[[#This Row],[QTD]]-'CONTROLE CONSUMO'!C10&gt;=0,"NÃO",ABS(Tabela2[[#This Row],[QTD]]-'CONTROLE CONSUMO'!C10))</f>
        <v>40</v>
      </c>
      <c r="L10" s="2" t="str">
        <f>IF(J10="NÃO","NÃO",IF(J10&gt;0,J10*VLOOKUP(B10,Tabela1[#All],4,FALSE),"Erro"))</f>
        <v>NÃO</v>
      </c>
      <c r="M10" s="1">
        <v>10</v>
      </c>
      <c r="N10" s="2">
        <f>M10*VLOOKUP(B10,Tabela1[#All],3,FALSE)</f>
        <v>15</v>
      </c>
    </row>
    <row r="11" spans="1:14" x14ac:dyDescent="0.25">
      <c r="A11" s="1">
        <v>8</v>
      </c>
      <c r="B11" s="1" t="str">
        <f>VLOOKUP(A11,Tabela2[[#All],[ID-A]:[PROD]],2,FALSE)</f>
        <v>Bloco de Cimento 1kg</v>
      </c>
      <c r="C11" s="1">
        <v>50</v>
      </c>
      <c r="D11" s="1" t="str">
        <f>VLOOKUP(B11,Tabela1[#All],5,FALSE)</f>
        <v>Indeterminado</v>
      </c>
      <c r="E11" s="1"/>
      <c r="F11" s="4">
        <v>45333</v>
      </c>
      <c r="G11" s="1" t="str">
        <f t="shared" si="0"/>
        <v>Fev</v>
      </c>
      <c r="H11" s="1">
        <f>DAYS360(Tabela2[[#This Row],[DATA PEDIDO]],'CONTROLE CONSUMO'!F11,)</f>
        <v>40</v>
      </c>
      <c r="I11" s="1" t="str">
        <f>IF(H11&gt;Tabela2[[#This Row],[PRAZO DE ENTREGA/DIAS]],"ATRASADO",IF('CONTROLE CONSUMO'!H11&lt;Tabela2[[#This Row],[PRAZO DE ENTREGA/DIAS]],"ADIANTADO",IF('CONTROLE CONSUMO'!H11=Tabela2[[#This Row],[PRAZO DE ENTREGA/DIAS]],"NÃO")))</f>
        <v>ADIANTADO</v>
      </c>
      <c r="J11" s="1" t="str">
        <f>IF(Tabela2[[#This Row],[QTD]]-'CONTROLE CONSUMO'!C11&lt;=0,"NÃO",Tabela2[[#This Row],[QTD]]-'CONTROLE CONSUMO'!C11)</f>
        <v>NÃO</v>
      </c>
      <c r="K11" s="1">
        <f>IF(Tabela2[[#This Row],[QTD]]-'CONTROLE CONSUMO'!C11&gt;=0,"NÃO",ABS(Tabela2[[#This Row],[QTD]]-'CONTROLE CONSUMO'!C11))</f>
        <v>40</v>
      </c>
      <c r="L11" s="2" t="str">
        <f>IF(J11="NÃO","NÃO",IF(J11&gt;0,J11*VLOOKUP(B11,Tabela1[#All],4,FALSE),"Erro"))</f>
        <v>NÃO</v>
      </c>
      <c r="M11" s="1">
        <v>10</v>
      </c>
      <c r="N11" s="2">
        <f>M11*VLOOKUP(B11,Tabela1[#All],3,FALSE)</f>
        <v>18</v>
      </c>
    </row>
    <row r="12" spans="1:14" x14ac:dyDescent="0.25">
      <c r="A12" s="1">
        <v>9</v>
      </c>
      <c r="B12" s="1" t="str">
        <f>VLOOKUP(A12,Tabela2[[#All],[ID-A]:[PROD]],2,FALSE)</f>
        <v>Gesso 1kg</v>
      </c>
      <c r="C12" s="1">
        <v>50</v>
      </c>
      <c r="D12" s="1">
        <f>VLOOKUP(B12,Tabela1[#All],5,FALSE)</f>
        <v>90</v>
      </c>
      <c r="E12" s="1"/>
      <c r="F12" s="4">
        <v>45333</v>
      </c>
      <c r="G12" s="1" t="str">
        <f t="shared" si="0"/>
        <v>Fev</v>
      </c>
      <c r="H12" s="1">
        <f>DAYS360(Tabela2[[#This Row],[DATA PEDIDO]],'CONTROLE CONSUMO'!F12,)</f>
        <v>40</v>
      </c>
      <c r="I12" s="1" t="str">
        <f>IF(H12&gt;Tabela2[[#This Row],[PRAZO DE ENTREGA/DIAS]],"ATRASADO",IF('CONTROLE CONSUMO'!H12&lt;Tabela2[[#This Row],[PRAZO DE ENTREGA/DIAS]],"ADIANTADO",IF('CONTROLE CONSUMO'!H12=Tabela2[[#This Row],[PRAZO DE ENTREGA/DIAS]],"NÃO")))</f>
        <v>ADIANTADO</v>
      </c>
      <c r="J12" s="1" t="str">
        <f>IF(Tabela2[[#This Row],[QTD]]-'CONTROLE CONSUMO'!C12&lt;=0,"NÃO",Tabela2[[#This Row],[QTD]]-'CONTROLE CONSUMO'!C12)</f>
        <v>NÃO</v>
      </c>
      <c r="K12" s="1">
        <f>IF(Tabela2[[#This Row],[QTD]]-'CONTROLE CONSUMO'!C12&gt;=0,"NÃO",ABS(Tabela2[[#This Row],[QTD]]-'CONTROLE CONSUMO'!C12))</f>
        <v>40</v>
      </c>
      <c r="L12" s="2" t="str">
        <f>IF(J12="NÃO","NÃO",IF(J12&gt;0,J12*VLOOKUP(B12,Tabela1[#All],4,FALSE),"Erro"))</f>
        <v>NÃO</v>
      </c>
      <c r="M12" s="1">
        <v>10</v>
      </c>
      <c r="N12" s="2">
        <f>M12*VLOOKUP(B12,Tabela1[#All],3,FALSE)</f>
        <v>31</v>
      </c>
    </row>
    <row r="13" spans="1:14" x14ac:dyDescent="0.25">
      <c r="A13" s="1">
        <v>10</v>
      </c>
      <c r="B13" s="1" t="str">
        <f>VLOOKUP(A13,Tabela2[[#All],[ID-A]:[PROD]],2,FALSE)</f>
        <v>Aço 1kg</v>
      </c>
      <c r="C13" s="1">
        <v>50</v>
      </c>
      <c r="D13" s="1" t="str">
        <f>VLOOKUP(B13,Tabela1[#All],5,FALSE)</f>
        <v>Indeterminado</v>
      </c>
      <c r="E13" s="1"/>
      <c r="F13" s="4">
        <v>45333</v>
      </c>
      <c r="G13" s="1" t="str">
        <f t="shared" si="0"/>
        <v>Fev</v>
      </c>
      <c r="H13" s="1">
        <f>DAYS360(Tabela2[[#This Row],[DATA PEDIDO]],'CONTROLE CONSUMO'!F13,)</f>
        <v>40</v>
      </c>
      <c r="I13" s="1" t="str">
        <f>IF(H13&gt;Tabela2[[#This Row],[PRAZO DE ENTREGA/DIAS]],"ATRASADO",IF('CONTROLE CONSUMO'!H13&lt;Tabela2[[#This Row],[PRAZO DE ENTREGA/DIAS]],"ADIANTADO",IF('CONTROLE CONSUMO'!H13=Tabela2[[#This Row],[PRAZO DE ENTREGA/DIAS]],"NÃO")))</f>
        <v>ADIANTADO</v>
      </c>
      <c r="J13" s="1" t="str">
        <f>IF(Tabela2[[#This Row],[QTD]]-'CONTROLE CONSUMO'!C13&lt;=0,"NÃO",Tabela2[[#This Row],[QTD]]-'CONTROLE CONSUMO'!C13)</f>
        <v>NÃO</v>
      </c>
      <c r="K13" s="1">
        <f>IF(Tabela2[[#This Row],[QTD]]-'CONTROLE CONSUMO'!C13&gt;=0,"NÃO",ABS(Tabela2[[#This Row],[QTD]]-'CONTROLE CONSUMO'!C13))</f>
        <v>40</v>
      </c>
      <c r="L13" s="2" t="str">
        <f>IF(J13="NÃO","NÃO",IF(J13&gt;0,J13*VLOOKUP(B13,Tabela1[#All],4,FALSE),"Erro"))</f>
        <v>NÃO</v>
      </c>
      <c r="M13" s="1">
        <v>10</v>
      </c>
      <c r="N13" s="2">
        <f>M13*VLOOKUP(B13,Tabela1[#All],3,FALSE)</f>
        <v>120</v>
      </c>
    </row>
    <row r="14" spans="1:14" x14ac:dyDescent="0.25">
      <c r="A14" s="1">
        <v>11</v>
      </c>
      <c r="B14" s="1" t="str">
        <f>VLOOKUP(A14,Tabela2[[#All],[ID-A]:[PROD]],2,FALSE)</f>
        <v>Cerâmica 1kg</v>
      </c>
      <c r="C14" s="1">
        <v>50</v>
      </c>
      <c r="D14" s="1" t="str">
        <f>VLOOKUP(B14,Tabela1[#All],5,FALSE)</f>
        <v>Indeterminado</v>
      </c>
      <c r="E14" s="1"/>
      <c r="F14" s="4">
        <v>45333</v>
      </c>
      <c r="G14" s="1" t="str">
        <f t="shared" si="0"/>
        <v>Fev</v>
      </c>
      <c r="H14" s="1">
        <f>DAYS360(Tabela2[[#This Row],[DATA PEDIDO]],'CONTROLE CONSUMO'!F14,)</f>
        <v>40</v>
      </c>
      <c r="I14" s="1" t="str">
        <f>IF(H14&gt;Tabela2[[#This Row],[PRAZO DE ENTREGA/DIAS]],"ATRASADO",IF('CONTROLE CONSUMO'!H14&lt;Tabela2[[#This Row],[PRAZO DE ENTREGA/DIAS]],"ADIANTADO",IF('CONTROLE CONSUMO'!H14=Tabela2[[#This Row],[PRAZO DE ENTREGA/DIAS]],"NÃO")))</f>
        <v>ADIANTADO</v>
      </c>
      <c r="J14" s="1" t="str">
        <f>IF(Tabela2[[#This Row],[QTD]]-'CONTROLE CONSUMO'!C14&lt;=0,"NÃO",Tabela2[[#This Row],[QTD]]-'CONTROLE CONSUMO'!C14)</f>
        <v>NÃO</v>
      </c>
      <c r="K14" s="1">
        <f>IF(Tabela2[[#This Row],[QTD]]-'CONTROLE CONSUMO'!C14&gt;=0,"NÃO",ABS(Tabela2[[#This Row],[QTD]]-'CONTROLE CONSUMO'!C14))</f>
        <v>40</v>
      </c>
      <c r="L14" s="2" t="str">
        <f>IF(J14="NÃO","NÃO",IF(J14&gt;0,J14*VLOOKUP(B14,Tabela1[#All],4,FALSE),"Erro"))</f>
        <v>NÃO</v>
      </c>
      <c r="M14" s="1">
        <v>10</v>
      </c>
      <c r="N14" s="2">
        <f>M14*VLOOKUP(B14,Tabela1[#All],3,FALSE)</f>
        <v>210</v>
      </c>
    </row>
    <row r="15" spans="1:14" x14ac:dyDescent="0.25">
      <c r="A15" s="1">
        <v>12</v>
      </c>
      <c r="B15" s="1" t="str">
        <f>VLOOKUP(A15,Tabela2[[#All],[ID-A]:[PROD]],2,FALSE)</f>
        <v>Tinta 1l</v>
      </c>
      <c r="C15" s="1">
        <v>50</v>
      </c>
      <c r="D15" s="1" t="str">
        <f>VLOOKUP(B15,Tabela1[#All],5,FALSE)</f>
        <v>Indeterminado</v>
      </c>
      <c r="E15" s="1"/>
      <c r="F15" s="4">
        <v>45333</v>
      </c>
      <c r="G15" s="1" t="str">
        <f t="shared" si="0"/>
        <v>Fev</v>
      </c>
      <c r="H15" s="1">
        <f>DAYS360(Tabela2[[#This Row],[DATA PEDIDO]],'CONTROLE CONSUMO'!F15,)</f>
        <v>40</v>
      </c>
      <c r="I15" s="1" t="str">
        <f>IF(H15&gt;Tabela2[[#This Row],[PRAZO DE ENTREGA/DIAS]],"ATRASADO",IF('CONTROLE CONSUMO'!H15&lt;Tabela2[[#This Row],[PRAZO DE ENTREGA/DIAS]],"ADIANTADO",IF('CONTROLE CONSUMO'!H15=Tabela2[[#This Row],[PRAZO DE ENTREGA/DIAS]],"NÃO")))</f>
        <v>ADIANTADO</v>
      </c>
      <c r="J15" s="1" t="str">
        <f>IF(Tabela2[[#This Row],[QTD]]-'CONTROLE CONSUMO'!C15&lt;=0,"NÃO",Tabela2[[#This Row],[QTD]]-'CONTROLE CONSUMO'!C15)</f>
        <v>NÃO</v>
      </c>
      <c r="K15" s="1">
        <f>IF(Tabela2[[#This Row],[QTD]]-'CONTROLE CONSUMO'!C15&gt;=0,"NÃO",ABS(Tabela2[[#This Row],[QTD]]-'CONTROLE CONSUMO'!C15))</f>
        <v>40</v>
      </c>
      <c r="L15" s="2" t="str">
        <f>IF(J15="NÃO","NÃO",IF(J15&gt;0,J15*VLOOKUP(B15,Tabela1[#All],4,FALSE),"Erro"))</f>
        <v>NÃO</v>
      </c>
      <c r="M15" s="1">
        <v>10</v>
      </c>
      <c r="N15" s="2">
        <f>M15*VLOOKUP(B15,Tabela1[#All],3,FALSE)</f>
        <v>500</v>
      </c>
    </row>
    <row r="16" spans="1:14" x14ac:dyDescent="0.25">
      <c r="A16" s="1">
        <v>13</v>
      </c>
      <c r="B16" s="1" t="str">
        <f>VLOOKUP(A16,Tabela2[[#All],[ID-A]:[PROD]],2,FALSE)</f>
        <v>Selante 1kg</v>
      </c>
      <c r="C16" s="1">
        <v>50</v>
      </c>
      <c r="D16" s="1">
        <f>VLOOKUP(B16,Tabela1[#All],5,FALSE)</f>
        <v>90</v>
      </c>
      <c r="E16" s="1"/>
      <c r="F16" s="4">
        <v>45333</v>
      </c>
      <c r="G16" s="1" t="str">
        <f t="shared" si="0"/>
        <v>Fev</v>
      </c>
      <c r="H16" s="1">
        <f>DAYS360(Tabela2[[#This Row],[DATA PEDIDO]],'CONTROLE CONSUMO'!F16,)</f>
        <v>40</v>
      </c>
      <c r="I16" s="1" t="str">
        <f>IF(H16&gt;Tabela2[[#This Row],[PRAZO DE ENTREGA/DIAS]],"ATRASADO",IF('CONTROLE CONSUMO'!H16&lt;Tabela2[[#This Row],[PRAZO DE ENTREGA/DIAS]],"ADIANTADO",IF('CONTROLE CONSUMO'!H16=Tabela2[[#This Row],[PRAZO DE ENTREGA/DIAS]],"NÃO")))</f>
        <v>ADIANTADO</v>
      </c>
      <c r="J16" s="1" t="str">
        <f>IF(Tabela2[[#This Row],[QTD]]-'CONTROLE CONSUMO'!C16&lt;=0,"NÃO",Tabela2[[#This Row],[QTD]]-'CONTROLE CONSUMO'!C16)</f>
        <v>NÃO</v>
      </c>
      <c r="K16" s="1">
        <f>IF(Tabela2[[#This Row],[QTD]]-'CONTROLE CONSUMO'!C16&gt;=0,"NÃO",ABS(Tabela2[[#This Row],[QTD]]-'CONTROLE CONSUMO'!C16))</f>
        <v>40</v>
      </c>
      <c r="L16" s="2" t="str">
        <f>IF(J16="NÃO","NÃO",IF(J16&gt;0,J16*VLOOKUP(B16,Tabela1[#All],4,FALSE),"Erro"))</f>
        <v>NÃO</v>
      </c>
      <c r="M16" s="1">
        <v>10</v>
      </c>
      <c r="N16" s="2">
        <f>M16*VLOOKUP(B16,Tabela1[#All],3,FALSE)</f>
        <v>529</v>
      </c>
    </row>
    <row r="17" spans="1:14" x14ac:dyDescent="0.25">
      <c r="A17" s="1">
        <v>14</v>
      </c>
      <c r="B17" s="1" t="str">
        <f>VLOOKUP(A17,Tabela2[[#All],[ID-A]:[PROD]],2,FALSE)</f>
        <v>Cola Pva 1kg</v>
      </c>
      <c r="C17" s="1">
        <v>50</v>
      </c>
      <c r="D17" s="1">
        <f>VLOOKUP(B17,Tabela1[#All],5,FALSE)</f>
        <v>90</v>
      </c>
      <c r="E17" s="1"/>
      <c r="F17" s="4">
        <v>45352</v>
      </c>
      <c r="G17" s="1" t="str">
        <f t="shared" si="0"/>
        <v>Mar</v>
      </c>
      <c r="H17" s="1">
        <f>DAYS360(Tabela2[[#This Row],[DATA PEDIDO]],'CONTROLE CONSUMO'!F17,)</f>
        <v>60</v>
      </c>
      <c r="I17" s="1" t="str">
        <f>IF(H17&gt;Tabela2[[#This Row],[PRAZO DE ENTREGA/DIAS]],"ATRASADO",IF('CONTROLE CONSUMO'!H17&lt;Tabela2[[#This Row],[PRAZO DE ENTREGA/DIAS]],"ADIANTADO",IF('CONTROLE CONSUMO'!H17=Tabela2[[#This Row],[PRAZO DE ENTREGA/DIAS]],"NÃO")))</f>
        <v>ADIANTADO</v>
      </c>
      <c r="J17" s="1" t="str">
        <f>IF(Tabela2[[#This Row],[QTD]]-'CONTROLE CONSUMO'!C17&lt;=0,"NÃO",Tabela2[[#This Row],[QTD]]-'CONTROLE CONSUMO'!C17)</f>
        <v>NÃO</v>
      </c>
      <c r="K17" s="1">
        <f>IF(Tabela2[[#This Row],[QTD]]-'CONTROLE CONSUMO'!C17&gt;=0,"NÃO",ABS(Tabela2[[#This Row],[QTD]]-'CONTROLE CONSUMO'!C17))</f>
        <v>40</v>
      </c>
      <c r="L17" s="2" t="str">
        <f>IF(J17="NÃO","NÃO",IF(J17&gt;0,J17*VLOOKUP(B17,Tabela1[#All],4,FALSE),"Erro"))</f>
        <v>NÃO</v>
      </c>
      <c r="M17" s="1">
        <v>10</v>
      </c>
      <c r="N17" s="2">
        <f>M17*VLOOKUP(B17,Tabela1[#All],3,FALSE)</f>
        <v>159</v>
      </c>
    </row>
    <row r="18" spans="1:14" x14ac:dyDescent="0.25">
      <c r="A18" s="1">
        <v>15</v>
      </c>
      <c r="B18" s="1" t="str">
        <f>VLOOKUP(A18,Tabela2[[#All],[ID-A]:[PROD]],2,FALSE)</f>
        <v>Argamassa Pronta 1kg</v>
      </c>
      <c r="C18" s="1">
        <v>50</v>
      </c>
      <c r="D18" s="1">
        <f>VLOOKUP(B18,Tabela1[#All],5,FALSE)</f>
        <v>120</v>
      </c>
      <c r="E18" s="1"/>
      <c r="F18" s="4">
        <v>45352</v>
      </c>
      <c r="G18" s="1" t="str">
        <f t="shared" si="0"/>
        <v>Mar</v>
      </c>
      <c r="H18" s="1">
        <f>DAYS360(Tabela2[[#This Row],[DATA PEDIDO]],'CONTROLE CONSUMO'!F18,)</f>
        <v>60</v>
      </c>
      <c r="I18" s="1" t="str">
        <f>IF(H18&gt;Tabela2[[#This Row],[PRAZO DE ENTREGA/DIAS]],"ATRASADO",IF('CONTROLE CONSUMO'!H18&lt;Tabela2[[#This Row],[PRAZO DE ENTREGA/DIAS]],"ADIANTADO",IF('CONTROLE CONSUMO'!H18=Tabela2[[#This Row],[PRAZO DE ENTREGA/DIAS]],"NÃO")))</f>
        <v>ADIANTADO</v>
      </c>
      <c r="J18" s="1" t="str">
        <f>IF(Tabela2[[#This Row],[QTD]]-'CONTROLE CONSUMO'!C18&lt;=0,"NÃO",Tabela2[[#This Row],[QTD]]-'CONTROLE CONSUMO'!C18)</f>
        <v>NÃO</v>
      </c>
      <c r="K18" s="1">
        <f>IF(Tabela2[[#This Row],[QTD]]-'CONTROLE CONSUMO'!C18&gt;=0,"NÃO",ABS(Tabela2[[#This Row],[QTD]]-'CONTROLE CONSUMO'!C18))</f>
        <v>40</v>
      </c>
      <c r="L18" s="2" t="str">
        <f>IF(J18="NÃO","NÃO",IF(J18&gt;0,J18*VLOOKUP(B18,Tabela1[#All],4,FALSE),"Erro"))</f>
        <v>NÃO</v>
      </c>
      <c r="M18" s="1">
        <v>10</v>
      </c>
      <c r="N18" s="2">
        <f>M18*VLOOKUP(B18,Tabela1[#All],3,FALSE)</f>
        <v>19</v>
      </c>
    </row>
    <row r="19" spans="1:14" x14ac:dyDescent="0.25">
      <c r="A19" s="1">
        <v>16</v>
      </c>
      <c r="B19" s="1" t="str">
        <f>VLOOKUP(A19,Tabela2[[#All],[ID-A]:[PROD]],2,FALSE)</f>
        <v>Impermeabilizante à Base de Latex 1kg</v>
      </c>
      <c r="C19" s="1">
        <v>50</v>
      </c>
      <c r="D19" s="1">
        <f>VLOOKUP(B19,Tabela1[#All],5,FALSE)</f>
        <v>180</v>
      </c>
      <c r="E19" s="1"/>
      <c r="F19" s="4">
        <v>45354</v>
      </c>
      <c r="G19" s="1" t="str">
        <f t="shared" si="0"/>
        <v>Mar</v>
      </c>
      <c r="H19" s="1">
        <f>DAYS360(Tabela2[[#This Row],[DATA PEDIDO]],'CONTROLE CONSUMO'!F19,)</f>
        <v>62</v>
      </c>
      <c r="I19" s="1" t="str">
        <f>IF(H19&gt;Tabela2[[#This Row],[PRAZO DE ENTREGA/DIAS]],"ATRASADO",IF('CONTROLE CONSUMO'!H19&lt;Tabela2[[#This Row],[PRAZO DE ENTREGA/DIAS]],"ADIANTADO",IF('CONTROLE CONSUMO'!H19=Tabela2[[#This Row],[PRAZO DE ENTREGA/DIAS]],"NÃO")))</f>
        <v>ADIANTADO</v>
      </c>
      <c r="J19" s="1" t="str">
        <f>IF(Tabela2[[#This Row],[QTD]]-'CONTROLE CONSUMO'!C19&lt;=0,"NÃO",Tabela2[[#This Row],[QTD]]-'CONTROLE CONSUMO'!C19)</f>
        <v>NÃO</v>
      </c>
      <c r="K19" s="1">
        <f>IF(Tabela2[[#This Row],[QTD]]-'CONTROLE CONSUMO'!C19&gt;=0,"NÃO",ABS(Tabela2[[#This Row],[QTD]]-'CONTROLE CONSUMO'!C19))</f>
        <v>40</v>
      </c>
      <c r="L19" s="2" t="str">
        <f>IF(J19="NÃO","NÃO",IF(J19&gt;0,J19*VLOOKUP(B19,Tabela1[#All],4,FALSE),"Erro"))</f>
        <v>NÃO</v>
      </c>
      <c r="M19" s="1">
        <v>10</v>
      </c>
      <c r="N19" s="2">
        <f>M19*VLOOKUP(B19,Tabela1[#All],3,FALSE)</f>
        <v>15</v>
      </c>
    </row>
    <row r="20" spans="1:14" x14ac:dyDescent="0.25">
      <c r="A20" s="1">
        <v>17</v>
      </c>
      <c r="B20" s="1" t="str">
        <f>VLOOKUP(A20,Tabela2[[#All],[ID-A]:[PROD]],2,FALSE)</f>
        <v>Cimento 1kg</v>
      </c>
      <c r="C20" s="1">
        <v>50</v>
      </c>
      <c r="D20" s="1">
        <f>VLOOKUP(B20,Tabela1[#All],5,FALSE)</f>
        <v>90</v>
      </c>
      <c r="E20" s="1"/>
      <c r="F20" s="4">
        <v>45343</v>
      </c>
      <c r="G20" s="1" t="str">
        <f t="shared" si="0"/>
        <v>Fev</v>
      </c>
      <c r="H20" s="1">
        <f>DAYS360(Tabela2[[#This Row],[DATA PEDIDO]],'CONTROLE CONSUMO'!F20,)</f>
        <v>20</v>
      </c>
      <c r="I20" s="1" t="str">
        <f>IF(H20&gt;Tabela2[[#This Row],[PRAZO DE ENTREGA/DIAS]],"ATRASADO",IF('CONTROLE CONSUMO'!H20&lt;Tabela2[[#This Row],[PRAZO DE ENTREGA/DIAS]],"ADIANTADO",IF('CONTROLE CONSUMO'!H20=Tabela2[[#This Row],[PRAZO DE ENTREGA/DIAS]],"NÃO")))</f>
        <v>ADIANTADO</v>
      </c>
      <c r="J20" s="1" t="str">
        <f>IF(Tabela2[[#This Row],[QTD]]-'CONTROLE CONSUMO'!C20&lt;=0,"NÃO",Tabela2[[#This Row],[QTD]]-'CONTROLE CONSUMO'!C20)</f>
        <v>NÃO</v>
      </c>
      <c r="K20" s="1">
        <f>IF(Tabela2[[#This Row],[QTD]]-'CONTROLE CONSUMO'!C20&gt;=0,"NÃO",ABS(Tabela2[[#This Row],[QTD]]-'CONTROLE CONSUMO'!C20))</f>
        <v>40</v>
      </c>
      <c r="L20" s="2" t="str">
        <f>IF(J20="NÃO","NÃO",IF(J20&gt;0,J20*VLOOKUP(B20,Tabela1[#All],4,FALSE),"Erro"))</f>
        <v>NÃO</v>
      </c>
      <c r="M20" s="1">
        <v>10</v>
      </c>
      <c r="N20" s="2">
        <f>M20*VLOOKUP(B20,Tabela1[#All],3,FALSE)</f>
        <v>50</v>
      </c>
    </row>
    <row r="21" spans="1:14" x14ac:dyDescent="0.25">
      <c r="A21" s="1">
        <v>18</v>
      </c>
      <c r="B21" s="1" t="str">
        <f>VLOOKUP(A21,Tabela2[[#All],[ID-A]:[PROD]],2,FALSE)</f>
        <v>Areia 1kg</v>
      </c>
      <c r="C21" s="1">
        <v>50</v>
      </c>
      <c r="D21" s="1" t="str">
        <f>VLOOKUP(B21,Tabela1[#All],5,FALSE)</f>
        <v>Indeterminado</v>
      </c>
      <c r="E21" s="1"/>
      <c r="F21" s="4">
        <v>45343</v>
      </c>
      <c r="G21" s="1" t="str">
        <f t="shared" si="0"/>
        <v>Fev</v>
      </c>
      <c r="H21" s="1">
        <f>DAYS360(Tabela2[[#This Row],[DATA PEDIDO]],'CONTROLE CONSUMO'!F21,)</f>
        <v>20</v>
      </c>
      <c r="I21" s="1" t="str">
        <f>IF(H21&gt;Tabela2[[#This Row],[PRAZO DE ENTREGA/DIAS]],"ATRASADO",IF('CONTROLE CONSUMO'!H21&lt;Tabela2[[#This Row],[PRAZO DE ENTREGA/DIAS]],"ADIANTADO",IF('CONTROLE CONSUMO'!H21=Tabela2[[#This Row],[PRAZO DE ENTREGA/DIAS]],"NÃO")))</f>
        <v>ADIANTADO</v>
      </c>
      <c r="J21" s="1" t="str">
        <f>IF(Tabela2[[#This Row],[QTD]]-'CONTROLE CONSUMO'!C21&lt;=0,"NÃO",Tabela2[[#This Row],[QTD]]-'CONTROLE CONSUMO'!C21)</f>
        <v>NÃO</v>
      </c>
      <c r="K21" s="1">
        <f>IF(Tabela2[[#This Row],[QTD]]-'CONTROLE CONSUMO'!C21&gt;=0,"NÃO",ABS(Tabela2[[#This Row],[QTD]]-'CONTROLE CONSUMO'!C21))</f>
        <v>40</v>
      </c>
      <c r="L21" s="2" t="str">
        <f>IF(J21="NÃO","NÃO",IF(J21&gt;0,J21*VLOOKUP(B21,Tabela1[#All],4,FALSE),"Erro"))</f>
        <v>NÃO</v>
      </c>
      <c r="M21" s="1">
        <v>10</v>
      </c>
      <c r="N21" s="2">
        <f>M21*VLOOKUP(B21,Tabela1[#All],3,FALSE)</f>
        <v>20</v>
      </c>
    </row>
    <row r="22" spans="1:14" x14ac:dyDescent="0.25">
      <c r="A22" s="1">
        <v>19</v>
      </c>
      <c r="B22" s="1" t="str">
        <f>VLOOKUP(A22,Tabela2[[#All],[ID-A]:[PROD]],2,FALSE)</f>
        <v>Brita 1kg</v>
      </c>
      <c r="C22" s="1">
        <v>50</v>
      </c>
      <c r="D22" s="1" t="str">
        <f>VLOOKUP(B22,Tabela1[#All],5,FALSE)</f>
        <v>Indeterminado</v>
      </c>
      <c r="E22" s="1"/>
      <c r="F22" s="4">
        <v>45343</v>
      </c>
      <c r="G22" s="1" t="str">
        <f t="shared" si="0"/>
        <v>Fev</v>
      </c>
      <c r="H22" s="1">
        <f>DAYS360(Tabela2[[#This Row],[DATA PEDIDO]],'CONTROLE CONSUMO'!F22,)</f>
        <v>20</v>
      </c>
      <c r="I22" s="1" t="str">
        <f>IF(H22&gt;Tabela2[[#This Row],[PRAZO DE ENTREGA/DIAS]],"ATRASADO",IF('CONTROLE CONSUMO'!H22&lt;Tabela2[[#This Row],[PRAZO DE ENTREGA/DIAS]],"ADIANTADO",IF('CONTROLE CONSUMO'!H22=Tabela2[[#This Row],[PRAZO DE ENTREGA/DIAS]],"NÃO")))</f>
        <v>ADIANTADO</v>
      </c>
      <c r="J22" s="1" t="str">
        <f>IF(Tabela2[[#This Row],[QTD]]-'CONTROLE CONSUMO'!C22&lt;=0,"NÃO",Tabela2[[#This Row],[QTD]]-'CONTROLE CONSUMO'!C22)</f>
        <v>NÃO</v>
      </c>
      <c r="K22" s="1">
        <f>IF(Tabela2[[#This Row],[QTD]]-'CONTROLE CONSUMO'!C22&gt;=0,"NÃO",ABS(Tabela2[[#This Row],[QTD]]-'CONTROLE CONSUMO'!C22))</f>
        <v>40</v>
      </c>
      <c r="L22" s="2" t="str">
        <f>IF(J22="NÃO","NÃO",IF(J22&gt;0,J22*VLOOKUP(B22,Tabela1[#All],4,FALSE),"Erro"))</f>
        <v>NÃO</v>
      </c>
      <c r="M22" s="1">
        <v>10</v>
      </c>
      <c r="N22" s="2">
        <f>M22*VLOOKUP(B22,Tabela1[#All],3,FALSE)</f>
        <v>10</v>
      </c>
    </row>
    <row r="23" spans="1:14" x14ac:dyDescent="0.25">
      <c r="A23" s="1">
        <v>20</v>
      </c>
      <c r="B23" s="1" t="str">
        <f>VLOOKUP(A23,Tabela2[[#All],[ID-A]:[PROD]],2,FALSE)</f>
        <v>Água 1000l</v>
      </c>
      <c r="C23" s="1">
        <v>50</v>
      </c>
      <c r="D23" s="1" t="str">
        <f>VLOOKUP(B23,Tabela1[#All],5,FALSE)</f>
        <v>Indeterminado</v>
      </c>
      <c r="E23" s="1"/>
      <c r="F23" s="4">
        <v>45343</v>
      </c>
      <c r="G23" s="1" t="str">
        <f t="shared" si="0"/>
        <v>Fev</v>
      </c>
      <c r="H23" s="1">
        <f>DAYS360(Tabela2[[#This Row],[DATA PEDIDO]],'CONTROLE CONSUMO'!F23,)</f>
        <v>20</v>
      </c>
      <c r="I23" s="1" t="str">
        <f>IF(H23&gt;Tabela2[[#This Row],[PRAZO DE ENTREGA/DIAS]],"ATRASADO",IF('CONTROLE CONSUMO'!H23&lt;Tabela2[[#This Row],[PRAZO DE ENTREGA/DIAS]],"ADIANTADO",IF('CONTROLE CONSUMO'!H23=Tabela2[[#This Row],[PRAZO DE ENTREGA/DIAS]],"NÃO")))</f>
        <v>ADIANTADO</v>
      </c>
      <c r="J23" s="1" t="str">
        <f>IF(Tabela2[[#This Row],[QTD]]-'CONTROLE CONSUMO'!C23&lt;=0,"NÃO",Tabela2[[#This Row],[QTD]]-'CONTROLE CONSUMO'!C23)</f>
        <v>NÃO</v>
      </c>
      <c r="K23" s="1">
        <f>IF(Tabela2[[#This Row],[QTD]]-'CONTROLE CONSUMO'!C23&gt;=0,"NÃO",ABS(Tabela2[[#This Row],[QTD]]-'CONTROLE CONSUMO'!C23))</f>
        <v>40</v>
      </c>
      <c r="L23" s="2" t="str">
        <f>IF(J23="NÃO","NÃO",IF(J23&gt;0,J23*VLOOKUP(B23,Tabela1[#All],4,FALSE),"Erro"))</f>
        <v>NÃO</v>
      </c>
      <c r="M23" s="1">
        <v>10</v>
      </c>
      <c r="N23" s="2">
        <f>M23*VLOOKUP(B23,Tabela1[#All],3,FALSE)</f>
        <v>20000</v>
      </c>
    </row>
    <row r="24" spans="1:14" x14ac:dyDescent="0.25">
      <c r="A24" s="1">
        <v>21</v>
      </c>
      <c r="B24" s="1" t="str">
        <f>VLOOKUP(A24,Tabela2[[#All],[ID-A]:[PROD]],2,FALSE)</f>
        <v>Madeira 1kg</v>
      </c>
      <c r="C24" s="1">
        <v>50</v>
      </c>
      <c r="D24" s="1" t="str">
        <f>VLOOKUP(B24,Tabela1[#All],5,FALSE)</f>
        <v>Indeterminado</v>
      </c>
      <c r="E24" s="1"/>
      <c r="F24" s="4">
        <v>45343</v>
      </c>
      <c r="G24" s="1" t="str">
        <f t="shared" si="0"/>
        <v>Fev</v>
      </c>
      <c r="H24" s="1">
        <f>DAYS360(Tabela2[[#This Row],[DATA PEDIDO]],'CONTROLE CONSUMO'!F24,)</f>
        <v>20</v>
      </c>
      <c r="I24" s="1" t="str">
        <f>IF(H24&gt;Tabela2[[#This Row],[PRAZO DE ENTREGA/DIAS]],"ATRASADO",IF('CONTROLE CONSUMO'!H24&lt;Tabela2[[#This Row],[PRAZO DE ENTREGA/DIAS]],"ADIANTADO",IF('CONTROLE CONSUMO'!H24=Tabela2[[#This Row],[PRAZO DE ENTREGA/DIAS]],"NÃO")))</f>
        <v>ADIANTADO</v>
      </c>
      <c r="J24" s="1" t="str">
        <f>IF(Tabela2[[#This Row],[QTD]]-'CONTROLE CONSUMO'!C24&lt;=0,"NÃO",Tabela2[[#This Row],[QTD]]-'CONTROLE CONSUMO'!C24)</f>
        <v>NÃO</v>
      </c>
      <c r="K24" s="1">
        <f>IF(Tabela2[[#This Row],[QTD]]-'CONTROLE CONSUMO'!C24&gt;=0,"NÃO",ABS(Tabela2[[#This Row],[QTD]]-'CONTROLE CONSUMO'!C24))</f>
        <v>40</v>
      </c>
      <c r="L24" s="2" t="str">
        <f>IF(J24="NÃO","NÃO",IF(J24&gt;0,J24*VLOOKUP(B24,Tabela1[#All],4,FALSE),"Erro"))</f>
        <v>NÃO</v>
      </c>
      <c r="M24" s="1">
        <v>10</v>
      </c>
      <c r="N24" s="2">
        <f>M24*VLOOKUP(B24,Tabela1[#All],3,FALSE)</f>
        <v>250</v>
      </c>
    </row>
    <row r="25" spans="1:14" x14ac:dyDescent="0.25">
      <c r="A25" s="1">
        <v>22</v>
      </c>
      <c r="B25" s="1" t="str">
        <f>VLOOKUP(A25,Tabela2[[#All],[ID-A]:[PROD]],2,FALSE)</f>
        <v>Tijolo Comum 1kg</v>
      </c>
      <c r="C25" s="1">
        <v>50</v>
      </c>
      <c r="D25" s="1" t="str">
        <f>VLOOKUP(B25,Tabela1[#All],5,FALSE)</f>
        <v>Indeterminado</v>
      </c>
      <c r="E25" s="1"/>
      <c r="F25" s="4">
        <v>45343</v>
      </c>
      <c r="G25" s="1" t="str">
        <f t="shared" si="0"/>
        <v>Fev</v>
      </c>
      <c r="H25" s="1">
        <f>DAYS360(Tabela2[[#This Row],[DATA PEDIDO]],'CONTROLE CONSUMO'!F25,)</f>
        <v>20</v>
      </c>
      <c r="I25" s="1" t="str">
        <f>IF(H25&gt;Tabela2[[#This Row],[PRAZO DE ENTREGA/DIAS]],"ATRASADO",IF('CONTROLE CONSUMO'!H25&lt;Tabela2[[#This Row],[PRAZO DE ENTREGA/DIAS]],"ADIANTADO",IF('CONTROLE CONSUMO'!H25=Tabela2[[#This Row],[PRAZO DE ENTREGA/DIAS]],"NÃO")))</f>
        <v>ADIANTADO</v>
      </c>
      <c r="J25" s="1" t="str">
        <f>IF(Tabela2[[#This Row],[QTD]]-'CONTROLE CONSUMO'!C25&lt;=0,"NÃO",Tabela2[[#This Row],[QTD]]-'CONTROLE CONSUMO'!C25)</f>
        <v>NÃO</v>
      </c>
      <c r="K25" s="1">
        <f>IF(Tabela2[[#This Row],[QTD]]-'CONTROLE CONSUMO'!C25&gt;=0,"NÃO",ABS(Tabela2[[#This Row],[QTD]]-'CONTROLE CONSUMO'!C25))</f>
        <v>40</v>
      </c>
      <c r="L25" s="2" t="str">
        <f>IF(J25="NÃO","NÃO",IF(J25&gt;0,J25*VLOOKUP(B25,Tabela1[#All],4,FALSE),"Erro"))</f>
        <v>NÃO</v>
      </c>
      <c r="M25" s="1">
        <v>10</v>
      </c>
      <c r="N25" s="2">
        <f>M25*VLOOKUP(B25,Tabela1[#All],3,FALSE)</f>
        <v>10</v>
      </c>
    </row>
    <row r="26" spans="1:14" x14ac:dyDescent="0.25">
      <c r="A26" s="1">
        <v>23</v>
      </c>
      <c r="B26" s="1" t="str">
        <f>VLOOKUP(A26,Tabela2[[#All],[ID-A]:[PROD]],2,FALSE)</f>
        <v>Tijolo Ecológico 1kg</v>
      </c>
      <c r="C26" s="1">
        <v>50</v>
      </c>
      <c r="D26" s="1" t="str">
        <f>VLOOKUP(B26,Tabela1[#All],5,FALSE)</f>
        <v>Indeterminado</v>
      </c>
      <c r="E26" s="1"/>
      <c r="F26" s="4">
        <v>45343</v>
      </c>
      <c r="G26" s="1" t="str">
        <f t="shared" si="0"/>
        <v>Fev</v>
      </c>
      <c r="H26" s="1">
        <f>DAYS360(Tabela2[[#This Row],[DATA PEDIDO]],'CONTROLE CONSUMO'!F26,)</f>
        <v>20</v>
      </c>
      <c r="I26" s="1" t="str">
        <f>IF(H26&gt;Tabela2[[#This Row],[PRAZO DE ENTREGA/DIAS]],"ATRASADO",IF('CONTROLE CONSUMO'!H26&lt;Tabela2[[#This Row],[PRAZO DE ENTREGA/DIAS]],"ADIANTADO",IF('CONTROLE CONSUMO'!H26=Tabela2[[#This Row],[PRAZO DE ENTREGA/DIAS]],"NÃO")))</f>
        <v>ADIANTADO</v>
      </c>
      <c r="J26" s="1" t="str">
        <f>IF(Tabela2[[#This Row],[QTD]]-'CONTROLE CONSUMO'!C26&lt;=0,"NÃO",Tabela2[[#This Row],[QTD]]-'CONTROLE CONSUMO'!C26)</f>
        <v>NÃO</v>
      </c>
      <c r="K26" s="1">
        <f>IF(Tabela2[[#This Row],[QTD]]-'CONTROLE CONSUMO'!C26&gt;=0,"NÃO",ABS(Tabela2[[#This Row],[QTD]]-'CONTROLE CONSUMO'!C26))</f>
        <v>40</v>
      </c>
      <c r="L26" s="2" t="str">
        <f>IF(J26="NÃO","NÃO",IF(J26&gt;0,J26*VLOOKUP(B26,Tabela1[#All],4,FALSE),"Erro"))</f>
        <v>NÃO</v>
      </c>
      <c r="M26" s="1">
        <v>10</v>
      </c>
      <c r="N26" s="2">
        <f>M26*VLOOKUP(B26,Tabela1[#All],3,FALSE)</f>
        <v>15</v>
      </c>
    </row>
    <row r="27" spans="1:14" x14ac:dyDescent="0.25">
      <c r="A27" s="1">
        <v>24</v>
      </c>
      <c r="B27" s="1" t="str">
        <f>VLOOKUP(A27,Tabela2[[#All],[ID-A]:[PROD]],2,FALSE)</f>
        <v>Bloco de Cimento 1kg</v>
      </c>
      <c r="C27" s="1">
        <v>50</v>
      </c>
      <c r="D27" s="1" t="str">
        <f>VLOOKUP(B27,Tabela1[#All],5,FALSE)</f>
        <v>Indeterminado</v>
      </c>
      <c r="E27" s="1"/>
      <c r="F27" s="4">
        <v>45362</v>
      </c>
      <c r="G27" s="1" t="str">
        <f t="shared" si="0"/>
        <v>Mar</v>
      </c>
      <c r="H27" s="1">
        <f>DAYS360(Tabela2[[#This Row],[DATA PEDIDO]],'CONTROLE CONSUMO'!F27,)</f>
        <v>40</v>
      </c>
      <c r="I27" s="1" t="str">
        <f>IF(H27&gt;Tabela2[[#This Row],[PRAZO DE ENTREGA/DIAS]],"ATRASADO",IF('CONTROLE CONSUMO'!H27&lt;Tabela2[[#This Row],[PRAZO DE ENTREGA/DIAS]],"ADIANTADO",IF('CONTROLE CONSUMO'!H27=Tabela2[[#This Row],[PRAZO DE ENTREGA/DIAS]],"NÃO")))</f>
        <v>ADIANTADO</v>
      </c>
      <c r="J27" s="1" t="str">
        <f>IF(Tabela2[[#This Row],[QTD]]-'CONTROLE CONSUMO'!C27&lt;=0,"NÃO",Tabela2[[#This Row],[QTD]]-'CONTROLE CONSUMO'!C27)</f>
        <v>NÃO</v>
      </c>
      <c r="K27" s="1">
        <f>IF(Tabela2[[#This Row],[QTD]]-'CONTROLE CONSUMO'!C27&gt;=0,"NÃO",ABS(Tabela2[[#This Row],[QTD]]-'CONTROLE CONSUMO'!C27))</f>
        <v>40</v>
      </c>
      <c r="L27" s="2" t="str">
        <f>IF(J27="NÃO","NÃO",IF(J27&gt;0,J27*VLOOKUP(B27,Tabela1[#All],4,FALSE),"Erro"))</f>
        <v>NÃO</v>
      </c>
      <c r="M27" s="1">
        <v>10</v>
      </c>
      <c r="N27" s="2">
        <f>M27*VLOOKUP(B27,Tabela1[#All],3,FALSE)</f>
        <v>18</v>
      </c>
    </row>
    <row r="28" spans="1:14" x14ac:dyDescent="0.25">
      <c r="A28" s="1">
        <v>25</v>
      </c>
      <c r="B28" s="1" t="str">
        <f>VLOOKUP(A28,Tabela2[[#All],[ID-A]:[PROD]],2,FALSE)</f>
        <v>Gesso 1kg</v>
      </c>
      <c r="C28" s="1">
        <v>50</v>
      </c>
      <c r="D28" s="1">
        <f>VLOOKUP(B28,Tabela1[#All],5,FALSE)</f>
        <v>90</v>
      </c>
      <c r="E28" s="1"/>
      <c r="F28" s="4">
        <v>45362</v>
      </c>
      <c r="G28" s="1" t="str">
        <f t="shared" si="0"/>
        <v>Mar</v>
      </c>
      <c r="H28" s="1">
        <f>DAYS360(Tabela2[[#This Row],[DATA PEDIDO]],'CONTROLE CONSUMO'!F28,)</f>
        <v>40</v>
      </c>
      <c r="I28" s="1" t="str">
        <f>IF(H28&gt;Tabela2[[#This Row],[PRAZO DE ENTREGA/DIAS]],"ATRASADO",IF('CONTROLE CONSUMO'!H28&lt;Tabela2[[#This Row],[PRAZO DE ENTREGA/DIAS]],"ADIANTADO",IF('CONTROLE CONSUMO'!H28=Tabela2[[#This Row],[PRAZO DE ENTREGA/DIAS]],"NÃO")))</f>
        <v>ADIANTADO</v>
      </c>
      <c r="J28" s="1" t="str">
        <f>IF(Tabela2[[#This Row],[QTD]]-'CONTROLE CONSUMO'!C28&lt;=0,"NÃO",Tabela2[[#This Row],[QTD]]-'CONTROLE CONSUMO'!C28)</f>
        <v>NÃO</v>
      </c>
      <c r="K28" s="1">
        <f>IF(Tabela2[[#This Row],[QTD]]-'CONTROLE CONSUMO'!C28&gt;=0,"NÃO",ABS(Tabela2[[#This Row],[QTD]]-'CONTROLE CONSUMO'!C28))</f>
        <v>40</v>
      </c>
      <c r="L28" s="2" t="str">
        <f>IF(J28="NÃO","NÃO",IF(J28&gt;0,J28*VLOOKUP(B28,Tabela1[#All],4,FALSE),"Erro"))</f>
        <v>NÃO</v>
      </c>
      <c r="M28" s="1">
        <v>10</v>
      </c>
      <c r="N28" s="2">
        <f>M28*VLOOKUP(B28,Tabela1[#All],3,FALSE)</f>
        <v>31</v>
      </c>
    </row>
    <row r="29" spans="1:14" x14ac:dyDescent="0.25">
      <c r="A29" s="1">
        <v>26</v>
      </c>
      <c r="B29" s="1" t="str">
        <f>VLOOKUP(A29,Tabela2[[#All],[ID-A]:[PROD]],2,FALSE)</f>
        <v>Aço 1kg</v>
      </c>
      <c r="C29" s="1">
        <v>50</v>
      </c>
      <c r="D29" s="1" t="str">
        <f>VLOOKUP(B29,Tabela1[#All],5,FALSE)</f>
        <v>Indeterminado</v>
      </c>
      <c r="E29" s="1"/>
      <c r="F29" s="4">
        <v>45362</v>
      </c>
      <c r="G29" s="1" t="str">
        <f t="shared" si="0"/>
        <v>Mar</v>
      </c>
      <c r="H29" s="1">
        <f>DAYS360(Tabela2[[#This Row],[DATA PEDIDO]],'CONTROLE CONSUMO'!F29,)</f>
        <v>40</v>
      </c>
      <c r="I29" s="1" t="str">
        <f>IF(H29&gt;Tabela2[[#This Row],[PRAZO DE ENTREGA/DIAS]],"ATRASADO",IF('CONTROLE CONSUMO'!H29&lt;Tabela2[[#This Row],[PRAZO DE ENTREGA/DIAS]],"ADIANTADO",IF('CONTROLE CONSUMO'!H29=Tabela2[[#This Row],[PRAZO DE ENTREGA/DIAS]],"NÃO")))</f>
        <v>ADIANTADO</v>
      </c>
      <c r="J29" s="1" t="str">
        <f>IF(Tabela2[[#This Row],[QTD]]-'CONTROLE CONSUMO'!C29&lt;=0,"NÃO",Tabela2[[#This Row],[QTD]]-'CONTROLE CONSUMO'!C29)</f>
        <v>NÃO</v>
      </c>
      <c r="K29" s="1">
        <f>IF(Tabela2[[#This Row],[QTD]]-'CONTROLE CONSUMO'!C29&gt;=0,"NÃO",ABS(Tabela2[[#This Row],[QTD]]-'CONTROLE CONSUMO'!C29))</f>
        <v>40</v>
      </c>
      <c r="L29" s="2" t="str">
        <f>IF(J29="NÃO","NÃO",IF(J29&gt;0,J29*VLOOKUP(B29,Tabela1[#All],4,FALSE),"Erro"))</f>
        <v>NÃO</v>
      </c>
      <c r="M29" s="1">
        <v>10</v>
      </c>
      <c r="N29" s="2">
        <f>M29*VLOOKUP(B29,Tabela1[#All],3,FALSE)</f>
        <v>120</v>
      </c>
    </row>
    <row r="30" spans="1:14" x14ac:dyDescent="0.25">
      <c r="A30" s="1">
        <v>27</v>
      </c>
      <c r="B30" s="1" t="str">
        <f>VLOOKUP(A30,Tabela2[[#All],[ID-A]:[PROD]],2,FALSE)</f>
        <v>Cerâmica 1kg</v>
      </c>
      <c r="C30" s="1">
        <v>50</v>
      </c>
      <c r="D30" s="1" t="str">
        <f>VLOOKUP(B30,Tabela1[#All],5,FALSE)</f>
        <v>Indeterminado</v>
      </c>
      <c r="E30" s="1"/>
      <c r="F30" s="4">
        <v>45362</v>
      </c>
      <c r="G30" s="1" t="str">
        <f t="shared" si="0"/>
        <v>Mar</v>
      </c>
      <c r="H30" s="1">
        <f>DAYS360(Tabela2[[#This Row],[DATA PEDIDO]],'CONTROLE CONSUMO'!F30,)</f>
        <v>40</v>
      </c>
      <c r="I30" s="1" t="str">
        <f>IF(H30&gt;Tabela2[[#This Row],[PRAZO DE ENTREGA/DIAS]],"ATRASADO",IF('CONTROLE CONSUMO'!H30&lt;Tabela2[[#This Row],[PRAZO DE ENTREGA/DIAS]],"ADIANTADO",IF('CONTROLE CONSUMO'!H30=Tabela2[[#This Row],[PRAZO DE ENTREGA/DIAS]],"NÃO")))</f>
        <v>ADIANTADO</v>
      </c>
      <c r="J30" s="1" t="str">
        <f>IF(Tabela2[[#This Row],[QTD]]-'CONTROLE CONSUMO'!C30&lt;=0,"NÃO",Tabela2[[#This Row],[QTD]]-'CONTROLE CONSUMO'!C30)</f>
        <v>NÃO</v>
      </c>
      <c r="K30" s="1">
        <f>IF(Tabela2[[#This Row],[QTD]]-'CONTROLE CONSUMO'!C30&gt;=0,"NÃO",ABS(Tabela2[[#This Row],[QTD]]-'CONTROLE CONSUMO'!C30))</f>
        <v>40</v>
      </c>
      <c r="L30" s="2" t="str">
        <f>IF(J30="NÃO","NÃO",IF(J30&gt;0,J30*VLOOKUP(B30,Tabela1[#All],4,FALSE),"Erro"))</f>
        <v>NÃO</v>
      </c>
      <c r="M30" s="1">
        <v>10</v>
      </c>
      <c r="N30" s="2">
        <f>M30*VLOOKUP(B30,Tabela1[#All],3,FALSE)</f>
        <v>210</v>
      </c>
    </row>
    <row r="31" spans="1:14" x14ac:dyDescent="0.25">
      <c r="A31" s="1">
        <v>28</v>
      </c>
      <c r="B31" s="1" t="str">
        <f>VLOOKUP(A31,Tabela2[[#All],[ID-A]:[PROD]],2,FALSE)</f>
        <v>Tinta 1l</v>
      </c>
      <c r="C31" s="1">
        <v>50</v>
      </c>
      <c r="D31" s="1" t="str">
        <f>VLOOKUP(B31,Tabela1[#All],5,FALSE)</f>
        <v>Indeterminado</v>
      </c>
      <c r="E31" s="1"/>
      <c r="F31" s="4">
        <v>45362</v>
      </c>
      <c r="G31" s="1" t="str">
        <f t="shared" si="0"/>
        <v>Mar</v>
      </c>
      <c r="H31" s="1">
        <f>DAYS360(Tabela2[[#This Row],[DATA PEDIDO]],'CONTROLE CONSUMO'!F31,)</f>
        <v>40</v>
      </c>
      <c r="I31" s="1" t="str">
        <f>IF(H31&gt;Tabela2[[#This Row],[PRAZO DE ENTREGA/DIAS]],"ATRASADO",IF('CONTROLE CONSUMO'!H31&lt;Tabela2[[#This Row],[PRAZO DE ENTREGA/DIAS]],"ADIANTADO",IF('CONTROLE CONSUMO'!H31=Tabela2[[#This Row],[PRAZO DE ENTREGA/DIAS]],"NÃO")))</f>
        <v>ADIANTADO</v>
      </c>
      <c r="J31" s="1" t="str">
        <f>IF(Tabela2[[#This Row],[QTD]]-'CONTROLE CONSUMO'!C31&lt;=0,"NÃO",Tabela2[[#This Row],[QTD]]-'CONTROLE CONSUMO'!C31)</f>
        <v>NÃO</v>
      </c>
      <c r="K31" s="1">
        <f>IF(Tabela2[[#This Row],[QTD]]-'CONTROLE CONSUMO'!C31&gt;=0,"NÃO",ABS(Tabela2[[#This Row],[QTD]]-'CONTROLE CONSUMO'!C31))</f>
        <v>40</v>
      </c>
      <c r="L31" s="2" t="str">
        <f>IF(J31="NÃO","NÃO",IF(J31&gt;0,J31*VLOOKUP(B31,Tabela1[#All],4,FALSE),"Erro"))</f>
        <v>NÃO</v>
      </c>
      <c r="M31" s="1">
        <v>10</v>
      </c>
      <c r="N31" s="2">
        <f>M31*VLOOKUP(B31,Tabela1[#All],3,FALSE)</f>
        <v>500</v>
      </c>
    </row>
    <row r="32" spans="1:14" x14ac:dyDescent="0.25">
      <c r="A32" s="1">
        <v>29</v>
      </c>
      <c r="B32" s="1" t="str">
        <f>VLOOKUP(A32,Tabela2[[#All],[ID-A]:[PROD]],2,FALSE)</f>
        <v>Selante 1kg</v>
      </c>
      <c r="C32" s="1">
        <v>50</v>
      </c>
      <c r="D32" s="1">
        <f>VLOOKUP(B32,Tabela1[#All],5,FALSE)</f>
        <v>90</v>
      </c>
      <c r="E32" s="1"/>
      <c r="F32" s="4">
        <v>45362</v>
      </c>
      <c r="G32" s="1" t="str">
        <f t="shared" si="0"/>
        <v>Mar</v>
      </c>
      <c r="H32" s="1">
        <f>DAYS360(Tabela2[[#This Row],[DATA PEDIDO]],'CONTROLE CONSUMO'!F32,)</f>
        <v>40</v>
      </c>
      <c r="I32" s="1" t="str">
        <f>IF(H32&gt;Tabela2[[#This Row],[PRAZO DE ENTREGA/DIAS]],"ATRASADO",IF('CONTROLE CONSUMO'!H32&lt;Tabela2[[#This Row],[PRAZO DE ENTREGA/DIAS]],"ADIANTADO",IF('CONTROLE CONSUMO'!H32=Tabela2[[#This Row],[PRAZO DE ENTREGA/DIAS]],"NÃO")))</f>
        <v>ADIANTADO</v>
      </c>
      <c r="J32" s="1" t="str">
        <f>IF(Tabela2[[#This Row],[QTD]]-'CONTROLE CONSUMO'!C32&lt;=0,"NÃO",Tabela2[[#This Row],[QTD]]-'CONTROLE CONSUMO'!C32)</f>
        <v>NÃO</v>
      </c>
      <c r="K32" s="1">
        <f>IF(Tabela2[[#This Row],[QTD]]-'CONTROLE CONSUMO'!C32&gt;=0,"NÃO",ABS(Tabela2[[#This Row],[QTD]]-'CONTROLE CONSUMO'!C32))</f>
        <v>40</v>
      </c>
      <c r="L32" s="2" t="str">
        <f>IF(J32="NÃO","NÃO",IF(J32&gt;0,J32*VLOOKUP(B32,Tabela1[#All],4,FALSE),"Erro"))</f>
        <v>NÃO</v>
      </c>
      <c r="M32" s="1">
        <v>10</v>
      </c>
      <c r="N32" s="2">
        <f>M32*VLOOKUP(B32,Tabela1[#All],3,FALSE)</f>
        <v>529</v>
      </c>
    </row>
    <row r="33" spans="1:14" x14ac:dyDescent="0.25">
      <c r="A33" s="1">
        <v>30</v>
      </c>
      <c r="B33" s="1" t="str">
        <f>VLOOKUP(A33,Tabela2[[#All],[ID-A]:[PROD]],2,FALSE)</f>
        <v>Cola Pva 1kg</v>
      </c>
      <c r="C33" s="1">
        <v>50</v>
      </c>
      <c r="D33" s="1">
        <f>VLOOKUP(B33,Tabela1[#All],5,FALSE)</f>
        <v>90</v>
      </c>
      <c r="E33" s="1"/>
      <c r="F33" s="4">
        <v>45383</v>
      </c>
      <c r="G33" s="1" t="str">
        <f t="shared" si="0"/>
        <v>Abr</v>
      </c>
      <c r="H33" s="1">
        <f>DAYS360(Tabela2[[#This Row],[DATA PEDIDO]],'CONTROLE CONSUMO'!F33,)</f>
        <v>60</v>
      </c>
      <c r="I33" s="1" t="str">
        <f>IF(H33&gt;Tabela2[[#This Row],[PRAZO DE ENTREGA/DIAS]],"ATRASADO",IF('CONTROLE CONSUMO'!H33&lt;Tabela2[[#This Row],[PRAZO DE ENTREGA/DIAS]],"ADIANTADO",IF('CONTROLE CONSUMO'!H33=Tabela2[[#This Row],[PRAZO DE ENTREGA/DIAS]],"NÃO")))</f>
        <v>ADIANTADO</v>
      </c>
      <c r="J33" s="1" t="str">
        <f>IF(Tabela2[[#This Row],[QTD]]-'CONTROLE CONSUMO'!C33&lt;=0,"NÃO",Tabela2[[#This Row],[QTD]]-'CONTROLE CONSUMO'!C33)</f>
        <v>NÃO</v>
      </c>
      <c r="K33" s="1">
        <f>IF(Tabela2[[#This Row],[QTD]]-'CONTROLE CONSUMO'!C33&gt;=0,"NÃO",ABS(Tabela2[[#This Row],[QTD]]-'CONTROLE CONSUMO'!C33))</f>
        <v>40</v>
      </c>
      <c r="L33" s="2" t="str">
        <f>IF(J33="NÃO","NÃO",IF(J33&gt;0,J33*VLOOKUP(B33,Tabela1[#All],4,FALSE),"Erro"))</f>
        <v>NÃO</v>
      </c>
      <c r="M33" s="1">
        <v>10</v>
      </c>
      <c r="N33" s="2">
        <f>M33*VLOOKUP(B33,Tabela1[#All],3,FALSE)</f>
        <v>159</v>
      </c>
    </row>
    <row r="34" spans="1:14" x14ac:dyDescent="0.25">
      <c r="A34" s="1">
        <v>31</v>
      </c>
      <c r="B34" s="1" t="str">
        <f>VLOOKUP(A34,Tabela2[[#All],[ID-A]:[PROD]],2,FALSE)</f>
        <v>Argamassa Pronta 1kg</v>
      </c>
      <c r="C34" s="1">
        <v>50</v>
      </c>
      <c r="D34" s="1">
        <f>VLOOKUP(B34,Tabela1[#All],5,FALSE)</f>
        <v>120</v>
      </c>
      <c r="E34" s="1"/>
      <c r="F34" s="4">
        <v>45384</v>
      </c>
      <c r="G34" s="1" t="str">
        <f t="shared" si="0"/>
        <v>Abr</v>
      </c>
      <c r="H34" s="1">
        <f>DAYS360(Tabela2[[#This Row],[DATA PEDIDO]],'CONTROLE CONSUMO'!F34,)</f>
        <v>61</v>
      </c>
      <c r="I34" s="1" t="str">
        <f>IF(H34&gt;Tabela2[[#This Row],[PRAZO DE ENTREGA/DIAS]],"ATRASADO",IF('CONTROLE CONSUMO'!H34&lt;Tabela2[[#This Row],[PRAZO DE ENTREGA/DIAS]],"ADIANTADO",IF('CONTROLE CONSUMO'!H34=Tabela2[[#This Row],[PRAZO DE ENTREGA/DIAS]],"NÃO")))</f>
        <v>ADIANTADO</v>
      </c>
      <c r="J34" s="1" t="str">
        <f>IF(Tabela2[[#This Row],[QTD]]-'CONTROLE CONSUMO'!C34&lt;=0,"NÃO",Tabela2[[#This Row],[QTD]]-'CONTROLE CONSUMO'!C34)</f>
        <v>NÃO</v>
      </c>
      <c r="K34" s="1">
        <f>IF(Tabela2[[#This Row],[QTD]]-'CONTROLE CONSUMO'!C34&gt;=0,"NÃO",ABS(Tabela2[[#This Row],[QTD]]-'CONTROLE CONSUMO'!C34))</f>
        <v>40</v>
      </c>
      <c r="L34" s="2" t="str">
        <f>IF(J34="NÃO","NÃO",IF(J34&gt;0,J34*VLOOKUP(B34,Tabela1[#All],4,FALSE),"Erro"))</f>
        <v>NÃO</v>
      </c>
      <c r="M34" s="1">
        <v>10</v>
      </c>
      <c r="N34" s="2">
        <f>M34*VLOOKUP(B34,Tabela1[#All],3,FALSE)</f>
        <v>19</v>
      </c>
    </row>
    <row r="35" spans="1:14" x14ac:dyDescent="0.25">
      <c r="A35" s="1">
        <v>32</v>
      </c>
      <c r="B35" s="1" t="str">
        <f>VLOOKUP(A35,Tabela2[[#All],[ID-A]:[PROD]],2,FALSE)</f>
        <v>Impermeabilizante à Base de Latex 1kg</v>
      </c>
      <c r="C35" s="1">
        <v>50</v>
      </c>
      <c r="D35" s="1">
        <f>VLOOKUP(B35,Tabela1[#All],5,FALSE)</f>
        <v>180</v>
      </c>
      <c r="E35" s="1"/>
      <c r="F35" s="4">
        <v>45384</v>
      </c>
      <c r="G35" s="1" t="str">
        <f t="shared" si="0"/>
        <v>Abr</v>
      </c>
      <c r="H35" s="1">
        <f>DAYS360(Tabela2[[#This Row],[DATA PEDIDO]],'CONTROLE CONSUMO'!F35,)</f>
        <v>61</v>
      </c>
      <c r="I35" s="1" t="str">
        <f>IF(H35&gt;Tabela2[[#This Row],[PRAZO DE ENTREGA/DIAS]],"ATRASADO",IF('CONTROLE CONSUMO'!H35&lt;Tabela2[[#This Row],[PRAZO DE ENTREGA/DIAS]],"ADIANTADO",IF('CONTROLE CONSUMO'!H35=Tabela2[[#This Row],[PRAZO DE ENTREGA/DIAS]],"NÃO")))</f>
        <v>ADIANTADO</v>
      </c>
      <c r="J35" s="1" t="str">
        <f>IF(Tabela2[[#This Row],[QTD]]-'CONTROLE CONSUMO'!C35&lt;=0,"NÃO",Tabela2[[#This Row],[QTD]]-'CONTROLE CONSUMO'!C35)</f>
        <v>NÃO</v>
      </c>
      <c r="K35" s="1">
        <f>IF(Tabela2[[#This Row],[QTD]]-'CONTROLE CONSUMO'!C35&gt;=0,"NÃO",ABS(Tabela2[[#This Row],[QTD]]-'CONTROLE CONSUMO'!C35))</f>
        <v>40</v>
      </c>
      <c r="L35" s="2" t="str">
        <f>IF(J35="NÃO","NÃO",IF(J35&gt;0,J35*VLOOKUP(B35,Tabela1[#All],4,FALSE),"Erro"))</f>
        <v>NÃO</v>
      </c>
      <c r="M35" s="1">
        <v>10</v>
      </c>
      <c r="N35" s="2">
        <f>M35*VLOOKUP(B35,Tabela1[#All],3,FALSE)</f>
        <v>15</v>
      </c>
    </row>
    <row r="36" spans="1:14" x14ac:dyDescent="0.25">
      <c r="A36" s="1">
        <v>33</v>
      </c>
      <c r="B36" s="1" t="str">
        <f>VLOOKUP(A36,Tabela2[[#All],[ID-A]:[PROD]],2,FALSE)</f>
        <v>Cimento 1kg</v>
      </c>
      <c r="C36" s="1">
        <v>50</v>
      </c>
      <c r="D36" s="1">
        <f>VLOOKUP(B36,Tabela1[#All],5,FALSE)</f>
        <v>90</v>
      </c>
      <c r="E36" s="1"/>
      <c r="F36" s="4">
        <v>45372</v>
      </c>
      <c r="G36" s="1" t="str">
        <f t="shared" ref="G36:G67" si="1">PROPER(TEXT(F36,"mmm;"))</f>
        <v>Mar</v>
      </c>
      <c r="H36" s="1">
        <f>DAYS360(Tabela2[[#This Row],[DATA PEDIDO]],'CONTROLE CONSUMO'!F36,)</f>
        <v>20</v>
      </c>
      <c r="I36" s="1" t="str">
        <f>IF(H36&gt;Tabela2[[#This Row],[PRAZO DE ENTREGA/DIAS]],"ATRASADO",IF('CONTROLE CONSUMO'!H36&lt;Tabela2[[#This Row],[PRAZO DE ENTREGA/DIAS]],"ADIANTADO",IF('CONTROLE CONSUMO'!H36=Tabela2[[#This Row],[PRAZO DE ENTREGA/DIAS]],"NÃO")))</f>
        <v>ADIANTADO</v>
      </c>
      <c r="J36" s="1" t="str">
        <f>IF(Tabela2[[#This Row],[QTD]]-'CONTROLE CONSUMO'!C36&lt;=0,"NÃO",Tabela2[[#This Row],[QTD]]-'CONTROLE CONSUMO'!C36)</f>
        <v>NÃO</v>
      </c>
      <c r="K36" s="1">
        <f>IF(Tabela2[[#This Row],[QTD]]-'CONTROLE CONSUMO'!C36&gt;=0,"NÃO",ABS(Tabela2[[#This Row],[QTD]]-'CONTROLE CONSUMO'!C36))</f>
        <v>40</v>
      </c>
      <c r="L36" s="2" t="str">
        <f>IF(J36="NÃO","NÃO",IF(J36&gt;0,J36*VLOOKUP(B36,Tabela1[#All],4,FALSE),"Erro"))</f>
        <v>NÃO</v>
      </c>
      <c r="M36" s="1">
        <v>10</v>
      </c>
      <c r="N36" s="2">
        <f>M36*VLOOKUP(B36,Tabela1[#All],3,FALSE)</f>
        <v>50</v>
      </c>
    </row>
    <row r="37" spans="1:14" x14ac:dyDescent="0.25">
      <c r="A37" s="1">
        <v>34</v>
      </c>
      <c r="B37" s="1" t="str">
        <f>VLOOKUP(A37,Tabela2[[#All],[ID-A]:[PROD]],2,FALSE)</f>
        <v>Areia 1kg</v>
      </c>
      <c r="C37" s="1">
        <v>50</v>
      </c>
      <c r="D37" s="1" t="str">
        <f>VLOOKUP(B37,Tabela1[#All],5,FALSE)</f>
        <v>Indeterminado</v>
      </c>
      <c r="E37" s="1"/>
      <c r="F37" s="4">
        <v>45372</v>
      </c>
      <c r="G37" s="1" t="str">
        <f t="shared" si="1"/>
        <v>Mar</v>
      </c>
      <c r="H37" s="1">
        <f>DAYS360(Tabela2[[#This Row],[DATA PEDIDO]],'CONTROLE CONSUMO'!F37,)</f>
        <v>20</v>
      </c>
      <c r="I37" s="1" t="str">
        <f>IF(H37&gt;Tabela2[[#This Row],[PRAZO DE ENTREGA/DIAS]],"ATRASADO",IF('CONTROLE CONSUMO'!H37&lt;Tabela2[[#This Row],[PRAZO DE ENTREGA/DIAS]],"ADIANTADO",IF('CONTROLE CONSUMO'!H37=Tabela2[[#This Row],[PRAZO DE ENTREGA/DIAS]],"NÃO")))</f>
        <v>ADIANTADO</v>
      </c>
      <c r="J37" s="1" t="str">
        <f>IF(Tabela2[[#This Row],[QTD]]-'CONTROLE CONSUMO'!C37&lt;=0,"NÃO",Tabela2[[#This Row],[QTD]]-'CONTROLE CONSUMO'!C37)</f>
        <v>NÃO</v>
      </c>
      <c r="K37" s="1">
        <f>IF(Tabela2[[#This Row],[QTD]]-'CONTROLE CONSUMO'!C37&gt;=0,"NÃO",ABS(Tabela2[[#This Row],[QTD]]-'CONTROLE CONSUMO'!C37))</f>
        <v>40</v>
      </c>
      <c r="L37" s="2" t="str">
        <f>IF(J37="NÃO","NÃO",IF(J37&gt;0,J37*VLOOKUP(B37,Tabela1[#All],4,FALSE),"Erro"))</f>
        <v>NÃO</v>
      </c>
      <c r="M37" s="1">
        <v>10</v>
      </c>
      <c r="N37" s="2">
        <f>M37*VLOOKUP(B37,Tabela1[#All],3,FALSE)</f>
        <v>20</v>
      </c>
    </row>
    <row r="38" spans="1:14" x14ac:dyDescent="0.25">
      <c r="A38" s="1">
        <v>35</v>
      </c>
      <c r="B38" s="1" t="str">
        <f>VLOOKUP(A38,Tabela2[[#All],[ID-A]:[PROD]],2,FALSE)</f>
        <v>Brita 1kg</v>
      </c>
      <c r="C38" s="1">
        <v>50</v>
      </c>
      <c r="D38" s="1" t="str">
        <f>VLOOKUP(B38,Tabela1[#All],5,FALSE)</f>
        <v>Indeterminado</v>
      </c>
      <c r="E38" s="1"/>
      <c r="F38" s="4">
        <v>45372</v>
      </c>
      <c r="G38" s="1" t="str">
        <f t="shared" si="1"/>
        <v>Mar</v>
      </c>
      <c r="H38" s="1">
        <f>DAYS360(Tabela2[[#This Row],[DATA PEDIDO]],'CONTROLE CONSUMO'!F38,)</f>
        <v>20</v>
      </c>
      <c r="I38" s="1" t="str">
        <f>IF(H38&gt;Tabela2[[#This Row],[PRAZO DE ENTREGA/DIAS]],"ATRASADO",IF('CONTROLE CONSUMO'!H38&lt;Tabela2[[#This Row],[PRAZO DE ENTREGA/DIAS]],"ADIANTADO",IF('CONTROLE CONSUMO'!H38=Tabela2[[#This Row],[PRAZO DE ENTREGA/DIAS]],"NÃO")))</f>
        <v>ADIANTADO</v>
      </c>
      <c r="J38" s="1" t="str">
        <f>IF(Tabela2[[#This Row],[QTD]]-'CONTROLE CONSUMO'!C38&lt;=0,"NÃO",Tabela2[[#This Row],[QTD]]-'CONTROLE CONSUMO'!C38)</f>
        <v>NÃO</v>
      </c>
      <c r="K38" s="1">
        <f>IF(Tabela2[[#This Row],[QTD]]-'CONTROLE CONSUMO'!C38&gt;=0,"NÃO",ABS(Tabela2[[#This Row],[QTD]]-'CONTROLE CONSUMO'!C38))</f>
        <v>40</v>
      </c>
      <c r="L38" s="2" t="str">
        <f>IF(J38="NÃO","NÃO",IF(J38&gt;0,J38*VLOOKUP(B38,Tabela1[#All],4,FALSE),"Erro"))</f>
        <v>NÃO</v>
      </c>
      <c r="M38" s="1">
        <v>10</v>
      </c>
      <c r="N38" s="2">
        <f>M38*VLOOKUP(B38,Tabela1[#All],3,FALSE)</f>
        <v>10</v>
      </c>
    </row>
    <row r="39" spans="1:14" x14ac:dyDescent="0.25">
      <c r="A39" s="1">
        <v>36</v>
      </c>
      <c r="B39" s="1" t="str">
        <f>VLOOKUP(A39,Tabela2[[#All],[ID-A]:[PROD]],2,FALSE)</f>
        <v>Água 1000l</v>
      </c>
      <c r="C39" s="1">
        <v>50</v>
      </c>
      <c r="D39" s="1" t="str">
        <f>VLOOKUP(B39,Tabela1[#All],5,FALSE)</f>
        <v>Indeterminado</v>
      </c>
      <c r="E39" s="1"/>
      <c r="F39" s="4">
        <v>45372</v>
      </c>
      <c r="G39" s="1" t="str">
        <f t="shared" si="1"/>
        <v>Mar</v>
      </c>
      <c r="H39" s="1">
        <f>DAYS360(Tabela2[[#This Row],[DATA PEDIDO]],'CONTROLE CONSUMO'!F39,)</f>
        <v>20</v>
      </c>
      <c r="I39" s="1" t="str">
        <f>IF(H39&gt;Tabela2[[#This Row],[PRAZO DE ENTREGA/DIAS]],"ATRASADO",IF('CONTROLE CONSUMO'!H39&lt;Tabela2[[#This Row],[PRAZO DE ENTREGA/DIAS]],"ADIANTADO",IF('CONTROLE CONSUMO'!H39=Tabela2[[#This Row],[PRAZO DE ENTREGA/DIAS]],"NÃO")))</f>
        <v>ADIANTADO</v>
      </c>
      <c r="J39" s="1" t="str">
        <f>IF(Tabela2[[#This Row],[QTD]]-'CONTROLE CONSUMO'!C39&lt;=0,"NÃO",Tabela2[[#This Row],[QTD]]-'CONTROLE CONSUMO'!C39)</f>
        <v>NÃO</v>
      </c>
      <c r="K39" s="1">
        <f>IF(Tabela2[[#This Row],[QTD]]-'CONTROLE CONSUMO'!C39&gt;=0,"NÃO",ABS(Tabela2[[#This Row],[QTD]]-'CONTROLE CONSUMO'!C39))</f>
        <v>40</v>
      </c>
      <c r="L39" s="2" t="str">
        <f>IF(J39="NÃO","NÃO",IF(J39&gt;0,J39*VLOOKUP(B39,Tabela1[#All],4,FALSE),"Erro"))</f>
        <v>NÃO</v>
      </c>
      <c r="M39" s="1">
        <v>10</v>
      </c>
      <c r="N39" s="2">
        <f>M39*VLOOKUP(B39,Tabela1[#All],3,FALSE)</f>
        <v>20000</v>
      </c>
    </row>
    <row r="40" spans="1:14" x14ac:dyDescent="0.25">
      <c r="A40" s="1">
        <v>37</v>
      </c>
      <c r="B40" s="1" t="str">
        <f>VLOOKUP(A40,Tabela2[[#All],[ID-A]:[PROD]],2,FALSE)</f>
        <v>Madeira 1kg</v>
      </c>
      <c r="C40" s="1">
        <v>50</v>
      </c>
      <c r="D40" s="1" t="str">
        <f>VLOOKUP(B40,Tabela1[#All],5,FALSE)</f>
        <v>Indeterminado</v>
      </c>
      <c r="E40" s="1"/>
      <c r="F40" s="4">
        <v>45372</v>
      </c>
      <c r="G40" s="1" t="str">
        <f t="shared" si="1"/>
        <v>Mar</v>
      </c>
      <c r="H40" s="1">
        <f>DAYS360(Tabela2[[#This Row],[DATA PEDIDO]],'CONTROLE CONSUMO'!F40,)</f>
        <v>20</v>
      </c>
      <c r="I40" s="1" t="str">
        <f>IF(H40&gt;Tabela2[[#This Row],[PRAZO DE ENTREGA/DIAS]],"ATRASADO",IF('CONTROLE CONSUMO'!H40&lt;Tabela2[[#This Row],[PRAZO DE ENTREGA/DIAS]],"ADIANTADO",IF('CONTROLE CONSUMO'!H40=Tabela2[[#This Row],[PRAZO DE ENTREGA/DIAS]],"NÃO")))</f>
        <v>ADIANTADO</v>
      </c>
      <c r="J40" s="1" t="str">
        <f>IF(Tabela2[[#This Row],[QTD]]-'CONTROLE CONSUMO'!C40&lt;=0,"NÃO",Tabela2[[#This Row],[QTD]]-'CONTROLE CONSUMO'!C40)</f>
        <v>NÃO</v>
      </c>
      <c r="K40" s="1">
        <f>IF(Tabela2[[#This Row],[QTD]]-'CONTROLE CONSUMO'!C40&gt;=0,"NÃO",ABS(Tabela2[[#This Row],[QTD]]-'CONTROLE CONSUMO'!C40))</f>
        <v>40</v>
      </c>
      <c r="L40" s="2" t="str">
        <f>IF(J40="NÃO","NÃO",IF(J40&gt;0,J40*VLOOKUP(B40,Tabela1[#All],4,FALSE),"Erro"))</f>
        <v>NÃO</v>
      </c>
      <c r="M40" s="1">
        <v>10</v>
      </c>
      <c r="N40" s="2">
        <f>M40*VLOOKUP(B40,Tabela1[#All],3,FALSE)</f>
        <v>250</v>
      </c>
    </row>
    <row r="41" spans="1:14" x14ac:dyDescent="0.25">
      <c r="A41" s="1">
        <v>38</v>
      </c>
      <c r="B41" s="1" t="str">
        <f>VLOOKUP(A41,Tabela2[[#All],[ID-A]:[PROD]],2,FALSE)</f>
        <v>Tijolo Comum 1kg</v>
      </c>
      <c r="C41" s="1">
        <v>50</v>
      </c>
      <c r="D41" s="1" t="str">
        <f>VLOOKUP(B41,Tabela1[#All],5,FALSE)</f>
        <v>Indeterminado</v>
      </c>
      <c r="E41" s="1"/>
      <c r="F41" s="4">
        <v>45372</v>
      </c>
      <c r="G41" s="1" t="str">
        <f t="shared" si="1"/>
        <v>Mar</v>
      </c>
      <c r="H41" s="1">
        <f>DAYS360(Tabela2[[#This Row],[DATA PEDIDO]],'CONTROLE CONSUMO'!F41,)</f>
        <v>20</v>
      </c>
      <c r="I41" s="1" t="str">
        <f>IF(H41&gt;Tabela2[[#This Row],[PRAZO DE ENTREGA/DIAS]],"ATRASADO",IF('CONTROLE CONSUMO'!H41&lt;Tabela2[[#This Row],[PRAZO DE ENTREGA/DIAS]],"ADIANTADO",IF('CONTROLE CONSUMO'!H41=Tabela2[[#This Row],[PRAZO DE ENTREGA/DIAS]],"NÃO")))</f>
        <v>ADIANTADO</v>
      </c>
      <c r="J41" s="1" t="str">
        <f>IF(Tabela2[[#This Row],[QTD]]-'CONTROLE CONSUMO'!C41&lt;=0,"NÃO",Tabela2[[#This Row],[QTD]]-'CONTROLE CONSUMO'!C41)</f>
        <v>NÃO</v>
      </c>
      <c r="K41" s="1">
        <f>IF(Tabela2[[#This Row],[QTD]]-'CONTROLE CONSUMO'!C41&gt;=0,"NÃO",ABS(Tabela2[[#This Row],[QTD]]-'CONTROLE CONSUMO'!C41))</f>
        <v>40</v>
      </c>
      <c r="L41" s="2" t="str">
        <f>IF(J41="NÃO","NÃO",IF(J41&gt;0,J41*VLOOKUP(B41,Tabela1[#All],4,FALSE),"Erro"))</f>
        <v>NÃO</v>
      </c>
      <c r="M41" s="1">
        <v>10</v>
      </c>
      <c r="N41" s="2">
        <f>M41*VLOOKUP(B41,Tabela1[#All],3,FALSE)</f>
        <v>10</v>
      </c>
    </row>
    <row r="42" spans="1:14" x14ac:dyDescent="0.25">
      <c r="A42" s="1">
        <v>39</v>
      </c>
      <c r="B42" s="1" t="str">
        <f>VLOOKUP(A42,Tabela2[[#All],[ID-A]:[PROD]],2,FALSE)</f>
        <v>Tijolo Ecológico 1kg</v>
      </c>
      <c r="C42" s="1">
        <v>50</v>
      </c>
      <c r="D42" s="1" t="str">
        <f>VLOOKUP(B42,Tabela1[#All],5,FALSE)</f>
        <v>Indeterminado</v>
      </c>
      <c r="E42" s="1"/>
      <c r="F42" s="4">
        <v>45373</v>
      </c>
      <c r="G42" s="1" t="str">
        <f t="shared" si="1"/>
        <v>Mar</v>
      </c>
      <c r="H42" s="1">
        <f>DAYS360(Tabela2[[#This Row],[DATA PEDIDO]],'CONTROLE CONSUMO'!F42,)</f>
        <v>21</v>
      </c>
      <c r="I42" s="1" t="str">
        <f>IF(H42&gt;Tabela2[[#This Row],[PRAZO DE ENTREGA/DIAS]],"ATRASADO",IF('CONTROLE CONSUMO'!H42&lt;Tabela2[[#This Row],[PRAZO DE ENTREGA/DIAS]],"ADIANTADO",IF('CONTROLE CONSUMO'!H42=Tabela2[[#This Row],[PRAZO DE ENTREGA/DIAS]],"NÃO")))</f>
        <v>ADIANTADO</v>
      </c>
      <c r="J42" s="1" t="str">
        <f>IF(Tabela2[[#This Row],[QTD]]-'CONTROLE CONSUMO'!C42&lt;=0,"NÃO",Tabela2[[#This Row],[QTD]]-'CONTROLE CONSUMO'!C42)</f>
        <v>NÃO</v>
      </c>
      <c r="K42" s="1">
        <f>IF(Tabela2[[#This Row],[QTD]]-'CONTROLE CONSUMO'!C42&gt;=0,"NÃO",ABS(Tabela2[[#This Row],[QTD]]-'CONTROLE CONSUMO'!C42))</f>
        <v>40</v>
      </c>
      <c r="L42" s="2" t="str">
        <f>IF(J42="NÃO","NÃO",IF(J42&gt;0,J42*VLOOKUP(B42,Tabela1[#All],4,FALSE),"Erro"))</f>
        <v>NÃO</v>
      </c>
      <c r="M42" s="1">
        <v>10</v>
      </c>
      <c r="N42" s="2">
        <f>M42*VLOOKUP(B42,Tabela1[#All],3,FALSE)</f>
        <v>15</v>
      </c>
    </row>
    <row r="43" spans="1:14" x14ac:dyDescent="0.25">
      <c r="A43" s="1">
        <v>40</v>
      </c>
      <c r="B43" s="1" t="str">
        <f>VLOOKUP(A43,Tabela2[[#All],[ID-A]:[PROD]],2,FALSE)</f>
        <v>Bloco de Cimento 1kg</v>
      </c>
      <c r="C43" s="1">
        <v>50</v>
      </c>
      <c r="D43" s="1" t="str">
        <f>VLOOKUP(B43,Tabela1[#All],5,FALSE)</f>
        <v>Indeterminado</v>
      </c>
      <c r="E43" s="1"/>
      <c r="F43" s="4">
        <v>45393</v>
      </c>
      <c r="G43" s="1" t="str">
        <f t="shared" si="1"/>
        <v>Abr</v>
      </c>
      <c r="H43" s="1">
        <f>DAYS360(Tabela2[[#This Row],[DATA PEDIDO]],'CONTROLE CONSUMO'!F43,)</f>
        <v>40</v>
      </c>
      <c r="I43" s="1" t="str">
        <f>IF(H43&gt;Tabela2[[#This Row],[PRAZO DE ENTREGA/DIAS]],"ATRASADO",IF('CONTROLE CONSUMO'!H43&lt;Tabela2[[#This Row],[PRAZO DE ENTREGA/DIAS]],"ADIANTADO",IF('CONTROLE CONSUMO'!H43=Tabela2[[#This Row],[PRAZO DE ENTREGA/DIAS]],"NÃO")))</f>
        <v>ADIANTADO</v>
      </c>
      <c r="J43" s="1" t="str">
        <f>IF(Tabela2[[#This Row],[QTD]]-'CONTROLE CONSUMO'!C43&lt;=0,"NÃO",Tabela2[[#This Row],[QTD]]-'CONTROLE CONSUMO'!C43)</f>
        <v>NÃO</v>
      </c>
      <c r="K43" s="1">
        <f>IF(Tabela2[[#This Row],[QTD]]-'CONTROLE CONSUMO'!C43&gt;=0,"NÃO",ABS(Tabela2[[#This Row],[QTD]]-'CONTROLE CONSUMO'!C43))</f>
        <v>40</v>
      </c>
      <c r="L43" s="2" t="str">
        <f>IF(J43="NÃO","NÃO",IF(J43&gt;0,J43*VLOOKUP(B43,Tabela1[#All],4,FALSE),"Erro"))</f>
        <v>NÃO</v>
      </c>
      <c r="M43" s="1">
        <v>10</v>
      </c>
      <c r="N43" s="2">
        <f>M43*VLOOKUP(B43,Tabela1[#All],3,FALSE)</f>
        <v>18</v>
      </c>
    </row>
    <row r="44" spans="1:14" x14ac:dyDescent="0.25">
      <c r="A44" s="1">
        <v>41</v>
      </c>
      <c r="B44" s="1" t="str">
        <f>VLOOKUP(A44,Tabela2[[#All],[ID-A]:[PROD]],2,FALSE)</f>
        <v>Gesso 1kg</v>
      </c>
      <c r="C44" s="1">
        <v>50</v>
      </c>
      <c r="D44" s="1">
        <f>VLOOKUP(B44,Tabela1[#All],5,FALSE)</f>
        <v>90</v>
      </c>
      <c r="E44" s="1"/>
      <c r="F44" s="4">
        <v>45393</v>
      </c>
      <c r="G44" s="1" t="str">
        <f t="shared" si="1"/>
        <v>Abr</v>
      </c>
      <c r="H44" s="1">
        <f>DAYS360(Tabela2[[#This Row],[DATA PEDIDO]],'CONTROLE CONSUMO'!F44,)</f>
        <v>40</v>
      </c>
      <c r="I44" s="1" t="str">
        <f>IF(H44&gt;Tabela2[[#This Row],[PRAZO DE ENTREGA/DIAS]],"ATRASADO",IF('CONTROLE CONSUMO'!H44&lt;Tabela2[[#This Row],[PRAZO DE ENTREGA/DIAS]],"ADIANTADO",IF('CONTROLE CONSUMO'!H44=Tabela2[[#This Row],[PRAZO DE ENTREGA/DIAS]],"NÃO")))</f>
        <v>ADIANTADO</v>
      </c>
      <c r="J44" s="1" t="str">
        <f>IF(Tabela2[[#This Row],[QTD]]-'CONTROLE CONSUMO'!C44&lt;=0,"NÃO",Tabela2[[#This Row],[QTD]]-'CONTROLE CONSUMO'!C44)</f>
        <v>NÃO</v>
      </c>
      <c r="K44" s="1">
        <f>IF(Tabela2[[#This Row],[QTD]]-'CONTROLE CONSUMO'!C44&gt;=0,"NÃO",ABS(Tabela2[[#This Row],[QTD]]-'CONTROLE CONSUMO'!C44))</f>
        <v>40</v>
      </c>
      <c r="L44" s="2" t="str">
        <f>IF(J44="NÃO","NÃO",IF(J44&gt;0,J44*VLOOKUP(B44,Tabela1[#All],4,FALSE),"Erro"))</f>
        <v>NÃO</v>
      </c>
      <c r="M44" s="1">
        <v>10</v>
      </c>
      <c r="N44" s="2">
        <f>M44*VLOOKUP(B44,Tabela1[#All],3,FALSE)</f>
        <v>31</v>
      </c>
    </row>
    <row r="45" spans="1:14" x14ac:dyDescent="0.25">
      <c r="A45" s="1">
        <v>42</v>
      </c>
      <c r="B45" s="1" t="str">
        <f>VLOOKUP(A45,Tabela2[[#All],[ID-A]:[PROD]],2,FALSE)</f>
        <v>Aço 1kg</v>
      </c>
      <c r="C45" s="1">
        <v>50</v>
      </c>
      <c r="D45" s="1" t="str">
        <f>VLOOKUP(B45,Tabela1[#All],5,FALSE)</f>
        <v>Indeterminado</v>
      </c>
      <c r="E45" s="1"/>
      <c r="F45" s="4">
        <v>45393</v>
      </c>
      <c r="G45" s="1" t="str">
        <f t="shared" si="1"/>
        <v>Abr</v>
      </c>
      <c r="H45" s="1">
        <f>DAYS360(Tabela2[[#This Row],[DATA PEDIDO]],'CONTROLE CONSUMO'!F45,)</f>
        <v>40</v>
      </c>
      <c r="I45" s="1" t="str">
        <f>IF(H45&gt;Tabela2[[#This Row],[PRAZO DE ENTREGA/DIAS]],"ATRASADO",IF('CONTROLE CONSUMO'!H45&lt;Tabela2[[#This Row],[PRAZO DE ENTREGA/DIAS]],"ADIANTADO",IF('CONTROLE CONSUMO'!H45=Tabela2[[#This Row],[PRAZO DE ENTREGA/DIAS]],"NÃO")))</f>
        <v>ADIANTADO</v>
      </c>
      <c r="J45" s="1" t="str">
        <f>IF(Tabela2[[#This Row],[QTD]]-'CONTROLE CONSUMO'!C45&lt;=0,"NÃO",Tabela2[[#This Row],[QTD]]-'CONTROLE CONSUMO'!C45)</f>
        <v>NÃO</v>
      </c>
      <c r="K45" s="1">
        <f>IF(Tabela2[[#This Row],[QTD]]-'CONTROLE CONSUMO'!C45&gt;=0,"NÃO",ABS(Tabela2[[#This Row],[QTD]]-'CONTROLE CONSUMO'!C45))</f>
        <v>40</v>
      </c>
      <c r="L45" s="2" t="str">
        <f>IF(J45="NÃO","NÃO",IF(J45&gt;0,J45*VLOOKUP(B45,Tabela1[#All],4,FALSE),"Erro"))</f>
        <v>NÃO</v>
      </c>
      <c r="M45" s="1">
        <v>10</v>
      </c>
      <c r="N45" s="2">
        <f>M45*VLOOKUP(B45,Tabela1[#All],3,FALSE)</f>
        <v>120</v>
      </c>
    </row>
    <row r="46" spans="1:14" x14ac:dyDescent="0.25">
      <c r="A46" s="1">
        <v>43</v>
      </c>
      <c r="B46" s="1" t="str">
        <f>VLOOKUP(A46,Tabela2[[#All],[ID-A]:[PROD]],2,FALSE)</f>
        <v>Cerâmica 1kg</v>
      </c>
      <c r="C46" s="1">
        <v>50</v>
      </c>
      <c r="D46" s="1" t="str">
        <f>VLOOKUP(B46,Tabela1[#All],5,FALSE)</f>
        <v>Indeterminado</v>
      </c>
      <c r="E46" s="1"/>
      <c r="F46" s="4">
        <v>45393</v>
      </c>
      <c r="G46" s="1" t="str">
        <f t="shared" si="1"/>
        <v>Abr</v>
      </c>
      <c r="H46" s="1">
        <f>DAYS360(Tabela2[[#This Row],[DATA PEDIDO]],'CONTROLE CONSUMO'!F46,)</f>
        <v>40</v>
      </c>
      <c r="I46" s="1" t="str">
        <f>IF(H46&gt;Tabela2[[#This Row],[PRAZO DE ENTREGA/DIAS]],"ATRASADO",IF('CONTROLE CONSUMO'!H46&lt;Tabela2[[#This Row],[PRAZO DE ENTREGA/DIAS]],"ADIANTADO",IF('CONTROLE CONSUMO'!H46=Tabela2[[#This Row],[PRAZO DE ENTREGA/DIAS]],"NÃO")))</f>
        <v>ADIANTADO</v>
      </c>
      <c r="J46" s="1" t="str">
        <f>IF(Tabela2[[#This Row],[QTD]]-'CONTROLE CONSUMO'!C46&lt;=0,"NÃO",Tabela2[[#This Row],[QTD]]-'CONTROLE CONSUMO'!C46)</f>
        <v>NÃO</v>
      </c>
      <c r="K46" s="1">
        <f>IF(Tabela2[[#This Row],[QTD]]-'CONTROLE CONSUMO'!C46&gt;=0,"NÃO",ABS(Tabela2[[#This Row],[QTD]]-'CONTROLE CONSUMO'!C46))</f>
        <v>40</v>
      </c>
      <c r="L46" s="2" t="str">
        <f>IF(J46="NÃO","NÃO",IF(J46&gt;0,J46*VLOOKUP(B46,Tabela1[#All],4,FALSE),"Erro"))</f>
        <v>NÃO</v>
      </c>
      <c r="M46" s="1">
        <v>10</v>
      </c>
      <c r="N46" s="2">
        <f>M46*VLOOKUP(B46,Tabela1[#All],3,FALSE)</f>
        <v>210</v>
      </c>
    </row>
    <row r="47" spans="1:14" x14ac:dyDescent="0.25">
      <c r="A47" s="1">
        <v>44</v>
      </c>
      <c r="B47" s="1" t="str">
        <f>VLOOKUP(A47,Tabela2[[#All],[ID-A]:[PROD]],2,FALSE)</f>
        <v>Tinta 1l</v>
      </c>
      <c r="C47" s="1">
        <v>50</v>
      </c>
      <c r="D47" s="1" t="str">
        <f>VLOOKUP(B47,Tabela1[#All],5,FALSE)</f>
        <v>Indeterminado</v>
      </c>
      <c r="E47" s="1"/>
      <c r="F47" s="4">
        <v>45393</v>
      </c>
      <c r="G47" s="1" t="str">
        <f t="shared" si="1"/>
        <v>Abr</v>
      </c>
      <c r="H47" s="1">
        <f>DAYS360(Tabela2[[#This Row],[DATA PEDIDO]],'CONTROLE CONSUMO'!F47,)</f>
        <v>40</v>
      </c>
      <c r="I47" s="1" t="str">
        <f>IF(H47&gt;Tabela2[[#This Row],[PRAZO DE ENTREGA/DIAS]],"ATRASADO",IF('CONTROLE CONSUMO'!H47&lt;Tabela2[[#This Row],[PRAZO DE ENTREGA/DIAS]],"ADIANTADO",IF('CONTROLE CONSUMO'!H47=Tabela2[[#This Row],[PRAZO DE ENTREGA/DIAS]],"NÃO")))</f>
        <v>ADIANTADO</v>
      </c>
      <c r="J47" s="1" t="str">
        <f>IF(Tabela2[[#This Row],[QTD]]-'CONTROLE CONSUMO'!C47&lt;=0,"NÃO",Tabela2[[#This Row],[QTD]]-'CONTROLE CONSUMO'!C47)</f>
        <v>NÃO</v>
      </c>
      <c r="K47" s="1">
        <f>IF(Tabela2[[#This Row],[QTD]]-'CONTROLE CONSUMO'!C47&gt;=0,"NÃO",ABS(Tabela2[[#This Row],[QTD]]-'CONTROLE CONSUMO'!C47))</f>
        <v>40</v>
      </c>
      <c r="L47" s="2" t="str">
        <f>IF(J47="NÃO","NÃO",IF(J47&gt;0,J47*VLOOKUP(B47,Tabela1[#All],4,FALSE),"Erro"))</f>
        <v>NÃO</v>
      </c>
      <c r="M47" s="1">
        <v>10</v>
      </c>
      <c r="N47" s="2">
        <f>M47*VLOOKUP(B47,Tabela1[#All],3,FALSE)</f>
        <v>500</v>
      </c>
    </row>
    <row r="48" spans="1:14" x14ac:dyDescent="0.25">
      <c r="A48" s="1">
        <v>45</v>
      </c>
      <c r="B48" s="1" t="str">
        <f>VLOOKUP(A48,Tabela2[[#All],[ID-A]:[PROD]],2,FALSE)</f>
        <v>Selante 1kg</v>
      </c>
      <c r="C48" s="1">
        <v>50</v>
      </c>
      <c r="D48" s="1">
        <f>VLOOKUP(B48,Tabela1[#All],5,FALSE)</f>
        <v>90</v>
      </c>
      <c r="E48" s="1"/>
      <c r="F48" s="4">
        <v>45393</v>
      </c>
      <c r="G48" s="1" t="str">
        <f t="shared" si="1"/>
        <v>Abr</v>
      </c>
      <c r="H48" s="1">
        <f>DAYS360(Tabela2[[#This Row],[DATA PEDIDO]],'CONTROLE CONSUMO'!F48,)</f>
        <v>40</v>
      </c>
      <c r="I48" s="1" t="str">
        <f>IF(H48&gt;Tabela2[[#This Row],[PRAZO DE ENTREGA/DIAS]],"ATRASADO",IF('CONTROLE CONSUMO'!H48&lt;Tabela2[[#This Row],[PRAZO DE ENTREGA/DIAS]],"ADIANTADO",IF('CONTROLE CONSUMO'!H48=Tabela2[[#This Row],[PRAZO DE ENTREGA/DIAS]],"NÃO")))</f>
        <v>ADIANTADO</v>
      </c>
      <c r="J48" s="1" t="str">
        <f>IF(Tabela2[[#This Row],[QTD]]-'CONTROLE CONSUMO'!C48&lt;=0,"NÃO",Tabela2[[#This Row],[QTD]]-'CONTROLE CONSUMO'!C48)</f>
        <v>NÃO</v>
      </c>
      <c r="K48" s="1">
        <f>IF(Tabela2[[#This Row],[QTD]]-'CONTROLE CONSUMO'!C48&gt;=0,"NÃO",ABS(Tabela2[[#This Row],[QTD]]-'CONTROLE CONSUMO'!C48))</f>
        <v>40</v>
      </c>
      <c r="L48" s="2" t="str">
        <f>IF(J48="NÃO","NÃO",IF(J48&gt;0,J48*VLOOKUP(B48,Tabela1[#All],4,FALSE),"Erro"))</f>
        <v>NÃO</v>
      </c>
      <c r="M48" s="1">
        <v>10</v>
      </c>
      <c r="N48" s="2">
        <f>M48*VLOOKUP(B48,Tabela1[#All],3,FALSE)</f>
        <v>529</v>
      </c>
    </row>
    <row r="49" spans="1:14" x14ac:dyDescent="0.25">
      <c r="A49" s="1">
        <v>46</v>
      </c>
      <c r="B49" s="1" t="str">
        <f>VLOOKUP(A49,Tabela2[[#All],[ID-A]:[PROD]],2,FALSE)</f>
        <v>Cola Pva 1kg</v>
      </c>
      <c r="C49" s="1">
        <v>50</v>
      </c>
      <c r="D49" s="1">
        <f>VLOOKUP(B49,Tabela1[#All],5,FALSE)</f>
        <v>90</v>
      </c>
      <c r="E49" s="1"/>
      <c r="F49" s="4">
        <v>45413</v>
      </c>
      <c r="G49" s="1" t="str">
        <f t="shared" si="1"/>
        <v>Mai</v>
      </c>
      <c r="H49" s="1">
        <f>DAYS360(Tabela2[[#This Row],[DATA PEDIDO]],'CONTROLE CONSUMO'!F49,)</f>
        <v>60</v>
      </c>
      <c r="I49" s="1" t="str">
        <f>IF(H49&gt;Tabela2[[#This Row],[PRAZO DE ENTREGA/DIAS]],"ATRASADO",IF('CONTROLE CONSUMO'!H49&lt;Tabela2[[#This Row],[PRAZO DE ENTREGA/DIAS]],"ADIANTADO",IF('CONTROLE CONSUMO'!H49=Tabela2[[#This Row],[PRAZO DE ENTREGA/DIAS]],"NÃO")))</f>
        <v>ADIANTADO</v>
      </c>
      <c r="J49" s="1" t="str">
        <f>IF(Tabela2[[#This Row],[QTD]]-'CONTROLE CONSUMO'!C49&lt;=0,"NÃO",Tabela2[[#This Row],[QTD]]-'CONTROLE CONSUMO'!C49)</f>
        <v>NÃO</v>
      </c>
      <c r="K49" s="1">
        <f>IF(Tabela2[[#This Row],[QTD]]-'CONTROLE CONSUMO'!C49&gt;=0,"NÃO",ABS(Tabela2[[#This Row],[QTD]]-'CONTROLE CONSUMO'!C49))</f>
        <v>40</v>
      </c>
      <c r="L49" s="2" t="str">
        <f>IF(J49="NÃO","NÃO",IF(J49&gt;0,J49*VLOOKUP(B49,Tabela1[#All],4,FALSE),"Erro"))</f>
        <v>NÃO</v>
      </c>
      <c r="M49" s="1">
        <v>10</v>
      </c>
      <c r="N49" s="2">
        <f>M49*VLOOKUP(B49,Tabela1[#All],3,FALSE)</f>
        <v>159</v>
      </c>
    </row>
    <row r="50" spans="1:14" x14ac:dyDescent="0.25">
      <c r="A50" s="1">
        <v>47</v>
      </c>
      <c r="B50" s="1" t="str">
        <f>VLOOKUP(A50,Tabela2[[#All],[ID-A]:[PROD]],2,FALSE)</f>
        <v>Argamassa Pronta 1kg</v>
      </c>
      <c r="C50" s="1">
        <v>50</v>
      </c>
      <c r="D50" s="1">
        <f>VLOOKUP(B50,Tabela1[#All],5,FALSE)</f>
        <v>120</v>
      </c>
      <c r="E50" s="1"/>
      <c r="F50" s="4">
        <v>45413</v>
      </c>
      <c r="G50" s="1" t="str">
        <f t="shared" si="1"/>
        <v>Mai</v>
      </c>
      <c r="H50" s="1">
        <f>DAYS360(Tabela2[[#This Row],[DATA PEDIDO]],'CONTROLE CONSUMO'!F50,)</f>
        <v>60</v>
      </c>
      <c r="I50" s="1" t="str">
        <f>IF(H50&gt;Tabela2[[#This Row],[PRAZO DE ENTREGA/DIAS]],"ATRASADO",IF('CONTROLE CONSUMO'!H50&lt;Tabela2[[#This Row],[PRAZO DE ENTREGA/DIAS]],"ADIANTADO",IF('CONTROLE CONSUMO'!H50=Tabela2[[#This Row],[PRAZO DE ENTREGA/DIAS]],"NÃO")))</f>
        <v>ADIANTADO</v>
      </c>
      <c r="J50" s="1" t="str">
        <f>IF(Tabela2[[#This Row],[QTD]]-'CONTROLE CONSUMO'!C50&lt;=0,"NÃO",Tabela2[[#This Row],[QTD]]-'CONTROLE CONSUMO'!C50)</f>
        <v>NÃO</v>
      </c>
      <c r="K50" s="1">
        <f>IF(Tabela2[[#This Row],[QTD]]-'CONTROLE CONSUMO'!C50&gt;=0,"NÃO",ABS(Tabela2[[#This Row],[QTD]]-'CONTROLE CONSUMO'!C50))</f>
        <v>40</v>
      </c>
      <c r="L50" s="2" t="str">
        <f>IF(J50="NÃO","NÃO",IF(J50&gt;0,J50*VLOOKUP(B50,Tabela1[#All],4,FALSE),"Erro"))</f>
        <v>NÃO</v>
      </c>
      <c r="M50" s="1">
        <v>10</v>
      </c>
      <c r="N50" s="2">
        <f>M50*VLOOKUP(B50,Tabela1[#All],3,FALSE)</f>
        <v>19</v>
      </c>
    </row>
    <row r="51" spans="1:14" x14ac:dyDescent="0.25">
      <c r="A51" s="1">
        <v>48</v>
      </c>
      <c r="B51" s="1" t="str">
        <f>VLOOKUP(A51,Tabela2[[#All],[ID-A]:[PROD]],2,FALSE)</f>
        <v>Impermeabilizante à Base de Latex 1kg</v>
      </c>
      <c r="C51" s="1">
        <v>50</v>
      </c>
      <c r="D51" s="1">
        <f>VLOOKUP(B51,Tabela1[#All],5,FALSE)</f>
        <v>180</v>
      </c>
      <c r="E51" s="1"/>
      <c r="F51" s="4">
        <v>45414</v>
      </c>
      <c r="G51" s="1" t="str">
        <f t="shared" si="1"/>
        <v>Mai</v>
      </c>
      <c r="H51" s="1">
        <f>DAYS360(Tabela2[[#This Row],[DATA PEDIDO]],'CONTROLE CONSUMO'!F51,)</f>
        <v>61</v>
      </c>
      <c r="I51" s="1" t="str">
        <f>IF(H51&gt;Tabela2[[#This Row],[PRAZO DE ENTREGA/DIAS]],"ATRASADO",IF('CONTROLE CONSUMO'!H51&lt;Tabela2[[#This Row],[PRAZO DE ENTREGA/DIAS]],"ADIANTADO",IF('CONTROLE CONSUMO'!H51=Tabela2[[#This Row],[PRAZO DE ENTREGA/DIAS]],"NÃO")))</f>
        <v>ADIANTADO</v>
      </c>
      <c r="J51" s="1" t="str">
        <f>IF(Tabela2[[#This Row],[QTD]]-'CONTROLE CONSUMO'!C51&lt;=0,"NÃO",Tabela2[[#This Row],[QTD]]-'CONTROLE CONSUMO'!C51)</f>
        <v>NÃO</v>
      </c>
      <c r="K51" s="1">
        <f>IF(Tabela2[[#This Row],[QTD]]-'CONTROLE CONSUMO'!C51&gt;=0,"NÃO",ABS(Tabela2[[#This Row],[QTD]]-'CONTROLE CONSUMO'!C51))</f>
        <v>40</v>
      </c>
      <c r="L51" s="2" t="str">
        <f>IF(J51="NÃO","NÃO",IF(J51&gt;0,J51*VLOOKUP(B51,Tabela1[#All],4,FALSE),"Erro"))</f>
        <v>NÃO</v>
      </c>
      <c r="M51" s="1">
        <v>10</v>
      </c>
      <c r="N51" s="2">
        <f>M51*VLOOKUP(B51,Tabela1[#All],3,FALSE)</f>
        <v>15</v>
      </c>
    </row>
    <row r="52" spans="1:14" x14ac:dyDescent="0.25">
      <c r="A52" s="1">
        <v>49</v>
      </c>
      <c r="B52" s="1" t="str">
        <f>VLOOKUP(A52,Tabela2[[#All],[ID-A]:[PROD]],2,FALSE)</f>
        <v>Cimento 1kg</v>
      </c>
      <c r="C52" s="1">
        <v>50</v>
      </c>
      <c r="D52" s="1">
        <f>VLOOKUP(B52,Tabela1[#All],5,FALSE)</f>
        <v>90</v>
      </c>
      <c r="E52" s="1"/>
      <c r="F52" s="4">
        <v>45403</v>
      </c>
      <c r="G52" s="1" t="str">
        <f t="shared" si="1"/>
        <v>Abr</v>
      </c>
      <c r="H52" s="1">
        <f>DAYS360(Tabela2[[#This Row],[DATA PEDIDO]],'CONTROLE CONSUMO'!F52,)</f>
        <v>20</v>
      </c>
      <c r="I52" s="1" t="str">
        <f>IF(H52&gt;Tabela2[[#This Row],[PRAZO DE ENTREGA/DIAS]],"ATRASADO",IF('CONTROLE CONSUMO'!H52&lt;Tabela2[[#This Row],[PRAZO DE ENTREGA/DIAS]],"ADIANTADO",IF('CONTROLE CONSUMO'!H52=Tabela2[[#This Row],[PRAZO DE ENTREGA/DIAS]],"NÃO")))</f>
        <v>ADIANTADO</v>
      </c>
      <c r="J52" s="1" t="str">
        <f>IF(Tabela2[[#This Row],[QTD]]-'CONTROLE CONSUMO'!C52&lt;=0,"NÃO",Tabela2[[#This Row],[QTD]]-'CONTROLE CONSUMO'!C52)</f>
        <v>NÃO</v>
      </c>
      <c r="K52" s="1">
        <f>IF(Tabela2[[#This Row],[QTD]]-'CONTROLE CONSUMO'!C52&gt;=0,"NÃO",ABS(Tabela2[[#This Row],[QTD]]-'CONTROLE CONSUMO'!C52))</f>
        <v>45</v>
      </c>
      <c r="L52" s="2" t="str">
        <f>IF(J52="NÃO","NÃO",IF(J52&gt;0,J52*VLOOKUP(B52,Tabela1[#All],4,FALSE),"Erro"))</f>
        <v>NÃO</v>
      </c>
      <c r="M52" s="1">
        <v>10</v>
      </c>
      <c r="N52" s="2">
        <f>M52*VLOOKUP(B52,Tabela1[#All],3,FALSE)</f>
        <v>50</v>
      </c>
    </row>
    <row r="53" spans="1:14" x14ac:dyDescent="0.25">
      <c r="A53" s="1">
        <v>50</v>
      </c>
      <c r="B53" s="1" t="str">
        <f>VLOOKUP(A53,Tabela2[[#All],[ID-A]:[PROD]],2,FALSE)</f>
        <v>Areia 1kg</v>
      </c>
      <c r="C53" s="1">
        <v>50</v>
      </c>
      <c r="D53" s="1" t="str">
        <f>VLOOKUP(B53,Tabela1[#All],5,FALSE)</f>
        <v>Indeterminado</v>
      </c>
      <c r="E53" s="1"/>
      <c r="F53" s="4">
        <v>45403</v>
      </c>
      <c r="G53" s="1" t="str">
        <f t="shared" si="1"/>
        <v>Abr</v>
      </c>
      <c r="H53" s="1">
        <f>DAYS360(Tabela2[[#This Row],[DATA PEDIDO]],'CONTROLE CONSUMO'!F53,)</f>
        <v>20</v>
      </c>
      <c r="I53" s="1" t="str">
        <f>IF(H53&gt;Tabela2[[#This Row],[PRAZO DE ENTREGA/DIAS]],"ATRASADO",IF('CONTROLE CONSUMO'!H53&lt;Tabela2[[#This Row],[PRAZO DE ENTREGA/DIAS]],"ADIANTADO",IF('CONTROLE CONSUMO'!H53=Tabela2[[#This Row],[PRAZO DE ENTREGA/DIAS]],"NÃO")))</f>
        <v>ADIANTADO</v>
      </c>
      <c r="J53" s="1" t="str">
        <f>IF(Tabela2[[#This Row],[QTD]]-'CONTROLE CONSUMO'!C53&lt;=0,"NÃO",Tabela2[[#This Row],[QTD]]-'CONTROLE CONSUMO'!C53)</f>
        <v>NÃO</v>
      </c>
      <c r="K53" s="1">
        <f>IF(Tabela2[[#This Row],[QTD]]-'CONTROLE CONSUMO'!C53&gt;=0,"NÃO",ABS(Tabela2[[#This Row],[QTD]]-'CONTROLE CONSUMO'!C53))</f>
        <v>45</v>
      </c>
      <c r="L53" s="2" t="str">
        <f>IF(J53="NÃO","NÃO",IF(J53&gt;0,J53*VLOOKUP(B53,Tabela1[#All],4,FALSE),"Erro"))</f>
        <v>NÃO</v>
      </c>
      <c r="M53" s="1">
        <v>10</v>
      </c>
      <c r="N53" s="2">
        <f>M53*VLOOKUP(B53,Tabela1[#All],3,FALSE)</f>
        <v>20</v>
      </c>
    </row>
    <row r="54" spans="1:14" x14ac:dyDescent="0.25">
      <c r="A54" s="1">
        <v>51</v>
      </c>
      <c r="B54" s="1" t="str">
        <f>VLOOKUP(A54,Tabela2[[#All],[ID-A]:[PROD]],2,FALSE)</f>
        <v>Brita 1kg</v>
      </c>
      <c r="C54" s="1">
        <v>50</v>
      </c>
      <c r="D54" s="1" t="str">
        <f>VLOOKUP(B54,Tabela1[#All],5,FALSE)</f>
        <v>Indeterminado</v>
      </c>
      <c r="E54" s="1"/>
      <c r="F54" s="4">
        <v>45403</v>
      </c>
      <c r="G54" s="1" t="str">
        <f t="shared" si="1"/>
        <v>Abr</v>
      </c>
      <c r="H54" s="1">
        <f>DAYS360(Tabela2[[#This Row],[DATA PEDIDO]],'CONTROLE CONSUMO'!F54,)</f>
        <v>20</v>
      </c>
      <c r="I54" s="1" t="str">
        <f>IF(H54&gt;Tabela2[[#This Row],[PRAZO DE ENTREGA/DIAS]],"ATRASADO",IF('CONTROLE CONSUMO'!H54&lt;Tabela2[[#This Row],[PRAZO DE ENTREGA/DIAS]],"ADIANTADO",IF('CONTROLE CONSUMO'!H54=Tabela2[[#This Row],[PRAZO DE ENTREGA/DIAS]],"NÃO")))</f>
        <v>ADIANTADO</v>
      </c>
      <c r="J54" s="1" t="str">
        <f>IF(Tabela2[[#This Row],[QTD]]-'CONTROLE CONSUMO'!C54&lt;=0,"NÃO",Tabela2[[#This Row],[QTD]]-'CONTROLE CONSUMO'!C54)</f>
        <v>NÃO</v>
      </c>
      <c r="K54" s="1">
        <f>IF(Tabela2[[#This Row],[QTD]]-'CONTROLE CONSUMO'!C54&gt;=0,"NÃO",ABS(Tabela2[[#This Row],[QTD]]-'CONTROLE CONSUMO'!C54))</f>
        <v>45</v>
      </c>
      <c r="L54" s="2" t="str">
        <f>IF(J54="NÃO","NÃO",IF(J54&gt;0,J54*VLOOKUP(B54,Tabela1[#All],4,FALSE),"Erro"))</f>
        <v>NÃO</v>
      </c>
      <c r="M54" s="1">
        <v>10</v>
      </c>
      <c r="N54" s="2">
        <f>M54*VLOOKUP(B54,Tabela1[#All],3,FALSE)</f>
        <v>10</v>
      </c>
    </row>
    <row r="55" spans="1:14" x14ac:dyDescent="0.25">
      <c r="A55" s="1">
        <v>52</v>
      </c>
      <c r="B55" s="1" t="str">
        <f>VLOOKUP(A55,Tabela2[[#All],[ID-A]:[PROD]],2,FALSE)</f>
        <v>Água 1000l</v>
      </c>
      <c r="C55" s="1">
        <v>50</v>
      </c>
      <c r="D55" s="1" t="str">
        <f>VLOOKUP(B55,Tabela1[#All],5,FALSE)</f>
        <v>Indeterminado</v>
      </c>
      <c r="E55" s="1"/>
      <c r="F55" s="4">
        <v>45403</v>
      </c>
      <c r="G55" s="1" t="str">
        <f t="shared" si="1"/>
        <v>Abr</v>
      </c>
      <c r="H55" s="1">
        <f>DAYS360(Tabela2[[#This Row],[DATA PEDIDO]],'CONTROLE CONSUMO'!F55,)</f>
        <v>20</v>
      </c>
      <c r="I55" s="1" t="str">
        <f>IF(H55&gt;Tabela2[[#This Row],[PRAZO DE ENTREGA/DIAS]],"ATRASADO",IF('CONTROLE CONSUMO'!H55&lt;Tabela2[[#This Row],[PRAZO DE ENTREGA/DIAS]],"ADIANTADO",IF('CONTROLE CONSUMO'!H55=Tabela2[[#This Row],[PRAZO DE ENTREGA/DIAS]],"NÃO")))</f>
        <v>ADIANTADO</v>
      </c>
      <c r="J55" s="1" t="str">
        <f>IF(Tabela2[[#This Row],[QTD]]-'CONTROLE CONSUMO'!C55&lt;=0,"NÃO",Tabela2[[#This Row],[QTD]]-'CONTROLE CONSUMO'!C55)</f>
        <v>NÃO</v>
      </c>
      <c r="K55" s="1">
        <f>IF(Tabela2[[#This Row],[QTD]]-'CONTROLE CONSUMO'!C55&gt;=0,"NÃO",ABS(Tabela2[[#This Row],[QTD]]-'CONTROLE CONSUMO'!C55))</f>
        <v>45</v>
      </c>
      <c r="L55" s="2" t="str">
        <f>IF(J55="NÃO","NÃO",IF(J55&gt;0,J55*VLOOKUP(B55,Tabela1[#All],4,FALSE),"Erro"))</f>
        <v>NÃO</v>
      </c>
      <c r="M55" s="1">
        <v>10</v>
      </c>
      <c r="N55" s="2">
        <f>M55*VLOOKUP(B55,Tabela1[#All],3,FALSE)</f>
        <v>20000</v>
      </c>
    </row>
    <row r="56" spans="1:14" x14ac:dyDescent="0.25">
      <c r="A56" s="1">
        <v>53</v>
      </c>
      <c r="B56" s="1" t="str">
        <f>VLOOKUP(A56,Tabela2[[#All],[ID-A]:[PROD]],2,FALSE)</f>
        <v>Madeira 1kg</v>
      </c>
      <c r="C56" s="1">
        <v>50</v>
      </c>
      <c r="D56" s="1" t="str">
        <f>VLOOKUP(B56,Tabela1[#All],5,FALSE)</f>
        <v>Indeterminado</v>
      </c>
      <c r="E56" s="1"/>
      <c r="F56" s="4">
        <v>45403</v>
      </c>
      <c r="G56" s="1" t="str">
        <f t="shared" si="1"/>
        <v>Abr</v>
      </c>
      <c r="H56" s="1">
        <f>DAYS360(Tabela2[[#This Row],[DATA PEDIDO]],'CONTROLE CONSUMO'!F56,)</f>
        <v>20</v>
      </c>
      <c r="I56" s="1" t="str">
        <f>IF(H56&gt;Tabela2[[#This Row],[PRAZO DE ENTREGA/DIAS]],"ATRASADO",IF('CONTROLE CONSUMO'!H56&lt;Tabela2[[#This Row],[PRAZO DE ENTREGA/DIAS]],"ADIANTADO",IF('CONTROLE CONSUMO'!H56=Tabela2[[#This Row],[PRAZO DE ENTREGA/DIAS]],"NÃO")))</f>
        <v>ADIANTADO</v>
      </c>
      <c r="J56" s="1" t="str">
        <f>IF(Tabela2[[#This Row],[QTD]]-'CONTROLE CONSUMO'!C56&lt;=0,"NÃO",Tabela2[[#This Row],[QTD]]-'CONTROLE CONSUMO'!C56)</f>
        <v>NÃO</v>
      </c>
      <c r="K56" s="1">
        <f>IF(Tabela2[[#This Row],[QTD]]-'CONTROLE CONSUMO'!C56&gt;=0,"NÃO",ABS(Tabela2[[#This Row],[QTD]]-'CONTROLE CONSUMO'!C56))</f>
        <v>45</v>
      </c>
      <c r="L56" s="2" t="str">
        <f>IF(J56="NÃO","NÃO",IF(J56&gt;0,J56*VLOOKUP(B56,Tabela1[#All],4,FALSE),"Erro"))</f>
        <v>NÃO</v>
      </c>
      <c r="M56" s="1">
        <v>10</v>
      </c>
      <c r="N56" s="2">
        <f>M56*VLOOKUP(B56,Tabela1[#All],3,FALSE)</f>
        <v>250</v>
      </c>
    </row>
    <row r="57" spans="1:14" x14ac:dyDescent="0.25">
      <c r="A57" s="1">
        <v>54</v>
      </c>
      <c r="B57" s="1" t="str">
        <f>VLOOKUP(A57,Tabela2[[#All],[ID-A]:[PROD]],2,FALSE)</f>
        <v>Tijolo Comum 1kg</v>
      </c>
      <c r="C57" s="1">
        <v>50</v>
      </c>
      <c r="D57" s="1" t="str">
        <f>VLOOKUP(B57,Tabela1[#All],5,FALSE)</f>
        <v>Indeterminado</v>
      </c>
      <c r="E57" s="1"/>
      <c r="F57" s="4">
        <v>45403</v>
      </c>
      <c r="G57" s="1" t="str">
        <f t="shared" si="1"/>
        <v>Abr</v>
      </c>
      <c r="H57" s="1">
        <f>DAYS360(Tabela2[[#This Row],[DATA PEDIDO]],'CONTROLE CONSUMO'!F57,)</f>
        <v>20</v>
      </c>
      <c r="I57" s="1" t="str">
        <f>IF(H57&gt;Tabela2[[#This Row],[PRAZO DE ENTREGA/DIAS]],"ATRASADO",IF('CONTROLE CONSUMO'!H57&lt;Tabela2[[#This Row],[PRAZO DE ENTREGA/DIAS]],"ADIANTADO",IF('CONTROLE CONSUMO'!H57=Tabela2[[#This Row],[PRAZO DE ENTREGA/DIAS]],"NÃO")))</f>
        <v>ADIANTADO</v>
      </c>
      <c r="J57" s="1" t="str">
        <f>IF(Tabela2[[#This Row],[QTD]]-'CONTROLE CONSUMO'!C57&lt;=0,"NÃO",Tabela2[[#This Row],[QTD]]-'CONTROLE CONSUMO'!C57)</f>
        <v>NÃO</v>
      </c>
      <c r="K57" s="1">
        <f>IF(Tabela2[[#This Row],[QTD]]-'CONTROLE CONSUMO'!C57&gt;=0,"NÃO",ABS(Tabela2[[#This Row],[QTD]]-'CONTROLE CONSUMO'!C57))</f>
        <v>45</v>
      </c>
      <c r="L57" s="2" t="str">
        <f>IF(J57="NÃO","NÃO",IF(J57&gt;0,J57*VLOOKUP(B57,Tabela1[#All],4,FALSE),"Erro"))</f>
        <v>NÃO</v>
      </c>
      <c r="M57" s="1">
        <v>10</v>
      </c>
      <c r="N57" s="2">
        <f>M57*VLOOKUP(B57,Tabela1[#All],3,FALSE)</f>
        <v>10</v>
      </c>
    </row>
    <row r="58" spans="1:14" x14ac:dyDescent="0.25">
      <c r="A58" s="1">
        <v>55</v>
      </c>
      <c r="B58" s="1" t="str">
        <f>VLOOKUP(A58,Tabela2[[#All],[ID-A]:[PROD]],2,FALSE)</f>
        <v>Tijolo Ecológico 1kg</v>
      </c>
      <c r="C58" s="1">
        <v>50</v>
      </c>
      <c r="D58" s="1" t="str">
        <f>VLOOKUP(B58,Tabela1[#All],5,FALSE)</f>
        <v>Indeterminado</v>
      </c>
      <c r="E58" s="1"/>
      <c r="F58" s="4">
        <v>45403</v>
      </c>
      <c r="G58" s="1" t="str">
        <f t="shared" si="1"/>
        <v>Abr</v>
      </c>
      <c r="H58" s="1">
        <f>DAYS360(Tabela2[[#This Row],[DATA PEDIDO]],'CONTROLE CONSUMO'!F58,)</f>
        <v>20</v>
      </c>
      <c r="I58" s="1" t="str">
        <f>IF(H58&gt;Tabela2[[#This Row],[PRAZO DE ENTREGA/DIAS]],"ATRASADO",IF('CONTROLE CONSUMO'!H58&lt;Tabela2[[#This Row],[PRAZO DE ENTREGA/DIAS]],"ADIANTADO",IF('CONTROLE CONSUMO'!H58=Tabela2[[#This Row],[PRAZO DE ENTREGA/DIAS]],"NÃO")))</f>
        <v>ADIANTADO</v>
      </c>
      <c r="J58" s="1" t="str">
        <f>IF(Tabela2[[#This Row],[QTD]]-'CONTROLE CONSUMO'!C58&lt;=0,"NÃO",Tabela2[[#This Row],[QTD]]-'CONTROLE CONSUMO'!C58)</f>
        <v>NÃO</v>
      </c>
      <c r="K58" s="1">
        <f>IF(Tabela2[[#This Row],[QTD]]-'CONTROLE CONSUMO'!C58&gt;=0,"NÃO",ABS(Tabela2[[#This Row],[QTD]]-'CONTROLE CONSUMO'!C58))</f>
        <v>45</v>
      </c>
      <c r="L58" s="2" t="str">
        <f>IF(J58="NÃO","NÃO",IF(J58&gt;0,J58*VLOOKUP(B58,Tabela1[#All],4,FALSE),"Erro"))</f>
        <v>NÃO</v>
      </c>
      <c r="M58" s="1">
        <v>10</v>
      </c>
      <c r="N58" s="2">
        <f>M58*VLOOKUP(B58,Tabela1[#All],3,FALSE)</f>
        <v>15</v>
      </c>
    </row>
    <row r="59" spans="1:14" x14ac:dyDescent="0.25">
      <c r="A59" s="1">
        <v>56</v>
      </c>
      <c r="B59" s="1" t="str">
        <f>VLOOKUP(A59,Tabela2[[#All],[ID-A]:[PROD]],2,FALSE)</f>
        <v>Bloco de Cimento 1kg</v>
      </c>
      <c r="C59" s="1">
        <v>50</v>
      </c>
      <c r="D59" s="1" t="str">
        <f>VLOOKUP(B59,Tabela1[#All],5,FALSE)</f>
        <v>Indeterminado</v>
      </c>
      <c r="E59" s="1"/>
      <c r="F59" s="4">
        <v>45423</v>
      </c>
      <c r="G59" s="1" t="str">
        <f t="shared" si="1"/>
        <v>Mai</v>
      </c>
      <c r="H59" s="1">
        <f>DAYS360(Tabela2[[#This Row],[DATA PEDIDO]],'CONTROLE CONSUMO'!F59,)</f>
        <v>40</v>
      </c>
      <c r="I59" s="1" t="str">
        <f>IF(H59&gt;Tabela2[[#This Row],[PRAZO DE ENTREGA/DIAS]],"ATRASADO",IF('CONTROLE CONSUMO'!H59&lt;Tabela2[[#This Row],[PRAZO DE ENTREGA/DIAS]],"ADIANTADO",IF('CONTROLE CONSUMO'!H59=Tabela2[[#This Row],[PRAZO DE ENTREGA/DIAS]],"NÃO")))</f>
        <v>ADIANTADO</v>
      </c>
      <c r="J59" s="1" t="str">
        <f>IF(Tabela2[[#This Row],[QTD]]-'CONTROLE CONSUMO'!C59&lt;=0,"NÃO",Tabela2[[#This Row],[QTD]]-'CONTROLE CONSUMO'!C59)</f>
        <v>NÃO</v>
      </c>
      <c r="K59" s="1">
        <f>IF(Tabela2[[#This Row],[QTD]]-'CONTROLE CONSUMO'!C59&gt;=0,"NÃO",ABS(Tabela2[[#This Row],[QTD]]-'CONTROLE CONSUMO'!C59))</f>
        <v>45</v>
      </c>
      <c r="L59" s="2" t="str">
        <f>IF(J59="NÃO","NÃO",IF(J59&gt;0,J59*VLOOKUP(B59,Tabela1[#All],4,FALSE),"Erro"))</f>
        <v>NÃO</v>
      </c>
      <c r="M59" s="1">
        <v>10</v>
      </c>
      <c r="N59" s="2">
        <f>M59*VLOOKUP(B59,Tabela1[#All],3,FALSE)</f>
        <v>18</v>
      </c>
    </row>
    <row r="60" spans="1:14" x14ac:dyDescent="0.25">
      <c r="A60" s="1">
        <v>57</v>
      </c>
      <c r="B60" s="1" t="str">
        <f>VLOOKUP(A60,Tabela2[[#All],[ID-A]:[PROD]],2,FALSE)</f>
        <v>Gesso 1kg</v>
      </c>
      <c r="C60" s="1">
        <v>50</v>
      </c>
      <c r="D60" s="1">
        <f>VLOOKUP(B60,Tabela1[#All],5,FALSE)</f>
        <v>90</v>
      </c>
      <c r="E60" s="1"/>
      <c r="F60" s="4">
        <v>45423</v>
      </c>
      <c r="G60" s="1" t="str">
        <f t="shared" si="1"/>
        <v>Mai</v>
      </c>
      <c r="H60" s="1">
        <f>DAYS360(Tabela2[[#This Row],[DATA PEDIDO]],'CONTROLE CONSUMO'!F60,)</f>
        <v>40</v>
      </c>
      <c r="I60" s="1" t="str">
        <f>IF(H60&gt;Tabela2[[#This Row],[PRAZO DE ENTREGA/DIAS]],"ATRASADO",IF('CONTROLE CONSUMO'!H60&lt;Tabela2[[#This Row],[PRAZO DE ENTREGA/DIAS]],"ADIANTADO",IF('CONTROLE CONSUMO'!H60=Tabela2[[#This Row],[PRAZO DE ENTREGA/DIAS]],"NÃO")))</f>
        <v>ADIANTADO</v>
      </c>
      <c r="J60" s="1" t="str">
        <f>IF(Tabela2[[#This Row],[QTD]]-'CONTROLE CONSUMO'!C60&lt;=0,"NÃO",Tabela2[[#This Row],[QTD]]-'CONTROLE CONSUMO'!C60)</f>
        <v>NÃO</v>
      </c>
      <c r="K60" s="1">
        <f>IF(Tabela2[[#This Row],[QTD]]-'CONTROLE CONSUMO'!C60&gt;=0,"NÃO",ABS(Tabela2[[#This Row],[QTD]]-'CONTROLE CONSUMO'!C60))</f>
        <v>45</v>
      </c>
      <c r="L60" s="2" t="str">
        <f>IF(J60="NÃO","NÃO",IF(J60&gt;0,J60*VLOOKUP(B60,Tabela1[#All],4,FALSE),"Erro"))</f>
        <v>NÃO</v>
      </c>
      <c r="M60" s="1">
        <v>10</v>
      </c>
      <c r="N60" s="2">
        <f>M60*VLOOKUP(B60,Tabela1[#All],3,FALSE)</f>
        <v>31</v>
      </c>
    </row>
    <row r="61" spans="1:14" x14ac:dyDescent="0.25">
      <c r="A61" s="1">
        <v>58</v>
      </c>
      <c r="B61" s="1" t="str">
        <f>VLOOKUP(A61,Tabela2[[#All],[ID-A]:[PROD]],2,FALSE)</f>
        <v>Aço 1kg</v>
      </c>
      <c r="C61" s="1">
        <v>50</v>
      </c>
      <c r="D61" s="1" t="str">
        <f>VLOOKUP(B61,Tabela1[#All],5,FALSE)</f>
        <v>Indeterminado</v>
      </c>
      <c r="E61" s="1"/>
      <c r="F61" s="4">
        <v>45423</v>
      </c>
      <c r="G61" s="1" t="str">
        <f t="shared" si="1"/>
        <v>Mai</v>
      </c>
      <c r="H61" s="1">
        <f>DAYS360(Tabela2[[#This Row],[DATA PEDIDO]],'CONTROLE CONSUMO'!F61,)</f>
        <v>40</v>
      </c>
      <c r="I61" s="1" t="str">
        <f>IF(H61&gt;Tabela2[[#This Row],[PRAZO DE ENTREGA/DIAS]],"ATRASADO",IF('CONTROLE CONSUMO'!H61&lt;Tabela2[[#This Row],[PRAZO DE ENTREGA/DIAS]],"ADIANTADO",IF('CONTROLE CONSUMO'!H61=Tabela2[[#This Row],[PRAZO DE ENTREGA/DIAS]],"NÃO")))</f>
        <v>ADIANTADO</v>
      </c>
      <c r="J61" s="1" t="str">
        <f>IF(Tabela2[[#This Row],[QTD]]-'CONTROLE CONSUMO'!C61&lt;=0,"NÃO",Tabela2[[#This Row],[QTD]]-'CONTROLE CONSUMO'!C61)</f>
        <v>NÃO</v>
      </c>
      <c r="K61" s="1">
        <f>IF(Tabela2[[#This Row],[QTD]]-'CONTROLE CONSUMO'!C61&gt;=0,"NÃO",ABS(Tabela2[[#This Row],[QTD]]-'CONTROLE CONSUMO'!C61))</f>
        <v>45</v>
      </c>
      <c r="L61" s="2" t="str">
        <f>IF(J61="NÃO","NÃO",IF(J61&gt;0,J61*VLOOKUP(B61,Tabela1[#All],4,FALSE),"Erro"))</f>
        <v>NÃO</v>
      </c>
      <c r="M61" s="1">
        <v>10</v>
      </c>
      <c r="N61" s="2">
        <f>M61*VLOOKUP(B61,Tabela1[#All],3,FALSE)</f>
        <v>120</v>
      </c>
    </row>
    <row r="62" spans="1:14" x14ac:dyDescent="0.25">
      <c r="A62" s="1">
        <v>59</v>
      </c>
      <c r="B62" s="1" t="str">
        <f>VLOOKUP(A62,Tabela2[[#All],[ID-A]:[PROD]],2,FALSE)</f>
        <v>Cerâmica 1kg</v>
      </c>
      <c r="C62" s="1">
        <v>50</v>
      </c>
      <c r="D62" s="1" t="str">
        <f>VLOOKUP(B62,Tabela1[#All],5,FALSE)</f>
        <v>Indeterminado</v>
      </c>
      <c r="E62" s="1"/>
      <c r="F62" s="4">
        <v>45423</v>
      </c>
      <c r="G62" s="1" t="str">
        <f t="shared" si="1"/>
        <v>Mai</v>
      </c>
      <c r="H62" s="1">
        <f>DAYS360(Tabela2[[#This Row],[DATA PEDIDO]],'CONTROLE CONSUMO'!F62,)</f>
        <v>40</v>
      </c>
      <c r="I62" s="1" t="str">
        <f>IF(H62&gt;Tabela2[[#This Row],[PRAZO DE ENTREGA/DIAS]],"ATRASADO",IF('CONTROLE CONSUMO'!H62&lt;Tabela2[[#This Row],[PRAZO DE ENTREGA/DIAS]],"ADIANTADO",IF('CONTROLE CONSUMO'!H62=Tabela2[[#This Row],[PRAZO DE ENTREGA/DIAS]],"NÃO")))</f>
        <v>ADIANTADO</v>
      </c>
      <c r="J62" s="1" t="str">
        <f>IF(Tabela2[[#This Row],[QTD]]-'CONTROLE CONSUMO'!C62&lt;=0,"NÃO",Tabela2[[#This Row],[QTD]]-'CONTROLE CONSUMO'!C62)</f>
        <v>NÃO</v>
      </c>
      <c r="K62" s="1">
        <f>IF(Tabela2[[#This Row],[QTD]]-'CONTROLE CONSUMO'!C62&gt;=0,"NÃO",ABS(Tabela2[[#This Row],[QTD]]-'CONTROLE CONSUMO'!C62))</f>
        <v>45</v>
      </c>
      <c r="L62" s="2" t="str">
        <f>IF(J62="NÃO","NÃO",IF(J62&gt;0,J62*VLOOKUP(B62,Tabela1[#All],4,FALSE),"Erro"))</f>
        <v>NÃO</v>
      </c>
      <c r="M62" s="1">
        <v>10</v>
      </c>
      <c r="N62" s="2">
        <f>M62*VLOOKUP(B62,Tabela1[#All],3,FALSE)</f>
        <v>210</v>
      </c>
    </row>
    <row r="63" spans="1:14" x14ac:dyDescent="0.25">
      <c r="A63" s="1">
        <v>60</v>
      </c>
      <c r="B63" s="1" t="str">
        <f>VLOOKUP(A63,Tabela2[[#All],[ID-A]:[PROD]],2,FALSE)</f>
        <v>Tinta 1l</v>
      </c>
      <c r="C63" s="1">
        <v>50</v>
      </c>
      <c r="D63" s="1" t="str">
        <f>VLOOKUP(B63,Tabela1[#All],5,FALSE)</f>
        <v>Indeterminado</v>
      </c>
      <c r="E63" s="1"/>
      <c r="F63" s="4">
        <v>45423</v>
      </c>
      <c r="G63" s="1" t="str">
        <f t="shared" si="1"/>
        <v>Mai</v>
      </c>
      <c r="H63" s="1">
        <f>DAYS360(Tabela2[[#This Row],[DATA PEDIDO]],'CONTROLE CONSUMO'!F63,)</f>
        <v>40</v>
      </c>
      <c r="I63" s="1" t="str">
        <f>IF(H63&gt;Tabela2[[#This Row],[PRAZO DE ENTREGA/DIAS]],"ATRASADO",IF('CONTROLE CONSUMO'!H63&lt;Tabela2[[#This Row],[PRAZO DE ENTREGA/DIAS]],"ADIANTADO",IF('CONTROLE CONSUMO'!H63=Tabela2[[#This Row],[PRAZO DE ENTREGA/DIAS]],"NÃO")))</f>
        <v>ADIANTADO</v>
      </c>
      <c r="J63" s="1" t="str">
        <f>IF(Tabela2[[#This Row],[QTD]]-'CONTROLE CONSUMO'!C63&lt;=0,"NÃO",Tabela2[[#This Row],[QTD]]-'CONTROLE CONSUMO'!C63)</f>
        <v>NÃO</v>
      </c>
      <c r="K63" s="1">
        <f>IF(Tabela2[[#This Row],[QTD]]-'CONTROLE CONSUMO'!C63&gt;=0,"NÃO",ABS(Tabela2[[#This Row],[QTD]]-'CONTROLE CONSUMO'!C63))</f>
        <v>45</v>
      </c>
      <c r="L63" s="2" t="str">
        <f>IF(J63="NÃO","NÃO",IF(J63&gt;0,J63*VLOOKUP(B63,Tabela1[#All],4,FALSE),"Erro"))</f>
        <v>NÃO</v>
      </c>
      <c r="M63" s="1">
        <v>10</v>
      </c>
      <c r="N63" s="2">
        <f>M63*VLOOKUP(B63,Tabela1[#All],3,FALSE)</f>
        <v>500</v>
      </c>
    </row>
    <row r="64" spans="1:14" x14ac:dyDescent="0.25">
      <c r="A64" s="1">
        <v>61</v>
      </c>
      <c r="B64" s="1" t="str">
        <f>VLOOKUP(A64,Tabela2[[#All],[ID-A]:[PROD]],2,FALSE)</f>
        <v>Selante 1kg</v>
      </c>
      <c r="C64" s="1">
        <v>50</v>
      </c>
      <c r="D64" s="1">
        <f>VLOOKUP(B64,Tabela1[#All],5,FALSE)</f>
        <v>90</v>
      </c>
      <c r="E64" s="1"/>
      <c r="F64" s="4">
        <v>45423</v>
      </c>
      <c r="G64" s="1" t="str">
        <f t="shared" si="1"/>
        <v>Mai</v>
      </c>
      <c r="H64" s="1">
        <f>DAYS360(Tabela2[[#This Row],[DATA PEDIDO]],'CONTROLE CONSUMO'!F64,)</f>
        <v>40</v>
      </c>
      <c r="I64" s="1" t="str">
        <f>IF(H64&gt;Tabela2[[#This Row],[PRAZO DE ENTREGA/DIAS]],"ATRASADO",IF('CONTROLE CONSUMO'!H64&lt;Tabela2[[#This Row],[PRAZO DE ENTREGA/DIAS]],"ADIANTADO",IF('CONTROLE CONSUMO'!H64=Tabela2[[#This Row],[PRAZO DE ENTREGA/DIAS]],"NÃO")))</f>
        <v>ADIANTADO</v>
      </c>
      <c r="J64" s="1" t="str">
        <f>IF(Tabela2[[#This Row],[QTD]]-'CONTROLE CONSUMO'!C64&lt;=0,"NÃO",Tabela2[[#This Row],[QTD]]-'CONTROLE CONSUMO'!C64)</f>
        <v>NÃO</v>
      </c>
      <c r="K64" s="1">
        <f>IF(Tabela2[[#This Row],[QTD]]-'CONTROLE CONSUMO'!C64&gt;=0,"NÃO",ABS(Tabela2[[#This Row],[QTD]]-'CONTROLE CONSUMO'!C64))</f>
        <v>45</v>
      </c>
      <c r="L64" s="2" t="str">
        <f>IF(J64="NÃO","NÃO",IF(J64&gt;0,J64*VLOOKUP(B64,Tabela1[#All],4,FALSE),"Erro"))</f>
        <v>NÃO</v>
      </c>
      <c r="M64" s="1">
        <v>10</v>
      </c>
      <c r="N64" s="2">
        <f>M64*VLOOKUP(B64,Tabela1[#All],3,FALSE)</f>
        <v>529</v>
      </c>
    </row>
    <row r="65" spans="1:14" x14ac:dyDescent="0.25">
      <c r="A65" s="1">
        <v>62</v>
      </c>
      <c r="B65" s="1" t="str">
        <f>VLOOKUP(A65,Tabela2[[#All],[ID-A]:[PROD]],2,FALSE)</f>
        <v>Cola Pva 1kg</v>
      </c>
      <c r="C65" s="1">
        <v>50</v>
      </c>
      <c r="D65" s="1">
        <f>VLOOKUP(B65,Tabela1[#All],5,FALSE)</f>
        <v>90</v>
      </c>
      <c r="E65" s="1"/>
      <c r="F65" s="4">
        <v>45443</v>
      </c>
      <c r="G65" s="1" t="str">
        <f t="shared" si="1"/>
        <v>Mai</v>
      </c>
      <c r="H65" s="1">
        <f>DAYS360(Tabela2[[#This Row],[DATA PEDIDO]],'CONTROLE CONSUMO'!F65,)</f>
        <v>60</v>
      </c>
      <c r="I65" s="1" t="str">
        <f>IF(H65&gt;Tabela2[[#This Row],[PRAZO DE ENTREGA/DIAS]],"ATRASADO",IF('CONTROLE CONSUMO'!H65&lt;Tabela2[[#This Row],[PRAZO DE ENTREGA/DIAS]],"ADIANTADO",IF('CONTROLE CONSUMO'!H65=Tabela2[[#This Row],[PRAZO DE ENTREGA/DIAS]],"NÃO")))</f>
        <v>ADIANTADO</v>
      </c>
      <c r="J65" s="1" t="str">
        <f>IF(Tabela2[[#This Row],[QTD]]-'CONTROLE CONSUMO'!C65&lt;=0,"NÃO",Tabela2[[#This Row],[QTD]]-'CONTROLE CONSUMO'!C65)</f>
        <v>NÃO</v>
      </c>
      <c r="K65" s="1">
        <f>IF(Tabela2[[#This Row],[QTD]]-'CONTROLE CONSUMO'!C65&gt;=0,"NÃO",ABS(Tabela2[[#This Row],[QTD]]-'CONTROLE CONSUMO'!C65))</f>
        <v>45</v>
      </c>
      <c r="L65" s="2" t="str">
        <f>IF(J65="NÃO","NÃO",IF(J65&gt;0,J65*VLOOKUP(B65,Tabela1[#All],4,FALSE),"Erro"))</f>
        <v>NÃO</v>
      </c>
      <c r="M65" s="1">
        <v>10</v>
      </c>
      <c r="N65" s="2">
        <f>M65*VLOOKUP(B65,Tabela1[#All],3,FALSE)</f>
        <v>159</v>
      </c>
    </row>
    <row r="66" spans="1:14" x14ac:dyDescent="0.25">
      <c r="A66" s="1">
        <v>63</v>
      </c>
      <c r="B66" s="1" t="str">
        <f>VLOOKUP(A66,Tabela2[[#All],[ID-A]:[PROD]],2,FALSE)</f>
        <v>Argamassa Pronta 1kg</v>
      </c>
      <c r="C66" s="1">
        <v>50</v>
      </c>
      <c r="D66" s="1">
        <f>VLOOKUP(B66,Tabela1[#All],5,FALSE)</f>
        <v>120</v>
      </c>
      <c r="E66" s="1"/>
      <c r="F66" s="4">
        <v>45443</v>
      </c>
      <c r="G66" s="1" t="str">
        <f t="shared" si="1"/>
        <v>Mai</v>
      </c>
      <c r="H66" s="1">
        <f>DAYS360(Tabela2[[#This Row],[DATA PEDIDO]],'CONTROLE CONSUMO'!F66,)</f>
        <v>60</v>
      </c>
      <c r="I66" s="1" t="str">
        <f>IF(H66&gt;Tabela2[[#This Row],[PRAZO DE ENTREGA/DIAS]],"ATRASADO",IF('CONTROLE CONSUMO'!H66&lt;Tabela2[[#This Row],[PRAZO DE ENTREGA/DIAS]],"ADIANTADO",IF('CONTROLE CONSUMO'!H66=Tabela2[[#This Row],[PRAZO DE ENTREGA/DIAS]],"NÃO")))</f>
        <v>ADIANTADO</v>
      </c>
      <c r="J66" s="1" t="str">
        <f>IF(Tabela2[[#This Row],[QTD]]-'CONTROLE CONSUMO'!C66&lt;=0,"NÃO",Tabela2[[#This Row],[QTD]]-'CONTROLE CONSUMO'!C66)</f>
        <v>NÃO</v>
      </c>
      <c r="K66" s="1">
        <f>IF(Tabela2[[#This Row],[QTD]]-'CONTROLE CONSUMO'!C66&gt;=0,"NÃO",ABS(Tabela2[[#This Row],[QTD]]-'CONTROLE CONSUMO'!C66))</f>
        <v>45</v>
      </c>
      <c r="L66" s="2" t="str">
        <f>IF(J66="NÃO","NÃO",IF(J66&gt;0,J66*VLOOKUP(B66,Tabela1[#All],4,FALSE),"Erro"))</f>
        <v>NÃO</v>
      </c>
      <c r="M66" s="1">
        <v>10</v>
      </c>
      <c r="N66" s="2">
        <f>M66*VLOOKUP(B66,Tabela1[#All],3,FALSE)</f>
        <v>19</v>
      </c>
    </row>
    <row r="67" spans="1:14" x14ac:dyDescent="0.25">
      <c r="A67" s="1">
        <v>64</v>
      </c>
      <c r="B67" s="1" t="str">
        <f>VLOOKUP(A67,Tabela2[[#All],[ID-A]:[PROD]],2,FALSE)</f>
        <v>Impermeabilizante à Base de Latex 1kg</v>
      </c>
      <c r="C67" s="1">
        <v>50</v>
      </c>
      <c r="D67" s="1">
        <f>VLOOKUP(B67,Tabela1[#All],5,FALSE)</f>
        <v>180</v>
      </c>
      <c r="E67" s="1"/>
      <c r="F67" s="4">
        <v>45443</v>
      </c>
      <c r="G67" s="1" t="str">
        <f t="shared" si="1"/>
        <v>Mai</v>
      </c>
      <c r="H67" s="1">
        <f>DAYS360(Tabela2[[#This Row],[DATA PEDIDO]],'CONTROLE CONSUMO'!F67,)</f>
        <v>60</v>
      </c>
      <c r="I67" s="1" t="str">
        <f>IF(H67&gt;Tabela2[[#This Row],[PRAZO DE ENTREGA/DIAS]],"ATRASADO",IF('CONTROLE CONSUMO'!H67&lt;Tabela2[[#This Row],[PRAZO DE ENTREGA/DIAS]],"ADIANTADO",IF('CONTROLE CONSUMO'!H67=Tabela2[[#This Row],[PRAZO DE ENTREGA/DIAS]],"NÃO")))</f>
        <v>ADIANTADO</v>
      </c>
      <c r="J67" s="1" t="str">
        <f>IF(Tabela2[[#This Row],[QTD]]-'CONTROLE CONSUMO'!C67&lt;=0,"NÃO",Tabela2[[#This Row],[QTD]]-'CONTROLE CONSUMO'!C67)</f>
        <v>NÃO</v>
      </c>
      <c r="K67" s="1">
        <f>IF(Tabela2[[#This Row],[QTD]]-'CONTROLE CONSUMO'!C67&gt;=0,"NÃO",ABS(Tabela2[[#This Row],[QTD]]-'CONTROLE CONSUMO'!C67))</f>
        <v>45</v>
      </c>
      <c r="L67" s="2" t="str">
        <f>IF(J67="NÃO","NÃO",IF(J67&gt;0,J67*VLOOKUP(B67,Tabela1[#All],4,FALSE),"Erro"))</f>
        <v>NÃO</v>
      </c>
      <c r="M67" s="1">
        <v>10</v>
      </c>
      <c r="N67" s="2">
        <f>M67*VLOOKUP(B67,Tabela1[#All],3,FALSE)</f>
        <v>15</v>
      </c>
    </row>
    <row r="68" spans="1:14" x14ac:dyDescent="0.25">
      <c r="A68" s="1">
        <v>65</v>
      </c>
      <c r="B68" s="1" t="str">
        <f>VLOOKUP(A68,Tabela2[[#All],[ID-A]:[PROD]],2,FALSE)</f>
        <v>Cimento 1kg</v>
      </c>
      <c r="C68" s="1">
        <v>50</v>
      </c>
      <c r="D68" s="1">
        <f>VLOOKUP(B68,Tabela1[#All],5,FALSE)</f>
        <v>90</v>
      </c>
      <c r="E68" s="1"/>
      <c r="F68" s="4">
        <v>45433</v>
      </c>
      <c r="G68" s="1" t="str">
        <f t="shared" ref="G68:G89" si="2">PROPER(TEXT(F68,"mmm;"))</f>
        <v>Mai</v>
      </c>
      <c r="H68" s="1">
        <f>DAYS360(Tabela2[[#This Row],[DATA PEDIDO]],'CONTROLE CONSUMO'!F68,)</f>
        <v>20</v>
      </c>
      <c r="I68" s="1" t="str">
        <f>IF(H68&gt;Tabela2[[#This Row],[PRAZO DE ENTREGA/DIAS]],"ATRASADO",IF('CONTROLE CONSUMO'!H68&lt;Tabela2[[#This Row],[PRAZO DE ENTREGA/DIAS]],"ADIANTADO",IF('CONTROLE CONSUMO'!H68=Tabela2[[#This Row],[PRAZO DE ENTREGA/DIAS]],"NÃO")))</f>
        <v>ADIANTADO</v>
      </c>
      <c r="J68" s="1" t="str">
        <f>IF(Tabela2[[#This Row],[QTD]]-'CONTROLE CONSUMO'!C68&lt;=0,"NÃO",Tabela2[[#This Row],[QTD]]-'CONTROLE CONSUMO'!C68)</f>
        <v>NÃO</v>
      </c>
      <c r="K68" s="1">
        <f>IF(Tabela2[[#This Row],[QTD]]-'CONTROLE CONSUMO'!C68&gt;=0,"NÃO",ABS(Tabela2[[#This Row],[QTD]]-'CONTROLE CONSUMO'!C68))</f>
        <v>45</v>
      </c>
      <c r="L68" s="2" t="str">
        <f>IF(J68="NÃO","NÃO",IF(J68&gt;0,J68*VLOOKUP(B68,Tabela1[#All],4,FALSE),"Erro"))</f>
        <v>NÃO</v>
      </c>
      <c r="M68" s="1">
        <v>10</v>
      </c>
      <c r="N68" s="2">
        <f>M68*VLOOKUP(B68,Tabela1[#All],3,FALSE)</f>
        <v>50</v>
      </c>
    </row>
    <row r="69" spans="1:14" x14ac:dyDescent="0.25">
      <c r="A69" s="1">
        <v>66</v>
      </c>
      <c r="B69" s="1" t="str">
        <f>VLOOKUP(A69,Tabela2[[#All],[ID-A]:[PROD]],2,FALSE)</f>
        <v>Areia 1kg</v>
      </c>
      <c r="C69" s="1">
        <v>50</v>
      </c>
      <c r="D69" s="1" t="str">
        <f>VLOOKUP(B69,Tabela1[#All],5,FALSE)</f>
        <v>Indeterminado</v>
      </c>
      <c r="E69" s="1"/>
      <c r="F69" s="4">
        <v>45433</v>
      </c>
      <c r="G69" s="1" t="str">
        <f t="shared" si="2"/>
        <v>Mai</v>
      </c>
      <c r="H69" s="1">
        <f>DAYS360(Tabela2[[#This Row],[DATA PEDIDO]],'CONTROLE CONSUMO'!F69,)</f>
        <v>20</v>
      </c>
      <c r="I69" s="1" t="str">
        <f>IF(H69&gt;Tabela2[[#This Row],[PRAZO DE ENTREGA/DIAS]],"ATRASADO",IF('CONTROLE CONSUMO'!H69&lt;Tabela2[[#This Row],[PRAZO DE ENTREGA/DIAS]],"ADIANTADO",IF('CONTROLE CONSUMO'!H69=Tabela2[[#This Row],[PRAZO DE ENTREGA/DIAS]],"NÃO")))</f>
        <v>ADIANTADO</v>
      </c>
      <c r="J69" s="1" t="str">
        <f>IF(Tabela2[[#This Row],[QTD]]-'CONTROLE CONSUMO'!C69&lt;=0,"NÃO",Tabela2[[#This Row],[QTD]]-'CONTROLE CONSUMO'!C69)</f>
        <v>NÃO</v>
      </c>
      <c r="K69" s="1">
        <f>IF(Tabela2[[#This Row],[QTD]]-'CONTROLE CONSUMO'!C69&gt;=0,"NÃO",ABS(Tabela2[[#This Row],[QTD]]-'CONTROLE CONSUMO'!C69))</f>
        <v>45</v>
      </c>
      <c r="L69" s="2" t="str">
        <f>IF(J69="NÃO","NÃO",IF(J69&gt;0,J69*VLOOKUP(B69,Tabela1[#All],4,FALSE),"Erro"))</f>
        <v>NÃO</v>
      </c>
      <c r="M69" s="1">
        <v>10</v>
      </c>
      <c r="N69" s="2">
        <f>M69*VLOOKUP(B69,Tabela1[#All],3,FALSE)</f>
        <v>20</v>
      </c>
    </row>
    <row r="70" spans="1:14" x14ac:dyDescent="0.25">
      <c r="A70" s="1">
        <v>67</v>
      </c>
      <c r="B70" s="1" t="str">
        <f>VLOOKUP(A70,Tabela2[[#All],[ID-A]:[PROD]],2,FALSE)</f>
        <v>Brita 1kg</v>
      </c>
      <c r="C70" s="1">
        <v>50</v>
      </c>
      <c r="D70" s="1" t="str">
        <f>VLOOKUP(B70,Tabela1[#All],5,FALSE)</f>
        <v>Indeterminado</v>
      </c>
      <c r="E70" s="1"/>
      <c r="F70" s="4">
        <v>45434</v>
      </c>
      <c r="G70" s="1" t="str">
        <f t="shared" si="2"/>
        <v>Mai</v>
      </c>
      <c r="H70" s="1">
        <f>DAYS360(Tabela2[[#This Row],[DATA PEDIDO]],'CONTROLE CONSUMO'!F70,)</f>
        <v>21</v>
      </c>
      <c r="I70" s="1" t="str">
        <f>IF(H70&gt;Tabela2[[#This Row],[PRAZO DE ENTREGA/DIAS]],"ATRASADO",IF('CONTROLE CONSUMO'!H70&lt;Tabela2[[#This Row],[PRAZO DE ENTREGA/DIAS]],"ADIANTADO",IF('CONTROLE CONSUMO'!H70=Tabela2[[#This Row],[PRAZO DE ENTREGA/DIAS]],"NÃO")))</f>
        <v>ADIANTADO</v>
      </c>
      <c r="J70" s="1" t="str">
        <f>IF(Tabela2[[#This Row],[QTD]]-'CONTROLE CONSUMO'!C70&lt;=0,"NÃO",Tabela2[[#This Row],[QTD]]-'CONTROLE CONSUMO'!C70)</f>
        <v>NÃO</v>
      </c>
      <c r="K70" s="1">
        <f>IF(Tabela2[[#This Row],[QTD]]-'CONTROLE CONSUMO'!C70&gt;=0,"NÃO",ABS(Tabela2[[#This Row],[QTD]]-'CONTROLE CONSUMO'!C70))</f>
        <v>45</v>
      </c>
      <c r="L70" s="2" t="str">
        <f>IF(J70="NÃO","NÃO",IF(J70&gt;0,J70*VLOOKUP(B70,Tabela1[#All],4,FALSE),"Erro"))</f>
        <v>NÃO</v>
      </c>
      <c r="M70" s="1">
        <v>10</v>
      </c>
      <c r="N70" s="2">
        <f>M70*VLOOKUP(B70,Tabela1[#All],3,FALSE)</f>
        <v>10</v>
      </c>
    </row>
    <row r="71" spans="1:14" x14ac:dyDescent="0.25">
      <c r="A71" s="1">
        <v>68</v>
      </c>
      <c r="B71" s="1" t="str">
        <f>VLOOKUP(A71,Tabela2[[#All],[ID-A]:[PROD]],2,FALSE)</f>
        <v>Tinta 1l</v>
      </c>
      <c r="C71" s="1">
        <v>50</v>
      </c>
      <c r="D71" s="1" t="str">
        <f>VLOOKUP(B71,Tabela1[#All],5,FALSE)</f>
        <v>Indeterminado</v>
      </c>
      <c r="E71" s="1"/>
      <c r="F71" s="4">
        <v>45454</v>
      </c>
      <c r="G71" s="1" t="str">
        <f t="shared" si="2"/>
        <v>Jun</v>
      </c>
      <c r="H71" s="1">
        <f>DAYS360(Tabela2[[#This Row],[DATA PEDIDO]],'CONTROLE CONSUMO'!F71,)</f>
        <v>10</v>
      </c>
      <c r="I71" s="1" t="str">
        <f>IF(H71&gt;Tabela2[[#This Row],[PRAZO DE ENTREGA/DIAS]],"ATRASADO",IF('CONTROLE CONSUMO'!H71&lt;Tabela2[[#This Row],[PRAZO DE ENTREGA/DIAS]],"ADIANTADO",IF('CONTROLE CONSUMO'!H71=Tabela2[[#This Row],[PRAZO DE ENTREGA/DIAS]],"NÃO")))</f>
        <v>ADIANTADO</v>
      </c>
      <c r="J71" s="1" t="str">
        <f>IF(Tabela2[[#This Row],[QTD]]-'CONTROLE CONSUMO'!C71&lt;=0,"NÃO",Tabela2[[#This Row],[QTD]]-'CONTROLE CONSUMO'!C71)</f>
        <v>NÃO</v>
      </c>
      <c r="K71" s="1">
        <f>IF(Tabela2[[#This Row],[QTD]]-'CONTROLE CONSUMO'!C71&gt;=0,"NÃO",ABS(Tabela2[[#This Row],[QTD]]-'CONTROLE CONSUMO'!C71))</f>
        <v>45</v>
      </c>
      <c r="L71" s="2" t="str">
        <f>IF(J71="NÃO","NÃO",IF(J71&gt;0,J71*VLOOKUP(B71,Tabela1[#All],4,FALSE),"Erro"))</f>
        <v>NÃO</v>
      </c>
      <c r="M71" s="1">
        <v>10</v>
      </c>
      <c r="N71" s="2">
        <f>M71*VLOOKUP(B71,Tabela1[#All],3,FALSE)</f>
        <v>500</v>
      </c>
    </row>
    <row r="72" spans="1:14" x14ac:dyDescent="0.25">
      <c r="A72" s="1">
        <v>69</v>
      </c>
      <c r="B72" s="1" t="str">
        <f>VLOOKUP(A72,Tabela2[[#All],[ID-A]:[PROD]],2,FALSE)</f>
        <v>Selante 1kg</v>
      </c>
      <c r="C72" s="1">
        <v>50</v>
      </c>
      <c r="D72" s="1">
        <f>VLOOKUP(B72,Tabela1[#All],5,FALSE)</f>
        <v>90</v>
      </c>
      <c r="E72" s="1"/>
      <c r="F72" s="4">
        <v>45454</v>
      </c>
      <c r="G72" s="1" t="str">
        <f t="shared" si="2"/>
        <v>Jun</v>
      </c>
      <c r="H72" s="1">
        <f>DAYS360(Tabela2[[#This Row],[DATA PEDIDO]],'CONTROLE CONSUMO'!F72,)</f>
        <v>10</v>
      </c>
      <c r="I72" s="1" t="str">
        <f>IF(H72&gt;Tabela2[[#This Row],[PRAZO DE ENTREGA/DIAS]],"ATRASADO",IF('CONTROLE CONSUMO'!H72&lt;Tabela2[[#This Row],[PRAZO DE ENTREGA/DIAS]],"ADIANTADO",IF('CONTROLE CONSUMO'!H72=Tabela2[[#This Row],[PRAZO DE ENTREGA/DIAS]],"NÃO")))</f>
        <v>ADIANTADO</v>
      </c>
      <c r="J72" s="1" t="str">
        <f>IF(Tabela2[[#This Row],[QTD]]-'CONTROLE CONSUMO'!C72&lt;=0,"NÃO",Tabela2[[#This Row],[QTD]]-'CONTROLE CONSUMO'!C72)</f>
        <v>NÃO</v>
      </c>
      <c r="K72" s="1">
        <f>IF(Tabela2[[#This Row],[QTD]]-'CONTROLE CONSUMO'!C72&gt;=0,"NÃO",ABS(Tabela2[[#This Row],[QTD]]-'CONTROLE CONSUMO'!C72))</f>
        <v>45</v>
      </c>
      <c r="L72" s="2" t="str">
        <f>IF(J72="NÃO","NÃO",IF(J72&gt;0,J72*VLOOKUP(B72,Tabela1[#All],4,FALSE),"Erro"))</f>
        <v>NÃO</v>
      </c>
      <c r="M72" s="1">
        <v>10</v>
      </c>
      <c r="N72" s="2">
        <f>M72*VLOOKUP(B72,Tabela1[#All],3,FALSE)</f>
        <v>529</v>
      </c>
    </row>
    <row r="73" spans="1:14" x14ac:dyDescent="0.25">
      <c r="A73" s="1">
        <v>70</v>
      </c>
      <c r="B73" s="1" t="str">
        <f>VLOOKUP(A73,Tabela2[[#All],[ID-A]:[PROD]],2,FALSE)</f>
        <v>Cola Pva 1kg</v>
      </c>
      <c r="C73" s="1">
        <v>50</v>
      </c>
      <c r="D73" s="1">
        <f>VLOOKUP(B73,Tabela1[#All],5,FALSE)</f>
        <v>90</v>
      </c>
      <c r="E73" s="1"/>
      <c r="F73" s="4">
        <v>45504</v>
      </c>
      <c r="G73" s="1" t="str">
        <f t="shared" si="2"/>
        <v>Jul</v>
      </c>
      <c r="H73" s="1">
        <f>DAYS360(Tabela2[[#This Row],[DATA PEDIDO]],'CONTROLE CONSUMO'!F73,)</f>
        <v>60</v>
      </c>
      <c r="I73" s="1" t="str">
        <f>IF(H73&gt;Tabela2[[#This Row],[PRAZO DE ENTREGA/DIAS]],"ATRASADO",IF('CONTROLE CONSUMO'!H73&lt;Tabela2[[#This Row],[PRAZO DE ENTREGA/DIAS]],"ADIANTADO",IF('CONTROLE CONSUMO'!H73=Tabela2[[#This Row],[PRAZO DE ENTREGA/DIAS]],"NÃO")))</f>
        <v>ADIANTADO</v>
      </c>
      <c r="J73" s="1" t="str">
        <f>IF(Tabela2[[#This Row],[QTD]]-'CONTROLE CONSUMO'!C73&lt;=0,"NÃO",Tabela2[[#This Row],[QTD]]-'CONTROLE CONSUMO'!C73)</f>
        <v>NÃO</v>
      </c>
      <c r="K73" s="1">
        <f>IF(Tabela2[[#This Row],[QTD]]-'CONTROLE CONSUMO'!C73&gt;=0,"NÃO",ABS(Tabela2[[#This Row],[QTD]]-'CONTROLE CONSUMO'!C73))</f>
        <v>45</v>
      </c>
      <c r="L73" s="2" t="str">
        <f>IF(J73="NÃO","NÃO",IF(J73&gt;0,J73*VLOOKUP(B73,Tabela1[#All],4,FALSE),"Erro"))</f>
        <v>NÃO</v>
      </c>
      <c r="M73" s="1">
        <v>10</v>
      </c>
      <c r="N73" s="2">
        <f>M73*VLOOKUP(B73,Tabela1[#All],3,FALSE)</f>
        <v>159</v>
      </c>
    </row>
    <row r="74" spans="1:14" x14ac:dyDescent="0.25">
      <c r="A74" s="1">
        <v>71</v>
      </c>
      <c r="B74" s="1" t="str">
        <f>VLOOKUP(A74,Tabela2[[#All],[ID-A]:[PROD]],2,FALSE)</f>
        <v>Madeira 1kg</v>
      </c>
      <c r="C74" s="1">
        <v>50</v>
      </c>
      <c r="D74" s="1" t="str">
        <f>VLOOKUP(B74,Tabela1[#All],5,FALSE)</f>
        <v>Indeterminado</v>
      </c>
      <c r="E74" s="1"/>
      <c r="F74" s="4">
        <v>45498</v>
      </c>
      <c r="G74" s="1" t="str">
        <f t="shared" si="2"/>
        <v>Jul</v>
      </c>
      <c r="H74" s="1">
        <f>DAYS360(Tabela2[[#This Row],[DATA PEDIDO]],'CONTROLE CONSUMO'!F74,)</f>
        <v>24</v>
      </c>
      <c r="I74" s="1" t="str">
        <f>IF(H74&gt;Tabela2[[#This Row],[PRAZO DE ENTREGA/DIAS]],"ATRASADO",IF('CONTROLE CONSUMO'!H74&lt;Tabela2[[#This Row],[PRAZO DE ENTREGA/DIAS]],"ADIANTADO",IF('CONTROLE CONSUMO'!H74=Tabela2[[#This Row],[PRAZO DE ENTREGA/DIAS]],"NÃO")))</f>
        <v>ADIANTADO</v>
      </c>
      <c r="J74" s="1" t="str">
        <f>IF(Tabela2[[#This Row],[QTD]]-'CONTROLE CONSUMO'!C74&lt;=0,"NÃO",Tabela2[[#This Row],[QTD]]-'CONTROLE CONSUMO'!C74)</f>
        <v>NÃO</v>
      </c>
      <c r="K74" s="1">
        <f>IF(Tabela2[[#This Row],[QTD]]-'CONTROLE CONSUMO'!C74&gt;=0,"NÃO",ABS(Tabela2[[#This Row],[QTD]]-'CONTROLE CONSUMO'!C74))</f>
        <v>45</v>
      </c>
      <c r="L74" s="2" t="str">
        <f>IF(J74="NÃO","NÃO",IF(J74&gt;0,J74*VLOOKUP(B74,Tabela1[#All],4,FALSE),"Erro"))</f>
        <v>NÃO</v>
      </c>
      <c r="M74" s="1">
        <v>10</v>
      </c>
      <c r="N74" s="2">
        <f>M74*VLOOKUP(B74,Tabela1[#All],3,FALSE)</f>
        <v>250</v>
      </c>
    </row>
    <row r="75" spans="1:14" x14ac:dyDescent="0.25">
      <c r="A75" s="1">
        <v>72</v>
      </c>
      <c r="B75" s="1" t="str">
        <f>VLOOKUP(A75,Tabela2[[#All],[ID-A]:[PROD]],2,FALSE)</f>
        <v>Gesso 1kg</v>
      </c>
      <c r="C75" s="1">
        <v>50</v>
      </c>
      <c r="D75" s="1">
        <f>VLOOKUP(B75,Tabela1[#All],5,FALSE)</f>
        <v>90</v>
      </c>
      <c r="E75" s="1"/>
      <c r="F75" s="4">
        <v>45545</v>
      </c>
      <c r="G75" s="1" t="str">
        <f t="shared" si="2"/>
        <v>Set</v>
      </c>
      <c r="H75" s="1">
        <f>DAYS360(Tabela2[[#This Row],[DATA PEDIDO]],'CONTROLE CONSUMO'!F75,)</f>
        <v>39</v>
      </c>
      <c r="I75" s="1" t="str">
        <f>IF(H75&gt;Tabela2[[#This Row],[PRAZO DE ENTREGA/DIAS]],"ATRASADO",IF('CONTROLE CONSUMO'!H75&lt;Tabela2[[#This Row],[PRAZO DE ENTREGA/DIAS]],"ADIANTADO",IF('CONTROLE CONSUMO'!H75=Tabela2[[#This Row],[PRAZO DE ENTREGA/DIAS]],"NÃO")))</f>
        <v>ADIANTADO</v>
      </c>
      <c r="J75" s="1" t="str">
        <f>IF(Tabela2[[#This Row],[QTD]]-'CONTROLE CONSUMO'!C75&lt;=0,"NÃO",Tabela2[[#This Row],[QTD]]-'CONTROLE CONSUMO'!C75)</f>
        <v>NÃO</v>
      </c>
      <c r="K75" s="1">
        <f>IF(Tabela2[[#This Row],[QTD]]-'CONTROLE CONSUMO'!C75&gt;=0,"NÃO",ABS(Tabela2[[#This Row],[QTD]]-'CONTROLE CONSUMO'!C75))</f>
        <v>45</v>
      </c>
      <c r="L75" s="2" t="str">
        <f>IF(J75="NÃO","NÃO",IF(J75&gt;0,J75*VLOOKUP(B75,Tabela1[#All],4,FALSE),"Erro"))</f>
        <v>NÃO</v>
      </c>
      <c r="M75" s="1">
        <v>10</v>
      </c>
      <c r="N75" s="2">
        <f>M75*VLOOKUP(B75,Tabela1[#All],3,FALSE)</f>
        <v>31</v>
      </c>
    </row>
    <row r="76" spans="1:14" x14ac:dyDescent="0.25">
      <c r="A76" s="1">
        <v>73</v>
      </c>
      <c r="B76" s="1" t="str">
        <f>VLOOKUP(A76,Tabela2[[#All],[ID-A]:[PROD]],2,FALSE)</f>
        <v>Aço 1kg</v>
      </c>
      <c r="C76" s="1">
        <v>50</v>
      </c>
      <c r="D76" s="1" t="str">
        <f>VLOOKUP(B76,Tabela1[#All],5,FALSE)</f>
        <v>Indeterminado</v>
      </c>
      <c r="E76" s="1"/>
      <c r="F76" s="4">
        <v>45545</v>
      </c>
      <c r="G76" s="1" t="str">
        <f t="shared" si="2"/>
        <v>Set</v>
      </c>
      <c r="H76" s="1">
        <f>DAYS360(Tabela2[[#This Row],[DATA PEDIDO]],'CONTROLE CONSUMO'!F76,)</f>
        <v>39</v>
      </c>
      <c r="I76" s="1" t="str">
        <f>IF(H76&gt;Tabela2[[#This Row],[PRAZO DE ENTREGA/DIAS]],"ATRASADO",IF('CONTROLE CONSUMO'!H76&lt;Tabela2[[#This Row],[PRAZO DE ENTREGA/DIAS]],"ADIANTADO",IF('CONTROLE CONSUMO'!H76=Tabela2[[#This Row],[PRAZO DE ENTREGA/DIAS]],"NÃO")))</f>
        <v>ADIANTADO</v>
      </c>
      <c r="J76" s="1" t="str">
        <f>IF(Tabela2[[#This Row],[QTD]]-'CONTROLE CONSUMO'!C76&lt;=0,"NÃO",Tabela2[[#This Row],[QTD]]-'CONTROLE CONSUMO'!C76)</f>
        <v>NÃO</v>
      </c>
      <c r="K76" s="1">
        <f>IF(Tabela2[[#This Row],[QTD]]-'CONTROLE CONSUMO'!C76&gt;=0,"NÃO",ABS(Tabela2[[#This Row],[QTD]]-'CONTROLE CONSUMO'!C76))</f>
        <v>45</v>
      </c>
      <c r="L76" s="2" t="str">
        <f>IF(J76="NÃO","NÃO",IF(J76&gt;0,J76*VLOOKUP(B76,Tabela1[#All],4,FALSE),"Erro"))</f>
        <v>NÃO</v>
      </c>
      <c r="M76" s="1">
        <v>10</v>
      </c>
      <c r="N76" s="2">
        <f>M76*VLOOKUP(B76,Tabela1[#All],3,FALSE)</f>
        <v>120</v>
      </c>
    </row>
    <row r="77" spans="1:14" x14ac:dyDescent="0.25">
      <c r="A77" s="1">
        <v>74</v>
      </c>
      <c r="B77" s="1" t="str">
        <f>VLOOKUP(A77,Tabela2[[#All],[ID-A]:[PROD]],2,FALSE)</f>
        <v>Cerâmica 1kg</v>
      </c>
      <c r="C77" s="1">
        <v>50</v>
      </c>
      <c r="D77" s="1" t="str">
        <f>VLOOKUP(B77,Tabela1[#All],5,FALSE)</f>
        <v>Indeterminado</v>
      </c>
      <c r="E77" s="1"/>
      <c r="F77" s="4">
        <v>45552</v>
      </c>
      <c r="G77" s="1" t="str">
        <f t="shared" si="2"/>
        <v>Set</v>
      </c>
      <c r="H77" s="1">
        <f>DAYS360(Tabela2[[#This Row],[DATA PEDIDO]],'CONTROLE CONSUMO'!F77,)</f>
        <v>46</v>
      </c>
      <c r="I77" s="1" t="str">
        <f>IF(H77&gt;Tabela2[[#This Row],[PRAZO DE ENTREGA/DIAS]],"ATRASADO",IF('CONTROLE CONSUMO'!H77&lt;Tabela2[[#This Row],[PRAZO DE ENTREGA/DIAS]],"ADIANTADO",IF('CONTROLE CONSUMO'!H77=Tabela2[[#This Row],[PRAZO DE ENTREGA/DIAS]],"NÃO")))</f>
        <v>ADIANTADO</v>
      </c>
      <c r="J77" s="1" t="str">
        <f>IF(Tabela2[[#This Row],[QTD]]-'CONTROLE CONSUMO'!C77&lt;=0,"NÃO",Tabela2[[#This Row],[QTD]]-'CONTROLE CONSUMO'!C77)</f>
        <v>NÃO</v>
      </c>
      <c r="K77" s="1">
        <f>IF(Tabela2[[#This Row],[QTD]]-'CONTROLE CONSUMO'!C77&gt;=0,"NÃO",ABS(Tabela2[[#This Row],[QTD]]-'CONTROLE CONSUMO'!C77))</f>
        <v>45</v>
      </c>
      <c r="L77" s="2" t="str">
        <f>IF(J77="NÃO","NÃO",IF(J77&gt;0,J77*VLOOKUP(B77,Tabela1[#All],4,FALSE),"Erro"))</f>
        <v>NÃO</v>
      </c>
      <c r="M77" s="1">
        <v>10</v>
      </c>
      <c r="N77" s="2">
        <f>M77*VLOOKUP(B77,Tabela1[#All],3,FALSE)</f>
        <v>210</v>
      </c>
    </row>
    <row r="78" spans="1:14" x14ac:dyDescent="0.25">
      <c r="A78" s="1">
        <v>75</v>
      </c>
      <c r="B78" s="1" t="str">
        <f>VLOOKUP(A78,Tabela2[[#All],[ID-A]:[PROD]],2,FALSE)</f>
        <v>Tinta 1l</v>
      </c>
      <c r="C78" s="1">
        <v>50</v>
      </c>
      <c r="D78" s="1" t="str">
        <f>VLOOKUP(B78,Tabela1[#All],5,FALSE)</f>
        <v>Indeterminado</v>
      </c>
      <c r="E78" s="1"/>
      <c r="F78" s="4">
        <v>45550</v>
      </c>
      <c r="G78" s="1" t="str">
        <f t="shared" si="2"/>
        <v>Set</v>
      </c>
      <c r="H78" s="1">
        <f>DAYS360(Tabela2[[#This Row],[DATA PEDIDO]],'CONTROLE CONSUMO'!F78,)</f>
        <v>44</v>
      </c>
      <c r="I78" s="1" t="str">
        <f>IF(H78&gt;Tabela2[[#This Row],[PRAZO DE ENTREGA/DIAS]],"ATRASADO",IF('CONTROLE CONSUMO'!H78&lt;Tabela2[[#This Row],[PRAZO DE ENTREGA/DIAS]],"ADIANTADO",IF('CONTROLE CONSUMO'!H78=Tabela2[[#This Row],[PRAZO DE ENTREGA/DIAS]],"NÃO")))</f>
        <v>ADIANTADO</v>
      </c>
      <c r="J78" s="1" t="str">
        <f>IF(Tabela2[[#This Row],[QTD]]-'CONTROLE CONSUMO'!C78&lt;=0,"NÃO",Tabela2[[#This Row],[QTD]]-'CONTROLE CONSUMO'!C78)</f>
        <v>NÃO</v>
      </c>
      <c r="K78" s="1">
        <f>IF(Tabela2[[#This Row],[QTD]]-'CONTROLE CONSUMO'!C78&gt;=0,"NÃO",ABS(Tabela2[[#This Row],[QTD]]-'CONTROLE CONSUMO'!C78))</f>
        <v>45</v>
      </c>
      <c r="L78" s="2" t="str">
        <f>IF(J78="NÃO","NÃO",IF(J78&gt;0,J78*VLOOKUP(B78,Tabela1[#All],4,FALSE),"Erro"))</f>
        <v>NÃO</v>
      </c>
      <c r="M78" s="1">
        <v>10</v>
      </c>
      <c r="N78" s="2">
        <f>M78*VLOOKUP(B78,Tabela1[#All],3,FALSE)</f>
        <v>500</v>
      </c>
    </row>
    <row r="79" spans="1:14" x14ac:dyDescent="0.25">
      <c r="A79" s="1">
        <v>76</v>
      </c>
      <c r="B79" s="1" t="str">
        <f>VLOOKUP(A79,Tabela2[[#All],[ID-A]:[PROD]],2,FALSE)</f>
        <v>Tijolo Comum 1kg</v>
      </c>
      <c r="C79" s="1">
        <v>50</v>
      </c>
      <c r="D79" s="1" t="str">
        <f>VLOOKUP(B79,Tabela1[#All],5,FALSE)</f>
        <v>Indeterminado</v>
      </c>
      <c r="E79" s="1"/>
      <c r="F79" s="4">
        <v>45556</v>
      </c>
      <c r="G79" s="1" t="str">
        <f t="shared" si="2"/>
        <v>Set</v>
      </c>
      <c r="H79" s="1">
        <f>DAYS360(Tabela2[[#This Row],[DATA PEDIDO]],'CONTROLE CONSUMO'!F79,)</f>
        <v>20</v>
      </c>
      <c r="I79" s="1" t="str">
        <f>IF(H79&gt;Tabela2[[#This Row],[PRAZO DE ENTREGA/DIAS]],"ATRASADO",IF('CONTROLE CONSUMO'!H79&lt;Tabela2[[#This Row],[PRAZO DE ENTREGA/DIAS]],"ADIANTADO",IF('CONTROLE CONSUMO'!H79=Tabela2[[#This Row],[PRAZO DE ENTREGA/DIAS]],"NÃO")))</f>
        <v>ADIANTADO</v>
      </c>
      <c r="J79" s="1" t="str">
        <f>IF(Tabela2[[#This Row],[QTD]]-'CONTROLE CONSUMO'!C79&lt;=0,"NÃO",Tabela2[[#This Row],[QTD]]-'CONTROLE CONSUMO'!C79)</f>
        <v>NÃO</v>
      </c>
      <c r="K79" s="1">
        <f>IF(Tabela2[[#This Row],[QTD]]-'CONTROLE CONSUMO'!C79&gt;=0,"NÃO",ABS(Tabela2[[#This Row],[QTD]]-'CONTROLE CONSUMO'!C79))</f>
        <v>45</v>
      </c>
      <c r="L79" s="2" t="str">
        <f>IF(J79="NÃO","NÃO",IF(J79&gt;0,J79*VLOOKUP(B79,Tabela1[#All],4,FALSE),"Erro"))</f>
        <v>NÃO</v>
      </c>
      <c r="M79" s="1">
        <v>10</v>
      </c>
      <c r="N79" s="2">
        <f>M79*VLOOKUP(B79,Tabela1[#All],3,FALSE)</f>
        <v>10</v>
      </c>
    </row>
    <row r="80" spans="1:14" x14ac:dyDescent="0.25">
      <c r="A80" s="1">
        <v>77</v>
      </c>
      <c r="B80" s="1" t="str">
        <f>VLOOKUP(A80,Tabela2[[#All],[ID-A]:[PROD]],2,FALSE)</f>
        <v>Tijolo Ecológico 1kg</v>
      </c>
      <c r="C80" s="1">
        <v>50</v>
      </c>
      <c r="D80" s="1" t="str">
        <f>VLOOKUP(B80,Tabela1[#All],5,FALSE)</f>
        <v>Indeterminado</v>
      </c>
      <c r="E80" s="1"/>
      <c r="F80" s="4">
        <v>45561</v>
      </c>
      <c r="G80" s="1" t="str">
        <f t="shared" si="2"/>
        <v>Set</v>
      </c>
      <c r="H80" s="1">
        <f>DAYS360(Tabela2[[#This Row],[DATA PEDIDO]],'CONTROLE CONSUMO'!F80,)</f>
        <v>25</v>
      </c>
      <c r="I80" s="1" t="str">
        <f>IF(H80&gt;Tabela2[[#This Row],[PRAZO DE ENTREGA/DIAS]],"ATRASADO",IF('CONTROLE CONSUMO'!H80&lt;Tabela2[[#This Row],[PRAZO DE ENTREGA/DIAS]],"ADIANTADO",IF('CONTROLE CONSUMO'!H80=Tabela2[[#This Row],[PRAZO DE ENTREGA/DIAS]],"NÃO")))</f>
        <v>ADIANTADO</v>
      </c>
      <c r="J80" s="1" t="str">
        <f>IF(Tabela2[[#This Row],[QTD]]-'CONTROLE CONSUMO'!C80&lt;=0,"NÃO",Tabela2[[#This Row],[QTD]]-'CONTROLE CONSUMO'!C80)</f>
        <v>NÃO</v>
      </c>
      <c r="K80" s="1">
        <f>IF(Tabela2[[#This Row],[QTD]]-'CONTROLE CONSUMO'!C80&gt;=0,"NÃO",ABS(Tabela2[[#This Row],[QTD]]-'CONTROLE CONSUMO'!C80))</f>
        <v>45</v>
      </c>
      <c r="L80" s="2" t="str">
        <f>IF(J80="NÃO","NÃO",IF(J80&gt;0,J80*VLOOKUP(B80,Tabela1[#All],4,FALSE),"Erro"))</f>
        <v>NÃO</v>
      </c>
      <c r="M80" s="1">
        <v>10</v>
      </c>
      <c r="N80" s="2">
        <f>M80*VLOOKUP(B80,Tabela1[#All],3,FALSE)</f>
        <v>15</v>
      </c>
    </row>
    <row r="81" spans="1:14" x14ac:dyDescent="0.25">
      <c r="A81" s="1">
        <v>78</v>
      </c>
      <c r="B81" s="1" t="str">
        <f>VLOOKUP(A81,Tabela2[[#All],[ID-A]:[PROD]],2,FALSE)</f>
        <v>Bloco de Cimento 1kg</v>
      </c>
      <c r="C81" s="1">
        <v>50</v>
      </c>
      <c r="D81" s="1" t="str">
        <f>VLOOKUP(B81,Tabela1[#All],5,FALSE)</f>
        <v>Indeterminado</v>
      </c>
      <c r="E81" s="1"/>
      <c r="F81" s="4">
        <v>45576</v>
      </c>
      <c r="G81" s="1" t="str">
        <f t="shared" si="2"/>
        <v>Out</v>
      </c>
      <c r="H81" s="1">
        <f>DAYS360(Tabela2[[#This Row],[DATA PEDIDO]],'CONTROLE CONSUMO'!F81,)</f>
        <v>40</v>
      </c>
      <c r="I81" s="1" t="str">
        <f>IF(H81&gt;Tabela2[[#This Row],[PRAZO DE ENTREGA/DIAS]],"ATRASADO",IF('CONTROLE CONSUMO'!H81&lt;Tabela2[[#This Row],[PRAZO DE ENTREGA/DIAS]],"ADIANTADO",IF('CONTROLE CONSUMO'!H81=Tabela2[[#This Row],[PRAZO DE ENTREGA/DIAS]],"NÃO")))</f>
        <v>ADIANTADO</v>
      </c>
      <c r="J81" s="1" t="str">
        <f>IF(Tabela2[[#This Row],[QTD]]-'CONTROLE CONSUMO'!C81&lt;=0,"NÃO",Tabela2[[#This Row],[QTD]]-'CONTROLE CONSUMO'!C81)</f>
        <v>NÃO</v>
      </c>
      <c r="K81" s="1">
        <f>IF(Tabela2[[#This Row],[QTD]]-'CONTROLE CONSUMO'!C81&gt;=0,"NÃO",ABS(Tabela2[[#This Row],[QTD]]-'CONTROLE CONSUMO'!C81))</f>
        <v>45</v>
      </c>
      <c r="L81" s="2" t="str">
        <f>IF(J81="NÃO","NÃO",IF(J81&gt;0,J81*VLOOKUP(B81,Tabela1[#All],4,FALSE),"Erro"))</f>
        <v>NÃO</v>
      </c>
      <c r="M81" s="1">
        <v>10</v>
      </c>
      <c r="N81" s="2">
        <f>M81*VLOOKUP(B81,Tabela1[#All],3,FALSE)</f>
        <v>18</v>
      </c>
    </row>
    <row r="82" spans="1:14" x14ac:dyDescent="0.25">
      <c r="A82" s="1">
        <v>79</v>
      </c>
      <c r="B82" s="1" t="str">
        <f>VLOOKUP(A82,Tabela2[[#All],[ID-A]:[PROD]],2,FALSE)</f>
        <v>Cimento 1kg</v>
      </c>
      <c r="C82" s="1">
        <v>50</v>
      </c>
      <c r="D82" s="1">
        <f>VLOOKUP(B82,Tabela1[#All],5,FALSE)</f>
        <v>90</v>
      </c>
      <c r="E82" s="1"/>
      <c r="F82" s="4">
        <v>45586</v>
      </c>
      <c r="G82" s="1" t="str">
        <f t="shared" si="2"/>
        <v>Out</v>
      </c>
      <c r="H82" s="1">
        <f>DAYS360(Tabela2[[#This Row],[DATA PEDIDO]],'CONTROLE CONSUMO'!F82,)</f>
        <v>20</v>
      </c>
      <c r="I82" s="1" t="str">
        <f>IF(H82&gt;Tabela2[[#This Row],[PRAZO DE ENTREGA/DIAS]],"ATRASADO",IF('CONTROLE CONSUMO'!H82&lt;Tabela2[[#This Row],[PRAZO DE ENTREGA/DIAS]],"ADIANTADO",IF('CONTROLE CONSUMO'!H82=Tabela2[[#This Row],[PRAZO DE ENTREGA/DIAS]],"NÃO")))</f>
        <v>ADIANTADO</v>
      </c>
      <c r="J82" s="1" t="str">
        <f>IF(Tabela2[[#This Row],[QTD]]-'CONTROLE CONSUMO'!C82&lt;=0,"NÃO",Tabela2[[#This Row],[QTD]]-'CONTROLE CONSUMO'!C82)</f>
        <v>NÃO</v>
      </c>
      <c r="K82" s="1">
        <f>IF(Tabela2[[#This Row],[QTD]]-'CONTROLE CONSUMO'!C82&gt;=0,"NÃO",ABS(Tabela2[[#This Row],[QTD]]-'CONTROLE CONSUMO'!C82))</f>
        <v>45</v>
      </c>
      <c r="L82" s="2" t="str">
        <f>IF(J82="NÃO","NÃO",IF(J82&gt;0,J82*VLOOKUP(B82,Tabela1[#All],4,FALSE),"Erro"))</f>
        <v>NÃO</v>
      </c>
      <c r="M82" s="1">
        <v>10</v>
      </c>
      <c r="N82" s="2">
        <f>M82*VLOOKUP(B82,Tabela1[#All],3,FALSE)</f>
        <v>50</v>
      </c>
    </row>
    <row r="83" spans="1:14" x14ac:dyDescent="0.25">
      <c r="A83" s="1">
        <v>80</v>
      </c>
      <c r="B83" s="1" t="str">
        <f>VLOOKUP(A83,Tabela2[[#All],[ID-A]:[PROD]],2,FALSE)</f>
        <v>Areia 1kg</v>
      </c>
      <c r="C83" s="1">
        <v>50</v>
      </c>
      <c r="D83" s="1" t="str">
        <f>VLOOKUP(B83,Tabela1[#All],5,FALSE)</f>
        <v>Indeterminado</v>
      </c>
      <c r="E83" s="1"/>
      <c r="F83" s="4">
        <v>45595</v>
      </c>
      <c r="G83" s="1" t="str">
        <f t="shared" si="2"/>
        <v>Out</v>
      </c>
      <c r="H83" s="1">
        <f>DAYS360(Tabela2[[#This Row],[DATA PEDIDO]],'CONTROLE CONSUMO'!F83,)</f>
        <v>29</v>
      </c>
      <c r="I83" s="1" t="str">
        <f>IF(H83&gt;Tabela2[[#This Row],[PRAZO DE ENTREGA/DIAS]],"ATRASADO",IF('CONTROLE CONSUMO'!H83&lt;Tabela2[[#This Row],[PRAZO DE ENTREGA/DIAS]],"ADIANTADO",IF('CONTROLE CONSUMO'!H83=Tabela2[[#This Row],[PRAZO DE ENTREGA/DIAS]],"NÃO")))</f>
        <v>ADIANTADO</v>
      </c>
      <c r="J83" s="1" t="str">
        <f>IF(Tabela2[[#This Row],[QTD]]-'CONTROLE CONSUMO'!C83&lt;=0,"NÃO",Tabela2[[#This Row],[QTD]]-'CONTROLE CONSUMO'!C83)</f>
        <v>NÃO</v>
      </c>
      <c r="K83" s="1">
        <f>IF(Tabela2[[#This Row],[QTD]]-'CONTROLE CONSUMO'!C83&gt;=0,"NÃO",ABS(Tabela2[[#This Row],[QTD]]-'CONTROLE CONSUMO'!C83))</f>
        <v>45</v>
      </c>
      <c r="L83" s="2" t="str">
        <f>IF(J83="NÃO","NÃO",IF(J83&gt;0,J83*VLOOKUP(B83,Tabela1[#All],4,FALSE),"Erro"))</f>
        <v>NÃO</v>
      </c>
      <c r="M83" s="1">
        <v>10</v>
      </c>
      <c r="N83" s="2">
        <f>M83*VLOOKUP(B83,Tabela1[#All],3,FALSE)</f>
        <v>20</v>
      </c>
    </row>
    <row r="84" spans="1:14" x14ac:dyDescent="0.25">
      <c r="A84" s="1">
        <v>81</v>
      </c>
      <c r="B84" s="1" t="str">
        <f>VLOOKUP(A84,Tabela2[[#All],[ID-A]:[PROD]],2,FALSE)</f>
        <v>Brita 1kg</v>
      </c>
      <c r="C84" s="1">
        <v>50</v>
      </c>
      <c r="D84" s="1" t="str">
        <f>VLOOKUP(B84,Tabela1[#All],5,FALSE)</f>
        <v>Indeterminado</v>
      </c>
      <c r="E84" s="1"/>
      <c r="F84" s="4">
        <v>45595</v>
      </c>
      <c r="G84" s="1" t="str">
        <f t="shared" si="2"/>
        <v>Out</v>
      </c>
      <c r="H84" s="1">
        <f>DAYS360(Tabela2[[#This Row],[DATA PEDIDO]],'CONTROLE CONSUMO'!F84,)</f>
        <v>29</v>
      </c>
      <c r="I84" s="1" t="str">
        <f>IF(H84&gt;Tabela2[[#This Row],[PRAZO DE ENTREGA/DIAS]],"ATRASADO",IF('CONTROLE CONSUMO'!H84&lt;Tabela2[[#This Row],[PRAZO DE ENTREGA/DIAS]],"ADIANTADO",IF('CONTROLE CONSUMO'!H84=Tabela2[[#This Row],[PRAZO DE ENTREGA/DIAS]],"NÃO")))</f>
        <v>ADIANTADO</v>
      </c>
      <c r="J84" s="1" t="str">
        <f>IF(Tabela2[[#This Row],[QTD]]-'CONTROLE CONSUMO'!C84&lt;=0,"NÃO",Tabela2[[#This Row],[QTD]]-'CONTROLE CONSUMO'!C84)</f>
        <v>NÃO</v>
      </c>
      <c r="K84" s="1">
        <f>IF(Tabela2[[#This Row],[QTD]]-'CONTROLE CONSUMO'!C84&gt;=0,"NÃO",ABS(Tabela2[[#This Row],[QTD]]-'CONTROLE CONSUMO'!C84))</f>
        <v>45</v>
      </c>
      <c r="L84" s="2" t="str">
        <f>IF(J84="NÃO","NÃO",IF(J84&gt;0,J84*VLOOKUP(B84,Tabela1[#All],4,FALSE),"Erro"))</f>
        <v>NÃO</v>
      </c>
      <c r="M84" s="1">
        <v>10</v>
      </c>
      <c r="N84" s="2">
        <f>M84*VLOOKUP(B84,Tabela1[#All],3,FALSE)</f>
        <v>10</v>
      </c>
    </row>
    <row r="85" spans="1:14" x14ac:dyDescent="0.25">
      <c r="A85" s="1">
        <v>82</v>
      </c>
      <c r="B85" s="1" t="str">
        <f>VLOOKUP(A85,Tabela2[[#All],[ID-A]:[PROD]],2,FALSE)</f>
        <v>Água 1000l</v>
      </c>
      <c r="C85" s="1">
        <v>50</v>
      </c>
      <c r="D85" s="1" t="str">
        <f>VLOOKUP(B85,Tabela1[#All],5,FALSE)</f>
        <v>Indeterminado</v>
      </c>
      <c r="E85" s="1"/>
      <c r="F85" s="4">
        <v>45595</v>
      </c>
      <c r="G85" s="1" t="str">
        <f t="shared" si="2"/>
        <v>Out</v>
      </c>
      <c r="H85" s="1">
        <f>DAYS360(Tabela2[[#This Row],[DATA PEDIDO]],'CONTROLE CONSUMO'!F85,)</f>
        <v>29</v>
      </c>
      <c r="I85" s="1" t="str">
        <f>IF(H85&gt;Tabela2[[#This Row],[PRAZO DE ENTREGA/DIAS]],"ATRASADO",IF('CONTROLE CONSUMO'!H85&lt;Tabela2[[#This Row],[PRAZO DE ENTREGA/DIAS]],"ADIANTADO",IF('CONTROLE CONSUMO'!H85=Tabela2[[#This Row],[PRAZO DE ENTREGA/DIAS]],"NÃO")))</f>
        <v>ADIANTADO</v>
      </c>
      <c r="J85" s="1" t="str">
        <f>IF(Tabela2[[#This Row],[QTD]]-'CONTROLE CONSUMO'!C85&lt;=0,"NÃO",Tabela2[[#This Row],[QTD]]-'CONTROLE CONSUMO'!C85)</f>
        <v>NÃO</v>
      </c>
      <c r="K85" s="1">
        <f>IF(Tabela2[[#This Row],[QTD]]-'CONTROLE CONSUMO'!C85&gt;=0,"NÃO",ABS(Tabela2[[#This Row],[QTD]]-'CONTROLE CONSUMO'!C85))</f>
        <v>45</v>
      </c>
      <c r="L85" s="2" t="str">
        <f>IF(J85="NÃO","NÃO",IF(J85&gt;0,J85*VLOOKUP(B85,Tabela1[#All],4,FALSE),"Erro"))</f>
        <v>NÃO</v>
      </c>
      <c r="M85" s="1">
        <v>10</v>
      </c>
      <c r="N85" s="2">
        <f>M85*VLOOKUP(B85,Tabela1[#All],3,FALSE)</f>
        <v>20000</v>
      </c>
    </row>
    <row r="86" spans="1:14" x14ac:dyDescent="0.25">
      <c r="A86" s="1">
        <v>83</v>
      </c>
      <c r="B86" s="1" t="str">
        <f>VLOOKUP(A86,Tabela2[[#All],[ID-A]:[PROD]],2,FALSE)</f>
        <v>Madeira 1kg</v>
      </c>
      <c r="C86" s="1">
        <v>50</v>
      </c>
      <c r="D86" s="1" t="str">
        <f>VLOOKUP(B86,Tabela1[#All],5,FALSE)</f>
        <v>Indeterminado</v>
      </c>
      <c r="E86" s="1"/>
      <c r="F86" s="4">
        <v>45595</v>
      </c>
      <c r="G86" s="1" t="str">
        <f t="shared" si="2"/>
        <v>Out</v>
      </c>
      <c r="H86" s="1">
        <f>DAYS360(Tabela2[[#This Row],[DATA PEDIDO]],'CONTROLE CONSUMO'!F86,)</f>
        <v>29</v>
      </c>
      <c r="I86" s="1" t="str">
        <f>IF(H86&gt;Tabela2[[#This Row],[PRAZO DE ENTREGA/DIAS]],"ATRASADO",IF('CONTROLE CONSUMO'!H86&lt;Tabela2[[#This Row],[PRAZO DE ENTREGA/DIAS]],"ADIANTADO",IF('CONTROLE CONSUMO'!H86=Tabela2[[#This Row],[PRAZO DE ENTREGA/DIAS]],"NÃO")))</f>
        <v>ADIANTADO</v>
      </c>
      <c r="J86" s="1" t="str">
        <f>IF(Tabela2[[#This Row],[QTD]]-'CONTROLE CONSUMO'!C86&lt;=0,"NÃO",Tabela2[[#This Row],[QTD]]-'CONTROLE CONSUMO'!C86)</f>
        <v>NÃO</v>
      </c>
      <c r="K86" s="1">
        <f>IF(Tabela2[[#This Row],[QTD]]-'CONTROLE CONSUMO'!C86&gt;=0,"NÃO",ABS(Tabela2[[#This Row],[QTD]]-'CONTROLE CONSUMO'!C86))</f>
        <v>45</v>
      </c>
      <c r="L86" s="2" t="str">
        <f>IF(J86="NÃO","NÃO",IF(J86&gt;0,J86*VLOOKUP(B86,Tabela1[#All],4,FALSE),"Erro"))</f>
        <v>NÃO</v>
      </c>
      <c r="M86" s="1">
        <v>10</v>
      </c>
      <c r="N86" s="2">
        <f>M86*VLOOKUP(B86,Tabela1[#All],3,FALSE)</f>
        <v>250</v>
      </c>
    </row>
    <row r="87" spans="1:14" x14ac:dyDescent="0.25">
      <c r="A87" s="1">
        <v>84</v>
      </c>
      <c r="B87" s="1" t="str">
        <f>VLOOKUP(A87,Tabela2[[#All],[ID-A]:[PROD]],2,FALSE)</f>
        <v>Argamassa Pronta 1kg</v>
      </c>
      <c r="C87" s="1">
        <v>50</v>
      </c>
      <c r="D87" s="1">
        <f>VLOOKUP(B87,Tabela1[#All],5,FALSE)</f>
        <v>120</v>
      </c>
      <c r="E87" s="1"/>
      <c r="F87" s="4">
        <v>45657</v>
      </c>
      <c r="G87" s="1" t="str">
        <f t="shared" si="2"/>
        <v>Dez</v>
      </c>
      <c r="H87" s="1">
        <f>DAYS360(Tabela2[[#This Row],[DATA PEDIDO]],'CONTROLE CONSUMO'!F87,)</f>
        <v>60</v>
      </c>
      <c r="I87" s="1" t="str">
        <f>IF(H87&gt;Tabela2[[#This Row],[PRAZO DE ENTREGA/DIAS]],"ATRASADO",IF('CONTROLE CONSUMO'!H87&lt;Tabela2[[#This Row],[PRAZO DE ENTREGA/DIAS]],"ADIANTADO",IF('CONTROLE CONSUMO'!H87=Tabela2[[#This Row],[PRAZO DE ENTREGA/DIAS]],"NÃO")))</f>
        <v>ADIANTADO</v>
      </c>
      <c r="J87" s="1" t="str">
        <f>IF(Tabela2[[#This Row],[QTD]]-'CONTROLE CONSUMO'!C87&lt;=0,"NÃO",Tabela2[[#This Row],[QTD]]-'CONTROLE CONSUMO'!C87)</f>
        <v>NÃO</v>
      </c>
      <c r="K87" s="1">
        <f>IF(Tabela2[[#This Row],[QTD]]-'CONTROLE CONSUMO'!C87&gt;=0,"NÃO",ABS(Tabela2[[#This Row],[QTD]]-'CONTROLE CONSUMO'!C87))</f>
        <v>45</v>
      </c>
      <c r="L87" s="2" t="str">
        <f>IF(J87="NÃO","NÃO",IF(J87&gt;0,J87*VLOOKUP(B87,Tabela1[#All],4,FALSE),"Erro"))</f>
        <v>NÃO</v>
      </c>
      <c r="M87" s="1">
        <v>10</v>
      </c>
      <c r="N87" s="2">
        <f>M87*VLOOKUP(B87,Tabela1[#All],3,FALSE)</f>
        <v>19</v>
      </c>
    </row>
    <row r="88" spans="1:14" x14ac:dyDescent="0.25">
      <c r="A88" s="1">
        <v>85</v>
      </c>
      <c r="B88" s="1" t="str">
        <f>VLOOKUP(A88,Tabela2[[#All],[ID-A]:[PROD]],2,FALSE)</f>
        <v>Impermeabilizante à Base de Latex 1kg</v>
      </c>
      <c r="C88" s="1">
        <v>50</v>
      </c>
      <c r="D88" s="1">
        <f>VLOOKUP(B88,Tabela1[#All],5,FALSE)</f>
        <v>180</v>
      </c>
      <c r="E88" s="1"/>
      <c r="F88" s="4">
        <v>45657</v>
      </c>
      <c r="G88" s="1" t="str">
        <f t="shared" si="2"/>
        <v>Dez</v>
      </c>
      <c r="H88" s="1">
        <f>DAYS360(Tabela2[[#This Row],[DATA PEDIDO]],'CONTROLE CONSUMO'!F88,)</f>
        <v>60</v>
      </c>
      <c r="I88" s="1" t="str">
        <f>IF(H88&gt;Tabela2[[#This Row],[PRAZO DE ENTREGA/DIAS]],"ATRASADO",IF('CONTROLE CONSUMO'!H88&lt;Tabela2[[#This Row],[PRAZO DE ENTREGA/DIAS]],"ADIANTADO",IF('CONTROLE CONSUMO'!H88=Tabela2[[#This Row],[PRAZO DE ENTREGA/DIAS]],"NÃO")))</f>
        <v>ADIANTADO</v>
      </c>
      <c r="J88" s="1" t="str">
        <f>IF(Tabela2[[#This Row],[QTD]]-'CONTROLE CONSUMO'!C88&lt;=0,"NÃO",Tabela2[[#This Row],[QTD]]-'CONTROLE CONSUMO'!C88)</f>
        <v>NÃO</v>
      </c>
      <c r="K88" s="1">
        <f>IF(Tabela2[[#This Row],[QTD]]-'CONTROLE CONSUMO'!C88&gt;=0,"NÃO",ABS(Tabela2[[#This Row],[QTD]]-'CONTROLE CONSUMO'!C88))</f>
        <v>45</v>
      </c>
      <c r="L88" s="2" t="str">
        <f>IF(J88="NÃO","NÃO",IF(J88&gt;0,J88*VLOOKUP(B88,Tabela1[#All],4,FALSE),"Erro"))</f>
        <v>NÃO</v>
      </c>
      <c r="M88" s="1">
        <v>10</v>
      </c>
      <c r="N88" s="2">
        <f>M88*VLOOKUP(B88,Tabela1[#All],3,FALSE)</f>
        <v>15</v>
      </c>
    </row>
    <row r="89" spans="1:14" x14ac:dyDescent="0.25">
      <c r="A89" s="1">
        <v>86</v>
      </c>
      <c r="B89" s="1" t="str">
        <f>VLOOKUP(A89,Tabela2[[#All],[ID-A]:[PROD]],2,FALSE)</f>
        <v>Cimento 1kg</v>
      </c>
      <c r="C89" s="1">
        <v>50</v>
      </c>
      <c r="D89" s="1">
        <f>VLOOKUP(B89,Tabela1[#All],5,FALSE)</f>
        <v>90</v>
      </c>
      <c r="E89" s="1"/>
      <c r="F89" s="4">
        <v>45653</v>
      </c>
      <c r="G89" s="1" t="str">
        <f t="shared" si="2"/>
        <v>Dez</v>
      </c>
      <c r="H89" s="1">
        <f>DAYS360(Tabela2[[#This Row],[DATA PEDIDO]],'CONTROLE CONSUMO'!F89,)</f>
        <v>26</v>
      </c>
      <c r="I89" s="1" t="str">
        <f>IF(H89&gt;Tabela2[[#This Row],[PRAZO DE ENTREGA/DIAS]],"ATRASADO",IF('CONTROLE CONSUMO'!H89&lt;Tabela2[[#This Row],[PRAZO DE ENTREGA/DIAS]],"ADIANTADO",IF('CONTROLE CONSUMO'!H89=Tabela2[[#This Row],[PRAZO DE ENTREGA/DIAS]],"NÃO")))</f>
        <v>ADIANTADO</v>
      </c>
      <c r="J89" s="1" t="str">
        <f>IF(Tabela2[[#This Row],[QTD]]-'CONTROLE CONSUMO'!C89&lt;=0,"NÃO",Tabela2[[#This Row],[QTD]]-'CONTROLE CONSUMO'!C89)</f>
        <v>NÃO</v>
      </c>
      <c r="K89" s="1">
        <f>IF(Tabela2[[#This Row],[QTD]]-'CONTROLE CONSUMO'!C89&gt;=0,"NÃO",ABS(Tabela2[[#This Row],[QTD]]-'CONTROLE CONSUMO'!C89))</f>
        <v>45</v>
      </c>
      <c r="L89" s="2" t="str">
        <f>IF(J89="NÃO","NÃO",IF(J89&gt;0,J89*VLOOKUP(B89,Tabela1[#All],4,FALSE),"Erro"))</f>
        <v>NÃO</v>
      </c>
      <c r="M89" s="1">
        <v>10</v>
      </c>
      <c r="N89" s="2">
        <f>M89*VLOOKUP(B89,Tabela1[#All],3,FALSE)</f>
        <v>50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330F-0ABD-462B-BC22-FEA3A03F68D0}">
  <dimension ref="A1:K15"/>
  <sheetViews>
    <sheetView zoomScale="98" zoomScaleNormal="98" workbookViewId="0">
      <selection activeCell="B8" sqref="B8"/>
    </sheetView>
  </sheetViews>
  <sheetFormatPr defaultRowHeight="15" x14ac:dyDescent="0.25"/>
  <cols>
    <col min="1" max="1" width="16.85546875" customWidth="1"/>
    <col min="2" max="2" width="35.85546875" customWidth="1"/>
    <col min="3" max="3" width="22.42578125" customWidth="1"/>
    <col min="4" max="4" width="14.42578125" customWidth="1"/>
    <col min="5" max="5" width="13.85546875" customWidth="1"/>
    <col min="6" max="6" width="22.42578125" customWidth="1"/>
    <col min="7" max="7" width="21.140625" customWidth="1"/>
    <col min="8" max="8" width="29.5703125" customWidth="1"/>
    <col min="9" max="9" width="38.28515625" customWidth="1"/>
    <col min="10" max="10" width="49.42578125" customWidth="1"/>
    <col min="11" max="11" width="6.85546875" customWidth="1"/>
  </cols>
  <sheetData>
    <row r="1" spans="1:11" ht="41.25" customHeight="1" x14ac:dyDescent="0.4">
      <c r="A1" s="10" t="s">
        <v>73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54" customHeight="1" x14ac:dyDescent="0.25"/>
    <row r="3" spans="1:11" ht="14.25" customHeight="1" x14ac:dyDescent="0.25">
      <c r="A3" s="1" t="s">
        <v>57</v>
      </c>
      <c r="B3" s="1" t="s">
        <v>51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58</v>
      </c>
      <c r="H3" s="1" t="s">
        <v>59</v>
      </c>
      <c r="I3" s="1" t="s">
        <v>60</v>
      </c>
      <c r="J3" s="1" t="s">
        <v>56</v>
      </c>
      <c r="K3" s="1" t="s">
        <v>35</v>
      </c>
    </row>
    <row r="4" spans="1:11" x14ac:dyDescent="0.25">
      <c r="A4" s="1">
        <f>COUNTIF('CONTROLE AQUISIÇÃO'!K:K,"Jan")</f>
        <v>16</v>
      </c>
      <c r="B4" s="1">
        <f>SUMIF('CONTROLE AQUISIÇÃO'!K:K,"Jan",'CONTROLE AQUISIÇÃO'!F:F)</f>
        <v>160</v>
      </c>
      <c r="C4" s="1">
        <f>SUMIF('CONTROLE AQUISIÇÃO'!K:K,"Jan",'CONTROLE AQUISIÇÃO'!F:F)</f>
        <v>160</v>
      </c>
      <c r="D4" s="1">
        <f>SUMIF('CONTROLE CONSUMO'!G:G,"Jan",'CONTROLE CONSUMO'!J:J)</f>
        <v>0</v>
      </c>
      <c r="E4" s="1">
        <f>SUMIF('CONTROLE CONSUMO'!G:G,"Jan",K:K)</f>
        <v>0</v>
      </c>
      <c r="F4" s="2">
        <f>SUMIF('CONTROLE AQUISIÇÃO'!K:K,"Jan",'CONTROLE AQUISIÇÃO'!I:I)</f>
        <v>21956</v>
      </c>
      <c r="G4" s="2">
        <f>SUMIF('CONTROLE CONSUMO'!G4:G89,"Jan",'CONTROLE CONSUMO'!N4:N89)</f>
        <v>20355</v>
      </c>
      <c r="H4" s="1">
        <f>SUMIF('CONTROLE CONSUMO'!G4:G89,"Jan",'CONTROLE CONSUMO'!L4:L89)</f>
        <v>0</v>
      </c>
      <c r="I4" s="1">
        <f>COUNTIFS('CONTROLE CONSUMO'!G:G,"Jan",'CONTROLE CONSUMO'!I:I,"ATRASADO")</f>
        <v>0</v>
      </c>
      <c r="J4" s="1">
        <f>COUNTIFS('CONTROLE CONSUMO'!G:G,"Jan",'CONTROLE CONSUMO'!I:I,"ADIANTADO")</f>
        <v>7</v>
      </c>
      <c r="K4" s="1" t="s">
        <v>61</v>
      </c>
    </row>
    <row r="5" spans="1:11" x14ac:dyDescent="0.25">
      <c r="A5" s="1">
        <f>COUNTIF('CONTROLE AQUISIÇÃO'!K:K,"Fev")</f>
        <v>16</v>
      </c>
      <c r="B5" s="1">
        <f>SUMIF('CONTROLE AQUISIÇÃO'!K:K,"Fev",'CONTROLE AQUISIÇÃO'!F:F)</f>
        <v>160</v>
      </c>
      <c r="C5" s="1">
        <f>SUMIF('CONTROLE AQUISIÇÃO'!K:K,"Fev",'CONTROLE AQUISIÇÃO'!F:F)</f>
        <v>160</v>
      </c>
      <c r="D5" s="5">
        <f>SUMIF('CONTROLE CONSUMO'!G:G,"Fev",'CONTROLE CONSUMO'!J:J)</f>
        <v>0</v>
      </c>
      <c r="E5" s="1">
        <f>SUMIF('CONTROLE CONSUMO'!G:G,"Fev",'CONTROLE CONSUMO'!K:K)</f>
        <v>520</v>
      </c>
      <c r="F5" s="2">
        <f>SUMIF('CONTROLE AQUISIÇÃO'!K:K,"Fev",'CONTROLE AQUISIÇÃO'!I:I)</f>
        <v>21956</v>
      </c>
      <c r="G5" s="2">
        <f>SUMIF('CONTROLE CONSUMO'!G4:G89,"Fev",'CONTROLE CONSUMO'!N4:N89)</f>
        <v>21763</v>
      </c>
      <c r="H5" s="1">
        <f>SUMIF('CONTROLE CONSUMO'!G4:G89,"Fev",'CONTROLE CONSUMO'!L4:L89)</f>
        <v>0</v>
      </c>
      <c r="I5" s="1">
        <f>COUNTIFS('CONTROLE CONSUMO'!G:G,"Fev",'CONTROLE CONSUMO'!I:I,"ATRASADO")</f>
        <v>0</v>
      </c>
      <c r="J5" s="1">
        <f>COUNTIFS('CONTROLE CONSUMO'!G:G,"Fev",'CONTROLE CONSUMO'!I:I,"ADIANTADO")</f>
        <v>13</v>
      </c>
      <c r="K5" s="1" t="s">
        <v>66</v>
      </c>
    </row>
    <row r="6" spans="1:11" x14ac:dyDescent="0.25">
      <c r="A6" s="1">
        <f>COUNTIF('CONTROLE AQUISIÇÃO'!K:K,"Mar")</f>
        <v>16</v>
      </c>
      <c r="B6" s="1">
        <f>SUMIF('CONTROLE AQUISIÇÃO'!K:K,"Mar",'CONTROLE AQUISIÇÃO'!F:F)</f>
        <v>160</v>
      </c>
      <c r="C6" s="1">
        <f>SUMIF('CONTROLE AQUISIÇÃO'!K:K,"Mar",'CONTROLE AQUISIÇÃO'!F:F)</f>
        <v>160</v>
      </c>
      <c r="D6" s="1">
        <f>SUMIF('CONTROLE CONSUMO'!G:G,"Mar",'CONTROLE CONSUMO'!J:J)</f>
        <v>0</v>
      </c>
      <c r="E6" s="1">
        <f>SUMIF('CONTROLE CONSUMO'!G:G,"Mar",'CONTROLE CONSUMO'!K:K)</f>
        <v>640</v>
      </c>
      <c r="F6" s="2">
        <f>SUMIF('CONTROLE AQUISIÇÃO'!K:K,"Mar",'CONTROLE AQUISIÇÃO'!I:I)</f>
        <v>21956</v>
      </c>
      <c r="G6" s="2">
        <f>SUMIF('CONTROLE CONSUMO'!G4:G89,"Mar",'CONTROLE CONSUMO'!N4:N89)</f>
        <v>21956</v>
      </c>
      <c r="H6" s="1">
        <f>SUMIF('CONTROLE CONSUMO'!G4:G89,"Mar",'CONTROLE CONSUMO'!L4:L89)</f>
        <v>0</v>
      </c>
      <c r="I6" s="1">
        <f>COUNTIFS('CONTROLE CONSUMO'!G:G,"Mar",'CONTROLE CONSUMO'!I:I,"ATRASADO")</f>
        <v>0</v>
      </c>
      <c r="J6" s="1">
        <f>COUNTIFS('CONTROLE CONSUMO'!G:G,"Mar",'CONTROLE CONSUMO'!I:I,"ADIANTADO")</f>
        <v>16</v>
      </c>
      <c r="K6" s="1" t="s">
        <v>62</v>
      </c>
    </row>
    <row r="7" spans="1:11" x14ac:dyDescent="0.25">
      <c r="A7" s="1">
        <f>COUNTIF('CONTROLE AQUISIÇÃO'!K:K,"Abr")</f>
        <v>16</v>
      </c>
      <c r="B7" s="1">
        <f>SUMIF('CONTROLE AQUISIÇÃO'!K:K,"Abr",'CONTROLE AQUISIÇÃO'!F:F)</f>
        <v>80</v>
      </c>
      <c r="C7" s="1">
        <f>SUMIF('CONTROLE AQUISIÇÃO'!K:K,"Abr",'CONTROLE AQUISIÇÃO'!F:F)</f>
        <v>80</v>
      </c>
      <c r="D7" s="1">
        <f>SUMIF('CONTROLE CONSUMO'!G:G,"Abr",'CONTROLE CONSUMO'!J:J)</f>
        <v>0</v>
      </c>
      <c r="E7" s="1">
        <f>SUMIF('CONTROLE CONSUMO'!G:G,"Abr",'CONTROLE CONSUMO'!K:K)</f>
        <v>675</v>
      </c>
      <c r="F7" s="2">
        <f>SUMIF('CONTROLE AQUISIÇÃO'!K:K,"Abr",'CONTROLE AQUISIÇÃO'!I:I)</f>
        <v>10978</v>
      </c>
      <c r="G7" s="2">
        <f>SUMIF('CONTROLE CONSUMO'!G4:G89,"Abr",'CONTROLE CONSUMO'!N4:N89)</f>
        <v>21956</v>
      </c>
      <c r="H7" s="1">
        <f>SUMIF('CONTROLE CONSUMO'!G4:G89,"Abr",'CONTROLE CONSUMO'!L4:L89)</f>
        <v>0</v>
      </c>
      <c r="I7" s="1">
        <f>COUNTIFS('CONTROLE CONSUMO'!G:G,"Abr",'CONTROLE CONSUMO'!I:I,"ATRASADO")</f>
        <v>0</v>
      </c>
      <c r="J7" s="1">
        <f>COUNTIFS('CONTROLE CONSUMO'!G:G,"Abr",'CONTROLE CONSUMO'!I:I,"ADIANTADO")</f>
        <v>16</v>
      </c>
      <c r="K7" s="1" t="s">
        <v>67</v>
      </c>
    </row>
    <row r="8" spans="1:11" x14ac:dyDescent="0.25">
      <c r="A8" s="1">
        <f>COUNTIF('CONTROLE AQUISIÇÃO'!K:K,"Mai")</f>
        <v>3</v>
      </c>
      <c r="B8" s="1">
        <f>SUMIF('CONTROLE AQUISIÇÃO'!K:K,"Mai",'CONTROLE AQUISIÇÃO'!F:F)</f>
        <v>15</v>
      </c>
      <c r="C8" s="1">
        <f>SUMIF('CONTROLE AQUISIÇÃO'!K:K,"Mai",'CONTROLE AQUISIÇÃO'!F:F)</f>
        <v>15</v>
      </c>
      <c r="D8" s="1">
        <f>SUMIF('CONTROLE CONSUMO'!G:G,"Mai",'CONTROLE CONSUMO'!J:J)</f>
        <v>0</v>
      </c>
      <c r="E8" s="1">
        <f>SUMIF('CONTROLE CONSUMO'!G:G,"Mai",'CONTROLE CONSUMO'!K:K)</f>
        <v>660</v>
      </c>
      <c r="F8" s="2">
        <f>SUMIF('CONTROLE AQUISIÇÃO'!K:K,"Mai",'CONTROLE AQUISIÇÃO'!I:I)</f>
        <v>40</v>
      </c>
      <c r="G8" s="2">
        <f>SUMIF('CONTROLE CONSUMO'!G4:G89,"Mai",'CONTROLE CONSUMO'!N4:N89)</f>
        <v>1874</v>
      </c>
      <c r="H8" s="1">
        <f>SUMIF('CONTROLE CONSUMO'!G4:G89,"Mai",'CONTROLE CONSUMO'!L4:L89)</f>
        <v>0</v>
      </c>
      <c r="I8" s="1">
        <f>COUNTIFS('CONTROLE CONSUMO'!G:G,"Mai",'CONTROLE CONSUMO'!I:I,"ATRASADO")</f>
        <v>0</v>
      </c>
      <c r="J8" s="1">
        <f>COUNTIFS('CONTROLE CONSUMO'!G:G,"Mai",'CONTROLE CONSUMO'!I:I,"ADIANTADO")</f>
        <v>15</v>
      </c>
      <c r="K8" s="1" t="s">
        <v>68</v>
      </c>
    </row>
    <row r="9" spans="1:11" x14ac:dyDescent="0.25">
      <c r="A9" s="1">
        <f>COUNTIF('CONTROLE AQUISIÇÃO'!K:K,"Jun")</f>
        <v>3</v>
      </c>
      <c r="B9" s="1">
        <f>SUMIF('CONTROLE AQUISIÇÃO'!K:K,"Jun",'CONTROLE AQUISIÇÃO'!F:F)</f>
        <v>15</v>
      </c>
      <c r="C9" s="1">
        <f>SUMIF('CONTROLE AQUISIÇÃO'!K:K,"Jun",'CONTROLE AQUISIÇÃO'!F:F)</f>
        <v>15</v>
      </c>
      <c r="D9" s="1">
        <f>SUMIF('CONTROLE CONSUMO'!G:G,"Jun",'CONTROLE CONSUMO'!J:J)</f>
        <v>0</v>
      </c>
      <c r="E9" s="1">
        <f>SUMIF('CONTROLE CONSUMO'!G:G,"Jun",'CONTROLE CONSUMO'!K:K)</f>
        <v>90</v>
      </c>
      <c r="F9" s="2">
        <f>SUMIF('CONTROLE AQUISIÇÃO'!K:K,"Jun",'CONTROLE AQUISIÇÃO'!I:I)</f>
        <v>594</v>
      </c>
      <c r="G9" s="2">
        <f>SUMIF('CONTROLE CONSUMO'!G4:G89,"Jun",'CONTROLE CONSUMO'!N4:N89)</f>
        <v>1029</v>
      </c>
      <c r="H9" s="1">
        <f>SUMIF('CONTROLE CONSUMO'!G4:G89,"Jun",'CONTROLE CONSUMO'!L4:L89)</f>
        <v>0</v>
      </c>
      <c r="I9" s="1">
        <f>COUNTIFS('CONTROLE CONSUMO'!G:G,"Jun",'CONTROLE CONSUMO'!I:I,"ATRASADO")</f>
        <v>0</v>
      </c>
      <c r="J9" s="1">
        <f>COUNTIFS('CONTROLE CONSUMO'!G:G,"Jun",'CONTROLE CONSUMO'!I:I,"ADIANTADO")</f>
        <v>2</v>
      </c>
      <c r="K9" s="1" t="s">
        <v>63</v>
      </c>
    </row>
    <row r="10" spans="1:11" x14ac:dyDescent="0.25">
      <c r="A10" s="1">
        <f>COUNTIF('CONTROLE AQUISIÇÃO'!K:K,"Jul")</f>
        <v>1</v>
      </c>
      <c r="B10" s="1">
        <f>SUMIF('CONTROLE AQUISIÇÃO'!K:K,"Jul",'CONTROLE AQUISIÇÃO'!F:F)</f>
        <v>5</v>
      </c>
      <c r="C10" s="1">
        <f>SUMIF('CONTROLE AQUISIÇÃO'!K:K,"Jul",'CONTROLE AQUISIÇÃO'!F:F)</f>
        <v>5</v>
      </c>
      <c r="D10" s="1">
        <f>SUMIF('CONTROLE CONSUMO'!G:G,"Jul",'CONTROLE CONSUMO'!J:J)</f>
        <v>0</v>
      </c>
      <c r="E10" s="1">
        <f>SUMIF('CONTROLE CONSUMO'!G:G,"Jul",'CONTROLE CONSUMO'!K:K)</f>
        <v>90</v>
      </c>
      <c r="F10" s="2">
        <f>SUMIF('CONTROLE AQUISIÇÃO'!K:K,"Jul",'CONTROLE AQUISIÇÃO'!I:I)</f>
        <v>125</v>
      </c>
      <c r="G10" s="2">
        <f>SUMIF('CONTROLE CONSUMO'!G4:G89,"Jul",'CONTROLE CONSUMO'!N4:N89)</f>
        <v>409</v>
      </c>
      <c r="H10" s="1">
        <f>SUMIF('CONTROLE CONSUMO'!G4:G89,"Jul",'CONTROLE CONSUMO'!L4:L89)</f>
        <v>0</v>
      </c>
      <c r="I10" s="1">
        <f>COUNTIFS('CONTROLE CONSUMO'!G:G,"Jul",'CONTROLE CONSUMO'!I:I,"ATRASADO")</f>
        <v>0</v>
      </c>
      <c r="J10" s="1">
        <f>COUNTIFS('CONTROLE CONSUMO'!G:G,"Jul",'CONTROLE CONSUMO'!I:I,"ADIANTADO")</f>
        <v>2</v>
      </c>
      <c r="K10" s="1" t="s">
        <v>64</v>
      </c>
    </row>
    <row r="11" spans="1:11" x14ac:dyDescent="0.25">
      <c r="A11" s="1">
        <f>COUNTIF('CONTROLE AQUISIÇÃO'!K:K,"Ago")</f>
        <v>4</v>
      </c>
      <c r="B11" s="1">
        <f>SUMIF('CONTROLE AQUISIÇÃO'!K:K,"Ago",'CONTROLE AQUISIÇÃO'!F:F)</f>
        <v>20</v>
      </c>
      <c r="C11" s="1">
        <f>SUMIF('CONTROLE AQUISIÇÃO'!K:K,"Ago",'CONTROLE AQUISIÇÃO'!F:F)</f>
        <v>20</v>
      </c>
      <c r="D11" s="1">
        <f>SUMIF('CONTROLE CONSUMO'!G:G,"Ago",'CONTROLE CONSUMO'!J:J)</f>
        <v>0</v>
      </c>
      <c r="E11" s="1">
        <f>SUMIF('CONTROLE CONSUMO'!G:G,"Ago",'CONTROLE CONSUMO'!K:K)</f>
        <v>0</v>
      </c>
      <c r="F11" s="2">
        <f>SUMIF('CONTROLE AQUISIÇÃO'!K:K,"Ago",'CONTROLE AQUISIÇÃO'!I:I)</f>
        <v>430.5</v>
      </c>
      <c r="G11" s="2">
        <f>SUMIF('CONTROLE CONSUMO'!G4:G89,"Ago",'CONTROLE CONSUMO'!N4:N89)</f>
        <v>0</v>
      </c>
      <c r="H11" s="1">
        <f>SUMIF('CONTROLE CONSUMO'!G4:G89,"Ago",'CONTROLE CONSUMO'!L4:L89)</f>
        <v>0</v>
      </c>
      <c r="I11" s="1">
        <f>COUNTIFS('CONTROLE CONSUMO'!G:G,"Ago",'CONTROLE CONSUMO'!I:I,"ATRASADO")</f>
        <v>0</v>
      </c>
      <c r="J11" s="1">
        <f>COUNTIFS('CONTROLE CONSUMO'!G:G,"Ago",'CONTROLE CONSUMO'!I:I,"ADIANTADO")</f>
        <v>0</v>
      </c>
      <c r="K11" s="1" t="s">
        <v>69</v>
      </c>
    </row>
    <row r="12" spans="1:11" x14ac:dyDescent="0.25">
      <c r="A12" s="1">
        <f>COUNTIF('CONTROLE AQUISIÇÃO'!K:K,"Set")</f>
        <v>3</v>
      </c>
      <c r="B12" s="1">
        <f>SUMIF('CONTROLE AQUISIÇÃO'!K:K,"Set",'CONTROLE AQUISIÇÃO'!F:F)</f>
        <v>15</v>
      </c>
      <c r="C12" s="1">
        <f>SUMIF('CONTROLE AQUISIÇÃO'!K:K,"Set",'CONTROLE AQUISIÇÃO'!F:F)</f>
        <v>15</v>
      </c>
      <c r="D12" s="1">
        <f>SUMIF('CONTROLE CONSUMO'!G:G,"Set",'CONTROLE CONSUMO'!J:J)</f>
        <v>0</v>
      </c>
      <c r="E12" s="1">
        <f>SUMIF('CONTROLE CONSUMO'!G:G,"Set",'CONTROLE CONSUMO'!K:K)</f>
        <v>270</v>
      </c>
      <c r="F12" s="2">
        <f>SUMIF('CONTROLE AQUISIÇÃO'!K:K,"Set",'CONTROLE AQUISIÇÃO'!I:I)</f>
        <v>21.5</v>
      </c>
      <c r="G12" s="2">
        <f>SUMIF('CONTROLE CONSUMO'!G4:G89,"Set",'CONTROLE CONSUMO'!N4:N89)</f>
        <v>886</v>
      </c>
      <c r="H12" s="1">
        <f>SUMIF('CONTROLE CONSUMO'!G4:G89,"Set",'CONTROLE CONSUMO'!L4:L89)</f>
        <v>0</v>
      </c>
      <c r="I12" s="1">
        <f>COUNTIFS('CONTROLE CONSUMO'!G:G,"Set",'CONTROLE CONSUMO'!I:I,"ATRASADO")</f>
        <v>0</v>
      </c>
      <c r="J12" s="1">
        <f>COUNTIFS('CONTROLE CONSUMO'!G:G,"Set",'CONTROLE CONSUMO'!I:I,"ADIANTADO")</f>
        <v>6</v>
      </c>
      <c r="K12" s="1" t="s">
        <v>70</v>
      </c>
    </row>
    <row r="13" spans="1:11" x14ac:dyDescent="0.25">
      <c r="A13" s="1">
        <f>COUNTIF('CONTROLE AQUISIÇÃO'!K:K,"Out")</f>
        <v>5</v>
      </c>
      <c r="B13" s="1">
        <f>SUMIF('CONTROLE AQUISIÇÃO'!K:K,"Out",'CONTROLE AQUISIÇÃO'!F:F)</f>
        <v>25</v>
      </c>
      <c r="C13" s="1">
        <f>SUMIF('CONTROLE AQUISIÇÃO'!K:K,"Out",'CONTROLE AQUISIÇÃO'!F:F)</f>
        <v>25</v>
      </c>
      <c r="D13" s="1">
        <f>SUMIF('CONTROLE CONSUMO'!G:G,"Out",'CONTROLE CONSUMO'!J:J)</f>
        <v>0</v>
      </c>
      <c r="E13" s="1">
        <f>SUMIF('CONTROLE CONSUMO'!G:G,"Out",'CONTROLE CONSUMO'!K:K)</f>
        <v>270</v>
      </c>
      <c r="F13" s="2">
        <f>SUMIF('CONTROLE AQUISIÇÃO'!K:K,"Out",'CONTROLE AQUISIÇÃO'!I:I)</f>
        <v>10165</v>
      </c>
      <c r="G13" s="2">
        <f>SUMIF('CONTROLE CONSUMO'!G4:G89,"Out",'CONTROLE CONSUMO'!N4:N89)</f>
        <v>20348</v>
      </c>
      <c r="H13" s="1">
        <f>SUMIF('CONTROLE CONSUMO'!G4:G89,"Out",'CONTROLE CONSUMO'!L4:L89)</f>
        <v>0</v>
      </c>
      <c r="I13" s="1">
        <f>COUNTIFS('CONTROLE CONSUMO'!G:G,"Out",'CONTROLE CONSUMO'!I:I,"ATRASADO")</f>
        <v>0</v>
      </c>
      <c r="J13" s="1">
        <f>COUNTIFS('CONTROLE CONSUMO'!G:G,"Out",'CONTROLE CONSUMO'!I:I,"ADIANTADO")</f>
        <v>6</v>
      </c>
      <c r="K13" s="1" t="s">
        <v>71</v>
      </c>
    </row>
    <row r="14" spans="1:11" x14ac:dyDescent="0.25">
      <c r="A14" s="1">
        <f>COUNTIF('CONTROLE AQUISIÇÃO'!K:K,"Nov")</f>
        <v>2</v>
      </c>
      <c r="B14" s="1">
        <f>SUMIF('CONTROLE AQUISIÇÃO'!K:K,"Nov",'CONTROLE AQUISIÇÃO'!F:F)</f>
        <v>10</v>
      </c>
      <c r="C14" s="1">
        <f>SUMIF('CONTROLE AQUISIÇÃO'!K:K,"Nov",'CONTROLE AQUISIÇÃO'!F:F)</f>
        <v>10</v>
      </c>
      <c r="D14" s="1">
        <f>SUMIF('CONTROLE CONSUMO'!G:G,"Nov",'CONTROLE CONSUMO'!J:J)</f>
        <v>0</v>
      </c>
      <c r="E14" s="1">
        <f>SUMIF('CONTROLE CONSUMO'!G:G,"Nov",'CONTROLE CONSUMO'!K:K)</f>
        <v>0</v>
      </c>
      <c r="F14" s="2">
        <f>SUMIF('CONTROLE AQUISIÇÃO'!K:K,"Nov",'CONTROLE AQUISIÇÃO'!I:I)</f>
        <v>17</v>
      </c>
      <c r="G14" s="2">
        <f>SUMIF('CONTROLE CONSUMO'!G4:G89,"Nov",'CONTROLE CONSUMO'!N4:N89)</f>
        <v>0</v>
      </c>
      <c r="H14" s="1">
        <f>SUMIF('CONTROLE CONSUMO'!G4:G89,"Nov",'CONTROLE CONSUMO'!L4:L89)</f>
        <v>0</v>
      </c>
      <c r="I14" s="1">
        <f>COUNTIFS('CONTROLE CONSUMO'!G:G,"Nov",'CONTROLE CONSUMO'!I:I,"ATRASADO")</f>
        <v>0</v>
      </c>
      <c r="J14" s="1">
        <f>COUNTIFS('CONTROLE CONSUMO'!G:G,"Nov",'CONTROLE CONSUMO'!I:I,"ADIANTADO")</f>
        <v>0</v>
      </c>
      <c r="K14" s="1" t="s">
        <v>65</v>
      </c>
    </row>
    <row r="15" spans="1:11" x14ac:dyDescent="0.25">
      <c r="A15" s="1">
        <f>COUNTIF('CONTROLE AQUISIÇÃO'!K:K,"Dez")</f>
        <v>1</v>
      </c>
      <c r="B15" s="1">
        <f>SUMIF('CONTROLE AQUISIÇÃO'!K:K,"Dez",'CONTROLE AQUISIÇÃO'!F:F)</f>
        <v>5</v>
      </c>
      <c r="C15" s="1">
        <f>SUMIF('CONTROLE AQUISIÇÃO'!K:K,"Dez",'CONTROLE AQUISIÇÃO'!F:F)</f>
        <v>5</v>
      </c>
      <c r="D15" s="1">
        <f>SUMIF('CONTROLE CONSUMO'!G:G,"Dez",'CONTROLE CONSUMO'!J:J)</f>
        <v>0</v>
      </c>
      <c r="E15" s="1">
        <f>SUMIF('CONTROLE CONSUMO'!G:G,"Dez",'CONTROLE CONSUMO'!K:K)</f>
        <v>135</v>
      </c>
      <c r="F15" s="2">
        <f>SUMIF('CONTROLE AQUISIÇÃO'!K:K,"Dez",'CONTROLE AQUISIÇÃO'!I:I)</f>
        <v>25</v>
      </c>
      <c r="G15" s="2">
        <f>SUMIF('CONTROLE CONSUMO'!G4:G89,"Dez",'CONTROLE CONSUMO'!N4:N89)</f>
        <v>84</v>
      </c>
      <c r="H15" s="1">
        <f>SUMIF('CONTROLE CONSUMO'!G4:G89,"Dez",'CONTROLE CONSUMO'!L4:L89)</f>
        <v>0</v>
      </c>
      <c r="I15" s="1">
        <f>COUNTIFS('CONTROLE CONSUMO'!G:G,"Dez",'CONTROLE CONSUMO'!I:I,"ATRASADO")</f>
        <v>0</v>
      </c>
      <c r="J15" s="1">
        <f>COUNTIFS('CONTROLE CONSUMO'!G:G,"Dez",'CONTROLE CONSUMO'!I:I,"ADIANTADO")</f>
        <v>3</v>
      </c>
      <c r="K15" s="1" t="s">
        <v>72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C2BA-A526-4250-A9C4-47949A434F32}">
  <dimension ref="A1:F17"/>
  <sheetViews>
    <sheetView zoomScale="145" zoomScaleNormal="145" workbookViewId="0">
      <selection activeCell="C25" sqref="C25"/>
    </sheetView>
  </sheetViews>
  <sheetFormatPr defaultRowHeight="15" x14ac:dyDescent="0.25"/>
  <cols>
    <col min="1" max="1" width="19.7109375" customWidth="1"/>
    <col min="2" max="2" width="15.42578125" customWidth="1"/>
    <col min="3" max="3" width="19.140625" customWidth="1"/>
    <col min="4" max="4" width="19.5703125" customWidth="1"/>
    <col min="5" max="5" width="20.140625" customWidth="1"/>
    <col min="6" max="6" width="24.42578125" customWidth="1"/>
    <col min="7" max="8" width="15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22</v>
      </c>
      <c r="C2" s="2">
        <v>5</v>
      </c>
      <c r="D2" s="2">
        <v>3</v>
      </c>
      <c r="E2" s="1">
        <v>90</v>
      </c>
      <c r="F2" s="1">
        <v>20</v>
      </c>
    </row>
    <row r="3" spans="1:6" x14ac:dyDescent="0.25">
      <c r="A3" s="1" t="s">
        <v>7</v>
      </c>
      <c r="B3" s="1" t="s">
        <v>22</v>
      </c>
      <c r="C3" s="2">
        <v>2</v>
      </c>
      <c r="D3" s="2">
        <v>0.5</v>
      </c>
      <c r="E3" s="1" t="s">
        <v>27</v>
      </c>
      <c r="F3" s="1">
        <v>20</v>
      </c>
    </row>
    <row r="4" spans="1:6" x14ac:dyDescent="0.25">
      <c r="A4" s="1" t="s">
        <v>8</v>
      </c>
      <c r="B4" s="1" t="s">
        <v>22</v>
      </c>
      <c r="C4" s="2">
        <v>1</v>
      </c>
      <c r="D4" s="2">
        <v>0.2</v>
      </c>
      <c r="E4" s="1" t="s">
        <v>27</v>
      </c>
      <c r="F4" s="1">
        <v>20</v>
      </c>
    </row>
    <row r="5" spans="1:6" x14ac:dyDescent="0.25">
      <c r="A5" s="1" t="s">
        <v>9</v>
      </c>
      <c r="B5" s="1" t="s">
        <v>22</v>
      </c>
      <c r="C5" s="2">
        <v>2000</v>
      </c>
      <c r="D5" s="2">
        <v>1000</v>
      </c>
      <c r="E5" s="1" t="s">
        <v>27</v>
      </c>
      <c r="F5" s="1">
        <v>20</v>
      </c>
    </row>
    <row r="6" spans="1:6" x14ac:dyDescent="0.25">
      <c r="A6" s="1" t="s">
        <v>10</v>
      </c>
      <c r="B6" s="1" t="s">
        <v>22</v>
      </c>
      <c r="C6" s="2">
        <v>25</v>
      </c>
      <c r="D6" s="2">
        <v>12.5</v>
      </c>
      <c r="E6" s="1" t="s">
        <v>27</v>
      </c>
      <c r="F6" s="1">
        <v>20</v>
      </c>
    </row>
    <row r="7" spans="1:6" x14ac:dyDescent="0.25">
      <c r="A7" s="1" t="s">
        <v>11</v>
      </c>
      <c r="B7" s="1" t="s">
        <v>23</v>
      </c>
      <c r="C7" s="2">
        <v>1</v>
      </c>
      <c r="D7" s="2">
        <v>0.8</v>
      </c>
      <c r="E7" s="1" t="s">
        <v>27</v>
      </c>
      <c r="F7" s="1">
        <v>20</v>
      </c>
    </row>
    <row r="8" spans="1:6" x14ac:dyDescent="0.25">
      <c r="A8" s="1" t="s">
        <v>12</v>
      </c>
      <c r="B8" s="1" t="s">
        <v>24</v>
      </c>
      <c r="C8" s="2">
        <v>1.5</v>
      </c>
      <c r="D8" s="2">
        <v>0.9</v>
      </c>
      <c r="E8" s="1" t="s">
        <v>27</v>
      </c>
      <c r="F8" s="1">
        <v>20</v>
      </c>
    </row>
    <row r="9" spans="1:6" x14ac:dyDescent="0.25">
      <c r="A9" s="1" t="s">
        <v>13</v>
      </c>
      <c r="B9" s="1" t="s">
        <v>25</v>
      </c>
      <c r="C9" s="2">
        <v>1.8</v>
      </c>
      <c r="D9" s="2">
        <v>1</v>
      </c>
      <c r="E9" s="1" t="s">
        <v>27</v>
      </c>
      <c r="F9" s="1">
        <v>40</v>
      </c>
    </row>
    <row r="10" spans="1:6" x14ac:dyDescent="0.25">
      <c r="A10" s="1" t="s">
        <v>14</v>
      </c>
      <c r="B10" s="1" t="s">
        <v>22</v>
      </c>
      <c r="C10" s="2">
        <v>3.1</v>
      </c>
      <c r="D10" s="2">
        <v>2</v>
      </c>
      <c r="E10" s="1">
        <v>90</v>
      </c>
      <c r="F10" s="1">
        <v>40</v>
      </c>
    </row>
    <row r="11" spans="1:6" x14ac:dyDescent="0.25">
      <c r="A11" s="1" t="s">
        <v>15</v>
      </c>
      <c r="B11" s="1" t="s">
        <v>22</v>
      </c>
      <c r="C11" s="2">
        <v>12</v>
      </c>
      <c r="D11" s="2">
        <v>6</v>
      </c>
      <c r="E11" s="1" t="s">
        <v>27</v>
      </c>
      <c r="F11" s="1">
        <v>40</v>
      </c>
    </row>
    <row r="12" spans="1:6" x14ac:dyDescent="0.25">
      <c r="A12" s="1" t="s">
        <v>16</v>
      </c>
      <c r="B12" s="1" t="s">
        <v>26</v>
      </c>
      <c r="C12" s="2">
        <v>21</v>
      </c>
      <c r="D12" s="2">
        <v>11</v>
      </c>
      <c r="E12" s="1" t="s">
        <v>27</v>
      </c>
      <c r="F12" s="1">
        <v>40</v>
      </c>
    </row>
    <row r="13" spans="1:6" x14ac:dyDescent="0.25">
      <c r="A13" s="1" t="s">
        <v>17</v>
      </c>
      <c r="B13" s="1" t="s">
        <v>22</v>
      </c>
      <c r="C13" s="2">
        <v>50</v>
      </c>
      <c r="D13" s="2">
        <v>40</v>
      </c>
      <c r="E13" s="1" t="s">
        <v>27</v>
      </c>
      <c r="F13" s="1">
        <v>40</v>
      </c>
    </row>
    <row r="14" spans="1:6" x14ac:dyDescent="0.25">
      <c r="A14" s="1" t="s">
        <v>18</v>
      </c>
      <c r="B14" s="1" t="s">
        <v>22</v>
      </c>
      <c r="C14" s="2">
        <v>52.9</v>
      </c>
      <c r="D14" s="2">
        <v>25</v>
      </c>
      <c r="E14" s="1">
        <v>90</v>
      </c>
      <c r="F14" s="1">
        <v>40</v>
      </c>
    </row>
    <row r="15" spans="1:6" x14ac:dyDescent="0.25">
      <c r="A15" s="1" t="s">
        <v>19</v>
      </c>
      <c r="B15" s="1" t="s">
        <v>22</v>
      </c>
      <c r="C15" s="2">
        <v>15.9</v>
      </c>
      <c r="D15" s="2">
        <v>8</v>
      </c>
      <c r="E15" s="1">
        <v>90</v>
      </c>
      <c r="F15" s="1">
        <v>60</v>
      </c>
    </row>
    <row r="16" spans="1:6" x14ac:dyDescent="0.25">
      <c r="A16" s="1" t="s">
        <v>20</v>
      </c>
      <c r="B16" s="1" t="s">
        <v>22</v>
      </c>
      <c r="C16" s="2">
        <v>1.9</v>
      </c>
      <c r="D16" s="2">
        <v>0.2</v>
      </c>
      <c r="E16" s="1">
        <v>120</v>
      </c>
      <c r="F16" s="1">
        <v>60</v>
      </c>
    </row>
    <row r="17" spans="1:6" x14ac:dyDescent="0.25">
      <c r="A17" s="1" t="s">
        <v>21</v>
      </c>
      <c r="B17" s="1" t="s">
        <v>22</v>
      </c>
      <c r="C17" s="2">
        <v>1.5</v>
      </c>
      <c r="D17" s="2">
        <v>0.1</v>
      </c>
      <c r="E17" s="1">
        <v>180</v>
      </c>
      <c r="F17" s="1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E26-1652-4258-870C-BDC2CC8BCC72}">
  <dimension ref="A2:H60"/>
  <sheetViews>
    <sheetView workbookViewId="0">
      <selection activeCell="AE16" sqref="AE16"/>
    </sheetView>
  </sheetViews>
  <sheetFormatPr defaultRowHeight="15" x14ac:dyDescent="0.25"/>
  <cols>
    <col min="1" max="1" width="18" bestFit="1" customWidth="1"/>
    <col min="2" max="2" width="28.140625" bestFit="1" customWidth="1"/>
    <col min="3" max="3" width="5.85546875" customWidth="1"/>
    <col min="4" max="4" width="18" bestFit="1" customWidth="1"/>
    <col min="5" max="5" width="20.42578125" bestFit="1" customWidth="1"/>
    <col min="6" max="6" width="5.140625" customWidth="1"/>
    <col min="7" max="7" width="18" bestFit="1" customWidth="1"/>
    <col min="8" max="8" width="29.7109375" bestFit="1" customWidth="1"/>
    <col min="9" max="9" width="46.28515625" bestFit="1" customWidth="1"/>
    <col min="11" max="11" width="29.5703125" customWidth="1"/>
  </cols>
  <sheetData>
    <row r="2" spans="1:8" x14ac:dyDescent="0.25">
      <c r="A2" s="6" t="s">
        <v>74</v>
      </c>
      <c r="B2" t="s">
        <v>76</v>
      </c>
      <c r="D2" s="6" t="s">
        <v>74</v>
      </c>
      <c r="E2" t="s">
        <v>77</v>
      </c>
      <c r="G2" s="6" t="s">
        <v>74</v>
      </c>
      <c r="H2" t="s">
        <v>78</v>
      </c>
    </row>
    <row r="3" spans="1:8" x14ac:dyDescent="0.25">
      <c r="A3" s="7" t="s">
        <v>61</v>
      </c>
      <c r="B3" s="8">
        <v>16</v>
      </c>
      <c r="D3" s="7" t="s">
        <v>61</v>
      </c>
      <c r="E3" s="8">
        <v>160</v>
      </c>
      <c r="G3" s="7" t="s">
        <v>61</v>
      </c>
      <c r="H3" s="8">
        <v>160</v>
      </c>
    </row>
    <row r="4" spans="1:8" x14ac:dyDescent="0.25">
      <c r="A4" s="7" t="s">
        <v>66</v>
      </c>
      <c r="B4" s="8">
        <v>16</v>
      </c>
      <c r="D4" s="7" t="s">
        <v>66</v>
      </c>
      <c r="E4" s="8">
        <v>160</v>
      </c>
      <c r="G4" s="7" t="s">
        <v>66</v>
      </c>
      <c r="H4" s="8">
        <v>160</v>
      </c>
    </row>
    <row r="5" spans="1:8" x14ac:dyDescent="0.25">
      <c r="A5" s="7" t="s">
        <v>62</v>
      </c>
      <c r="B5" s="8">
        <v>16</v>
      </c>
      <c r="D5" s="7" t="s">
        <v>62</v>
      </c>
      <c r="E5" s="8">
        <v>160</v>
      </c>
      <c r="G5" s="7" t="s">
        <v>62</v>
      </c>
      <c r="H5" s="8">
        <v>160</v>
      </c>
    </row>
    <row r="6" spans="1:8" x14ac:dyDescent="0.25">
      <c r="A6" s="7" t="s">
        <v>67</v>
      </c>
      <c r="B6" s="8">
        <v>16</v>
      </c>
      <c r="D6" s="7" t="s">
        <v>67</v>
      </c>
      <c r="E6" s="8">
        <v>80</v>
      </c>
      <c r="G6" s="7" t="s">
        <v>67</v>
      </c>
      <c r="H6" s="8">
        <v>80</v>
      </c>
    </row>
    <row r="7" spans="1:8" x14ac:dyDescent="0.25">
      <c r="A7" s="7" t="s">
        <v>68</v>
      </c>
      <c r="B7" s="8">
        <v>3</v>
      </c>
      <c r="D7" s="7" t="s">
        <v>68</v>
      </c>
      <c r="E7" s="8">
        <v>15</v>
      </c>
      <c r="G7" s="7" t="s">
        <v>68</v>
      </c>
      <c r="H7" s="8">
        <v>15</v>
      </c>
    </row>
    <row r="8" spans="1:8" x14ac:dyDescent="0.25">
      <c r="A8" s="7" t="s">
        <v>63</v>
      </c>
      <c r="B8" s="8">
        <v>3</v>
      </c>
      <c r="D8" s="7" t="s">
        <v>63</v>
      </c>
      <c r="E8" s="8">
        <v>15</v>
      </c>
      <c r="G8" s="7" t="s">
        <v>63</v>
      </c>
      <c r="H8" s="8">
        <v>15</v>
      </c>
    </row>
    <row r="9" spans="1:8" x14ac:dyDescent="0.25">
      <c r="A9" s="7" t="s">
        <v>64</v>
      </c>
      <c r="B9" s="8">
        <v>1</v>
      </c>
      <c r="D9" s="7" t="s">
        <v>64</v>
      </c>
      <c r="E9" s="8">
        <v>5</v>
      </c>
      <c r="G9" s="7" t="s">
        <v>64</v>
      </c>
      <c r="H9" s="8">
        <v>5</v>
      </c>
    </row>
    <row r="10" spans="1:8" x14ac:dyDescent="0.25">
      <c r="A10" s="7" t="s">
        <v>69</v>
      </c>
      <c r="B10" s="8">
        <v>4</v>
      </c>
      <c r="D10" s="7" t="s">
        <v>69</v>
      </c>
      <c r="E10" s="8">
        <v>20</v>
      </c>
      <c r="G10" s="7" t="s">
        <v>69</v>
      </c>
      <c r="H10" s="8">
        <v>20</v>
      </c>
    </row>
    <row r="11" spans="1:8" x14ac:dyDescent="0.25">
      <c r="A11" s="7" t="s">
        <v>70</v>
      </c>
      <c r="B11" s="8">
        <v>3</v>
      </c>
      <c r="D11" s="7" t="s">
        <v>70</v>
      </c>
      <c r="E11" s="8">
        <v>15</v>
      </c>
      <c r="G11" s="7" t="s">
        <v>70</v>
      </c>
      <c r="H11" s="8">
        <v>15</v>
      </c>
    </row>
    <row r="12" spans="1:8" x14ac:dyDescent="0.25">
      <c r="A12" s="7" t="s">
        <v>71</v>
      </c>
      <c r="B12" s="8">
        <v>5</v>
      </c>
      <c r="D12" s="7" t="s">
        <v>71</v>
      </c>
      <c r="E12" s="8">
        <v>25</v>
      </c>
      <c r="G12" s="7" t="s">
        <v>71</v>
      </c>
      <c r="H12" s="8">
        <v>25</v>
      </c>
    </row>
    <row r="13" spans="1:8" x14ac:dyDescent="0.25">
      <c r="A13" s="7" t="s">
        <v>65</v>
      </c>
      <c r="B13" s="8">
        <v>2</v>
      </c>
      <c r="D13" s="7" t="s">
        <v>65</v>
      </c>
      <c r="E13" s="8">
        <v>10</v>
      </c>
      <c r="G13" s="7" t="s">
        <v>65</v>
      </c>
      <c r="H13" s="8">
        <v>10</v>
      </c>
    </row>
    <row r="14" spans="1:8" x14ac:dyDescent="0.25">
      <c r="A14" s="7" t="s">
        <v>72</v>
      </c>
      <c r="B14" s="8">
        <v>1</v>
      </c>
      <c r="D14" s="7" t="s">
        <v>72</v>
      </c>
      <c r="E14" s="8">
        <v>5</v>
      </c>
      <c r="G14" s="7" t="s">
        <v>72</v>
      </c>
      <c r="H14" s="8">
        <v>5</v>
      </c>
    </row>
    <row r="15" spans="1:8" x14ac:dyDescent="0.25">
      <c r="A15" s="7" t="s">
        <v>75</v>
      </c>
      <c r="B15" s="8">
        <v>86</v>
      </c>
      <c r="D15" s="7" t="s">
        <v>75</v>
      </c>
      <c r="E15" s="8">
        <v>670</v>
      </c>
      <c r="G15" s="7" t="s">
        <v>75</v>
      </c>
      <c r="H15" s="8">
        <v>670</v>
      </c>
    </row>
    <row r="17" spans="1:8" x14ac:dyDescent="0.25">
      <c r="A17" s="6" t="s">
        <v>74</v>
      </c>
      <c r="B17" t="s">
        <v>79</v>
      </c>
      <c r="D17" s="6" t="s">
        <v>74</v>
      </c>
      <c r="E17" t="s">
        <v>80</v>
      </c>
      <c r="G17" s="6" t="s">
        <v>74</v>
      </c>
      <c r="H17" t="s">
        <v>81</v>
      </c>
    </row>
    <row r="18" spans="1:8" x14ac:dyDescent="0.25">
      <c r="A18" s="7" t="s">
        <v>61</v>
      </c>
      <c r="B18" s="8">
        <v>0</v>
      </c>
      <c r="D18" s="7" t="s">
        <v>61</v>
      </c>
      <c r="E18" s="8">
        <v>0</v>
      </c>
      <c r="G18" s="7" t="s">
        <v>61</v>
      </c>
      <c r="H18" s="8">
        <v>21956</v>
      </c>
    </row>
    <row r="19" spans="1:8" x14ac:dyDescent="0.25">
      <c r="A19" s="7" t="s">
        <v>66</v>
      </c>
      <c r="B19" s="8">
        <v>0</v>
      </c>
      <c r="D19" s="7" t="s">
        <v>66</v>
      </c>
      <c r="E19" s="8">
        <v>520</v>
      </c>
      <c r="G19" s="7" t="s">
        <v>66</v>
      </c>
      <c r="H19" s="8">
        <v>21956</v>
      </c>
    </row>
    <row r="20" spans="1:8" x14ac:dyDescent="0.25">
      <c r="A20" s="7" t="s">
        <v>62</v>
      </c>
      <c r="B20" s="8">
        <v>0</v>
      </c>
      <c r="D20" s="7" t="s">
        <v>62</v>
      </c>
      <c r="E20" s="8">
        <v>640</v>
      </c>
      <c r="G20" s="7" t="s">
        <v>62</v>
      </c>
      <c r="H20" s="8">
        <v>21956</v>
      </c>
    </row>
    <row r="21" spans="1:8" x14ac:dyDescent="0.25">
      <c r="A21" s="7" t="s">
        <v>67</v>
      </c>
      <c r="B21" s="8">
        <v>0</v>
      </c>
      <c r="D21" s="7" t="s">
        <v>67</v>
      </c>
      <c r="E21" s="8">
        <v>675</v>
      </c>
      <c r="G21" s="7" t="s">
        <v>67</v>
      </c>
      <c r="H21" s="8">
        <v>10978</v>
      </c>
    </row>
    <row r="22" spans="1:8" x14ac:dyDescent="0.25">
      <c r="A22" s="7" t="s">
        <v>68</v>
      </c>
      <c r="B22" s="8">
        <v>0</v>
      </c>
      <c r="D22" s="7" t="s">
        <v>68</v>
      </c>
      <c r="E22" s="8">
        <v>660</v>
      </c>
      <c r="G22" s="7" t="s">
        <v>68</v>
      </c>
      <c r="H22" s="8">
        <v>40</v>
      </c>
    </row>
    <row r="23" spans="1:8" x14ac:dyDescent="0.25">
      <c r="A23" s="7" t="s">
        <v>63</v>
      </c>
      <c r="B23" s="8">
        <v>0</v>
      </c>
      <c r="D23" s="7" t="s">
        <v>63</v>
      </c>
      <c r="E23" s="8">
        <v>90</v>
      </c>
      <c r="G23" s="7" t="s">
        <v>63</v>
      </c>
      <c r="H23" s="8">
        <v>594</v>
      </c>
    </row>
    <row r="24" spans="1:8" x14ac:dyDescent="0.25">
      <c r="A24" s="7" t="s">
        <v>64</v>
      </c>
      <c r="B24" s="8">
        <v>0</v>
      </c>
      <c r="D24" s="7" t="s">
        <v>64</v>
      </c>
      <c r="E24" s="8">
        <v>90</v>
      </c>
      <c r="G24" s="7" t="s">
        <v>64</v>
      </c>
      <c r="H24" s="8">
        <v>125</v>
      </c>
    </row>
    <row r="25" spans="1:8" x14ac:dyDescent="0.25">
      <c r="A25" s="7" t="s">
        <v>69</v>
      </c>
      <c r="B25" s="8">
        <v>0</v>
      </c>
      <c r="D25" s="7" t="s">
        <v>69</v>
      </c>
      <c r="E25" s="8">
        <v>0</v>
      </c>
      <c r="G25" s="7" t="s">
        <v>69</v>
      </c>
      <c r="H25" s="8">
        <v>430.5</v>
      </c>
    </row>
    <row r="26" spans="1:8" x14ac:dyDescent="0.25">
      <c r="A26" s="7" t="s">
        <v>70</v>
      </c>
      <c r="B26" s="8">
        <v>0</v>
      </c>
      <c r="D26" s="7" t="s">
        <v>70</v>
      </c>
      <c r="E26" s="8">
        <v>270</v>
      </c>
      <c r="G26" s="7" t="s">
        <v>70</v>
      </c>
      <c r="H26" s="8">
        <v>21.5</v>
      </c>
    </row>
    <row r="27" spans="1:8" x14ac:dyDescent="0.25">
      <c r="A27" s="7" t="s">
        <v>71</v>
      </c>
      <c r="B27" s="8">
        <v>0</v>
      </c>
      <c r="D27" s="7" t="s">
        <v>71</v>
      </c>
      <c r="E27" s="8">
        <v>270</v>
      </c>
      <c r="G27" s="7" t="s">
        <v>71</v>
      </c>
      <c r="H27" s="8">
        <v>10165</v>
      </c>
    </row>
    <row r="28" spans="1:8" x14ac:dyDescent="0.25">
      <c r="A28" s="7" t="s">
        <v>65</v>
      </c>
      <c r="B28" s="8">
        <v>0</v>
      </c>
      <c r="D28" s="7" t="s">
        <v>65</v>
      </c>
      <c r="E28" s="8">
        <v>0</v>
      </c>
      <c r="G28" s="7" t="s">
        <v>65</v>
      </c>
      <c r="H28" s="8">
        <v>17</v>
      </c>
    </row>
    <row r="29" spans="1:8" x14ac:dyDescent="0.25">
      <c r="A29" s="7" t="s">
        <v>72</v>
      </c>
      <c r="B29" s="8">
        <v>0</v>
      </c>
      <c r="D29" s="7" t="s">
        <v>72</v>
      </c>
      <c r="E29" s="8">
        <v>135</v>
      </c>
      <c r="G29" s="7" t="s">
        <v>72</v>
      </c>
      <c r="H29" s="8">
        <v>25</v>
      </c>
    </row>
    <row r="30" spans="1:8" x14ac:dyDescent="0.25">
      <c r="A30" s="7" t="s">
        <v>75</v>
      </c>
      <c r="B30" s="8">
        <v>0</v>
      </c>
      <c r="D30" s="7" t="s">
        <v>75</v>
      </c>
      <c r="E30" s="8">
        <v>3350</v>
      </c>
      <c r="G30" s="7" t="s">
        <v>75</v>
      </c>
      <c r="H30" s="8">
        <v>88264</v>
      </c>
    </row>
    <row r="32" spans="1:8" x14ac:dyDescent="0.25">
      <c r="A32" s="6" t="s">
        <v>74</v>
      </c>
      <c r="B32" t="s">
        <v>82</v>
      </c>
      <c r="D32" s="6" t="s">
        <v>74</v>
      </c>
      <c r="E32" t="s">
        <v>83</v>
      </c>
      <c r="G32" s="6" t="s">
        <v>74</v>
      </c>
      <c r="H32" t="s">
        <v>84</v>
      </c>
    </row>
    <row r="33" spans="1:8" x14ac:dyDescent="0.25">
      <c r="A33" s="7" t="s">
        <v>61</v>
      </c>
      <c r="B33" s="8">
        <v>20355</v>
      </c>
      <c r="D33" s="7" t="s">
        <v>61</v>
      </c>
      <c r="E33" s="8">
        <v>0</v>
      </c>
      <c r="G33" s="7" t="s">
        <v>61</v>
      </c>
      <c r="H33" s="8">
        <v>0</v>
      </c>
    </row>
    <row r="34" spans="1:8" x14ac:dyDescent="0.25">
      <c r="A34" s="7" t="s">
        <v>66</v>
      </c>
      <c r="B34" s="8">
        <v>21763</v>
      </c>
      <c r="D34" s="7" t="s">
        <v>66</v>
      </c>
      <c r="E34" s="8">
        <v>0</v>
      </c>
      <c r="G34" s="7" t="s">
        <v>66</v>
      </c>
      <c r="H34" s="8">
        <v>0</v>
      </c>
    </row>
    <row r="35" spans="1:8" x14ac:dyDescent="0.25">
      <c r="A35" s="7" t="s">
        <v>62</v>
      </c>
      <c r="B35" s="8">
        <v>21956</v>
      </c>
      <c r="D35" s="7" t="s">
        <v>62</v>
      </c>
      <c r="E35" s="8">
        <v>0</v>
      </c>
      <c r="G35" s="7" t="s">
        <v>62</v>
      </c>
      <c r="H35" s="8">
        <v>0</v>
      </c>
    </row>
    <row r="36" spans="1:8" x14ac:dyDescent="0.25">
      <c r="A36" s="7" t="s">
        <v>67</v>
      </c>
      <c r="B36" s="8">
        <v>21956</v>
      </c>
      <c r="D36" s="7" t="s">
        <v>67</v>
      </c>
      <c r="E36" s="8">
        <v>0</v>
      </c>
      <c r="G36" s="7" t="s">
        <v>67</v>
      </c>
      <c r="H36" s="8">
        <v>0</v>
      </c>
    </row>
    <row r="37" spans="1:8" x14ac:dyDescent="0.25">
      <c r="A37" s="7" t="s">
        <v>68</v>
      </c>
      <c r="B37" s="8">
        <v>1874</v>
      </c>
      <c r="D37" s="7" t="s">
        <v>68</v>
      </c>
      <c r="E37" s="8">
        <v>0</v>
      </c>
      <c r="G37" s="7" t="s">
        <v>68</v>
      </c>
      <c r="H37" s="8">
        <v>0</v>
      </c>
    </row>
    <row r="38" spans="1:8" x14ac:dyDescent="0.25">
      <c r="A38" s="7" t="s">
        <v>63</v>
      </c>
      <c r="B38" s="8">
        <v>1029</v>
      </c>
      <c r="D38" s="7" t="s">
        <v>63</v>
      </c>
      <c r="E38" s="8">
        <v>0</v>
      </c>
      <c r="G38" s="7" t="s">
        <v>63</v>
      </c>
      <c r="H38" s="8">
        <v>0</v>
      </c>
    </row>
    <row r="39" spans="1:8" x14ac:dyDescent="0.25">
      <c r="A39" s="7" t="s">
        <v>64</v>
      </c>
      <c r="B39" s="8">
        <v>409</v>
      </c>
      <c r="D39" s="7" t="s">
        <v>64</v>
      </c>
      <c r="E39" s="8">
        <v>0</v>
      </c>
      <c r="G39" s="7" t="s">
        <v>64</v>
      </c>
      <c r="H39" s="8">
        <v>0</v>
      </c>
    </row>
    <row r="40" spans="1:8" x14ac:dyDescent="0.25">
      <c r="A40" s="7" t="s">
        <v>69</v>
      </c>
      <c r="B40" s="8">
        <v>0</v>
      </c>
      <c r="D40" s="7" t="s">
        <v>69</v>
      </c>
      <c r="E40" s="8">
        <v>0</v>
      </c>
      <c r="G40" s="7" t="s">
        <v>69</v>
      </c>
      <c r="H40" s="8">
        <v>0</v>
      </c>
    </row>
    <row r="41" spans="1:8" x14ac:dyDescent="0.25">
      <c r="A41" s="7" t="s">
        <v>70</v>
      </c>
      <c r="B41" s="8">
        <v>886</v>
      </c>
      <c r="D41" s="7" t="s">
        <v>70</v>
      </c>
      <c r="E41" s="8">
        <v>0</v>
      </c>
      <c r="G41" s="7" t="s">
        <v>70</v>
      </c>
      <c r="H41" s="8">
        <v>0</v>
      </c>
    </row>
    <row r="42" spans="1:8" x14ac:dyDescent="0.25">
      <c r="A42" s="7" t="s">
        <v>71</v>
      </c>
      <c r="B42" s="8">
        <v>20348</v>
      </c>
      <c r="D42" s="7" t="s">
        <v>71</v>
      </c>
      <c r="E42" s="8">
        <v>0</v>
      </c>
      <c r="G42" s="7" t="s">
        <v>71</v>
      </c>
      <c r="H42" s="8">
        <v>0</v>
      </c>
    </row>
    <row r="43" spans="1:8" x14ac:dyDescent="0.25">
      <c r="A43" s="7" t="s">
        <v>65</v>
      </c>
      <c r="B43" s="8">
        <v>0</v>
      </c>
      <c r="D43" s="7" t="s">
        <v>65</v>
      </c>
      <c r="E43" s="8">
        <v>0</v>
      </c>
      <c r="G43" s="7" t="s">
        <v>65</v>
      </c>
      <c r="H43" s="8">
        <v>0</v>
      </c>
    </row>
    <row r="44" spans="1:8" x14ac:dyDescent="0.25">
      <c r="A44" s="7" t="s">
        <v>72</v>
      </c>
      <c r="B44" s="8">
        <v>84</v>
      </c>
      <c r="D44" s="7" t="s">
        <v>72</v>
      </c>
      <c r="E44" s="8">
        <v>0</v>
      </c>
      <c r="G44" s="7" t="s">
        <v>72</v>
      </c>
      <c r="H44" s="8">
        <v>0</v>
      </c>
    </row>
    <row r="45" spans="1:8" x14ac:dyDescent="0.25">
      <c r="A45" s="7" t="s">
        <v>75</v>
      </c>
      <c r="B45" s="8">
        <v>110660</v>
      </c>
      <c r="D45" s="7" t="s">
        <v>75</v>
      </c>
      <c r="E45" s="8">
        <v>0</v>
      </c>
      <c r="G45" s="7" t="s">
        <v>75</v>
      </c>
      <c r="H45" s="8">
        <v>0</v>
      </c>
    </row>
    <row r="47" spans="1:8" x14ac:dyDescent="0.25">
      <c r="A47" s="6" t="s">
        <v>74</v>
      </c>
      <c r="B47" t="s">
        <v>85</v>
      </c>
    </row>
    <row r="48" spans="1:8" x14ac:dyDescent="0.25">
      <c r="A48" s="7" t="s">
        <v>61</v>
      </c>
      <c r="B48" s="8">
        <v>7</v>
      </c>
    </row>
    <row r="49" spans="1:2" x14ac:dyDescent="0.25">
      <c r="A49" s="7" t="s">
        <v>66</v>
      </c>
      <c r="B49" s="8">
        <v>13</v>
      </c>
    </row>
    <row r="50" spans="1:2" x14ac:dyDescent="0.25">
      <c r="A50" s="7" t="s">
        <v>62</v>
      </c>
      <c r="B50" s="8">
        <v>16</v>
      </c>
    </row>
    <row r="51" spans="1:2" x14ac:dyDescent="0.25">
      <c r="A51" s="7" t="s">
        <v>67</v>
      </c>
      <c r="B51" s="8">
        <v>16</v>
      </c>
    </row>
    <row r="52" spans="1:2" x14ac:dyDescent="0.25">
      <c r="A52" s="7" t="s">
        <v>68</v>
      </c>
      <c r="B52" s="8">
        <v>15</v>
      </c>
    </row>
    <row r="53" spans="1:2" x14ac:dyDescent="0.25">
      <c r="A53" s="7" t="s">
        <v>63</v>
      </c>
      <c r="B53" s="8">
        <v>2</v>
      </c>
    </row>
    <row r="54" spans="1:2" x14ac:dyDescent="0.25">
      <c r="A54" s="7" t="s">
        <v>64</v>
      </c>
      <c r="B54" s="8">
        <v>2</v>
      </c>
    </row>
    <row r="55" spans="1:2" x14ac:dyDescent="0.25">
      <c r="A55" s="7" t="s">
        <v>69</v>
      </c>
      <c r="B55" s="8">
        <v>0</v>
      </c>
    </row>
    <row r="56" spans="1:2" x14ac:dyDescent="0.25">
      <c r="A56" s="7" t="s">
        <v>70</v>
      </c>
      <c r="B56" s="8">
        <v>6</v>
      </c>
    </row>
    <row r="57" spans="1:2" x14ac:dyDescent="0.25">
      <c r="A57" s="7" t="s">
        <v>71</v>
      </c>
      <c r="B57" s="8">
        <v>6</v>
      </c>
    </row>
    <row r="58" spans="1:2" x14ac:dyDescent="0.25">
      <c r="A58" s="7" t="s">
        <v>65</v>
      </c>
      <c r="B58" s="8">
        <v>0</v>
      </c>
    </row>
    <row r="59" spans="1:2" x14ac:dyDescent="0.25">
      <c r="A59" s="7" t="s">
        <v>72</v>
      </c>
      <c r="B59" s="8">
        <v>3</v>
      </c>
    </row>
    <row r="60" spans="1:2" x14ac:dyDescent="0.25">
      <c r="A60" s="7" t="s">
        <v>75</v>
      </c>
      <c r="B60" s="8">
        <v>86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6FF3-920C-4227-AEF8-E961A4034D59}">
  <dimension ref="A1"/>
  <sheetViews>
    <sheetView tabSelected="1" zoomScaleNormal="100" workbookViewId="0">
      <selection activeCell="M36" sqref="M36"/>
    </sheetView>
  </sheetViews>
  <sheetFormatPr defaultRowHeight="15" x14ac:dyDescent="0.25"/>
  <cols>
    <col min="1" max="28" width="9.140625" style="9"/>
    <col min="29" max="29" width="11.28515625" style="9" customWidth="1"/>
    <col min="30" max="16384" width="9.140625" style="9"/>
  </cols>
  <sheetData>
    <row r="1" ht="70.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CONTROLE AQUISIÇÃO</vt:lpstr>
      <vt:lpstr>CONTROLE CONSUMO</vt:lpstr>
      <vt:lpstr>ANÁLISE MENSAL</vt:lpstr>
      <vt:lpstr>TABELA PRODUTOS</vt:lpstr>
      <vt:lpstr>TABELA DINÂMICA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Lucas Fonseca</cp:lastModifiedBy>
  <cp:lastPrinted>2024-12-30T20:18:40Z</cp:lastPrinted>
  <dcterms:created xsi:type="dcterms:W3CDTF">2024-12-29T18:12:16Z</dcterms:created>
  <dcterms:modified xsi:type="dcterms:W3CDTF">2024-12-30T20:27:13Z</dcterms:modified>
</cp:coreProperties>
</file>