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visible" name="QDF" sheetId="2" r:id="rId6"/>
    <sheet state="visible" name="QDF-FATOR CORREÇÃO" sheetId="3" r:id="rId7"/>
    <sheet state="visible" name="SEÇÃO CONDUTORES" sheetId="4" r:id="rId8"/>
    <sheet state="visible" name="DISJUNTORES" sheetId="5" r:id="rId9"/>
    <sheet state="visible" name="QDF-QUEDA DE TENSÃO" sheetId="6" r:id="rId10"/>
    <sheet state="visible" name="QDF-BALANÇO TOTAL" sheetId="7" r:id="rId11"/>
    <sheet state="visible" name="QDF- BALANÇO POTENCIAS" sheetId="8" r:id="rId12"/>
    <sheet state="visible" name="QDFG" sheetId="9" r:id="rId13"/>
  </sheets>
  <definedNames/>
  <calcPr/>
</workbook>
</file>

<file path=xl/sharedStrings.xml><?xml version="1.0" encoding="utf-8"?>
<sst xmlns="http://schemas.openxmlformats.org/spreadsheetml/2006/main" count="1298" uniqueCount="312">
  <si>
    <t>LOCAL</t>
  </si>
  <si>
    <t>ALTURA DE MANUSEIO TRABALHO Hpp (m)</t>
  </si>
  <si>
    <t>LARGURA L (m)</t>
  </si>
  <si>
    <t>Dimensionamento de Cálculos Das Tomadas</t>
  </si>
  <si>
    <t>COMPRIMENTO C (m)</t>
  </si>
  <si>
    <t>ÁREA (m²)</t>
  </si>
  <si>
    <t>PERÍMETRO (m)</t>
  </si>
  <si>
    <t>TETO</t>
  </si>
  <si>
    <t>PAREDE</t>
  </si>
  <si>
    <t>PISO</t>
  </si>
  <si>
    <t>ALTURA TOTAL/PÉ-DIREITO Htp (m)</t>
  </si>
  <si>
    <t>SALA DE CALDEIRAS</t>
  </si>
  <si>
    <t>Quadro</t>
  </si>
  <si>
    <t>Nº do circuito</t>
  </si>
  <si>
    <t xml:space="preserve">Área </t>
  </si>
  <si>
    <t>Tipo Tomada</t>
  </si>
  <si>
    <t>Nº Fases</t>
  </si>
  <si>
    <t>Tensão (V)</t>
  </si>
  <si>
    <t>Método de Instalação</t>
  </si>
  <si>
    <t>Método de Referência</t>
  </si>
  <si>
    <t>Nº de Tomadas</t>
  </si>
  <si>
    <t>Potência tomada (VA)</t>
  </si>
  <si>
    <t>Potência Aparente</t>
  </si>
  <si>
    <t>Corrente Nominal (A)</t>
  </si>
  <si>
    <t>FP</t>
  </si>
  <si>
    <t>Método B1 (Número 3): Usa-se se o eletroduto for aparente (de seção circular sobre a parede, como tubulações de PVC ou metálicas aparentes estilo industrial).</t>
  </si>
  <si>
    <t>QDF0</t>
  </si>
  <si>
    <t>ZINCO</t>
  </si>
  <si>
    <t>CLARA</t>
  </si>
  <si>
    <t>T0</t>
  </si>
  <si>
    <t>CONCRETO</t>
  </si>
  <si>
    <t>COMPRESSOR (BOMBAS E PRENSA)</t>
  </si>
  <si>
    <t>SUBESTAÇÃO</t>
  </si>
  <si>
    <t>TUG</t>
  </si>
  <si>
    <t>DEPÓSITO DE CARCAÇAS 1</t>
  </si>
  <si>
    <t>F</t>
  </si>
  <si>
    <t>DEPÓSITO DE CARCAÇAS 2</t>
  </si>
  <si>
    <t>RASPA</t>
  </si>
  <si>
    <t>QDF1</t>
  </si>
  <si>
    <t>RECAPAGEM 1</t>
  </si>
  <si>
    <t>T1</t>
  </si>
  <si>
    <t>RECAPAGEM 2</t>
  </si>
  <si>
    <t>RECAPAGEM 3</t>
  </si>
  <si>
    <t>SAIDA DE PRODUTOS (SALA DE PRODUTOS)</t>
  </si>
  <si>
    <t>CLARO</t>
  </si>
  <si>
    <t>AZULEJO CINZA</t>
  </si>
  <si>
    <t>CONTROLE DE QUALIDADE</t>
  </si>
  <si>
    <t>T2</t>
  </si>
  <si>
    <t>TUE</t>
  </si>
  <si>
    <t>BRANCO</t>
  </si>
  <si>
    <t>BRANCA</t>
  </si>
  <si>
    <t>BANHEIRO(VESTUARIO)</t>
  </si>
  <si>
    <t>Método de instalação se escolhe da tabela dos slides de ampacidade, isso seria a norma 5410. MÉTODO DE INSTALAÇÃO VARIA POIS EM ILUMINAÇÃO SE PODE USAR CALHA, MAS PARA CHEGAR EM TOMADAS OU INTERRUPTOR É ATRAVÉS DE ELETRODUTOS</t>
  </si>
  <si>
    <t>ESCRITÓRIO</t>
  </si>
  <si>
    <t>QDF2</t>
  </si>
  <si>
    <t>BEGE</t>
  </si>
  <si>
    <t>T3</t>
  </si>
  <si>
    <t>T4</t>
  </si>
  <si>
    <t>QDF3</t>
  </si>
  <si>
    <t>T5</t>
  </si>
  <si>
    <t>DEPÓSITO DE CARCAÇAS</t>
  </si>
  <si>
    <t>MÉTODO DE INSTALAÇÃO: ADOTAR O PIOR CASO, ISSO SERIA O QUE TIVER O MENOS VALOR DE CORRENTE, CALHA É 13 E OU F, ELETRODUTO É 3</t>
  </si>
  <si>
    <t>T6</t>
  </si>
  <si>
    <t>QDF4</t>
  </si>
  <si>
    <t>T7</t>
  </si>
  <si>
    <t>T8</t>
  </si>
  <si>
    <t xml:space="preserve"> </t>
  </si>
  <si>
    <t>T9</t>
  </si>
  <si>
    <t>EU DEVIA TER USADO O METODO DO ELETROCLHA POIS DEU 30 E ELETRODUTO 31</t>
  </si>
  <si>
    <t>T10</t>
  </si>
  <si>
    <t>QDF5</t>
  </si>
  <si>
    <t>T11</t>
  </si>
  <si>
    <t>B1</t>
  </si>
  <si>
    <t>T12</t>
  </si>
  <si>
    <t>QDF6</t>
  </si>
  <si>
    <t>T13</t>
  </si>
  <si>
    <t>T14</t>
  </si>
  <si>
    <t>SAIDA DE PRODUTOS</t>
  </si>
  <si>
    <t>T15</t>
  </si>
  <si>
    <t>Seção dos condutores (mm²)</t>
  </si>
  <si>
    <t>T16</t>
  </si>
  <si>
    <t>QDF7</t>
  </si>
  <si>
    <t>T17</t>
  </si>
  <si>
    <t>Fatores de correção</t>
  </si>
  <si>
    <t xml:space="preserve">Cabos multipolares </t>
  </si>
  <si>
    <t>T18</t>
  </si>
  <si>
    <t>BANHEIRO (VESTUARIO)</t>
  </si>
  <si>
    <t>Circuitos agrupados</t>
  </si>
  <si>
    <t>Condutores carregados CC</t>
  </si>
  <si>
    <t>Isolação</t>
  </si>
  <si>
    <t>Fase</t>
  </si>
  <si>
    <t>T19</t>
  </si>
  <si>
    <t>Neutro</t>
  </si>
  <si>
    <t>Terra</t>
  </si>
  <si>
    <t>Adota Seções nominais os escolhido la em FATOR CORREÇÃO, as seções nominais</t>
  </si>
  <si>
    <t>T20</t>
  </si>
  <si>
    <t>RESERVA</t>
  </si>
  <si>
    <t>Ref (tabela 9.10)</t>
  </si>
  <si>
    <t>Fator de agrupamento</t>
  </si>
  <si>
    <t>Fator de temperatura (45º)</t>
  </si>
  <si>
    <t>Fator de harmônicos</t>
  </si>
  <si>
    <t>Corrente nominal [A]</t>
  </si>
  <si>
    <t>Ip' (A)</t>
  </si>
  <si>
    <t>Iz (A)</t>
  </si>
  <si>
    <t>Iz'</t>
  </si>
  <si>
    <t>FATOR DE AGRUPAMENTO POR SER METODO 3 B1 QUE É B, ADOTA REFERENCIA 1</t>
  </si>
  <si>
    <t>EPR ou XLPE</t>
  </si>
  <si>
    <t>ÁREAS COM TETO ALTO 7M BOM ADOTAR O MÉTODO DA ELETROCALHA QUE É O PIOR CASO QUE SERIA O 13</t>
  </si>
  <si>
    <t>ÁREAS COM TETO BAIXO DE 3M ADOTAR O MÉTODO DO ELETRODUTO QUE É O 3</t>
  </si>
  <si>
    <t>Disjuntor (A)</t>
  </si>
  <si>
    <t>Mudou disjuntor</t>
  </si>
  <si>
    <t>Iz' (A)</t>
  </si>
  <si>
    <t>In (A)</t>
  </si>
  <si>
    <t>Ip (A)</t>
  </si>
  <si>
    <t>Iz'&gt;In&gt;Ip</t>
  </si>
  <si>
    <t>A corrente comercial do disjuntor é o In</t>
  </si>
  <si>
    <t xml:space="preserve">VE QUE O PIOR CASO EM 2,5 mm² PARA B1 É 31, PARA F 30. Bom adotar 3B </t>
  </si>
  <si>
    <t>PVC</t>
  </si>
  <si>
    <t>QDF_ILUMINAÇÃO</t>
  </si>
  <si>
    <t>Balanço de potencias (VA)</t>
  </si>
  <si>
    <t>Fator de Correção - Temperatura</t>
  </si>
  <si>
    <t>DEMANDA (VA)</t>
  </si>
  <si>
    <t>R</t>
  </si>
  <si>
    <t>S</t>
  </si>
  <si>
    <t>T</t>
  </si>
  <si>
    <t>Temperatura</t>
  </si>
  <si>
    <t>-</t>
  </si>
  <si>
    <t>Adota cabos EPR OU XLPE para ambientes mais nocivos (quentes, sujos, alta concentração de cabos) como: Sala de Caldeiras, Compressor (Bombas e Prensa), Depósito de Carcaças e Raspa, Recapagem, Subestação. Ambientes comuns como:  Sala de Produto, Controle de Qualidade, Banheiro (Vestuário) e Escritório adota cabos PVC</t>
  </si>
  <si>
    <t>FATOR HARMONICO: ADOTAR 1,15, O valor 1,15 é utilizado porque se trata de um fator de majoração aplicado quando há presença de 3º harmônico (entre 15% e 35%) em sistemas de iluminação e cargas não lineares (como reatores eletrônicos e lâmpadas LED).</t>
  </si>
  <si>
    <t>Circuitos trifásicos se deve dividi-los por 3 para equilibrar entre as fases, é isso mesmo</t>
  </si>
  <si>
    <t xml:space="preserve">Em subida QDL adotar a altura ou pé direito do local e considerar a bitola para subtrair 1,5 ou 3 </t>
  </si>
  <si>
    <t>Circuitos trifásicos se deve dividi-los por 3 para equilibrar entre as fases</t>
  </si>
  <si>
    <t>Potência Unitária (VA)</t>
  </si>
  <si>
    <t>Qtd Luminárias</t>
  </si>
  <si>
    <t>QDL0 - Subestação</t>
  </si>
  <si>
    <t xml:space="preserve"> Tabela de queda tensão adaptada Prysmian</t>
  </si>
  <si>
    <t>Circuito L0</t>
  </si>
  <si>
    <t>Corrente Ip (A)</t>
  </si>
  <si>
    <t>Distância L (m)</t>
  </si>
  <si>
    <t>Seção (mm²)</t>
  </si>
  <si>
    <t>R [Ω/m]</t>
  </si>
  <si>
    <t>X [Ω/m]</t>
  </si>
  <si>
    <t>ΔV (V)</t>
  </si>
  <si>
    <t>ΔV (%)</t>
  </si>
  <si>
    <t>ΔV(%)*</t>
  </si>
  <si>
    <t>Comprimento</t>
  </si>
  <si>
    <t>Curva</t>
  </si>
  <si>
    <t>Subida QDL</t>
  </si>
  <si>
    <t>ΔV unitário (V)</t>
  </si>
  <si>
    <t>SOMATÓRIO</t>
  </si>
  <si>
    <t>QDF0 - Subestação</t>
  </si>
  <si>
    <t>I_I (negocio do denominador) é produtorio no denominador: Ele indica que você deve multiplicar todos os fatores de correção entre si e dividir a corrente de projeto Ip por esse resultado.</t>
  </si>
  <si>
    <t>TOTAL DAS FASES</t>
  </si>
  <si>
    <t>pergunta calculo de Ip'</t>
  </si>
  <si>
    <t>Circuito</t>
  </si>
  <si>
    <t>DIVISÃO TOTAL DAS FASES</t>
  </si>
  <si>
    <t>PERGUNTA CALCULO DE Iz' existe?</t>
  </si>
  <si>
    <t>Corrente do Disjuntor In (A)</t>
  </si>
  <si>
    <t>Disjuntor</t>
  </si>
  <si>
    <t>FASE MAIS CARREGADA</t>
  </si>
  <si>
    <t>Capacidade de interrupção do disjuntor (kA)</t>
  </si>
  <si>
    <t>Balanço de potência (VA)</t>
  </si>
  <si>
    <t>Iz são os valores de corrente das tabelas que depende do tipo de isolação e instalação. Também verificar a seção minima na tabela que é 2,5 para tomada. Caso da raspa a corrente Ip' deu 18,03A  perto do limite que é 22A  por segurança adota o debaixo que é 30, adota tipo uns 10 a 30% de segurança</t>
  </si>
  <si>
    <t>BARRAMENTO AQUI FAÇO DA FASE MAIS CARREGADA PRO QGL E QDL PARA CIRCUITOS DE FASES DESEQUILIBRADAS (É TUDO MENOS MOTOR)</t>
  </si>
  <si>
    <t>Potência Unitária TUG</t>
  </si>
  <si>
    <t>Potência Unitária TUE</t>
  </si>
  <si>
    <t>Qtd Tomadas</t>
  </si>
  <si>
    <t>QDF1 - Sala de Caldeiras</t>
  </si>
  <si>
    <t>QDL1 - Sala de Caldeiras</t>
  </si>
  <si>
    <t>Circuito T1</t>
  </si>
  <si>
    <t>TOMADA VAI CIRCUITO RESERVA, O VALOR DE POTENCIA DELE É A MÉDIA DAS FASES</t>
  </si>
  <si>
    <t>QDF1-TOM1</t>
  </si>
  <si>
    <t>MDW-C10</t>
  </si>
  <si>
    <t>QDF1-TOM2</t>
  </si>
  <si>
    <t>Disjuntor escolhe baseado na In obtida lá em disjuntores</t>
  </si>
  <si>
    <t>QDF1-TOM3</t>
  </si>
  <si>
    <t>pergunta: Capacidade de interrupção do disjuntor (kA) eu posso colocar 2 kA por ser 220 V certo?</t>
  </si>
  <si>
    <t>QDF1-TOM4</t>
  </si>
  <si>
    <t>Circuito T2</t>
  </si>
  <si>
    <t>QDF1-TUE</t>
  </si>
  <si>
    <t>Balanço de potência confiro a distribuição em balanço total</t>
  </si>
  <si>
    <t>QDF2 - Compressor (bombas e prensa)</t>
  </si>
  <si>
    <t>MDW-C6</t>
  </si>
  <si>
    <t>PRECISA BOTAR TRECHO A, A até tomada 1 e por ae vai</t>
  </si>
  <si>
    <t>2 curvas verticais (uma na subida do quadro e uma na descida para a tomada)</t>
  </si>
  <si>
    <t>A corrente faz a potencia unitaria vezes o numero de lampadas de cada trecho, dividido pela tensão, cada trecho p/ baixo reduz o numero de luminarias</t>
  </si>
  <si>
    <t>ΔV unitário pega no catalogo</t>
  </si>
  <si>
    <t>A distancia se soma os comprimentos dos eletrodutos de cada trecho, no trecho com QDL faz comprimento+curva*1,5 ou 3+subida</t>
  </si>
  <si>
    <t>A distancia se soma os comprimentos dos eletrodutos de cada trecho</t>
  </si>
  <si>
    <t>A impedancia Z separada em R (resistencia) e X (reatancia) adotar o valor da tabela de Impedancia de Sequencia Postiva considerando a seção</t>
  </si>
  <si>
    <t>Corrente do Disjuntor (A)</t>
  </si>
  <si>
    <t>Potência aparente (VA)</t>
  </si>
  <si>
    <t>QDF-0</t>
  </si>
  <si>
    <t>QDF3- Depósito de carcaças</t>
  </si>
  <si>
    <t>QDF-1</t>
  </si>
  <si>
    <t>Calcular o ΔV faz a formula</t>
  </si>
  <si>
    <t>QDF-2</t>
  </si>
  <si>
    <t>MDW-C16</t>
  </si>
  <si>
    <t>QDF-3</t>
  </si>
  <si>
    <t>QDF-4</t>
  </si>
  <si>
    <t>QDF-5</t>
  </si>
  <si>
    <t>MDW-C16/2</t>
  </si>
  <si>
    <t>QDF-6</t>
  </si>
  <si>
    <t>QDF-7</t>
  </si>
  <si>
    <t>MDW-C50/2</t>
  </si>
  <si>
    <t>Total</t>
  </si>
  <si>
    <t>RQDL-1</t>
  </si>
  <si>
    <t>Circuito reserva em tomada precisa de potencia</t>
  </si>
  <si>
    <t>RQDL-2</t>
  </si>
  <si>
    <t>RQDL-3</t>
  </si>
  <si>
    <t>Corrente nominal (A)</t>
  </si>
  <si>
    <t>Método de instalação</t>
  </si>
  <si>
    <t>Método de referência</t>
  </si>
  <si>
    <t>Calcular o ΔV% faz a formula, no denominador usa Ncp é Número de Condutores de Fase (ou número de fases do circuito).</t>
  </si>
  <si>
    <t>QDF4- Raspa e Recapagem</t>
  </si>
  <si>
    <t>ΔV(%)* calcula segue a tabela primera, ve que o primeiro trecho é apenas o ΔV, segundo trecho é a soma do ΔV% trecho anterior+ΔV do trecho atual</t>
  </si>
  <si>
    <t xml:space="preserve">Preciso utilizar o quadro de QDL mais distante de QDGL </t>
  </si>
  <si>
    <t>Circuito L1</t>
  </si>
  <si>
    <t>Corrente (A)</t>
  </si>
  <si>
    <t>Distância (m)</t>
  </si>
  <si>
    <t>QDF5 - Escritório</t>
  </si>
  <si>
    <t>ΔV [V]</t>
  </si>
  <si>
    <t>ΔV [%]</t>
  </si>
  <si>
    <t>ΔV[%]*</t>
  </si>
  <si>
    <t>QDGL-QDL5</t>
  </si>
  <si>
    <t/>
  </si>
  <si>
    <t>Fator de temperatura (50ºC)</t>
  </si>
  <si>
    <t>QDF6 - Saída de Produtos e Controle de Qualidade</t>
  </si>
  <si>
    <t>IZ' (A)</t>
  </si>
  <si>
    <t>QGDL</t>
  </si>
  <si>
    <t>QDL2 - Compressor (Bombas e prensa)</t>
  </si>
  <si>
    <t>Circuito T3</t>
  </si>
  <si>
    <t>QDF2-TOM1</t>
  </si>
  <si>
    <t>ADOTAR A POTENCIA FASE MAIS CARREGADA DO QGDL</t>
  </si>
  <si>
    <t>QDF2-TOM2</t>
  </si>
  <si>
    <t>usei B1 7</t>
  </si>
  <si>
    <t>Circuito T4</t>
  </si>
  <si>
    <t>QDF2-TUE</t>
  </si>
  <si>
    <t>QDF7 - Banheiro (Vestiário)</t>
  </si>
  <si>
    <t>MDW-C50</t>
  </si>
  <si>
    <t>2 curvas verticais (uma na subida do quadro e uma na descida para a tomada), totalizando 4 curvas.</t>
  </si>
  <si>
    <t>QDL3 - Depósito carcaças</t>
  </si>
  <si>
    <t>Circuito T5</t>
  </si>
  <si>
    <t>QDF3-TOM1</t>
  </si>
  <si>
    <t>QDF3-TOM2</t>
  </si>
  <si>
    <t>QDF3-TOM3</t>
  </si>
  <si>
    <t>QDF3-TOM4</t>
  </si>
  <si>
    <t>Circuito T6</t>
  </si>
  <si>
    <t>QDF3-TUE</t>
  </si>
  <si>
    <t>QDL4- Raspa</t>
  </si>
  <si>
    <t>Circuito T7</t>
  </si>
  <si>
    <t>QDF4-TOM1</t>
  </si>
  <si>
    <t>QDF4-TOM2</t>
  </si>
  <si>
    <t>QDF4-TOM3</t>
  </si>
  <si>
    <t>QDF4-TOM4</t>
  </si>
  <si>
    <t>QDF4-TOM5</t>
  </si>
  <si>
    <t>QDF4-TOM6</t>
  </si>
  <si>
    <t>Circuito T8</t>
  </si>
  <si>
    <t>QDF4-TUE</t>
  </si>
  <si>
    <t>Circuito T11</t>
  </si>
  <si>
    <t>T11-TOM1</t>
  </si>
  <si>
    <t>T11-TOM2</t>
  </si>
  <si>
    <t>T11-TOM3</t>
  </si>
  <si>
    <t>T11-TOM4</t>
  </si>
  <si>
    <t>T11-TOM5</t>
  </si>
  <si>
    <t>T11-TOM6</t>
  </si>
  <si>
    <t>Circuito T12</t>
  </si>
  <si>
    <t>T12-TOM1</t>
  </si>
  <si>
    <t>T12-TOM2</t>
  </si>
  <si>
    <t>T12-TOM3</t>
  </si>
  <si>
    <t>T12-TOM4</t>
  </si>
  <si>
    <t>T12-TOM5</t>
  </si>
  <si>
    <t>Circuito T13</t>
  </si>
  <si>
    <t>T13-TUE</t>
  </si>
  <si>
    <t>QDF6 - Saída de Produtos</t>
  </si>
  <si>
    <t>Circuito T14</t>
  </si>
  <si>
    <t>T14-TOM1</t>
  </si>
  <si>
    <t>T14-TOM2</t>
  </si>
  <si>
    <t>T14-TOM3</t>
  </si>
  <si>
    <t>T14-TOM4</t>
  </si>
  <si>
    <t>T14-TOM5</t>
  </si>
  <si>
    <t>T14-TOM6</t>
  </si>
  <si>
    <t>T14-TOM7</t>
  </si>
  <si>
    <t>T14-TOM8</t>
  </si>
  <si>
    <t>QDF6 - Controle de Qualidade</t>
  </si>
  <si>
    <t>Circuito T15</t>
  </si>
  <si>
    <t>T15-Tronco QDF→A</t>
  </si>
  <si>
    <t>T15-TOM1</t>
  </si>
  <si>
    <t>T15-Tronco A→B</t>
  </si>
  <si>
    <t>T15-TOM2</t>
  </si>
  <si>
    <t>T15-Tronco B→riser</t>
  </si>
  <si>
    <t>T15-TOM3</t>
  </si>
  <si>
    <t>T15-Riser base→topo</t>
  </si>
  <si>
    <t>T15-TOM4</t>
  </si>
  <si>
    <t>T15-Tronco riser→C</t>
  </si>
  <si>
    <t>T15-TOM5</t>
  </si>
  <si>
    <t>T15-Tronco C→fim</t>
  </si>
  <si>
    <t>T15-TOM6</t>
  </si>
  <si>
    <t>T15-Ramal fim→BE05</t>
  </si>
  <si>
    <t>T15-TOM7</t>
  </si>
  <si>
    <t>T15-BE05→BE06</t>
  </si>
  <si>
    <t>T15-TOM8</t>
  </si>
  <si>
    <t>T15-Tronco127 oeste</t>
  </si>
  <si>
    <t>T15-Ramal norte</t>
  </si>
  <si>
    <t>Circuito T16</t>
  </si>
  <si>
    <t>T16-TUE</t>
  </si>
  <si>
    <t>Circuito T17</t>
  </si>
  <si>
    <t>T17-TUE</t>
  </si>
  <si>
    <t>Circuito T18</t>
  </si>
  <si>
    <t>T18-TOM1</t>
  </si>
  <si>
    <t>Circuito T19</t>
  </si>
  <si>
    <t>T19-CHUVEIRO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</si>
</sst>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"/>
    <numFmt numFmtId="165" formatCode="0.0"/>
    <numFmt numFmtId="166" formatCode="0.0000%"/>
    <numFmt numFmtId="167" formatCode="0.0000"/>
  </numFmts>
  <fonts count="12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b/>
      <color theme="1"/>
      <name val="Arial"/>
      <scheme val="minor"/>
    </font>
    <font>
      <color theme="1"/>
      <name val="Arial"/>
      <scheme val="minor"/>
    </font>
    <font>
      <b/>
      <color rgb="FFFF0000"/>
      <name val="Arial"/>
    </font>
    <font>
      <b/>
      <color theme="1"/>
      <name val="Verdana"/>
    </font>
    <font>
      <color theme="1"/>
      <name val="Verdana"/>
    </font>
    <font>
      <b/>
      <sz val="12.0"/>
      <color theme="1"/>
      <name val="Verdana"/>
    </font>
    <font>
      <sz val="12.0"/>
      <color theme="1"/>
      <name val="Arial"/>
    </font>
    <font>
      <b/>
      <color rgb="FF202124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</fills>
  <borders count="3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bottom style="thin">
        <color rgb="FF000000"/>
      </bottom>
    </border>
    <border>
      <left/>
      <right/>
      <top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/>
      <bottom/>
    </border>
    <border>
      <left/>
      <right/>
      <bottom/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23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/>
    </xf>
    <xf borderId="2" fillId="2" fontId="1" numFmtId="0" xfId="0" applyAlignment="1" applyBorder="1" applyFill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1" fillId="2" fontId="1" numFmtId="0" xfId="0" applyAlignment="1" applyBorder="1" applyFill="1" applyFont="1">
      <alignment horizontal="center" shrinkToFit="0" vertical="bottom" wrapText="1"/>
    </xf>
    <xf borderId="1" fillId="2" fontId="1" numFmtId="0" xfId="0" applyAlignment="1" applyBorder="1" applyFill="1" applyFont="1">
      <alignment horizontal="center" readingOrder="0" shrinkToFit="0" vertical="bottom" wrapText="1"/>
    </xf>
    <xf borderId="1" fillId="2" fontId="4" numFmtId="0" xfId="0" applyAlignment="1" applyBorder="1" applyFill="1" applyFont="1">
      <alignment horizontal="center" readingOrder="0"/>
    </xf>
    <xf borderId="1" fillId="0" fontId="2" numFmtId="2" xfId="0" applyAlignment="1" applyBorder="1" applyFont="1" applyNumberFormat="1">
      <alignment horizontal="center"/>
    </xf>
    <xf borderId="1" fillId="2" fontId="1" numFmtId="0" xfId="0" applyAlignment="1" applyBorder="1" applyFill="1" applyFont="1">
      <alignment horizontal="center" readingOrder="0" shrinkToFit="0" wrapText="1"/>
    </xf>
    <xf borderId="1" fillId="2" fontId="1" numFmtId="0" xfId="0" applyAlignment="1" applyBorder="1" applyFill="1" applyFont="1">
      <alignment horizontal="center" shrinkToFit="0" wrapText="1"/>
    </xf>
    <xf borderId="0" fillId="0" fontId="4" numFmtId="0" xfId="0" applyAlignment="1" applyFont="1">
      <alignment readingOrder="0" shrinkToFit="0" wrapText="1"/>
    </xf>
    <xf borderId="1" fillId="3" fontId="2" numFmtId="0" xfId="0" applyAlignment="1" applyBorder="1" applyFill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vertical="bottom" wrapText="1"/>
    </xf>
    <xf borderId="1" fillId="3" fontId="2" numFmtId="0" xfId="0" applyAlignment="1" applyBorder="1" applyFill="1" applyFont="1">
      <alignment horizontal="center" readingOrder="0" vertical="bottom"/>
    </xf>
    <xf borderId="1" fillId="3" fontId="2" numFmtId="0" xfId="0" applyAlignment="1" applyBorder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5" fillId="2" fontId="1" numFmtId="0" xfId="0" applyAlignment="1" applyBorder="1" applyFill="1" applyFont="1">
      <alignment horizontal="center" readingOrder="0" shrinkToFit="0" vertical="bottom" wrapText="1"/>
    </xf>
    <xf borderId="5" fillId="3" fontId="2" numFmtId="0" xfId="0" applyAlignment="1" applyBorder="1" applyFill="1" applyFont="1">
      <alignment horizontal="center" shrinkToFit="0" vertical="bottom" wrapText="1"/>
    </xf>
    <xf borderId="1" fillId="3" fontId="2" numFmtId="0" xfId="0" applyAlignment="1" applyBorder="1" applyFill="1" applyFont="1">
      <alignment horizontal="center" shrinkToFit="0" vertical="bottom" wrapText="1"/>
    </xf>
    <xf borderId="1" fillId="3" fontId="2" numFmtId="3" xfId="0" applyAlignment="1" applyBorder="1" applyFill="1" applyFont="1" applyNumberFormat="1">
      <alignment horizontal="center" readingOrder="0" shrinkToFit="0" vertical="bottom" wrapText="1"/>
    </xf>
    <xf borderId="0" fillId="0" fontId="2" numFmtId="0" xfId="0" applyAlignment="1" applyFont="1">
      <alignment vertical="bottom"/>
    </xf>
    <xf borderId="6" fillId="0" fontId="3" numFmtId="0" xfId="0" applyBorder="1" applyFont="1"/>
    <xf borderId="0" fillId="0" fontId="2" numFmtId="0" xfId="0" applyAlignment="1" applyFont="1">
      <alignment readingOrder="0" shrinkToFit="0" vertical="bottom" wrapText="1"/>
    </xf>
    <xf borderId="5" fillId="0" fontId="2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7" fillId="0" fontId="3" numFmtId="0" xfId="0" applyBorder="1" applyFont="1"/>
    <xf borderId="0" fillId="0" fontId="2" numFmtId="0" xfId="0" applyAlignment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/>
    </xf>
    <xf borderId="5" fillId="2" fontId="1" numFmtId="0" xfId="0" applyAlignment="1" applyBorder="1" applyFill="1" applyFont="1">
      <alignment horizontal="center" shrinkToFit="0" vertical="bottom" wrapText="1"/>
    </xf>
    <xf borderId="1" fillId="3" fontId="2" numFmtId="3" xfId="0" applyAlignment="1" applyBorder="1" applyFill="1" applyFont="1" applyNumberFormat="1">
      <alignment horizontal="center" shrinkToFit="0" vertical="bottom" wrapText="1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ill="1" applyFont="1">
      <alignment horizontal="center" shrinkToFit="0" vertical="bottom" wrapText="1"/>
    </xf>
    <xf borderId="2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0" fillId="4" fontId="1" numFmtId="0" xfId="0" applyAlignment="1" applyFill="1" applyFont="1">
      <alignment horizontal="center" vertical="bottom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horizontal="center" vertical="bottom"/>
    </xf>
    <xf borderId="1" fillId="3" fontId="2" numFmtId="0" xfId="0" applyAlignment="1" applyBorder="1" applyFill="1" applyFont="1">
      <alignment vertical="bottom"/>
    </xf>
    <xf borderId="1" fillId="3" fontId="2" numFmtId="164" xfId="0" applyAlignment="1" applyBorder="1" applyFill="1" applyFont="1" applyNumberFormat="1">
      <alignment vertical="bottom"/>
    </xf>
    <xf borderId="0" fillId="4" fontId="5" numFmtId="0" xfId="0" applyFill="1" applyFont="1"/>
    <xf borderId="0" fillId="4" fontId="2" numFmtId="0" xfId="0" applyAlignment="1" applyFill="1" applyFont="1">
      <alignment horizontal="center" readingOrder="0" shrinkToFit="0" vertical="bottom" wrapText="1"/>
    </xf>
    <xf borderId="0" fillId="4" fontId="2" numFmtId="0" xfId="0" applyAlignment="1" applyFill="1" applyFont="1">
      <alignment vertical="bottom"/>
    </xf>
    <xf borderId="0" fillId="4" fontId="2" numFmtId="0" xfId="0" applyAlignment="1" applyFill="1" applyFont="1">
      <alignment horizontal="center" vertical="bottom"/>
    </xf>
    <xf borderId="0" fillId="4" fontId="2" numFmtId="164" xfId="0" applyAlignment="1" applyFill="1" applyFont="1" applyNumberFormat="1">
      <alignment horizontal="center" vertical="bottom"/>
    </xf>
    <xf borderId="1" fillId="0" fontId="2" numFmtId="0" xfId="0" applyAlignment="1" applyBorder="1" applyFont="1">
      <alignment horizontal="center" readingOrder="0" vertical="bottom"/>
    </xf>
    <xf borderId="0" fillId="4" fontId="6" numFmtId="0" xfId="0" applyAlignment="1" applyFill="1" applyFont="1">
      <alignment horizontal="center" readingOrder="0" shrinkToFit="0" vertical="bottom" wrapText="1"/>
    </xf>
    <xf borderId="0" fillId="4" fontId="1" numFmtId="0" xfId="0" applyAlignment="1" applyFill="1" applyFont="1">
      <alignment horizontal="center" shrinkToFit="0" vertical="bottom" wrapText="1"/>
    </xf>
    <xf borderId="0" fillId="4" fontId="1" numFmtId="164" xfId="0" applyAlignment="1" applyFill="1" applyFont="1" applyNumberFormat="1">
      <alignment horizontal="center" shrinkToFit="0" vertical="bottom" wrapText="1"/>
    </xf>
    <xf borderId="0" fillId="4" fontId="2" numFmtId="0" xfId="0" applyAlignment="1" applyFill="1" applyFont="1">
      <alignment horizontal="center" shrinkToFit="0" vertical="bottom" wrapText="1"/>
    </xf>
    <xf borderId="0" fillId="4" fontId="2" numFmtId="2" xfId="0" applyAlignment="1" applyFill="1" applyFont="1" applyNumberFormat="1">
      <alignment horizontal="center" shrinkToFit="0" vertical="bottom" wrapText="1"/>
    </xf>
    <xf borderId="1" fillId="2" fontId="2" numFmtId="0" xfId="0" applyAlignment="1" applyBorder="1" applyFill="1" applyFont="1">
      <alignment vertical="bottom"/>
    </xf>
    <xf borderId="0" fillId="4" fontId="2" numFmtId="3" xfId="0" applyAlignment="1" applyFill="1" applyFont="1" applyNumberFormat="1">
      <alignment horizontal="center" shrinkToFit="0" vertical="bottom" wrapText="1"/>
    </xf>
    <xf borderId="0" fillId="4" fontId="2" numFmtId="1" xfId="0" applyAlignment="1" applyFill="1" applyFont="1" applyNumberFormat="1">
      <alignment horizontal="center" shrinkToFit="0" vertical="bottom" wrapText="1"/>
    </xf>
    <xf borderId="0" fillId="2" fontId="1" numFmtId="0" xfId="0" applyAlignment="1" applyFill="1" applyFont="1">
      <alignment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2" xfId="0" applyAlignment="1" applyBorder="1" applyFont="1" applyNumberFormat="1">
      <alignment horizontal="center" vertical="bottom"/>
    </xf>
    <xf borderId="1" fillId="0" fontId="2" numFmtId="1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/>
    </xf>
    <xf borderId="1" fillId="0" fontId="2" numFmtId="1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readingOrder="0" vertical="bottom"/>
    </xf>
    <xf borderId="1" fillId="0" fontId="2" numFmtId="1" xfId="0" applyAlignment="1" applyBorder="1" applyFont="1" applyNumberFormat="1">
      <alignment readingOrder="0" vertical="bottom"/>
    </xf>
    <xf borderId="1" fillId="0" fontId="2" numFmtId="2" xfId="0" applyAlignment="1" applyBorder="1" applyFont="1" applyNumberFormat="1">
      <alignment vertical="bottom"/>
    </xf>
    <xf borderId="1" fillId="0" fontId="2" numFmtId="1" xfId="0" applyAlignment="1" applyBorder="1" applyFont="1" applyNumberFormat="1">
      <alignment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vertical="bottom"/>
    </xf>
    <xf borderId="0" fillId="4" fontId="2" numFmtId="2" xfId="0" applyAlignment="1" applyFill="1" applyFont="1" applyNumberFormat="1">
      <alignment horizontal="center" vertical="bottom"/>
    </xf>
    <xf borderId="0" fillId="4" fontId="2" numFmtId="2" xfId="0" applyAlignment="1" applyFill="1" applyFont="1" applyNumberFormat="1">
      <alignment vertical="bottom"/>
    </xf>
    <xf borderId="0" fillId="4" fontId="2" numFmtId="165" xfId="0" applyAlignment="1" applyFill="1" applyFont="1" applyNumberFormat="1">
      <alignment vertical="bottom"/>
    </xf>
    <xf borderId="0" fillId="0" fontId="2" numFmtId="0" xfId="0" applyAlignment="1" applyFont="1">
      <alignment horizontal="center" readingOrder="0" vertical="bottom"/>
    </xf>
    <xf borderId="1" fillId="2" fontId="1" numFmtId="0" xfId="0" applyAlignment="1" applyBorder="1" applyFill="1" applyFont="1">
      <alignment vertical="bottom"/>
    </xf>
    <xf borderId="2" fillId="2" fontId="7" numFmtId="0" xfId="0" applyAlignment="1" applyBorder="1" applyFill="1" applyFon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2" fontId="7" numFmtId="0" xfId="0" applyAlignment="1" applyBorder="1" applyFill="1" applyFont="1">
      <alignment horizontal="center" vertical="bottom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right" readingOrder="0" vertical="bottom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8" fillId="3" fontId="1" numFmtId="0" xfId="0" applyAlignment="1" applyBorder="1" applyFill="1" applyFont="1">
      <alignment horizontal="center" shrinkToFit="0" vertical="bottom" wrapText="1"/>
    </xf>
    <xf borderId="0" fillId="0" fontId="2" numFmtId="1" xfId="0" applyAlignment="1" applyFont="1" applyNumberFormat="1">
      <alignment horizontal="center" vertical="bottom"/>
    </xf>
    <xf borderId="0" fillId="0" fontId="2" numFmtId="3" xfId="0" applyAlignment="1" applyFont="1" applyNumberFormat="1">
      <alignment horizontal="center" vertical="bottom"/>
    </xf>
    <xf borderId="2" fillId="5" fontId="1" numFmtId="0" xfId="0" applyAlignment="1" applyBorder="1" applyFill="1" applyFont="1">
      <alignment horizontal="center" vertical="bottom"/>
    </xf>
    <xf borderId="2" fillId="0" fontId="9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vertical="bottom"/>
    </xf>
    <xf borderId="8" fillId="2" fontId="7" numFmtId="0" xfId="0" applyAlignment="1" applyBorder="1" applyFill="1" applyFont="1">
      <alignment horizontal="center" vertical="bottom"/>
    </xf>
    <xf borderId="1" fillId="0" fontId="2" numFmtId="164" xfId="0" applyAlignment="1" applyBorder="1" applyFont="1" applyNumberFormat="1">
      <alignment horizontal="right" vertical="bottom"/>
    </xf>
    <xf borderId="9" fillId="5" fontId="1" numFmtId="0" xfId="0" applyAlignment="1" applyBorder="1" applyFill="1" applyFont="1">
      <alignment horizontal="center" vertical="bottom"/>
    </xf>
    <xf borderId="10" fillId="0" fontId="3" numFmtId="0" xfId="0" applyBorder="1" applyFont="1"/>
    <xf borderId="0" fillId="0" fontId="2" numFmtId="2" xfId="0" applyAlignment="1" applyFont="1" applyNumberFormat="1">
      <alignment vertical="bottom"/>
    </xf>
    <xf borderId="11" fillId="0" fontId="3" numFmtId="0" xfId="0" applyBorder="1" applyFont="1"/>
    <xf borderId="1" fillId="3" fontId="2" numFmtId="0" xfId="0" applyAlignment="1" applyBorder="1" applyFill="1" applyFont="1">
      <alignment vertical="bottom"/>
    </xf>
    <xf borderId="1" fillId="3" fontId="2" numFmtId="164" xfId="0" applyAlignment="1" applyBorder="1" applyFill="1" applyFont="1" applyNumberFormat="1">
      <alignment vertical="bottom"/>
    </xf>
    <xf borderId="1" fillId="3" fontId="2" numFmtId="10" xfId="0" applyAlignment="1" applyBorder="1" applyFill="1" applyFont="1" applyNumberFormat="1">
      <alignment vertical="bottom"/>
    </xf>
    <xf borderId="1" fillId="5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vertical="bottom"/>
    </xf>
    <xf borderId="1" fillId="6" fontId="2" numFmtId="0" xfId="0" applyAlignment="1" applyBorder="1" applyFill="1" applyFont="1">
      <alignment vertical="bottom"/>
    </xf>
    <xf borderId="1" fillId="6" fontId="2" numFmtId="164" xfId="0" applyAlignment="1" applyBorder="1" applyFill="1" applyFont="1" applyNumberFormat="1">
      <alignment vertical="bottom"/>
    </xf>
    <xf borderId="1" fillId="6" fontId="2" numFmtId="10" xfId="0" applyAlignment="1" applyBorder="1" applyFill="1" applyFont="1" applyNumberFormat="1">
      <alignment vertical="bottom"/>
    </xf>
    <xf borderId="1" fillId="3" fontId="2" numFmtId="166" xfId="0" applyAlignment="1" applyBorder="1" applyFill="1" applyFont="1" applyNumberFormat="1">
      <alignment vertical="bottom"/>
    </xf>
    <xf borderId="1" fillId="6" fontId="2" numFmtId="166" xfId="0" applyAlignment="1" applyBorder="1" applyFill="1" applyFont="1" applyNumberFormat="1">
      <alignment vertical="bottom"/>
    </xf>
    <xf borderId="1" fillId="7" fontId="2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12" fillId="3" fontId="2" numFmtId="0" xfId="0" applyAlignment="1" applyBorder="1" applyFill="1" applyFont="1">
      <alignment vertical="bottom"/>
    </xf>
    <xf borderId="12" fillId="3" fontId="2" numFmtId="164" xfId="0" applyAlignment="1" applyBorder="1" applyFill="1" applyFont="1" applyNumberFormat="1">
      <alignment vertical="bottom"/>
    </xf>
    <xf borderId="12" fillId="3" fontId="2" numFmtId="2" xfId="0" applyAlignment="1" applyBorder="1" applyFill="1" applyFont="1" applyNumberFormat="1">
      <alignment vertical="bottom"/>
    </xf>
    <xf borderId="13" fillId="3" fontId="1" numFmtId="0" xfId="0" applyAlignment="1" applyBorder="1" applyFill="1" applyFont="1">
      <alignment horizontal="center" readingOrder="0" vertical="bottom"/>
    </xf>
    <xf borderId="12" fillId="3" fontId="2" numFmtId="10" xfId="0" applyAlignment="1" applyBorder="1" applyFill="1" applyFont="1" applyNumberFormat="1">
      <alignment vertical="bottom"/>
    </xf>
    <xf borderId="14" fillId="0" fontId="3" numFmtId="0" xfId="0" applyBorder="1" applyFont="1"/>
    <xf borderId="15" fillId="0" fontId="3" numFmtId="0" xfId="0" applyBorder="1" applyFont="1"/>
    <xf borderId="0" fillId="5" fontId="2" numFmtId="0" xfId="0" applyAlignment="1" applyFill="1" applyFont="1">
      <alignment vertical="bottom"/>
    </xf>
    <xf borderId="2" fillId="0" fontId="2" numFmtId="0" xfId="0" applyAlignment="1" applyBorder="1" applyFont="1">
      <alignment horizontal="center" vertical="bottom"/>
    </xf>
    <xf borderId="16" fillId="3" fontId="1" numFmtId="0" xfId="0" applyAlignment="1" applyBorder="1" applyFill="1" applyFont="1">
      <alignment horizontal="center" vertical="bottom"/>
    </xf>
    <xf borderId="1" fillId="6" fontId="2" numFmtId="164" xfId="0" applyAlignment="1" applyBorder="1" applyFill="1" applyFont="1" applyNumberFormat="1">
      <alignment vertical="bottom"/>
    </xf>
    <xf borderId="2" fillId="0" fontId="2" numFmtId="0" xfId="0" applyAlignment="1" applyBorder="1" applyFont="1">
      <alignment horizontal="right" vertical="bottom"/>
    </xf>
    <xf borderId="1" fillId="6" fontId="2" numFmtId="0" xfId="0" applyAlignment="1" applyBorder="1" applyFill="1" applyFont="1">
      <alignment vertical="bottom"/>
    </xf>
    <xf borderId="1" fillId="3" fontId="2" numFmtId="166" xfId="0" applyAlignment="1" applyBorder="1" applyFill="1" applyFont="1" applyNumberFormat="1">
      <alignment vertical="bottom"/>
    </xf>
    <xf borderId="1" fillId="3" fontId="2" numFmtId="10" xfId="0" applyAlignment="1" applyBorder="1" applyFill="1" applyFont="1" applyNumberFormat="1">
      <alignment vertical="bottom"/>
    </xf>
    <xf borderId="17" fillId="3" fontId="1" numFmtId="0" xfId="0" applyAlignment="1" applyBorder="1" applyFill="1" applyFont="1">
      <alignment horizontal="center" vertical="bottom"/>
    </xf>
    <xf borderId="8" fillId="3" fontId="2" numFmtId="0" xfId="0" applyAlignment="1" applyBorder="1" applyFill="1" applyFont="1">
      <alignment vertical="bottom"/>
    </xf>
    <xf borderId="18" fillId="0" fontId="3" numFmtId="0" xfId="0" applyBorder="1" applyFont="1"/>
    <xf borderId="8" fillId="3" fontId="2" numFmtId="164" xfId="0" applyAlignment="1" applyBorder="1" applyFill="1" applyFont="1" applyNumberFormat="1">
      <alignment vertical="bottom"/>
    </xf>
    <xf borderId="19" fillId="0" fontId="3" numFmtId="0" xfId="0" applyBorder="1" applyFont="1"/>
    <xf borderId="8" fillId="3" fontId="2" numFmtId="10" xfId="0" applyAlignment="1" applyBorder="1" applyFill="1" applyFont="1" applyNumberFormat="1">
      <alignment vertical="bottom"/>
    </xf>
    <xf borderId="12" fillId="3" fontId="2" numFmtId="0" xfId="0" applyAlignment="1" applyBorder="1" applyFill="1" applyFont="1">
      <alignment horizontal="center" vertical="bottom"/>
    </xf>
    <xf borderId="12" fillId="3" fontId="2" numFmtId="164" xfId="0" applyAlignment="1" applyBorder="1" applyFill="1" applyFont="1" applyNumberFormat="1">
      <alignment horizontal="center" vertical="bottom"/>
    </xf>
    <xf borderId="8" fillId="3" fontId="1" numFmtId="0" xfId="0" applyAlignment="1" applyBorder="1" applyFill="1" applyFont="1">
      <alignment horizontal="center" readingOrder="0" shrinkToFit="0" vertical="bottom" wrapText="1"/>
    </xf>
    <xf borderId="19" fillId="3" fontId="2" numFmtId="0" xfId="0" applyAlignment="1" applyBorder="1" applyFill="1" applyFont="1">
      <alignment horizontal="center" vertical="bottom"/>
    </xf>
    <xf borderId="0" fillId="0" fontId="2" numFmtId="1" xfId="0" applyAlignment="1" applyFont="1" applyNumberFormat="1">
      <alignment horizontal="center" readingOrder="0" vertical="bottom"/>
    </xf>
    <xf borderId="19" fillId="3" fontId="2" numFmtId="2" xfId="0" applyAlignment="1" applyBorder="1" applyFill="1" applyFont="1" applyNumberFormat="1">
      <alignment horizontal="center" vertical="bottom"/>
    </xf>
    <xf borderId="19" fillId="3" fontId="2" numFmtId="1" xfId="0" applyAlignment="1" applyBorder="1" applyFill="1" applyFont="1" applyNumberFormat="1">
      <alignment vertical="bottom"/>
    </xf>
    <xf borderId="19" fillId="3" fontId="2" numFmtId="0" xfId="0" applyAlignment="1" applyBorder="1" applyFill="1" applyFont="1">
      <alignment vertical="bottom"/>
    </xf>
    <xf borderId="20" fillId="3" fontId="1" numFmtId="0" xfId="0" applyAlignment="1" applyBorder="1" applyFill="1" applyFont="1">
      <alignment horizontal="center" readingOrder="0" shrinkToFit="0" vertical="bottom" wrapText="1"/>
    </xf>
    <xf borderId="0" fillId="0" fontId="2" numFmtId="3" xfId="0" applyAlignment="1" applyFont="1" applyNumberFormat="1">
      <alignment readingOrder="0" vertical="bottom"/>
    </xf>
    <xf borderId="20" fillId="3" fontId="2" numFmtId="0" xfId="0" applyAlignment="1" applyBorder="1" applyFill="1" applyFont="1">
      <alignment vertical="bottom"/>
    </xf>
    <xf borderId="21" fillId="0" fontId="9" numFmtId="0" xfId="0" applyAlignment="1" applyBorder="1" applyFont="1">
      <alignment horizontal="center" vertical="bottom"/>
    </xf>
    <xf borderId="22" fillId="0" fontId="3" numFmtId="0" xfId="0" applyBorder="1" applyFont="1"/>
    <xf borderId="2" fillId="3" fontId="1" numFmtId="0" xfId="0" applyAlignment="1" applyBorder="1" applyFill="1" applyFont="1">
      <alignment horizontal="center" readingOrder="0" vertical="bottom"/>
    </xf>
    <xf borderId="5" fillId="3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readingOrder="0" vertical="bottom"/>
    </xf>
    <xf borderId="2" fillId="3" fontId="1" numFmtId="0" xfId="0" applyAlignment="1" applyBorder="1" applyFill="1" applyFont="1">
      <alignment horizontal="center" vertical="bottom"/>
    </xf>
    <xf borderId="23" fillId="2" fontId="7" numFmtId="0" xfId="0" applyAlignment="1" applyBorder="1" applyFill="1" applyFont="1">
      <alignment horizontal="center" vertical="bottom"/>
    </xf>
    <xf borderId="5" fillId="3" fontId="2" numFmtId="1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3" fontId="2" numFmtId="1" xfId="0" applyAlignment="1" applyBorder="1" applyFill="1" applyFont="1" applyNumberFormat="1">
      <alignment horizontal="center" vertical="bottom"/>
    </xf>
    <xf borderId="1" fillId="3" fontId="2" numFmtId="2" xfId="0" applyAlignment="1" applyBorder="1" applyFill="1" applyFont="1" applyNumberForma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vertical="bottom"/>
    </xf>
    <xf borderId="1" fillId="3" fontId="2" numFmtId="10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8" numFmtId="0" xfId="0" applyAlignment="1" applyFont="1">
      <alignment horizontal="center" readingOrder="0" vertical="bottom"/>
    </xf>
    <xf borderId="1" fillId="3" fontId="2" numFmtId="166" xfId="0" applyAlignment="1" applyBorder="1" applyFill="1" applyFont="1" applyNumberFormat="1">
      <alignment horizontal="center" vertical="bottom"/>
    </xf>
    <xf borderId="0" fillId="0" fontId="10" numFmtId="0" xfId="0" applyAlignment="1" applyFont="1">
      <alignment vertical="bottom"/>
    </xf>
    <xf borderId="1" fillId="6" fontId="2" numFmtId="0" xfId="0" applyAlignment="1" applyBorder="1" applyFill="1" applyFont="1">
      <alignment horizontal="center" vertical="bottom"/>
    </xf>
    <xf borderId="1" fillId="6" fontId="2" numFmtId="0" xfId="0" applyAlignment="1" applyBorder="1" applyFill="1" applyFont="1">
      <alignment horizontal="center" readingOrder="0" vertical="bottom"/>
    </xf>
    <xf borderId="1" fillId="6" fontId="2" numFmtId="164" xfId="0" applyAlignment="1" applyBorder="1" applyFill="1" applyFont="1" applyNumberFormat="1">
      <alignment horizontal="center" vertical="bottom"/>
    </xf>
    <xf borderId="1" fillId="6" fontId="2" numFmtId="10" xfId="0" applyAlignment="1" applyBorder="1" applyFill="1" applyFont="1" applyNumberFormat="1">
      <alignment horizontal="center" vertical="bottom"/>
    </xf>
    <xf borderId="1" fillId="6" fontId="2" numFmtId="166" xfId="0" applyAlignment="1" applyBorder="1" applyFill="1" applyFont="1" applyNumberFormat="1">
      <alignment horizontal="center" vertical="bottom"/>
    </xf>
    <xf borderId="0" fillId="2" fontId="2" numFmtId="0" xfId="0" applyAlignment="1" applyFill="1" applyFont="1">
      <alignment vertical="bottom"/>
    </xf>
    <xf borderId="0" fillId="3" fontId="1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0" fontId="5" numFmtId="0" xfId="0" applyFont="1"/>
    <xf borderId="1" fillId="3" fontId="2" numFmtId="2" xfId="0" applyAlignment="1" applyBorder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center" readingOrder="0" vertical="bottom"/>
    </xf>
    <xf borderId="0" fillId="5" fontId="1" numFmtId="164" xfId="0" applyAlignment="1" applyFill="1" applyFont="1" applyNumberFormat="1">
      <alignment horizontal="center" vertical="bottom"/>
    </xf>
    <xf borderId="0" fillId="5" fontId="1" numFmtId="0" xfId="0" applyAlignment="1" applyFill="1" applyFont="1">
      <alignment horizontal="center" vertical="bottom"/>
    </xf>
    <xf borderId="0" fillId="5" fontId="1" numFmtId="0" xfId="0" applyAlignment="1" applyFill="1" applyFont="1">
      <alignment horizontal="center" readingOrder="0" vertical="bottom"/>
    </xf>
    <xf borderId="0" fillId="0" fontId="4" numFmtId="0" xfId="0" applyAlignment="1" applyFont="1">
      <alignment readingOrder="0"/>
    </xf>
    <xf borderId="0" fillId="3" fontId="2" numFmtId="0" xfId="0" applyAlignment="1" applyFill="1" applyFont="1">
      <alignment vertical="bottom"/>
    </xf>
    <xf borderId="16" fillId="5" fontId="2" numFmtId="0" xfId="0" applyAlignment="1" applyBorder="1" applyFill="1" applyFont="1">
      <alignment horizontal="center" shrinkToFit="0" vertical="bottom" wrapText="1"/>
    </xf>
    <xf borderId="24" fillId="3" fontId="2" numFmtId="0" xfId="0" applyAlignment="1" applyBorder="1" applyFill="1" applyFont="1">
      <alignment horizontal="center" readingOrder="0" vertical="bottom"/>
    </xf>
    <xf borderId="24" fillId="3" fontId="2" numFmtId="1" xfId="0" applyAlignment="1" applyBorder="1" applyFill="1" applyFont="1" applyNumberFormat="1">
      <alignment vertical="bottom"/>
    </xf>
    <xf borderId="24" fillId="3" fontId="2" numFmtId="0" xfId="0" applyAlignment="1" applyBorder="1" applyFill="1" applyFont="1">
      <alignment vertical="bottom"/>
    </xf>
    <xf borderId="24" fillId="3" fontId="2" numFmtId="0" xfId="0" applyAlignment="1" applyBorder="1" applyFill="1" applyFont="1">
      <alignment horizontal="center" vertical="bottom"/>
    </xf>
    <xf borderId="8" fillId="3" fontId="2" numFmtId="0" xfId="0" applyAlignment="1" applyBorder="1" applyFill="1" applyFont="1">
      <alignment horizontal="center" readingOrder="0" vertical="bottom"/>
    </xf>
    <xf borderId="8" fillId="3" fontId="2" numFmtId="0" xfId="0" applyAlignment="1" applyBorder="1" applyFill="1" applyFont="1">
      <alignment horizontal="center" vertical="bottom"/>
    </xf>
    <xf borderId="8" fillId="3" fontId="2" numFmtId="0" xfId="0" applyAlignment="1" applyBorder="1" applyFill="1" applyFont="1">
      <alignment readingOrder="0" vertical="bottom"/>
    </xf>
    <xf borderId="24" fillId="3" fontId="2" numFmtId="0" xfId="0" applyAlignment="1" applyBorder="1" applyFill="1" applyFont="1">
      <alignment horizontal="center" vertical="bottom"/>
    </xf>
    <xf borderId="25" fillId="3" fontId="2" numFmtId="0" xfId="0" applyAlignment="1" applyBorder="1" applyFill="1" applyFont="1">
      <alignment horizontal="center" vertical="bottom"/>
    </xf>
    <xf borderId="26" fillId="0" fontId="3" numFmtId="0" xfId="0" applyBorder="1" applyFont="1"/>
    <xf borderId="27" fillId="3" fontId="2" numFmtId="0" xfId="0" applyAlignment="1" applyBorder="1" applyFill="1" applyFont="1">
      <alignment horizontal="center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2" fillId="3" fontId="2" numFmtId="0" xfId="0" applyAlignment="1" applyBorder="1" applyFill="1" applyFont="1">
      <alignment horizontal="center" vertical="bottom"/>
    </xf>
    <xf borderId="28" fillId="5" fontId="2" numFmtId="0" xfId="0" applyAlignment="1" applyBorder="1" applyFill="1" applyFont="1">
      <alignment horizontal="center" vertical="bottom"/>
    </xf>
    <xf borderId="0" fillId="3" fontId="2" numFmtId="0" xfId="0" applyAlignment="1" applyFill="1" applyFont="1">
      <alignment vertical="bottom"/>
    </xf>
    <xf borderId="8" fillId="3" fontId="2" numFmtId="0" xfId="0" applyAlignment="1" applyBorder="1" applyFill="1" applyFont="1">
      <alignment horizontal="center" readingOrder="0" vertical="bottom"/>
    </xf>
    <xf borderId="8" fillId="3" fontId="2" numFmtId="2" xfId="0" applyAlignment="1" applyBorder="1" applyFill="1" applyFont="1" applyNumberFormat="1">
      <alignment horizontal="center" vertical="bottom"/>
    </xf>
    <xf borderId="8" fillId="3" fontId="2" numFmtId="0" xfId="0" applyAlignment="1" applyBorder="1" applyFill="1" applyFont="1">
      <alignment horizontal="center" vertical="bottom"/>
    </xf>
    <xf borderId="8" fillId="6" fontId="2" numFmtId="2" xfId="0" applyAlignment="1" applyBorder="1" applyFill="1" applyFont="1" applyNumberFormat="1">
      <alignment horizontal="center" vertical="bottom"/>
    </xf>
    <xf borderId="8" fillId="6" fontId="2" numFmtId="0" xfId="0" applyAlignment="1" applyBorder="1" applyFill="1" applyFont="1">
      <alignment horizontal="center" vertical="bottom"/>
    </xf>
    <xf borderId="8" fillId="6" fontId="2" numFmtId="0" xfId="0" applyAlignment="1" applyBorder="1" applyFill="1" applyFont="1">
      <alignment horizontal="center" readingOrder="0" vertical="bottom"/>
    </xf>
    <xf borderId="8" fillId="3" fontId="2" numFmtId="0" xfId="0" applyAlignment="1" applyBorder="1" applyFill="1" applyFont="1">
      <alignment vertical="bottom"/>
    </xf>
    <xf borderId="28" fillId="5" fontId="1" numFmtId="0" xfId="0" applyAlignment="1" applyBorder="1" applyFill="1" applyFont="1">
      <alignment horizontal="center" vertical="bottom"/>
    </xf>
    <xf borderId="28" fillId="5" fontId="2" numFmtId="0" xfId="0" applyAlignment="1" applyBorder="1" applyFill="1" applyFont="1">
      <alignment vertical="bottom"/>
    </xf>
    <xf borderId="28" fillId="5" fontId="11" numFmtId="0" xfId="0" applyAlignment="1" applyBorder="1" applyFill="1" applyFont="1">
      <alignment horizontal="center" vertical="bottom"/>
    </xf>
    <xf borderId="12" fillId="3" fontId="2" numFmtId="0" xfId="0" applyAlignment="1" applyBorder="1" applyFill="1" applyFont="1">
      <alignment horizontal="center" vertical="bottom"/>
    </xf>
    <xf borderId="12" fillId="3" fontId="2" numFmtId="167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12" fillId="3" fontId="2" numFmtId="1" xfId="0" applyAlignment="1" applyBorder="1" applyFill="1" applyFont="1" applyNumberFormat="1">
      <alignment vertical="bottom"/>
    </xf>
    <xf borderId="12" fillId="3" fontId="2" numFmtId="1" xfId="0" applyAlignment="1" applyBorder="1" applyFill="1" applyFont="1" applyNumberFormat="1">
      <alignment horizontal="center" vertical="bottom"/>
    </xf>
    <xf borderId="12" fillId="3" fontId="2" numFmtId="10" xfId="0" applyAlignment="1" applyBorder="1" applyFill="1" applyFont="1" applyNumberFormat="1">
      <alignment horizontal="center" vertical="bottom"/>
    </xf>
    <xf borderId="29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vertical="bottom"/>
    </xf>
    <xf borderId="1" fillId="0" fontId="1" numFmtId="0" xfId="0" applyAlignment="1" applyBorder="1" applyFont="1">
      <alignment horizontal="center" shrinkToFit="0" vertical="bottom" wrapText="1"/>
    </xf>
    <xf borderId="1" fillId="0" fontId="1" numFmtId="164" xfId="0" applyAlignment="1" applyBorder="1" applyFont="1" applyNumberFormat="1">
      <alignment horizontal="center" shrinkToFit="0" vertical="bottom" wrapText="1"/>
    </xf>
    <xf borderId="1" fillId="3" fontId="1" numFmtId="0" xfId="0" applyAlignment="1" applyBorder="1" applyFill="1" applyFont="1">
      <alignment horizontal="center" shrinkToFit="0" vertical="bottom" wrapText="1"/>
    </xf>
    <xf borderId="29" fillId="3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2" fillId="5" fontId="1" numFmtId="0" xfId="0" applyAlignment="1" applyBorder="1" applyFill="1" applyFont="1">
      <alignment horizontal="center" readingOrder="0" vertical="bottom"/>
    </xf>
    <xf borderId="1" fillId="0" fontId="2" numFmtId="165" xfId="0" applyAlignment="1" applyBorder="1" applyFont="1" applyNumberFormat="1">
      <alignment horizontal="center" vertical="bottom"/>
    </xf>
    <xf borderId="30" fillId="3" fontId="2" numFmtId="0" xfId="0" applyAlignment="1" applyBorder="1" applyFill="1" applyFont="1">
      <alignment horizontal="center" vertical="bottom"/>
    </xf>
    <xf borderId="31" fillId="0" fontId="3" numFmtId="0" xfId="0" applyBorder="1" applyFont="1"/>
    <xf borderId="23" fillId="0" fontId="3" numFmtId="0" xfId="0" applyBorder="1" applyFont="1"/>
    <xf borderId="8" fillId="3" fontId="8" numFmtId="0" xfId="0" applyAlignment="1" applyBorder="1" applyFill="1" applyFont="1">
      <alignment horizontal="right" vertical="bottom"/>
    </xf>
    <xf borderId="0" fillId="5" fontId="2" numFmtId="0" xfId="0" applyAlignment="1" applyFill="1" applyFont="1">
      <alignment horizontal="center" readingOrder="0" vertical="bottom"/>
    </xf>
    <xf borderId="0" fillId="5" fontId="2" numFmtId="164" xfId="0" applyAlignment="1" applyFill="1" applyFont="1" applyNumberForma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readingOrder="0" vertical="bottom"/>
    </xf>
    <xf borderId="0" fillId="3" fontId="2" numFmtId="0" xfId="0" applyAlignment="1" applyFill="1" applyFont="1">
      <alignment horizontal="center" readingOrder="0" vertical="bottom"/>
    </xf>
    <xf borderId="0" fillId="6" fontId="2" numFmtId="0" xfId="0" applyAlignment="1" applyFill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0" fillId="3" fontId="5" numFmtId="0" xfId="0" applyFill="1" applyFont="1"/>
    <xf borderId="1" fillId="3" fontId="2" numFmtId="10" xfId="0" applyAlignment="1" applyBorder="1" applyFill="1" applyFont="1" applyNumberFormat="1">
      <alignment horizontal="center" vertical="bottom"/>
    </xf>
    <xf borderId="1" fillId="3" fontId="2" numFmtId="166" xfId="0" applyAlignment="1" applyBorder="1" applyFill="1" applyFont="1" applyNumberFormat="1">
      <alignment horizontal="center" vertical="bottom"/>
    </xf>
    <xf borderId="0" fillId="0" fontId="2" numFmtId="10" xfId="0" applyAlignment="1" applyFont="1" applyNumberFormat="1">
      <alignment horizontal="righ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7">
    <tableStyle count="3" pivot="0" name="QDF-QUEDA DE TENSÃO-style">
      <tableStyleElement dxfId="1" type="headerRow"/>
      <tableStyleElement dxfId="2" type="firstRowStripe"/>
      <tableStyleElement dxfId="3" type="secondRowStripe"/>
    </tableStyle>
    <tableStyle count="3" pivot="0" name="QDF-QUEDA DE TENSÃO-style 2">
      <tableStyleElement dxfId="1" type="headerRow"/>
      <tableStyleElement dxfId="2" type="firstRowStripe"/>
      <tableStyleElement dxfId="3" type="secondRowStripe"/>
    </tableStyle>
    <tableStyle count="2" pivot="0" name="QDF-QUEDA DE TENSÃO-style 3">
      <tableStyleElement dxfId="3" type="firstRowStripe"/>
      <tableStyleElement dxfId="2" type="secondRowStripe"/>
    </tableStyle>
    <tableStyle count="3" pivot="0" name="QDF-QUEDA DE TENSÃO-style 4">
      <tableStyleElement dxfId="1" type="headerRow"/>
      <tableStyleElement dxfId="2" type="firstRowStripe"/>
      <tableStyleElement dxfId="3" type="secondRowStripe"/>
    </tableStyle>
    <tableStyle count="3" pivot="0" name="QDF-QUEDA DE TENSÃO-style 5">
      <tableStyleElement dxfId="1" type="headerRow"/>
      <tableStyleElement dxfId="2" type="firstRowStripe"/>
      <tableStyleElement dxfId="3" type="secondRowStripe"/>
    </tableStyle>
    <tableStyle count="2" pivot="0" name="QDF-QUEDA DE TENSÃO-style 6">
      <tableStyleElement dxfId="3" type="firstRowStripe"/>
      <tableStyleElement dxfId="2" type="secondRowStripe"/>
    </tableStyle>
    <tableStyle count="3" pivot="0" name="QDF-QUEDA DE TENSÃO-style 7">
      <tableStyleElement dxfId="1" type="headerRow"/>
      <tableStyleElement dxfId="2" type="firstRowStripe"/>
      <tableStyleElement dxfId="3" type="secondRowStripe"/>
    </tableStyle>
    <tableStyle count="3" pivot="0" name="QDF-QUEDA DE TENSÃO-style 8">
      <tableStyleElement dxfId="1" type="headerRow"/>
      <tableStyleElement dxfId="2" type="firstRowStripe"/>
      <tableStyleElement dxfId="3" type="secondRowStripe"/>
    </tableStyle>
    <tableStyle count="2" pivot="0" name="QDF-QUEDA DE TENSÃO-style 9">
      <tableStyleElement dxfId="3" type="firstRowStripe"/>
      <tableStyleElement dxfId="2" type="secondRowStripe"/>
    </tableStyle>
    <tableStyle count="3" pivot="0" name="QDF-QUEDA DE TENSÃO-style 10">
      <tableStyleElement dxfId="1" type="headerRow"/>
      <tableStyleElement dxfId="2" type="firstRowStripe"/>
      <tableStyleElement dxfId="3" type="secondRowStripe"/>
    </tableStyle>
    <tableStyle count="3" pivot="0" name="QDF-QUEDA DE TENSÃO-style 11">
      <tableStyleElement dxfId="1" type="headerRow"/>
      <tableStyleElement dxfId="2" type="firstRowStripe"/>
      <tableStyleElement dxfId="3" type="secondRowStripe"/>
    </tableStyle>
    <tableStyle count="2" pivot="0" name="QDF-QUEDA DE TENSÃO-style 12">
      <tableStyleElement dxfId="3" type="firstRowStripe"/>
      <tableStyleElement dxfId="2" type="secondRowStripe"/>
    </tableStyle>
    <tableStyle count="3" pivot="0" name="QDF-QUEDA DE TENSÃO-style 13">
      <tableStyleElement dxfId="1" type="headerRow"/>
      <tableStyleElement dxfId="2" type="firstRowStripe"/>
      <tableStyleElement dxfId="3" type="secondRowStripe"/>
    </tableStyle>
    <tableStyle count="3" pivot="0" name="QDF-QUEDA DE TENSÃO-style 14">
      <tableStyleElement dxfId="1" type="headerRow"/>
      <tableStyleElement dxfId="2" type="firstRowStripe"/>
      <tableStyleElement dxfId="3" type="secondRowStripe"/>
    </tableStyle>
    <tableStyle count="2" pivot="0" name="QDF-QUEDA DE TENSÃO-style 15">
      <tableStyleElement dxfId="3" type="firstRowStripe"/>
      <tableStyleElement dxfId="2" type="secondRowStripe"/>
    </tableStyle>
    <tableStyle count="3" pivot="0" name="QDFG-style">
      <tableStyleElement dxfId="1" type="headerRow"/>
      <tableStyleElement dxfId="2" type="firstRowStripe"/>
      <tableStyleElement dxfId="3" type="secondRowStripe"/>
    </tableStyle>
    <tableStyle count="3" pivot="0" name="QDFG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2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3.png"/><Relationship Id="rId5" Type="http://schemas.openxmlformats.org/officeDocument/2006/relationships/image" Target="../media/image30.png"/><Relationship Id="rId6" Type="http://schemas.openxmlformats.org/officeDocument/2006/relationships/image" Target="../media/image10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5.png"/><Relationship Id="rId11" Type="http://schemas.openxmlformats.org/officeDocument/2006/relationships/image" Target="../media/image20.png"/><Relationship Id="rId10" Type="http://schemas.openxmlformats.org/officeDocument/2006/relationships/image" Target="../media/image6.png"/><Relationship Id="rId12" Type="http://schemas.openxmlformats.org/officeDocument/2006/relationships/image" Target="../media/image7.png"/><Relationship Id="rId9" Type="http://schemas.openxmlformats.org/officeDocument/2006/relationships/image" Target="../media/image8.png"/><Relationship Id="rId5" Type="http://schemas.openxmlformats.org/officeDocument/2006/relationships/image" Target="../media/image29.png"/><Relationship Id="rId6" Type="http://schemas.openxmlformats.org/officeDocument/2006/relationships/image" Target="../media/image14.png"/><Relationship Id="rId7" Type="http://schemas.openxmlformats.org/officeDocument/2006/relationships/image" Target="../media/image31.png"/><Relationship Id="rId8" Type="http://schemas.openxmlformats.org/officeDocument/2006/relationships/image" Target="../media/image36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7.png"/><Relationship Id="rId2" Type="http://schemas.openxmlformats.org/officeDocument/2006/relationships/image" Target="../media/image4.png"/><Relationship Id="rId3" Type="http://schemas.openxmlformats.org/officeDocument/2006/relationships/image" Target="../media/image7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7.png"/><Relationship Id="rId2" Type="http://schemas.openxmlformats.org/officeDocument/2006/relationships/image" Target="../media/image1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9.png"/><Relationship Id="rId2" Type="http://schemas.openxmlformats.org/officeDocument/2006/relationships/image" Target="../media/image15.png"/><Relationship Id="rId3" Type="http://schemas.openxmlformats.org/officeDocument/2006/relationships/image" Target="../media/image24.png"/><Relationship Id="rId4" Type="http://schemas.openxmlformats.org/officeDocument/2006/relationships/image" Target="../media/image9.png"/><Relationship Id="rId11" Type="http://schemas.openxmlformats.org/officeDocument/2006/relationships/image" Target="../media/image19.png"/><Relationship Id="rId10" Type="http://schemas.openxmlformats.org/officeDocument/2006/relationships/image" Target="../media/image11.png"/><Relationship Id="rId12" Type="http://schemas.openxmlformats.org/officeDocument/2006/relationships/image" Target="../media/image26.png"/><Relationship Id="rId9" Type="http://schemas.openxmlformats.org/officeDocument/2006/relationships/image" Target="../media/image32.png"/><Relationship Id="rId5" Type="http://schemas.openxmlformats.org/officeDocument/2006/relationships/image" Target="../media/image21.png"/><Relationship Id="rId6" Type="http://schemas.openxmlformats.org/officeDocument/2006/relationships/image" Target="../media/image38.png"/><Relationship Id="rId7" Type="http://schemas.openxmlformats.org/officeDocument/2006/relationships/image" Target="../media/image16.png"/><Relationship Id="rId8" Type="http://schemas.openxmlformats.org/officeDocument/2006/relationships/image" Target="../media/image18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3.png"/><Relationship Id="rId2" Type="http://schemas.openxmlformats.org/officeDocument/2006/relationships/image" Target="../media/image28.png"/><Relationship Id="rId3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152400</xdr:colOff>
      <xdr:row>16</xdr:row>
      <xdr:rowOff>200025</xdr:rowOff>
    </xdr:from>
    <xdr:ext cx="3867150" cy="4629150"/>
    <xdr:pic>
      <xdr:nvPicPr>
        <xdr:cNvPr id="0" name="image2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333375</xdr:colOff>
      <xdr:row>16</xdr:row>
      <xdr:rowOff>200025</xdr:rowOff>
    </xdr:from>
    <xdr:ext cx="4267200" cy="4467225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47625</xdr:colOff>
      <xdr:row>16</xdr:row>
      <xdr:rowOff>38100</xdr:rowOff>
    </xdr:from>
    <xdr:ext cx="3886200" cy="4705350"/>
    <xdr:pic>
      <xdr:nvPicPr>
        <xdr:cNvPr id="0" name="image2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581025</xdr:colOff>
      <xdr:row>80</xdr:row>
      <xdr:rowOff>28575</xdr:rowOff>
    </xdr:from>
    <xdr:ext cx="4876800" cy="2781300"/>
    <xdr:pic>
      <xdr:nvPicPr>
        <xdr:cNvPr id="0" name="image3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914400</xdr:colOff>
      <xdr:row>49</xdr:row>
      <xdr:rowOff>85725</xdr:rowOff>
    </xdr:from>
    <xdr:ext cx="4876800" cy="5743575"/>
    <xdr:pic>
      <xdr:nvPicPr>
        <xdr:cNvPr id="0" name="image30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19050</xdr:colOff>
      <xdr:row>48</xdr:row>
      <xdr:rowOff>66675</xdr:rowOff>
    </xdr:from>
    <xdr:ext cx="4876800" cy="5600700"/>
    <xdr:pic>
      <xdr:nvPicPr>
        <xdr:cNvPr id="0" name="image10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0</xdr:colOff>
      <xdr:row>4</xdr:row>
      <xdr:rowOff>0</xdr:rowOff>
    </xdr:from>
    <xdr:ext cx="7200900" cy="3971925"/>
    <xdr:pic>
      <xdr:nvPicPr>
        <xdr:cNvPr id="0" name="image3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0</xdr:colOff>
      <xdr:row>26</xdr:row>
      <xdr:rowOff>0</xdr:rowOff>
    </xdr:from>
    <xdr:ext cx="6000750" cy="371475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0</xdr:colOff>
      <xdr:row>27</xdr:row>
      <xdr:rowOff>0</xdr:rowOff>
    </xdr:from>
    <xdr:ext cx="4791075" cy="3562350"/>
    <xdr:pic>
      <xdr:nvPicPr>
        <xdr:cNvPr id="0" name="image5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962025</xdr:colOff>
      <xdr:row>44</xdr:row>
      <xdr:rowOff>209550</xdr:rowOff>
    </xdr:from>
    <xdr:ext cx="4295775" cy="2638425"/>
    <xdr:pic>
      <xdr:nvPicPr>
        <xdr:cNvPr id="0" name="image25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885825</xdr:colOff>
      <xdr:row>80</xdr:row>
      <xdr:rowOff>104775</xdr:rowOff>
    </xdr:from>
    <xdr:ext cx="4248150" cy="2914650"/>
    <xdr:pic>
      <xdr:nvPicPr>
        <xdr:cNvPr id="0" name="image29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885825</xdr:colOff>
      <xdr:row>100</xdr:row>
      <xdr:rowOff>28575</xdr:rowOff>
    </xdr:from>
    <xdr:ext cx="3228975" cy="3038475"/>
    <xdr:pic>
      <xdr:nvPicPr>
        <xdr:cNvPr id="0" name="image14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771525</xdr:colOff>
      <xdr:row>100</xdr:row>
      <xdr:rowOff>28575</xdr:rowOff>
    </xdr:from>
    <xdr:ext cx="4200525" cy="2952750"/>
    <xdr:pic>
      <xdr:nvPicPr>
        <xdr:cNvPr id="0" name="image31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400050</xdr:colOff>
      <xdr:row>131</xdr:row>
      <xdr:rowOff>66675</xdr:rowOff>
    </xdr:from>
    <xdr:ext cx="4876800" cy="6238875"/>
    <xdr:pic>
      <xdr:nvPicPr>
        <xdr:cNvPr id="0" name="image36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866775</xdr:colOff>
      <xdr:row>165</xdr:row>
      <xdr:rowOff>95250</xdr:rowOff>
    </xdr:from>
    <xdr:ext cx="5667375" cy="2657475"/>
    <xdr:pic>
      <xdr:nvPicPr>
        <xdr:cNvPr id="0" name="image8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590550</xdr:colOff>
      <xdr:row>135</xdr:row>
      <xdr:rowOff>-180975</xdr:rowOff>
    </xdr:from>
    <xdr:ext cx="4953000" cy="1828800"/>
    <xdr:pic>
      <xdr:nvPicPr>
        <xdr:cNvPr id="0" name="image6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23</xdr:col>
      <xdr:colOff>628650</xdr:colOff>
      <xdr:row>131</xdr:row>
      <xdr:rowOff>66675</xdr:rowOff>
    </xdr:from>
    <xdr:ext cx="5305425" cy="5848350"/>
    <xdr:pic>
      <xdr:nvPicPr>
        <xdr:cNvPr id="0" name="image20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790575</xdr:colOff>
      <xdr:row>0</xdr:row>
      <xdr:rowOff>30279975</xdr:rowOff>
    </xdr:from>
    <xdr:ext cx="4876800" cy="6753225"/>
    <xdr:pic>
      <xdr:nvPicPr>
        <xdr:cNvPr id="0" name="image7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28575</xdr:colOff>
      <xdr:row>8</xdr:row>
      <xdr:rowOff>123825</xdr:rowOff>
    </xdr:from>
    <xdr:ext cx="4286250" cy="5762625"/>
    <xdr:pic>
      <xdr:nvPicPr>
        <xdr:cNvPr id="0" name="image3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0</xdr:colOff>
      <xdr:row>40</xdr:row>
      <xdr:rowOff>0</xdr:rowOff>
    </xdr:from>
    <xdr:ext cx="4076700" cy="53435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885825</xdr:colOff>
      <xdr:row>7</xdr:row>
      <xdr:rowOff>200025</xdr:rowOff>
    </xdr:from>
    <xdr:ext cx="4876800" cy="6753225"/>
    <xdr:pic>
      <xdr:nvPicPr>
        <xdr:cNvPr id="0" name="image35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3</xdr:row>
      <xdr:rowOff>0</xdr:rowOff>
    </xdr:from>
    <xdr:ext cx="5876925" cy="1666875"/>
    <xdr:pic>
      <xdr:nvPicPr>
        <xdr:cNvPr id="0" name="image2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4219575" cy="2895600"/>
    <xdr:pic>
      <xdr:nvPicPr>
        <xdr:cNvPr id="0" name="image1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495300</xdr:colOff>
      <xdr:row>8</xdr:row>
      <xdr:rowOff>104775</xdr:rowOff>
    </xdr:from>
    <xdr:ext cx="3743325" cy="1733550"/>
    <xdr:pic>
      <xdr:nvPicPr>
        <xdr:cNvPr id="0" name="image3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6772275" cy="1295400"/>
    <xdr:pic>
      <xdr:nvPicPr>
        <xdr:cNvPr id="0" name="image1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752475</xdr:colOff>
      <xdr:row>65</xdr:row>
      <xdr:rowOff>200025</xdr:rowOff>
    </xdr:from>
    <xdr:ext cx="4419600" cy="3962400"/>
    <xdr:pic>
      <xdr:nvPicPr>
        <xdr:cNvPr id="0" name="image24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9525</xdr:rowOff>
    </xdr:from>
    <xdr:ext cx="4257675" cy="2962275"/>
    <xdr:pic>
      <xdr:nvPicPr>
        <xdr:cNvPr id="0" name="image9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113</xdr:row>
      <xdr:rowOff>209550</xdr:rowOff>
    </xdr:from>
    <xdr:ext cx="5219700" cy="2390775"/>
    <xdr:pic>
      <xdr:nvPicPr>
        <xdr:cNvPr id="0" name="image21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666750</xdr:colOff>
      <xdr:row>113</xdr:row>
      <xdr:rowOff>66675</xdr:rowOff>
    </xdr:from>
    <xdr:ext cx="5219700" cy="2390775"/>
    <xdr:pic>
      <xdr:nvPicPr>
        <xdr:cNvPr id="0" name="image21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847725</xdr:colOff>
      <xdr:row>62</xdr:row>
      <xdr:rowOff>38100</xdr:rowOff>
    </xdr:from>
    <xdr:ext cx="6391275" cy="5305425"/>
    <xdr:pic>
      <xdr:nvPicPr>
        <xdr:cNvPr id="0" name="image38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180975</xdr:colOff>
      <xdr:row>90</xdr:row>
      <xdr:rowOff>38100</xdr:rowOff>
    </xdr:from>
    <xdr:ext cx="4276725" cy="2914650"/>
    <xdr:pic>
      <xdr:nvPicPr>
        <xdr:cNvPr id="0" name="image16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933450</xdr:colOff>
      <xdr:row>155</xdr:row>
      <xdr:rowOff>47625</xdr:rowOff>
    </xdr:from>
    <xdr:ext cx="5610225" cy="4676775"/>
    <xdr:pic>
      <xdr:nvPicPr>
        <xdr:cNvPr id="0" name="image18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158</xdr:row>
      <xdr:rowOff>95250</xdr:rowOff>
    </xdr:from>
    <xdr:ext cx="3867150" cy="3371850"/>
    <xdr:pic>
      <xdr:nvPicPr>
        <xdr:cNvPr id="0" name="image32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181</xdr:row>
      <xdr:rowOff>95250</xdr:rowOff>
    </xdr:from>
    <xdr:ext cx="3705225" cy="2581275"/>
    <xdr:pic>
      <xdr:nvPicPr>
        <xdr:cNvPr id="0" name="image11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206</xdr:row>
      <xdr:rowOff>0</xdr:rowOff>
    </xdr:from>
    <xdr:ext cx="4629150" cy="2047875"/>
    <xdr:pic>
      <xdr:nvPicPr>
        <xdr:cNvPr id="0" name="image19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207</xdr:row>
      <xdr:rowOff>0</xdr:rowOff>
    </xdr:from>
    <xdr:ext cx="4629150" cy="2047875"/>
    <xdr:pic>
      <xdr:nvPicPr>
        <xdr:cNvPr id="0" name="image17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904875</xdr:colOff>
      <xdr:row>186</xdr:row>
      <xdr:rowOff>85725</xdr:rowOff>
    </xdr:from>
    <xdr:ext cx="3724275" cy="2552700"/>
    <xdr:pic>
      <xdr:nvPicPr>
        <xdr:cNvPr id="0" name="image26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249</xdr:row>
      <xdr:rowOff>9525</xdr:rowOff>
    </xdr:from>
    <xdr:ext cx="3867150" cy="3371850"/>
    <xdr:pic>
      <xdr:nvPicPr>
        <xdr:cNvPr id="0" name="image32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272</xdr:row>
      <xdr:rowOff>28575</xdr:rowOff>
    </xdr:from>
    <xdr:ext cx="3705225" cy="2581275"/>
    <xdr:pic>
      <xdr:nvPicPr>
        <xdr:cNvPr id="0" name="image11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295</xdr:row>
      <xdr:rowOff>0</xdr:rowOff>
    </xdr:from>
    <xdr:ext cx="4629150" cy="2047875"/>
    <xdr:pic>
      <xdr:nvPicPr>
        <xdr:cNvPr id="0" name="image19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933450</xdr:colOff>
      <xdr:row>247</xdr:row>
      <xdr:rowOff>47625</xdr:rowOff>
    </xdr:from>
    <xdr:ext cx="5610225" cy="4676775"/>
    <xdr:pic>
      <xdr:nvPicPr>
        <xdr:cNvPr id="0" name="image18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704850</xdr:colOff>
      <xdr:row>275</xdr:row>
      <xdr:rowOff>142875</xdr:rowOff>
    </xdr:from>
    <xdr:ext cx="3724275" cy="2552700"/>
    <xdr:pic>
      <xdr:nvPicPr>
        <xdr:cNvPr id="0" name="image26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38100</xdr:colOff>
      <xdr:row>293</xdr:row>
      <xdr:rowOff>123825</xdr:rowOff>
    </xdr:from>
    <xdr:ext cx="4629150" cy="2047875"/>
    <xdr:pic>
      <xdr:nvPicPr>
        <xdr:cNvPr id="0" name="image17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676275</xdr:colOff>
      <xdr:row>10</xdr:row>
      <xdr:rowOff>180975</xdr:rowOff>
    </xdr:from>
    <xdr:ext cx="4257675" cy="2628900"/>
    <xdr:pic>
      <xdr:nvPicPr>
        <xdr:cNvPr id="0" name="image2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266700</xdr:colOff>
      <xdr:row>26</xdr:row>
      <xdr:rowOff>200025</xdr:rowOff>
    </xdr:from>
    <xdr:ext cx="4276725" cy="3581400"/>
    <xdr:pic>
      <xdr:nvPicPr>
        <xdr:cNvPr id="0" name="image2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50</xdr:row>
      <xdr:rowOff>0</xdr:rowOff>
    </xdr:from>
    <xdr:ext cx="4171950" cy="2676525"/>
    <xdr:pic>
      <xdr:nvPicPr>
        <xdr:cNvPr id="0" name="image13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47625</xdr:colOff>
      <xdr:row>0</xdr:row>
      <xdr:rowOff>15678150</xdr:rowOff>
    </xdr:from>
    <xdr:ext cx="4257675" cy="2628900"/>
    <xdr:pic>
      <xdr:nvPicPr>
        <xdr:cNvPr id="0" name="image2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133350</xdr:colOff>
      <xdr:row>94</xdr:row>
      <xdr:rowOff>142875</xdr:rowOff>
    </xdr:from>
    <xdr:ext cx="4276725" cy="3581400"/>
    <xdr:pic>
      <xdr:nvPicPr>
        <xdr:cNvPr id="0" name="image2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314325</xdr:colOff>
      <xdr:row>117</xdr:row>
      <xdr:rowOff>152400</xdr:rowOff>
    </xdr:from>
    <xdr:ext cx="4171950" cy="2676525"/>
    <xdr:pic>
      <xdr:nvPicPr>
        <xdr:cNvPr id="0" name="image13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704850</xdr:colOff>
      <xdr:row>139</xdr:row>
      <xdr:rowOff>28575</xdr:rowOff>
    </xdr:from>
    <xdr:ext cx="4257675" cy="2628900"/>
    <xdr:pic>
      <xdr:nvPicPr>
        <xdr:cNvPr id="0" name="image2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523875</xdr:colOff>
      <xdr:row>161</xdr:row>
      <xdr:rowOff>57150</xdr:rowOff>
    </xdr:from>
    <xdr:ext cx="4276725" cy="3581400"/>
    <xdr:pic>
      <xdr:nvPicPr>
        <xdr:cNvPr id="0" name="image2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838200</xdr:colOff>
      <xdr:row>184</xdr:row>
      <xdr:rowOff>152400</xdr:rowOff>
    </xdr:from>
    <xdr:ext cx="4171950" cy="2676525"/>
    <xdr:pic>
      <xdr:nvPicPr>
        <xdr:cNvPr id="0" name="image13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8:J41" displayName="Table_1" name="Table_1" id="1">
  <tableColumns count="10">
    <tableColumn name="Circuito L0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F-QUEDA DE TENSÃO-style" showColumnStripes="0" showFirstColumn="1" showLastColumn="1" showRowStripes="1"/>
</table>
</file>

<file path=xl/tables/table2.xml><?xml version="1.0" encoding="utf-8"?>
<table xmlns="http://schemas.openxmlformats.org/spreadsheetml/2006/main" ref="P39:W42" displayName="Table_2" name="Table_2" id="2">
  <tableColumns count="8">
    <tableColumn name="Circuito L0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F-QUEDA DE TENSÃ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2:J42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F-QUEDA DE TENSÃO-style 3" showColumnStripes="0" showFirstColumn="1" showLastColumn="1" showRowStripes="1"/>
</table>
</file>

<file path=xl/tables/table4.xml><?xml version="1.0" encoding="utf-8"?>
<table xmlns="http://schemas.openxmlformats.org/spreadsheetml/2006/main" ref="A48:J51" displayName="Table_4" name="Table_4" id="4">
  <tableColumns count="10">
    <tableColumn name="Circuito T1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F-QUEDA DE TENSÃO-style 4" showColumnStripes="0" showFirstColumn="1" showLastColumn="1" showRowStripes="1"/>
</table>
</file>

<file path=xl/tables/table5.xml><?xml version="1.0" encoding="utf-8"?>
<table xmlns="http://schemas.openxmlformats.org/spreadsheetml/2006/main" ref="P48:W54" displayName="Table_5" name="Table_5" id="5">
  <tableColumns count="8">
    <tableColumn name="Circuito T1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F-QUEDA DE TENSÃ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2:J54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F-QUEDA DE TENSÃO-style 6" showColumnStripes="0" showFirstColumn="1" showLastColumn="1" showRowStripes="1"/>
</table>
</file>

<file path=xl/tables/table7.xml><?xml version="1.0" encoding="utf-8"?>
<table xmlns="http://schemas.openxmlformats.org/spreadsheetml/2006/main" ref="A140:J143" displayName="Table_7" name="Table_7" id="7">
  <tableColumns count="10">
    <tableColumn name="Circuito T3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F-QUEDA DE TENSÃO-style 7" showColumnStripes="0" showFirstColumn="1" showLastColumn="1" showRowStripes="1"/>
</table>
</file>

<file path=xl/tables/table8.xml><?xml version="1.0" encoding="utf-8"?>
<table xmlns="http://schemas.openxmlformats.org/spreadsheetml/2006/main" ref="P140:W146" displayName="Table_8" name="Table_8" id="8">
  <tableColumns count="8">
    <tableColumn name="Circuito T3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F-QUEDA DE TENSÃ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144:J146" displayName="Table_9" name="Table_9" id="9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F-QUEDA DE TENSÃO-style 9" showColumnStripes="0" showFirstColumn="1" showLastColumn="1" showRowStripes="1"/>
</table>
</file>

<file path=xl/tables/table10.xml><?xml version="1.0" encoding="utf-8"?>
<table xmlns="http://schemas.openxmlformats.org/spreadsheetml/2006/main" ref="A229:J232" displayName="Table_10" name="Table_10" id="10">
  <tableColumns count="10">
    <tableColumn name="Circuito T5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F-QUEDA DE TENSÃO-style 10" showColumnStripes="0" showFirstColumn="1" showLastColumn="1" showRowStripes="1"/>
</table>
</file>

<file path=xl/tables/table11.xml><?xml version="1.0" encoding="utf-8"?>
<table xmlns="http://schemas.openxmlformats.org/spreadsheetml/2006/main" ref="P229:W235" displayName="Table_11" name="Table_11" id="11">
  <tableColumns count="8">
    <tableColumn name="Circuito T5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F-QUEDA DE TENSÃO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A233:J235" displayName="Table_12" name="Table_12" id="1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F-QUEDA DE TENSÃO-style 12" showColumnStripes="0" showFirstColumn="1" showLastColumn="1" showRowStripes="1"/>
</table>
</file>

<file path=xl/tables/table13.xml><?xml version="1.0" encoding="utf-8"?>
<table xmlns="http://schemas.openxmlformats.org/spreadsheetml/2006/main" ref="A316:J319" displayName="Table_13" name="Table_13" id="13">
  <tableColumns count="10">
    <tableColumn name="Circuito T7" id="1"/>
    <tableColumn name="Corrente Ip (A)" id="2"/>
    <tableColumn name="Distância L (m)" id="3"/>
    <tableColumn name="Seção (mm²)" id="4"/>
    <tableColumn name="R [Ω/m]" id="5"/>
    <tableColumn name="X [Ω/m]" id="6"/>
    <tableColumn name="FP" id="7"/>
    <tableColumn name="ΔV (V)" id="8"/>
    <tableColumn name="ΔV (%)" id="9"/>
    <tableColumn name="ΔV(%)*" id="10"/>
  </tableColumns>
  <tableStyleInfo name="QDF-QUEDA DE TENSÃO-style 13" showColumnStripes="0" showFirstColumn="1" showLastColumn="1" showRowStripes="1"/>
</table>
</file>

<file path=xl/tables/table14.xml><?xml version="1.0" encoding="utf-8"?>
<table xmlns="http://schemas.openxmlformats.org/spreadsheetml/2006/main" ref="P316:W326" displayName="Table_14" name="Table_14" id="14">
  <tableColumns count="8">
    <tableColumn name="Circuito T7" id="1"/>
    <tableColumn name="Corrente Ip (A)" id="2"/>
    <tableColumn name="Distância L (m)" id="3"/>
    <tableColumn name="Seção (mm²)" id="4"/>
    <tableColumn name="FP" id="5"/>
    <tableColumn name="ΔV unitário (V)" id="6"/>
    <tableColumn name="ΔV (%)" id="7"/>
    <tableColumn name="ΔV(%)*" id="8"/>
  </tableColumns>
  <tableStyleInfo name="QDF-QUEDA DE TENSÃO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A320:J324" displayName="Table_15" name="Table_15" id="1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QDF-QUEDA DE TENSÃO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A43:F51" displayName="Table_16" name="Table_16" id="16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QDFG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.xml><?xml version="1.0" encoding="utf-8"?>
<table xmlns="http://schemas.openxmlformats.org/spreadsheetml/2006/main" headerRowCount="0" ref="A57:K58" displayName="Table_17" name="Table_17" id="1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QDFG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31" Type="http://schemas.openxmlformats.org/officeDocument/2006/relationships/table" Target="../tables/table15.xml"/><Relationship Id="rId30" Type="http://schemas.openxmlformats.org/officeDocument/2006/relationships/table" Target="../tables/table14.xml"/><Relationship Id="rId22" Type="http://schemas.openxmlformats.org/officeDocument/2006/relationships/table" Target="../tables/table6.xml"/><Relationship Id="rId21" Type="http://schemas.openxmlformats.org/officeDocument/2006/relationships/table" Target="../tables/table5.xml"/><Relationship Id="rId24" Type="http://schemas.openxmlformats.org/officeDocument/2006/relationships/table" Target="../tables/table8.xml"/><Relationship Id="rId23" Type="http://schemas.openxmlformats.org/officeDocument/2006/relationships/table" Target="../tables/table7.xml"/><Relationship Id="rId1" Type="http://schemas.openxmlformats.org/officeDocument/2006/relationships/drawing" Target="../drawings/drawing6.xml"/><Relationship Id="rId26" Type="http://schemas.openxmlformats.org/officeDocument/2006/relationships/table" Target="../tables/table10.xml"/><Relationship Id="rId25" Type="http://schemas.openxmlformats.org/officeDocument/2006/relationships/table" Target="../tables/table9.xml"/><Relationship Id="rId17" Type="http://schemas.openxmlformats.org/officeDocument/2006/relationships/table" Target="../tables/table1.xml"/><Relationship Id="rId28" Type="http://schemas.openxmlformats.org/officeDocument/2006/relationships/table" Target="../tables/table12.xml"/><Relationship Id="rId27" Type="http://schemas.openxmlformats.org/officeDocument/2006/relationships/table" Target="../tables/table11.xml"/><Relationship Id="rId19" Type="http://schemas.openxmlformats.org/officeDocument/2006/relationships/table" Target="../tables/table3.xml"/><Relationship Id="rId18" Type="http://schemas.openxmlformats.org/officeDocument/2006/relationships/table" Target="../tables/table2.xml"/><Relationship Id="rId29" Type="http://schemas.openxmlformats.org/officeDocument/2006/relationships/table" Target="../tables/table1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6.xml"/><Relationship Id="rId5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13"/>
  </cols>
  <sheetData>
    <row r="1">
      <c r="A1" s="1" t="s">
        <v>0</v>
      </c>
      <c r="B1" s="1" t="s">
        <v>1</v>
      </c>
      <c r="C1" s="2" t="s">
        <v>2</v>
      </c>
      <c r="D1" s="2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</row>
    <row r="2">
      <c r="A2" s="4" t="s">
        <v>11</v>
      </c>
      <c r="B2" s="4">
        <v>0.8</v>
      </c>
      <c r="C2" s="4">
        <v>15.92</v>
      </c>
      <c r="D2" s="4">
        <v>9.6</v>
      </c>
      <c r="E2" s="10">
        <f t="shared" ref="E2:E13" si="1">D2*C2</f>
        <v>152.832</v>
      </c>
      <c r="F2" s="10">
        <f t="shared" ref="F2:F3" si="2">(2*D2)+(2*C2)</f>
        <v>51.04</v>
      </c>
      <c r="G2" s="4" t="s">
        <v>27</v>
      </c>
      <c r="H2" s="4" t="s">
        <v>28</v>
      </c>
      <c r="I2" s="4" t="s">
        <v>30</v>
      </c>
      <c r="J2" s="4">
        <v>7.0</v>
      </c>
    </row>
    <row r="3">
      <c r="A3" s="4" t="s">
        <v>31</v>
      </c>
      <c r="B3" s="4">
        <v>0.8</v>
      </c>
      <c r="C3" s="4">
        <v>9.28</v>
      </c>
      <c r="D3" s="4">
        <v>9.6</v>
      </c>
      <c r="E3" s="10">
        <f t="shared" si="1"/>
        <v>89.088</v>
      </c>
      <c r="F3" s="10">
        <f t="shared" si="2"/>
        <v>37.76</v>
      </c>
      <c r="G3" s="4" t="s">
        <v>27</v>
      </c>
      <c r="H3" s="4" t="s">
        <v>28</v>
      </c>
      <c r="I3" s="4" t="s">
        <v>30</v>
      </c>
      <c r="J3" s="4">
        <v>7.0</v>
      </c>
    </row>
    <row r="4">
      <c r="A4" s="4" t="s">
        <v>34</v>
      </c>
      <c r="B4" s="4">
        <v>0.8</v>
      </c>
      <c r="C4" s="4">
        <v>8.12</v>
      </c>
      <c r="D4" s="4">
        <v>6.0</v>
      </c>
      <c r="E4" s="10">
        <f t="shared" si="1"/>
        <v>48.72</v>
      </c>
      <c r="F4" s="10">
        <f t="shared" ref="F4:F5" si="3">2*D4+2*C4</f>
        <v>28.24</v>
      </c>
      <c r="G4" s="4" t="s">
        <v>27</v>
      </c>
      <c r="H4" s="4" t="s">
        <v>28</v>
      </c>
      <c r="I4" s="4" t="s">
        <v>30</v>
      </c>
      <c r="J4" s="4">
        <v>7.0</v>
      </c>
    </row>
    <row r="5">
      <c r="A5" s="4" t="s">
        <v>36</v>
      </c>
      <c r="B5" s="4">
        <v>0.8</v>
      </c>
      <c r="C5" s="4">
        <v>11.18</v>
      </c>
      <c r="D5" s="4">
        <v>9.6</v>
      </c>
      <c r="E5" s="10">
        <f t="shared" si="1"/>
        <v>107.328</v>
      </c>
      <c r="F5" s="10">
        <f t="shared" si="3"/>
        <v>41.56</v>
      </c>
      <c r="G5" s="4" t="s">
        <v>27</v>
      </c>
      <c r="H5" s="4" t="s">
        <v>28</v>
      </c>
      <c r="I5" s="4" t="s">
        <v>30</v>
      </c>
      <c r="J5" s="4">
        <v>7.0</v>
      </c>
    </row>
    <row r="6">
      <c r="A6" s="4" t="s">
        <v>37</v>
      </c>
      <c r="B6" s="4">
        <v>0.8</v>
      </c>
      <c r="C6" s="4">
        <v>8.12</v>
      </c>
      <c r="D6" s="4">
        <v>30.92</v>
      </c>
      <c r="E6" s="10">
        <f t="shared" si="1"/>
        <v>251.0704</v>
      </c>
      <c r="F6" s="10">
        <f t="shared" ref="F6:F13" si="4">(2*D6)+(2*C6)</f>
        <v>78.08</v>
      </c>
      <c r="G6" s="4" t="s">
        <v>27</v>
      </c>
      <c r="H6" s="4" t="s">
        <v>28</v>
      </c>
      <c r="I6" s="4" t="s">
        <v>30</v>
      </c>
      <c r="J6" s="4">
        <v>7.0</v>
      </c>
    </row>
    <row r="7">
      <c r="A7" s="4" t="s">
        <v>39</v>
      </c>
      <c r="B7" s="4">
        <v>0.8</v>
      </c>
      <c r="C7" s="4">
        <v>5.0</v>
      </c>
      <c r="D7" s="4">
        <v>30.9</v>
      </c>
      <c r="E7" s="10">
        <f t="shared" si="1"/>
        <v>154.5</v>
      </c>
      <c r="F7" s="10">
        <f t="shared" si="4"/>
        <v>71.8</v>
      </c>
      <c r="G7" s="4" t="s">
        <v>27</v>
      </c>
      <c r="H7" s="4" t="s">
        <v>28</v>
      </c>
      <c r="I7" s="4" t="s">
        <v>30</v>
      </c>
      <c r="J7" s="4">
        <v>7.0</v>
      </c>
    </row>
    <row r="8">
      <c r="A8" s="4" t="s">
        <v>41</v>
      </c>
      <c r="B8" s="4">
        <v>0.8</v>
      </c>
      <c r="C8" s="4">
        <v>5.23</v>
      </c>
      <c r="D8" s="4">
        <v>39.25</v>
      </c>
      <c r="E8" s="10">
        <f t="shared" si="1"/>
        <v>205.2775</v>
      </c>
      <c r="F8" s="10">
        <f t="shared" si="4"/>
        <v>88.96</v>
      </c>
      <c r="G8" s="4" t="s">
        <v>27</v>
      </c>
      <c r="H8" s="4" t="s">
        <v>28</v>
      </c>
      <c r="I8" s="4" t="s">
        <v>30</v>
      </c>
      <c r="J8" s="4">
        <v>7.0</v>
      </c>
    </row>
    <row r="9">
      <c r="A9" s="4" t="s">
        <v>42</v>
      </c>
      <c r="B9" s="4">
        <v>0.8</v>
      </c>
      <c r="C9" s="4">
        <v>27.95</v>
      </c>
      <c r="D9" s="4">
        <v>43.37</v>
      </c>
      <c r="E9" s="10">
        <f t="shared" si="1"/>
        <v>1212.1915</v>
      </c>
      <c r="F9" s="10">
        <f t="shared" si="4"/>
        <v>142.64</v>
      </c>
      <c r="G9" s="4" t="s">
        <v>27</v>
      </c>
      <c r="H9" s="4" t="s">
        <v>28</v>
      </c>
      <c r="I9" s="4" t="s">
        <v>30</v>
      </c>
      <c r="J9" s="4">
        <v>7.0</v>
      </c>
    </row>
    <row r="10">
      <c r="A10" s="4" t="s">
        <v>43</v>
      </c>
      <c r="B10" s="4">
        <v>0.8</v>
      </c>
      <c r="C10" s="4">
        <v>5.0</v>
      </c>
      <c r="D10" s="4">
        <v>6.0</v>
      </c>
      <c r="E10" s="10">
        <f t="shared" si="1"/>
        <v>30</v>
      </c>
      <c r="F10" s="10">
        <f t="shared" si="4"/>
        <v>22</v>
      </c>
      <c r="G10" s="4" t="s">
        <v>44</v>
      </c>
      <c r="H10" s="4" t="s">
        <v>28</v>
      </c>
      <c r="I10" s="4" t="s">
        <v>45</v>
      </c>
      <c r="J10" s="4">
        <v>3.0</v>
      </c>
    </row>
    <row r="11">
      <c r="A11" s="4" t="s">
        <v>46</v>
      </c>
      <c r="B11" s="4">
        <v>0.8</v>
      </c>
      <c r="C11" s="4">
        <v>5.0</v>
      </c>
      <c r="D11" s="4">
        <v>6.0</v>
      </c>
      <c r="E11" s="10">
        <f t="shared" si="1"/>
        <v>30</v>
      </c>
      <c r="F11" s="10">
        <f t="shared" si="4"/>
        <v>22</v>
      </c>
      <c r="G11" s="4" t="s">
        <v>49</v>
      </c>
      <c r="H11" s="4" t="s">
        <v>50</v>
      </c>
      <c r="I11" s="4" t="s">
        <v>45</v>
      </c>
      <c r="J11" s="4">
        <v>3.0</v>
      </c>
    </row>
    <row r="12">
      <c r="A12" s="4" t="s">
        <v>51</v>
      </c>
      <c r="B12" s="4">
        <v>0.8</v>
      </c>
      <c r="C12" s="4">
        <v>5.23</v>
      </c>
      <c r="D12" s="4">
        <v>3.5</v>
      </c>
      <c r="E12" s="10">
        <f t="shared" si="1"/>
        <v>18.305</v>
      </c>
      <c r="F12" s="10">
        <f t="shared" si="4"/>
        <v>17.46</v>
      </c>
      <c r="G12" s="4" t="s">
        <v>44</v>
      </c>
      <c r="H12" s="4" t="s">
        <v>28</v>
      </c>
      <c r="I12" s="4" t="s">
        <v>45</v>
      </c>
      <c r="J12" s="4">
        <v>3.0</v>
      </c>
    </row>
    <row r="13">
      <c r="A13" s="4" t="s">
        <v>53</v>
      </c>
      <c r="B13" s="4">
        <v>0.8</v>
      </c>
      <c r="C13" s="4">
        <v>8.12</v>
      </c>
      <c r="D13" s="4">
        <v>6.0</v>
      </c>
      <c r="E13" s="10">
        <f t="shared" si="1"/>
        <v>48.72</v>
      </c>
      <c r="F13" s="10">
        <f t="shared" si="4"/>
        <v>28.24</v>
      </c>
      <c r="G13" s="4" t="s">
        <v>49</v>
      </c>
      <c r="H13" s="4" t="s">
        <v>55</v>
      </c>
      <c r="I13" s="4" t="s">
        <v>45</v>
      </c>
      <c r="J13" s="4">
        <v>3.0</v>
      </c>
    </row>
    <row r="14">
      <c r="A14" s="4" t="s">
        <v>32</v>
      </c>
      <c r="B14" s="4">
        <v>0.8</v>
      </c>
      <c r="C14" s="4">
        <v>9.6</v>
      </c>
      <c r="D14" s="4">
        <v>9.8</v>
      </c>
      <c r="E14" s="10">
        <f>C14*D14</f>
        <v>94.08</v>
      </c>
      <c r="F14" s="10">
        <f>(2*C14)+(2*D14)</f>
        <v>38.8</v>
      </c>
      <c r="G14" s="4" t="s">
        <v>49</v>
      </c>
      <c r="H14" s="4" t="s">
        <v>50</v>
      </c>
      <c r="I14" s="4" t="s">
        <v>30</v>
      </c>
      <c r="J14" s="4">
        <v>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5"/>
  </cols>
  <sheetData>
    <row r="1">
      <c r="A1" s="3" t="s">
        <v>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>
      <c r="A2" s="7" t="s">
        <v>12</v>
      </c>
      <c r="B2" s="7" t="s">
        <v>13</v>
      </c>
      <c r="C2" s="7" t="s">
        <v>14</v>
      </c>
      <c r="D2" s="8" t="s">
        <v>15</v>
      </c>
      <c r="E2" s="9" t="s">
        <v>16</v>
      </c>
      <c r="F2" s="7" t="s">
        <v>17</v>
      </c>
      <c r="G2" s="7" t="s">
        <v>18</v>
      </c>
      <c r="H2" s="7" t="s">
        <v>19</v>
      </c>
      <c r="I2" s="8" t="s">
        <v>20</v>
      </c>
      <c r="J2" s="11" t="s">
        <v>21</v>
      </c>
      <c r="K2" s="12" t="s">
        <v>22</v>
      </c>
      <c r="L2" s="11" t="s">
        <v>23</v>
      </c>
      <c r="M2" s="12" t="s">
        <v>24</v>
      </c>
      <c r="R2" s="13" t="s">
        <v>25</v>
      </c>
    </row>
    <row r="3">
      <c r="A3" s="8" t="s">
        <v>26</v>
      </c>
      <c r="B3" s="14" t="s">
        <v>29</v>
      </c>
      <c r="C3" s="15" t="s">
        <v>32</v>
      </c>
      <c r="D3" s="16" t="s">
        <v>33</v>
      </c>
      <c r="E3" s="16">
        <v>1.0</v>
      </c>
      <c r="F3" s="15">
        <v>220.0</v>
      </c>
      <c r="G3" s="17">
        <v>13.0</v>
      </c>
      <c r="H3" s="17" t="s">
        <v>35</v>
      </c>
      <c r="I3" s="17">
        <v>2.0</v>
      </c>
      <c r="J3" s="18">
        <v>400.0</v>
      </c>
      <c r="K3" s="19">
        <f t="shared" ref="K3:K11" si="1">J3*I3</f>
        <v>800</v>
      </c>
      <c r="L3" s="20">
        <f t="shared" ref="L3:L11" si="2">K3/F3</f>
        <v>3.636363636</v>
      </c>
      <c r="M3" s="19">
        <v>1.0</v>
      </c>
    </row>
    <row r="4">
      <c r="A4" s="21" t="s">
        <v>38</v>
      </c>
      <c r="B4" s="14" t="s">
        <v>40</v>
      </c>
      <c r="C4" s="22" t="s">
        <v>11</v>
      </c>
      <c r="D4" s="16" t="s">
        <v>33</v>
      </c>
      <c r="E4" s="16">
        <v>1.0</v>
      </c>
      <c r="F4" s="23">
        <v>220.0</v>
      </c>
      <c r="G4" s="14">
        <v>13.0</v>
      </c>
      <c r="H4" s="17" t="s">
        <v>35</v>
      </c>
      <c r="I4" s="24">
        <v>4.0</v>
      </c>
      <c r="J4" s="19">
        <v>200.0</v>
      </c>
      <c r="K4" s="19">
        <f t="shared" si="1"/>
        <v>800</v>
      </c>
      <c r="L4" s="20">
        <f t="shared" si="2"/>
        <v>3.636363636</v>
      </c>
      <c r="M4" s="19">
        <v>1.0</v>
      </c>
      <c r="Q4" s="25"/>
      <c r="R4" s="25"/>
      <c r="S4" s="25"/>
      <c r="T4" s="25"/>
      <c r="U4" s="25"/>
      <c r="V4" s="25"/>
      <c r="W4" s="25"/>
      <c r="X4" s="25"/>
      <c r="Y4" s="25"/>
    </row>
    <row r="5">
      <c r="A5" s="26"/>
      <c r="B5" s="14" t="s">
        <v>47</v>
      </c>
      <c r="C5" s="26"/>
      <c r="D5" s="16" t="s">
        <v>48</v>
      </c>
      <c r="E5" s="16">
        <v>3.0</v>
      </c>
      <c r="F5" s="23">
        <v>220.0</v>
      </c>
      <c r="G5" s="14">
        <v>13.0</v>
      </c>
      <c r="H5" s="17" t="s">
        <v>35</v>
      </c>
      <c r="I5" s="24">
        <v>1.0</v>
      </c>
      <c r="J5" s="19">
        <v>1000.0</v>
      </c>
      <c r="K5" s="19">
        <f t="shared" si="1"/>
        <v>1000</v>
      </c>
      <c r="L5" s="20">
        <f t="shared" si="2"/>
        <v>4.545454545</v>
      </c>
      <c r="M5" s="19">
        <v>1.0</v>
      </c>
      <c r="Q5" s="25"/>
      <c r="R5" s="27" t="s">
        <v>52</v>
      </c>
    </row>
    <row r="6">
      <c r="A6" s="21" t="s">
        <v>54</v>
      </c>
      <c r="B6" s="14" t="s">
        <v>56</v>
      </c>
      <c r="C6" s="22" t="s">
        <v>31</v>
      </c>
      <c r="D6" s="16" t="s">
        <v>33</v>
      </c>
      <c r="E6" s="16">
        <v>1.0</v>
      </c>
      <c r="F6" s="23">
        <v>220.0</v>
      </c>
      <c r="G6" s="14">
        <v>13.0</v>
      </c>
      <c r="H6" s="17" t="s">
        <v>35</v>
      </c>
      <c r="I6" s="24">
        <v>2.0</v>
      </c>
      <c r="J6" s="19">
        <v>200.0</v>
      </c>
      <c r="K6" s="19">
        <f t="shared" si="1"/>
        <v>400</v>
      </c>
      <c r="L6" s="20">
        <f t="shared" si="2"/>
        <v>1.818181818</v>
      </c>
      <c r="M6" s="19">
        <v>1.0</v>
      </c>
      <c r="Q6" s="25"/>
    </row>
    <row r="7" ht="27.0" customHeight="1">
      <c r="A7" s="26"/>
      <c r="B7" s="14" t="s">
        <v>57</v>
      </c>
      <c r="C7" s="26"/>
      <c r="D7" s="16" t="s">
        <v>48</v>
      </c>
      <c r="E7" s="16">
        <v>3.0</v>
      </c>
      <c r="F7" s="23">
        <v>220.0</v>
      </c>
      <c r="G7" s="14">
        <v>13.0</v>
      </c>
      <c r="H7" s="17" t="s">
        <v>35</v>
      </c>
      <c r="I7" s="24">
        <v>1.0</v>
      </c>
      <c r="J7" s="19">
        <v>1000.0</v>
      </c>
      <c r="K7" s="19">
        <f t="shared" si="1"/>
        <v>1000</v>
      </c>
      <c r="L7" s="20">
        <f t="shared" si="2"/>
        <v>4.545454545</v>
      </c>
      <c r="M7" s="19">
        <v>1.0</v>
      </c>
      <c r="Q7" s="25"/>
    </row>
    <row r="8">
      <c r="A8" s="21" t="s">
        <v>58</v>
      </c>
      <c r="B8" s="14" t="s">
        <v>59</v>
      </c>
      <c r="C8" s="28" t="s">
        <v>60</v>
      </c>
      <c r="D8" s="16" t="s">
        <v>33</v>
      </c>
      <c r="E8" s="16">
        <v>1.0</v>
      </c>
      <c r="F8" s="23">
        <v>220.0</v>
      </c>
      <c r="G8" s="14">
        <v>13.0</v>
      </c>
      <c r="H8" s="17" t="s">
        <v>35</v>
      </c>
      <c r="I8" s="24">
        <v>4.0</v>
      </c>
      <c r="J8" s="19">
        <v>200.0</v>
      </c>
      <c r="K8" s="19">
        <f t="shared" si="1"/>
        <v>800</v>
      </c>
      <c r="L8" s="20">
        <f t="shared" si="2"/>
        <v>3.636363636</v>
      </c>
      <c r="M8" s="19">
        <v>1.0</v>
      </c>
      <c r="Q8" s="25"/>
      <c r="R8" s="29" t="s">
        <v>61</v>
      </c>
    </row>
    <row r="9">
      <c r="A9" s="26"/>
      <c r="B9" s="14" t="s">
        <v>62</v>
      </c>
      <c r="C9" s="26"/>
      <c r="D9" s="16" t="s">
        <v>48</v>
      </c>
      <c r="E9" s="16">
        <v>3.0</v>
      </c>
      <c r="F9" s="23">
        <v>220.0</v>
      </c>
      <c r="G9" s="14">
        <v>13.0</v>
      </c>
      <c r="H9" s="17" t="s">
        <v>35</v>
      </c>
      <c r="I9" s="16">
        <v>1.0</v>
      </c>
      <c r="J9" s="19">
        <v>1000.0</v>
      </c>
      <c r="K9" s="19">
        <f t="shared" si="1"/>
        <v>1000</v>
      </c>
      <c r="L9" s="20">
        <f t="shared" si="2"/>
        <v>4.545454545</v>
      </c>
      <c r="M9" s="19">
        <v>1.0</v>
      </c>
      <c r="Q9" s="25"/>
    </row>
    <row r="10">
      <c r="A10" s="21" t="s">
        <v>63</v>
      </c>
      <c r="B10" s="14" t="s">
        <v>64</v>
      </c>
      <c r="C10" s="22" t="s">
        <v>37</v>
      </c>
      <c r="D10" s="16" t="s">
        <v>33</v>
      </c>
      <c r="E10" s="16">
        <v>1.0</v>
      </c>
      <c r="F10" s="23">
        <v>220.0</v>
      </c>
      <c r="G10" s="14">
        <v>13.0</v>
      </c>
      <c r="H10" s="17" t="s">
        <v>35</v>
      </c>
      <c r="I10" s="16">
        <v>6.0</v>
      </c>
      <c r="J10" s="19">
        <v>200.0</v>
      </c>
      <c r="K10" s="19">
        <f t="shared" si="1"/>
        <v>1200</v>
      </c>
      <c r="L10" s="20">
        <f t="shared" si="2"/>
        <v>5.454545455</v>
      </c>
      <c r="M10" s="19">
        <v>1.0</v>
      </c>
      <c r="Q10" s="25"/>
    </row>
    <row r="11">
      <c r="A11" s="30"/>
      <c r="B11" s="14" t="s">
        <v>65</v>
      </c>
      <c r="C11" s="26"/>
      <c r="D11" s="16" t="s">
        <v>48</v>
      </c>
      <c r="E11" s="16">
        <v>3.0</v>
      </c>
      <c r="F11" s="23">
        <v>220.0</v>
      </c>
      <c r="G11" s="14">
        <v>13.0</v>
      </c>
      <c r="H11" s="17" t="s">
        <v>35</v>
      </c>
      <c r="I11" s="16">
        <v>1.0</v>
      </c>
      <c r="J11" s="19">
        <v>1000.0</v>
      </c>
      <c r="K11" s="19">
        <f t="shared" si="1"/>
        <v>1000</v>
      </c>
      <c r="L11" s="20">
        <f t="shared" si="2"/>
        <v>4.545454545</v>
      </c>
      <c r="M11" s="19">
        <v>1.0</v>
      </c>
      <c r="Q11" s="25"/>
      <c r="R11" s="31" t="s">
        <v>66</v>
      </c>
      <c r="S11" s="25"/>
      <c r="T11" s="25"/>
      <c r="U11" s="25"/>
      <c r="V11" s="25"/>
      <c r="W11" s="25"/>
      <c r="X11" s="25"/>
      <c r="Y11" s="25"/>
    </row>
    <row r="12">
      <c r="A12" s="30"/>
      <c r="B12" s="16" t="s">
        <v>67</v>
      </c>
      <c r="C12" s="23"/>
      <c r="D12" s="32"/>
      <c r="E12" s="33"/>
      <c r="F12" s="33"/>
      <c r="G12" s="33"/>
      <c r="H12" s="33"/>
      <c r="I12" s="33"/>
      <c r="J12" s="19"/>
      <c r="K12" s="19"/>
      <c r="L12" s="20"/>
      <c r="M12" s="19"/>
      <c r="Q12" s="25"/>
      <c r="R12" s="31" t="s">
        <v>68</v>
      </c>
      <c r="S12" s="25"/>
      <c r="T12" s="25"/>
      <c r="U12" s="25"/>
      <c r="V12" s="25"/>
      <c r="W12" s="25"/>
      <c r="X12" s="25"/>
      <c r="Y12" s="25"/>
    </row>
    <row r="13">
      <c r="A13" s="26"/>
      <c r="B13" s="16" t="s">
        <v>69</v>
      </c>
      <c r="C13" s="32"/>
      <c r="D13" s="32"/>
      <c r="E13" s="33"/>
      <c r="F13" s="33"/>
      <c r="G13" s="33"/>
      <c r="H13" s="33"/>
      <c r="I13" s="33"/>
      <c r="J13" s="19"/>
      <c r="K13" s="19"/>
      <c r="L13" s="20"/>
      <c r="M13" s="19"/>
      <c r="Q13" s="31" t="s">
        <v>66</v>
      </c>
      <c r="R13" s="25"/>
      <c r="S13" s="25"/>
      <c r="T13" s="25"/>
      <c r="U13" s="25"/>
      <c r="V13" s="25"/>
      <c r="W13" s="25"/>
      <c r="X13" s="25"/>
      <c r="Y13" s="25"/>
    </row>
    <row r="14">
      <c r="A14" s="34" t="s">
        <v>70</v>
      </c>
      <c r="B14" s="23" t="s">
        <v>71</v>
      </c>
      <c r="C14" s="23" t="s">
        <v>53</v>
      </c>
      <c r="D14" s="32" t="s">
        <v>33</v>
      </c>
      <c r="E14" s="32">
        <v>1.0</v>
      </c>
      <c r="F14" s="23">
        <v>220.0</v>
      </c>
      <c r="G14" s="23">
        <v>3.0</v>
      </c>
      <c r="H14" s="15" t="s">
        <v>72</v>
      </c>
      <c r="I14" s="35">
        <v>6.0</v>
      </c>
      <c r="J14" s="19">
        <v>200.0</v>
      </c>
      <c r="K14" s="20">
        <f t="shared" ref="K14:K22" si="3">J14*I14</f>
        <v>1200</v>
      </c>
      <c r="L14" s="20">
        <f t="shared" ref="L14:L22" si="4">K14/F14</f>
        <v>5.454545455</v>
      </c>
      <c r="M14" s="19">
        <v>1.0</v>
      </c>
      <c r="N14" s="19"/>
      <c r="Q14" s="25"/>
      <c r="R14" s="25"/>
      <c r="S14" s="25"/>
      <c r="T14" s="25"/>
      <c r="U14" s="25"/>
      <c r="V14" s="25"/>
      <c r="W14" s="25"/>
      <c r="X14" s="25"/>
      <c r="Y14" s="25"/>
    </row>
    <row r="15">
      <c r="A15" s="26"/>
      <c r="B15" s="23" t="s">
        <v>73</v>
      </c>
      <c r="C15" s="36" t="s">
        <v>53</v>
      </c>
      <c r="D15" s="32" t="s">
        <v>33</v>
      </c>
      <c r="E15" s="32">
        <v>1.0</v>
      </c>
      <c r="F15" s="23">
        <v>220.0</v>
      </c>
      <c r="G15" s="23">
        <v>3.0</v>
      </c>
      <c r="H15" s="15" t="s">
        <v>72</v>
      </c>
      <c r="I15" s="35">
        <v>5.0</v>
      </c>
      <c r="J15" s="19">
        <v>200.0</v>
      </c>
      <c r="K15" s="20">
        <f t="shared" si="3"/>
        <v>1000</v>
      </c>
      <c r="L15" s="20">
        <f t="shared" si="4"/>
        <v>4.545454545</v>
      </c>
      <c r="M15" s="19">
        <v>1.0</v>
      </c>
      <c r="N15" s="19"/>
      <c r="Q15" s="25"/>
      <c r="R15" s="25"/>
      <c r="S15" s="25"/>
      <c r="T15" s="25"/>
      <c r="U15" s="25"/>
      <c r="V15" s="25"/>
      <c r="W15" s="25"/>
      <c r="X15" s="25"/>
      <c r="Y15" s="25"/>
    </row>
    <row r="16">
      <c r="A16" s="34" t="s">
        <v>74</v>
      </c>
      <c r="B16" s="37" t="s">
        <v>75</v>
      </c>
      <c r="C16" s="36" t="s">
        <v>53</v>
      </c>
      <c r="D16" s="32" t="s">
        <v>48</v>
      </c>
      <c r="E16" s="32">
        <v>1.0</v>
      </c>
      <c r="F16" s="23">
        <v>220.0</v>
      </c>
      <c r="G16" s="23">
        <v>3.0</v>
      </c>
      <c r="H16" s="15" t="s">
        <v>72</v>
      </c>
      <c r="I16" s="35">
        <v>1.0</v>
      </c>
      <c r="J16" s="19">
        <v>1500.0</v>
      </c>
      <c r="K16" s="19">
        <f t="shared" si="3"/>
        <v>1500</v>
      </c>
      <c r="L16" s="20">
        <f t="shared" si="4"/>
        <v>6.818181818</v>
      </c>
      <c r="M16" s="19">
        <v>1.0</v>
      </c>
      <c r="Q16" s="25"/>
      <c r="R16" s="31" t="s">
        <v>66</v>
      </c>
      <c r="S16" s="25"/>
      <c r="T16" s="25"/>
      <c r="U16" s="25"/>
      <c r="V16" s="25"/>
      <c r="W16" s="25"/>
      <c r="X16" s="25"/>
      <c r="Y16" s="25"/>
    </row>
    <row r="17">
      <c r="A17" s="30"/>
      <c r="B17" s="37" t="s">
        <v>76</v>
      </c>
      <c r="C17" s="23" t="s">
        <v>77</v>
      </c>
      <c r="D17" s="32" t="s">
        <v>33</v>
      </c>
      <c r="E17" s="32">
        <v>1.0</v>
      </c>
      <c r="F17" s="23">
        <v>220.0</v>
      </c>
      <c r="G17" s="23">
        <v>3.0</v>
      </c>
      <c r="H17" s="15" t="s">
        <v>72</v>
      </c>
      <c r="I17" s="35">
        <v>8.0</v>
      </c>
      <c r="J17" s="19">
        <v>200.0</v>
      </c>
      <c r="K17" s="19">
        <f t="shared" si="3"/>
        <v>1600</v>
      </c>
      <c r="L17" s="20">
        <f t="shared" si="4"/>
        <v>7.272727273</v>
      </c>
      <c r="M17" s="19">
        <v>1.0</v>
      </c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30"/>
      <c r="B18" s="37" t="s">
        <v>78</v>
      </c>
      <c r="C18" s="23" t="s">
        <v>46</v>
      </c>
      <c r="D18" s="32" t="s">
        <v>33</v>
      </c>
      <c r="E18" s="32">
        <v>1.0</v>
      </c>
      <c r="F18" s="23">
        <v>220.0</v>
      </c>
      <c r="G18" s="23">
        <v>3.0</v>
      </c>
      <c r="H18" s="15" t="s">
        <v>72</v>
      </c>
      <c r="I18" s="35">
        <v>8.0</v>
      </c>
      <c r="J18" s="19">
        <v>200.0</v>
      </c>
      <c r="K18" s="19">
        <f t="shared" si="3"/>
        <v>1600</v>
      </c>
      <c r="L18" s="20">
        <f t="shared" si="4"/>
        <v>7.272727273</v>
      </c>
      <c r="M18" s="19">
        <v>1.0</v>
      </c>
      <c r="Q18" s="25"/>
      <c r="R18" s="25"/>
      <c r="S18" s="25"/>
      <c r="T18" s="25"/>
      <c r="U18" s="25"/>
      <c r="V18" s="25"/>
      <c r="W18" s="25"/>
      <c r="X18" s="25"/>
      <c r="Y18" s="25"/>
    </row>
    <row r="19">
      <c r="A19" s="26"/>
      <c r="B19" s="23" t="s">
        <v>80</v>
      </c>
      <c r="C19" s="36" t="s">
        <v>77</v>
      </c>
      <c r="D19" s="32" t="s">
        <v>48</v>
      </c>
      <c r="E19" s="32">
        <v>1.0</v>
      </c>
      <c r="F19" s="23">
        <v>220.0</v>
      </c>
      <c r="G19" s="23">
        <v>3.0</v>
      </c>
      <c r="H19" s="15" t="s">
        <v>72</v>
      </c>
      <c r="I19" s="35">
        <v>1.0</v>
      </c>
      <c r="J19" s="19">
        <v>1500.0</v>
      </c>
      <c r="K19" s="19">
        <f t="shared" si="3"/>
        <v>1500</v>
      </c>
      <c r="L19" s="20">
        <f t="shared" si="4"/>
        <v>6.818181818</v>
      </c>
      <c r="M19" s="19">
        <v>1.0</v>
      </c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34" t="s">
        <v>81</v>
      </c>
      <c r="B20" s="23" t="s">
        <v>82</v>
      </c>
      <c r="C20" s="36" t="s">
        <v>46</v>
      </c>
      <c r="D20" s="32" t="s">
        <v>48</v>
      </c>
      <c r="E20" s="32">
        <v>1.0</v>
      </c>
      <c r="F20" s="23">
        <v>220.0</v>
      </c>
      <c r="G20" s="23">
        <v>3.0</v>
      </c>
      <c r="H20" s="15" t="s">
        <v>72</v>
      </c>
      <c r="I20" s="35">
        <v>1.0</v>
      </c>
      <c r="J20" s="19">
        <v>1500.0</v>
      </c>
      <c r="K20" s="19">
        <f t="shared" si="3"/>
        <v>1500</v>
      </c>
      <c r="L20" s="20">
        <f t="shared" si="4"/>
        <v>6.818181818</v>
      </c>
      <c r="M20" s="19">
        <v>1.0</v>
      </c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30"/>
      <c r="B21" s="37" t="s">
        <v>85</v>
      </c>
      <c r="C21" s="36" t="s">
        <v>86</v>
      </c>
      <c r="D21" s="32" t="s">
        <v>33</v>
      </c>
      <c r="E21" s="32">
        <v>1.0</v>
      </c>
      <c r="F21" s="23">
        <v>220.0</v>
      </c>
      <c r="G21" s="23">
        <v>3.0</v>
      </c>
      <c r="H21" s="15" t="s">
        <v>72</v>
      </c>
      <c r="I21" s="35">
        <v>1.0</v>
      </c>
      <c r="J21" s="19">
        <v>600.0</v>
      </c>
      <c r="K21" s="19">
        <f t="shared" si="3"/>
        <v>600</v>
      </c>
      <c r="L21" s="20">
        <f t="shared" si="4"/>
        <v>2.727272727</v>
      </c>
      <c r="M21" s="19">
        <v>1.0</v>
      </c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30"/>
      <c r="B22" s="37" t="s">
        <v>91</v>
      </c>
      <c r="C22" s="36" t="s">
        <v>86</v>
      </c>
      <c r="D22" s="32" t="s">
        <v>48</v>
      </c>
      <c r="E22" s="32">
        <v>1.0</v>
      </c>
      <c r="F22" s="23">
        <v>220.0</v>
      </c>
      <c r="G22" s="23">
        <v>3.0</v>
      </c>
      <c r="H22" s="15" t="s">
        <v>72</v>
      </c>
      <c r="I22" s="35">
        <v>1.0</v>
      </c>
      <c r="J22" s="19">
        <v>9000.0</v>
      </c>
      <c r="K22" s="19">
        <f t="shared" si="3"/>
        <v>9000</v>
      </c>
      <c r="L22" s="20">
        <f t="shared" si="4"/>
        <v>40.90909091</v>
      </c>
      <c r="M22" s="19">
        <v>1.0</v>
      </c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6"/>
      <c r="B23" s="42" t="s">
        <v>95</v>
      </c>
      <c r="C23" s="32" t="s">
        <v>96</v>
      </c>
      <c r="D23" s="36"/>
      <c r="E23" s="36"/>
      <c r="F23" s="36"/>
      <c r="G23" s="36"/>
      <c r="H23" s="36"/>
      <c r="I23" s="32">
        <v>0.0</v>
      </c>
      <c r="J23" s="19">
        <v>0.0</v>
      </c>
      <c r="K23" s="43"/>
      <c r="L23" s="44"/>
      <c r="M23" s="43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45"/>
      <c r="B24" s="46"/>
      <c r="C24" s="47"/>
      <c r="D24" s="47"/>
      <c r="E24" s="45"/>
      <c r="F24" s="45"/>
      <c r="G24" s="45"/>
      <c r="H24" s="45"/>
      <c r="I24" s="45"/>
      <c r="J24" s="48"/>
      <c r="K24" s="48"/>
      <c r="L24" s="49"/>
      <c r="M24" s="48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45"/>
      <c r="B25" s="46"/>
      <c r="C25" s="47"/>
      <c r="D25" s="47"/>
      <c r="E25" s="45"/>
      <c r="F25" s="45"/>
      <c r="G25" s="45"/>
      <c r="H25" s="45"/>
      <c r="I25" s="45"/>
      <c r="J25" s="45"/>
      <c r="K25" s="45"/>
      <c r="L25" s="45"/>
      <c r="M25" s="4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Q26" s="25"/>
      <c r="R26" s="25"/>
      <c r="S26" s="25"/>
      <c r="T26" s="25"/>
      <c r="U26" s="25"/>
      <c r="V26" s="25"/>
      <c r="W26" s="25"/>
      <c r="X26" s="25"/>
      <c r="Y26" s="25"/>
    </row>
    <row r="27">
      <c r="A27" s="51" t="s">
        <v>107</v>
      </c>
      <c r="H27" s="52"/>
      <c r="I27" s="52"/>
      <c r="J27" s="52"/>
      <c r="K27" s="52"/>
      <c r="L27" s="45"/>
      <c r="M27" s="45"/>
      <c r="Q27" s="25"/>
      <c r="R27" s="25"/>
      <c r="S27" s="25"/>
      <c r="T27" s="25"/>
      <c r="U27" s="25"/>
      <c r="V27" s="25"/>
      <c r="W27" s="25"/>
      <c r="X27" s="25"/>
      <c r="Y27" s="25"/>
    </row>
    <row r="28">
      <c r="A28" s="51" t="s">
        <v>108</v>
      </c>
      <c r="H28" s="52"/>
      <c r="I28" s="52"/>
      <c r="J28" s="53"/>
      <c r="K28" s="52"/>
      <c r="L28" s="45"/>
      <c r="M28" s="45"/>
      <c r="Q28" s="25"/>
      <c r="R28" s="25"/>
      <c r="S28" s="25"/>
      <c r="T28" s="25"/>
      <c r="U28" s="25"/>
      <c r="V28" s="25"/>
      <c r="W28" s="25"/>
      <c r="X28" s="25"/>
      <c r="Y28" s="25"/>
    </row>
    <row r="29">
      <c r="A29" s="52"/>
      <c r="B29" s="54"/>
      <c r="C29" s="54"/>
      <c r="D29" s="54"/>
      <c r="E29" s="54"/>
      <c r="F29" s="54"/>
      <c r="G29" s="54"/>
      <c r="H29" s="54"/>
      <c r="I29" s="54"/>
      <c r="J29" s="55"/>
      <c r="K29" s="54"/>
      <c r="L29" s="45"/>
      <c r="M29" s="45"/>
      <c r="Q29" s="25"/>
      <c r="R29" s="25"/>
      <c r="S29" s="25"/>
      <c r="T29" s="25"/>
      <c r="U29" s="25"/>
      <c r="V29" s="25"/>
      <c r="W29" s="25"/>
      <c r="X29" s="25"/>
      <c r="Y29" s="25"/>
    </row>
    <row r="30">
      <c r="A30" s="52"/>
      <c r="B30" s="54"/>
      <c r="C30" s="54"/>
      <c r="D30" s="54"/>
      <c r="E30" s="54"/>
      <c r="F30" s="54"/>
      <c r="G30" s="57"/>
      <c r="H30" s="58"/>
      <c r="I30" s="54"/>
      <c r="J30" s="55"/>
      <c r="K30" s="54"/>
      <c r="L30" s="45"/>
      <c r="M30" s="45"/>
      <c r="Q30" s="25"/>
      <c r="R30" s="25"/>
      <c r="S30" s="25"/>
      <c r="T30" s="25"/>
      <c r="U30" s="25"/>
      <c r="V30" s="25"/>
      <c r="W30" s="25"/>
      <c r="X30" s="25"/>
      <c r="Y30" s="25"/>
    </row>
    <row r="31">
      <c r="A31" s="52"/>
      <c r="B31" s="54"/>
      <c r="C31" s="54"/>
      <c r="D31" s="54"/>
      <c r="E31" s="54"/>
      <c r="F31" s="54"/>
      <c r="G31" s="57"/>
      <c r="H31" s="58"/>
      <c r="I31" s="54"/>
      <c r="J31" s="55"/>
      <c r="K31" s="54"/>
      <c r="L31" s="45"/>
      <c r="M31" s="45"/>
      <c r="Q31" s="25"/>
      <c r="R31" s="25"/>
      <c r="S31" s="25"/>
      <c r="T31" s="25"/>
      <c r="U31" s="25"/>
      <c r="V31" s="25"/>
      <c r="W31" s="25"/>
      <c r="X31" s="25"/>
      <c r="Y31" s="25"/>
    </row>
    <row r="32">
      <c r="A32" s="52"/>
      <c r="B32" s="54"/>
      <c r="C32" s="54"/>
      <c r="D32" s="54"/>
      <c r="E32" s="54"/>
      <c r="F32" s="54"/>
      <c r="G32" s="57"/>
      <c r="H32" s="58"/>
      <c r="I32" s="54"/>
      <c r="J32" s="55"/>
      <c r="K32" s="54"/>
      <c r="Q32" s="25"/>
      <c r="R32" s="25"/>
      <c r="S32" s="25"/>
      <c r="T32" s="25"/>
      <c r="U32" s="25"/>
      <c r="V32" s="25"/>
      <c r="W32" s="25"/>
      <c r="X32" s="25"/>
      <c r="Y32" s="25"/>
    </row>
    <row r="33">
      <c r="A33" s="52"/>
      <c r="B33" s="54"/>
      <c r="C33" s="54"/>
      <c r="D33" s="54"/>
      <c r="E33" s="54"/>
      <c r="F33" s="54"/>
      <c r="G33" s="57"/>
      <c r="H33" s="58"/>
      <c r="I33" s="54"/>
      <c r="J33" s="55"/>
      <c r="K33" s="54"/>
      <c r="Q33" s="25"/>
      <c r="R33" s="25"/>
      <c r="S33" s="25"/>
      <c r="T33" s="25"/>
      <c r="U33" s="25"/>
      <c r="V33" s="25"/>
      <c r="W33" s="25"/>
      <c r="X33" s="25"/>
      <c r="Y33" s="25"/>
    </row>
    <row r="34">
      <c r="A34" s="52"/>
      <c r="B34" s="54"/>
      <c r="C34" s="54"/>
      <c r="D34" s="54"/>
      <c r="E34" s="54"/>
      <c r="F34" s="54"/>
      <c r="G34" s="57"/>
      <c r="H34" s="58"/>
      <c r="I34" s="54"/>
      <c r="J34" s="55"/>
      <c r="K34" s="54"/>
      <c r="Q34" s="25"/>
      <c r="R34" s="25"/>
      <c r="S34" s="25"/>
      <c r="T34" s="25"/>
      <c r="U34" s="25"/>
      <c r="V34" s="25"/>
      <c r="W34" s="25"/>
      <c r="X34" s="25"/>
      <c r="Y34" s="25"/>
    </row>
    <row r="35">
      <c r="A35" s="52"/>
      <c r="B35" s="54"/>
      <c r="C35" s="47"/>
      <c r="D35" s="47"/>
      <c r="E35" s="47"/>
      <c r="F35" s="47"/>
      <c r="G35" s="47"/>
      <c r="H35" s="47"/>
      <c r="I35" s="47"/>
      <c r="J35" s="47"/>
      <c r="K35" s="47"/>
      <c r="Q35" s="25"/>
      <c r="R35" s="25"/>
      <c r="S35" s="25"/>
      <c r="T35" s="25"/>
      <c r="U35" s="25"/>
      <c r="V35" s="25"/>
      <c r="W35" s="25"/>
      <c r="X35" s="25"/>
      <c r="Y35" s="25"/>
    </row>
    <row r="36">
      <c r="A36" s="52"/>
      <c r="B36" s="54"/>
      <c r="C36" s="47"/>
      <c r="D36" s="47"/>
      <c r="E36" s="47"/>
      <c r="F36" s="47"/>
      <c r="G36" s="47"/>
      <c r="H36" s="47"/>
      <c r="I36" s="47"/>
      <c r="J36" s="47"/>
      <c r="K36" s="47"/>
      <c r="Q36" s="25"/>
      <c r="R36" s="41"/>
      <c r="W36" s="25"/>
      <c r="X36" s="25"/>
      <c r="Y36" s="25"/>
    </row>
    <row r="37">
      <c r="A37" s="52"/>
      <c r="B37" s="54"/>
      <c r="C37" s="47"/>
      <c r="D37" s="47"/>
      <c r="E37" s="47"/>
      <c r="F37" s="47"/>
      <c r="G37" s="47"/>
      <c r="H37" s="47"/>
      <c r="I37" s="47"/>
      <c r="J37" s="47"/>
      <c r="K37" s="47"/>
      <c r="Q37" s="25"/>
      <c r="W37" s="41"/>
      <c r="X37" s="41"/>
      <c r="Y37" s="41"/>
    </row>
    <row r="38">
      <c r="A38" s="52"/>
      <c r="B38" s="54"/>
      <c r="C38" s="47"/>
      <c r="D38" s="47"/>
      <c r="E38" s="47"/>
      <c r="F38" s="47"/>
      <c r="G38" s="47"/>
      <c r="H38" s="47"/>
      <c r="I38" s="47"/>
      <c r="J38" s="47"/>
      <c r="K38" s="47"/>
      <c r="Q38" s="25"/>
      <c r="W38" s="41"/>
      <c r="X38" s="41"/>
      <c r="Y38" s="41"/>
    </row>
    <row r="39">
      <c r="A39" s="52"/>
      <c r="B39" s="54"/>
      <c r="C39" s="47"/>
      <c r="D39" s="47"/>
      <c r="E39" s="47"/>
      <c r="F39" s="47"/>
      <c r="G39" s="47"/>
      <c r="H39" s="47"/>
      <c r="I39" s="47"/>
      <c r="J39" s="47"/>
      <c r="K39" s="47"/>
      <c r="Q39" s="25"/>
      <c r="W39" s="41"/>
      <c r="X39" s="41"/>
      <c r="Y39" s="41"/>
    </row>
    <row r="40">
      <c r="A40" s="52"/>
      <c r="B40" s="54"/>
      <c r="C40" s="47"/>
      <c r="D40" s="47"/>
      <c r="E40" s="47"/>
      <c r="F40" s="47"/>
      <c r="G40" s="47"/>
      <c r="H40" s="47"/>
      <c r="I40" s="47"/>
      <c r="J40" s="47"/>
      <c r="K40" s="47"/>
    </row>
    <row r="41">
      <c r="A41" s="52"/>
      <c r="B41" s="54"/>
      <c r="C41" s="47"/>
      <c r="D41" s="47"/>
      <c r="E41" s="47"/>
      <c r="F41" s="47"/>
      <c r="G41" s="47"/>
      <c r="H41" s="47"/>
      <c r="I41" s="47"/>
      <c r="J41" s="47"/>
      <c r="K41" s="47"/>
    </row>
    <row r="42">
      <c r="A42" s="52"/>
      <c r="B42" s="54"/>
      <c r="C42" s="47"/>
      <c r="D42" s="47"/>
      <c r="E42" s="47"/>
      <c r="F42" s="47"/>
      <c r="G42" s="47"/>
      <c r="H42" s="47"/>
      <c r="I42" s="47"/>
      <c r="J42" s="47"/>
      <c r="K42" s="47"/>
    </row>
    <row r="43">
      <c r="A43" s="52"/>
      <c r="B43" s="54"/>
      <c r="C43" s="47"/>
      <c r="D43" s="47"/>
      <c r="E43" s="47"/>
      <c r="F43" s="47"/>
      <c r="G43" s="47"/>
      <c r="H43" s="47"/>
      <c r="I43" s="47"/>
      <c r="J43" s="47"/>
      <c r="K43" s="47"/>
    </row>
    <row r="44">
      <c r="A44" s="52"/>
      <c r="B44" s="54"/>
      <c r="C44" s="47"/>
      <c r="D44" s="47"/>
      <c r="E44" s="47"/>
      <c r="F44" s="47"/>
      <c r="G44" s="47"/>
      <c r="H44" s="47"/>
      <c r="I44" s="47"/>
      <c r="J44" s="47"/>
      <c r="K44" s="47"/>
    </row>
    <row r="45">
      <c r="A45" s="52"/>
      <c r="B45" s="54"/>
      <c r="C45" s="47"/>
      <c r="D45" s="47"/>
      <c r="E45" s="47"/>
      <c r="F45" s="47"/>
      <c r="G45" s="47"/>
      <c r="H45" s="47"/>
      <c r="I45" s="47"/>
      <c r="J45" s="47"/>
      <c r="K45" s="47"/>
      <c r="P45" s="63" t="s">
        <v>116</v>
      </c>
      <c r="V45" s="29"/>
      <c r="W45" s="29"/>
    </row>
    <row r="46">
      <c r="A46" s="52"/>
      <c r="B46" s="54"/>
      <c r="C46" s="47"/>
      <c r="D46" s="47"/>
      <c r="E46" s="47"/>
      <c r="F46" s="47"/>
      <c r="G46" s="47"/>
      <c r="H46" s="47"/>
      <c r="I46" s="47"/>
      <c r="J46" s="47"/>
      <c r="K46" s="47"/>
      <c r="R46" s="29"/>
      <c r="S46" s="29"/>
      <c r="T46" s="29"/>
      <c r="U46" s="29"/>
      <c r="V46" s="29"/>
      <c r="W46" s="29"/>
    </row>
    <row r="47">
      <c r="A47" s="52"/>
      <c r="B47" s="54"/>
      <c r="C47" s="47"/>
      <c r="D47" s="47"/>
      <c r="E47" s="47"/>
      <c r="F47" s="47"/>
      <c r="G47" s="47"/>
      <c r="H47" s="47"/>
      <c r="I47" s="47"/>
      <c r="J47" s="47"/>
      <c r="K47" s="47"/>
      <c r="R47" s="29"/>
      <c r="S47" s="29"/>
      <c r="T47" s="29"/>
      <c r="U47" s="29"/>
      <c r="V47" s="29"/>
      <c r="W47" s="29"/>
    </row>
    <row r="48">
      <c r="A48" s="52"/>
      <c r="B48" s="54"/>
      <c r="C48" s="47"/>
      <c r="D48" s="47"/>
      <c r="E48" s="47"/>
      <c r="F48" s="47"/>
      <c r="G48" s="47"/>
      <c r="H48" s="47"/>
      <c r="I48" s="47"/>
      <c r="J48" s="47"/>
      <c r="K48" s="47"/>
      <c r="R48" s="29"/>
      <c r="S48" s="29"/>
      <c r="T48" s="29"/>
      <c r="U48" s="29"/>
      <c r="V48" s="29"/>
      <c r="W48" s="29"/>
    </row>
    <row r="49">
      <c r="B49" s="54"/>
      <c r="C49" s="47"/>
      <c r="D49" s="47"/>
      <c r="E49" s="47"/>
      <c r="F49" s="47"/>
      <c r="G49" s="47"/>
      <c r="H49" s="47"/>
      <c r="I49" s="47"/>
      <c r="J49" s="47"/>
      <c r="K49" s="47"/>
    </row>
    <row r="50">
      <c r="A50" s="52"/>
      <c r="B50" s="54"/>
      <c r="C50" s="47"/>
      <c r="D50" s="47"/>
      <c r="E50" s="47"/>
      <c r="F50" s="47"/>
      <c r="G50" s="47"/>
      <c r="H50" s="47"/>
      <c r="I50" s="47"/>
      <c r="J50" s="47"/>
      <c r="K50" s="47"/>
    </row>
  </sheetData>
  <mergeCells count="20">
    <mergeCell ref="A1:M1"/>
    <mergeCell ref="R2:X3"/>
    <mergeCell ref="A4:A5"/>
    <mergeCell ref="C4:C5"/>
    <mergeCell ref="R5:Y7"/>
    <mergeCell ref="A6:A7"/>
    <mergeCell ref="A8:A9"/>
    <mergeCell ref="R8:Y10"/>
    <mergeCell ref="A27:G27"/>
    <mergeCell ref="A28:G28"/>
    <mergeCell ref="R36:V39"/>
    <mergeCell ref="P45:U45"/>
    <mergeCell ref="C6:C7"/>
    <mergeCell ref="C8:C9"/>
    <mergeCell ref="A10:A13"/>
    <mergeCell ref="C10:C11"/>
    <mergeCell ref="A14:A15"/>
    <mergeCell ref="A16:A19"/>
    <mergeCell ref="A20:A23"/>
    <mergeCell ref="A48:A4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25"/>
  </cols>
  <sheetData>
    <row r="1">
      <c r="A1" s="38" t="s">
        <v>83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6"/>
      <c r="Q1" s="40"/>
    </row>
    <row r="2">
      <c r="A2" s="7" t="s">
        <v>12</v>
      </c>
      <c r="B2" s="7" t="s">
        <v>13</v>
      </c>
      <c r="C2" s="7" t="s">
        <v>14</v>
      </c>
      <c r="D2" s="7" t="s">
        <v>87</v>
      </c>
      <c r="E2" s="7" t="s">
        <v>18</v>
      </c>
      <c r="F2" s="7" t="s">
        <v>19</v>
      </c>
      <c r="G2" s="39" t="s">
        <v>97</v>
      </c>
      <c r="H2" s="7" t="s">
        <v>84</v>
      </c>
      <c r="I2" s="7" t="s">
        <v>98</v>
      </c>
      <c r="J2" s="7" t="s">
        <v>99</v>
      </c>
      <c r="K2" s="7" t="s">
        <v>100</v>
      </c>
      <c r="L2" s="7" t="s">
        <v>89</v>
      </c>
      <c r="M2" s="12" t="s">
        <v>101</v>
      </c>
      <c r="N2" s="12" t="s">
        <v>102</v>
      </c>
      <c r="O2" s="12" t="s">
        <v>103</v>
      </c>
      <c r="P2" s="7" t="s">
        <v>104</v>
      </c>
      <c r="U2" s="7"/>
      <c r="V2" s="25"/>
      <c r="W2" s="27" t="s">
        <v>105</v>
      </c>
    </row>
    <row r="3">
      <c r="A3" s="8" t="s">
        <v>26</v>
      </c>
      <c r="B3" s="14" t="s">
        <v>29</v>
      </c>
      <c r="C3" s="15" t="s">
        <v>32</v>
      </c>
      <c r="D3" s="32">
        <v>1.0</v>
      </c>
      <c r="E3" s="17">
        <f>QDF!G3</f>
        <v>13</v>
      </c>
      <c r="F3" s="15" t="str">
        <f>QDF!H3</f>
        <v>F</v>
      </c>
      <c r="G3" s="50">
        <v>4.0</v>
      </c>
      <c r="H3" s="32">
        <v>1.0</v>
      </c>
      <c r="I3" s="32">
        <v>1.0</v>
      </c>
      <c r="J3" s="50">
        <v>0.87</v>
      </c>
      <c r="K3" s="50">
        <v>1.0</v>
      </c>
      <c r="L3" s="32" t="s">
        <v>106</v>
      </c>
      <c r="M3" s="60">
        <f>QDF!L3</f>
        <v>3.636363636</v>
      </c>
      <c r="N3" s="60">
        <f t="shared" ref="N3:N11" si="1">M3/(I3*J3)</f>
        <v>4.179728318</v>
      </c>
      <c r="O3" s="50">
        <v>30.0</v>
      </c>
      <c r="P3" s="61">
        <f t="shared" ref="P3:P11" si="2">O3*I3*J3</f>
        <v>26.1</v>
      </c>
      <c r="U3" s="61"/>
      <c r="V3" s="25"/>
      <c r="W3" s="25"/>
      <c r="X3" s="25"/>
      <c r="Y3" s="25"/>
      <c r="Z3" s="25"/>
      <c r="AA3" s="25"/>
      <c r="AB3" s="25"/>
      <c r="AC3" s="25"/>
      <c r="AD3" s="25"/>
    </row>
    <row r="4">
      <c r="A4" s="21" t="s">
        <v>38</v>
      </c>
      <c r="B4" s="14" t="s">
        <v>40</v>
      </c>
      <c r="C4" s="22" t="s">
        <v>11</v>
      </c>
      <c r="D4" s="50">
        <v>2.0</v>
      </c>
      <c r="E4" s="17">
        <f>QDF!G4</f>
        <v>13</v>
      </c>
      <c r="F4" s="15" t="str">
        <f>QDF!H4</f>
        <v>F</v>
      </c>
      <c r="G4" s="50">
        <v>4.0</v>
      </c>
      <c r="H4" s="50">
        <v>2.0</v>
      </c>
      <c r="I4" s="50">
        <v>0.88</v>
      </c>
      <c r="J4" s="50">
        <v>0.87</v>
      </c>
      <c r="K4" s="42">
        <v>1.0</v>
      </c>
      <c r="L4" s="32" t="s">
        <v>106</v>
      </c>
      <c r="M4" s="60">
        <f>QDF!L4</f>
        <v>3.636363636</v>
      </c>
      <c r="N4" s="60">
        <f t="shared" si="1"/>
        <v>4.74969127</v>
      </c>
      <c r="O4" s="50">
        <v>30.0</v>
      </c>
      <c r="P4" s="61">
        <f t="shared" si="2"/>
        <v>22.968</v>
      </c>
      <c r="U4" s="61"/>
      <c r="V4" s="25"/>
      <c r="W4" s="25"/>
      <c r="X4" s="25"/>
      <c r="Y4" s="25"/>
      <c r="Z4" s="25"/>
      <c r="AA4" s="25"/>
      <c r="AB4" s="25"/>
      <c r="AC4" s="25"/>
      <c r="AD4" s="25"/>
    </row>
    <row r="5">
      <c r="A5" s="26"/>
      <c r="B5" s="14" t="s">
        <v>47</v>
      </c>
      <c r="C5" s="26"/>
      <c r="D5" s="50">
        <v>2.0</v>
      </c>
      <c r="E5" s="17">
        <f>QDF!G5</f>
        <v>13</v>
      </c>
      <c r="F5" s="15" t="str">
        <f>QDF!H5</f>
        <v>F</v>
      </c>
      <c r="G5" s="50">
        <v>4.0</v>
      </c>
      <c r="H5" s="50">
        <v>2.0</v>
      </c>
      <c r="I5" s="50">
        <v>0.88</v>
      </c>
      <c r="J5" s="50">
        <v>0.87</v>
      </c>
      <c r="K5" s="42">
        <v>1.0</v>
      </c>
      <c r="L5" s="32" t="s">
        <v>106</v>
      </c>
      <c r="M5" s="60">
        <f>QDF!L5</f>
        <v>4.545454545</v>
      </c>
      <c r="N5" s="60">
        <f t="shared" si="1"/>
        <v>5.937114088</v>
      </c>
      <c r="O5" s="50">
        <v>30.0</v>
      </c>
      <c r="P5" s="61">
        <f t="shared" si="2"/>
        <v>22.968</v>
      </c>
      <c r="U5" s="61"/>
      <c r="V5" s="25"/>
      <c r="W5" s="31" t="s">
        <v>66</v>
      </c>
      <c r="X5" s="25"/>
      <c r="Y5" s="25"/>
      <c r="Z5" s="25"/>
      <c r="AA5" s="25"/>
      <c r="AB5" s="25"/>
      <c r="AC5" s="25"/>
      <c r="AD5" s="25"/>
    </row>
    <row r="6">
      <c r="A6" s="21" t="s">
        <v>54</v>
      </c>
      <c r="B6" s="14" t="s">
        <v>56</v>
      </c>
      <c r="C6" s="22" t="s">
        <v>31</v>
      </c>
      <c r="D6" s="50">
        <v>2.0</v>
      </c>
      <c r="E6" s="17">
        <f>QDF!G6</f>
        <v>13</v>
      </c>
      <c r="F6" s="15" t="str">
        <f>QDF!H6</f>
        <v>F</v>
      </c>
      <c r="G6" s="50">
        <v>4.0</v>
      </c>
      <c r="H6" s="50">
        <v>2.0</v>
      </c>
      <c r="I6" s="50">
        <v>0.88</v>
      </c>
      <c r="J6" s="50">
        <v>0.87</v>
      </c>
      <c r="K6" s="42">
        <v>1.0</v>
      </c>
      <c r="L6" s="32" t="s">
        <v>106</v>
      </c>
      <c r="M6" s="60">
        <f>QDF!L6</f>
        <v>1.818181818</v>
      </c>
      <c r="N6" s="60">
        <f t="shared" si="1"/>
        <v>2.374845635</v>
      </c>
      <c r="O6" s="50">
        <v>30.0</v>
      </c>
      <c r="P6" s="61">
        <f t="shared" si="2"/>
        <v>22.968</v>
      </c>
      <c r="U6" s="61"/>
      <c r="V6" s="25"/>
      <c r="W6" s="25"/>
      <c r="X6" s="25"/>
      <c r="Y6" s="25"/>
      <c r="Z6" s="25"/>
      <c r="AA6" s="25"/>
      <c r="AB6" s="25"/>
      <c r="AC6" s="25"/>
      <c r="AD6" s="25"/>
    </row>
    <row r="7" ht="26.25" customHeight="1">
      <c r="A7" s="26"/>
      <c r="B7" s="14" t="s">
        <v>57</v>
      </c>
      <c r="C7" s="26"/>
      <c r="D7" s="32">
        <v>2.0</v>
      </c>
      <c r="E7" s="17">
        <f>QDF!G7</f>
        <v>13</v>
      </c>
      <c r="F7" s="15" t="str">
        <f>QDF!H7</f>
        <v>F</v>
      </c>
      <c r="G7" s="50">
        <v>4.0</v>
      </c>
      <c r="H7" s="32">
        <v>2.0</v>
      </c>
      <c r="I7" s="50">
        <v>0.88</v>
      </c>
      <c r="J7" s="50">
        <v>0.87</v>
      </c>
      <c r="K7" s="42">
        <v>1.0</v>
      </c>
      <c r="L7" s="32" t="s">
        <v>106</v>
      </c>
      <c r="M7" s="60">
        <f>QDF!L7</f>
        <v>4.545454545</v>
      </c>
      <c r="N7" s="60">
        <f t="shared" si="1"/>
        <v>5.937114088</v>
      </c>
      <c r="O7" s="50">
        <v>30.0</v>
      </c>
      <c r="P7" s="61">
        <f t="shared" si="2"/>
        <v>22.968</v>
      </c>
      <c r="U7" s="61"/>
      <c r="V7" s="25"/>
      <c r="W7" s="25"/>
      <c r="X7" s="25"/>
      <c r="Y7" s="25"/>
      <c r="Z7" s="25"/>
      <c r="AA7" s="25"/>
      <c r="AB7" s="25"/>
      <c r="AC7" s="25"/>
      <c r="AD7" s="25"/>
    </row>
    <row r="8">
      <c r="A8" s="21" t="s">
        <v>58</v>
      </c>
      <c r="B8" s="14" t="s">
        <v>59</v>
      </c>
      <c r="C8" s="28" t="s">
        <v>60</v>
      </c>
      <c r="D8" s="32">
        <v>2.0</v>
      </c>
      <c r="E8" s="17">
        <f>QDF!G8</f>
        <v>13</v>
      </c>
      <c r="F8" s="15" t="str">
        <f>QDF!H8</f>
        <v>F</v>
      </c>
      <c r="G8" s="50">
        <v>4.0</v>
      </c>
      <c r="H8" s="32">
        <v>2.0</v>
      </c>
      <c r="I8" s="50">
        <v>0.88</v>
      </c>
      <c r="J8" s="50">
        <v>0.87</v>
      </c>
      <c r="K8" s="42">
        <v>1.0</v>
      </c>
      <c r="L8" s="32" t="s">
        <v>106</v>
      </c>
      <c r="M8" s="60">
        <f>QDF!L8</f>
        <v>3.636363636</v>
      </c>
      <c r="N8" s="60">
        <f t="shared" si="1"/>
        <v>4.74969127</v>
      </c>
      <c r="O8" s="50">
        <v>30.0</v>
      </c>
      <c r="P8" s="61">
        <f t="shared" si="2"/>
        <v>22.968</v>
      </c>
      <c r="U8" s="61"/>
      <c r="V8" s="25"/>
      <c r="W8" s="25"/>
      <c r="X8" s="25"/>
      <c r="Y8" s="25"/>
      <c r="Z8" s="25"/>
      <c r="AA8" s="25"/>
      <c r="AB8" s="25"/>
      <c r="AC8" s="25"/>
      <c r="AD8" s="25"/>
    </row>
    <row r="9">
      <c r="A9" s="26"/>
      <c r="B9" s="14" t="s">
        <v>62</v>
      </c>
      <c r="C9" s="26"/>
      <c r="D9" s="16">
        <v>2.0</v>
      </c>
      <c r="E9" s="17">
        <f>QDF!G9</f>
        <v>13</v>
      </c>
      <c r="F9" s="15" t="str">
        <f>QDF!H9</f>
        <v>F</v>
      </c>
      <c r="G9" s="16">
        <v>4.0</v>
      </c>
      <c r="H9" s="16">
        <v>2.0</v>
      </c>
      <c r="I9" s="50">
        <v>0.88</v>
      </c>
      <c r="J9" s="50">
        <v>0.87</v>
      </c>
      <c r="K9" s="42">
        <v>1.0</v>
      </c>
      <c r="L9" s="32" t="s">
        <v>106</v>
      </c>
      <c r="M9" s="60">
        <f>QDF!L9</f>
        <v>4.545454545</v>
      </c>
      <c r="N9" s="60">
        <f t="shared" si="1"/>
        <v>5.937114088</v>
      </c>
      <c r="O9" s="50">
        <v>30.0</v>
      </c>
      <c r="P9" s="61">
        <f t="shared" si="2"/>
        <v>22.968</v>
      </c>
      <c r="U9" s="36"/>
      <c r="V9" s="25"/>
      <c r="W9" s="25"/>
      <c r="X9" s="25"/>
      <c r="Y9" s="25"/>
      <c r="Z9" s="25"/>
      <c r="AA9" s="25"/>
      <c r="AB9" s="25"/>
      <c r="AC9" s="25"/>
      <c r="AD9" s="25"/>
    </row>
    <row r="10">
      <c r="A10" s="21" t="s">
        <v>63</v>
      </c>
      <c r="B10" s="14" t="s">
        <v>64</v>
      </c>
      <c r="C10" s="22" t="s">
        <v>37</v>
      </c>
      <c r="D10" s="16">
        <v>2.0</v>
      </c>
      <c r="E10" s="17">
        <f>QDF!G10</f>
        <v>13</v>
      </c>
      <c r="F10" s="15" t="str">
        <f>QDF!H10</f>
        <v>F</v>
      </c>
      <c r="G10" s="16">
        <v>4.0</v>
      </c>
      <c r="H10" s="16">
        <v>2.0</v>
      </c>
      <c r="I10" s="50">
        <v>0.88</v>
      </c>
      <c r="J10" s="50">
        <v>0.87</v>
      </c>
      <c r="K10" s="42">
        <v>1.0</v>
      </c>
      <c r="L10" s="32" t="s">
        <v>106</v>
      </c>
      <c r="M10" s="60">
        <f>QDF!L10</f>
        <v>5.454545455</v>
      </c>
      <c r="N10" s="60">
        <f t="shared" si="1"/>
        <v>7.124536905</v>
      </c>
      <c r="O10" s="50">
        <v>30.0</v>
      </c>
      <c r="P10" s="61">
        <f t="shared" si="2"/>
        <v>22.968</v>
      </c>
      <c r="U10" s="36"/>
      <c r="V10" s="25"/>
      <c r="W10" s="25"/>
      <c r="X10" s="25"/>
      <c r="Y10" s="25"/>
      <c r="Z10" s="25"/>
      <c r="AA10" s="25"/>
      <c r="AB10" s="25"/>
      <c r="AC10" s="25"/>
      <c r="AD10" s="25"/>
    </row>
    <row r="11">
      <c r="A11" s="30"/>
      <c r="B11" s="14" t="s">
        <v>65</v>
      </c>
      <c r="C11" s="26"/>
      <c r="D11" s="16">
        <v>2.0</v>
      </c>
      <c r="E11" s="17">
        <f>QDF!G11</f>
        <v>13</v>
      </c>
      <c r="F11" s="15" t="str">
        <f>QDF!H11</f>
        <v>F</v>
      </c>
      <c r="G11" s="16">
        <v>4.0</v>
      </c>
      <c r="H11" s="16">
        <v>2.0</v>
      </c>
      <c r="I11" s="50">
        <v>0.88</v>
      </c>
      <c r="J11" s="50">
        <v>0.87</v>
      </c>
      <c r="K11" s="42">
        <v>1.0</v>
      </c>
      <c r="L11" s="32" t="s">
        <v>106</v>
      </c>
      <c r="M11" s="60">
        <f>QDF!L11</f>
        <v>4.545454545</v>
      </c>
      <c r="N11" s="60">
        <f t="shared" si="1"/>
        <v>5.937114088</v>
      </c>
      <c r="O11" s="50">
        <v>30.0</v>
      </c>
      <c r="P11" s="61">
        <f t="shared" si="2"/>
        <v>22.968</v>
      </c>
      <c r="U11" s="36"/>
      <c r="V11" s="25"/>
      <c r="W11" s="25"/>
      <c r="X11" s="25"/>
      <c r="Y11" s="25"/>
      <c r="Z11" s="25"/>
      <c r="AA11" s="25"/>
      <c r="AB11" s="25"/>
      <c r="AC11" s="25"/>
      <c r="AD11" s="25"/>
    </row>
    <row r="12">
      <c r="A12" s="30"/>
      <c r="B12" s="16" t="s">
        <v>67</v>
      </c>
      <c r="C12" s="23"/>
      <c r="D12" s="33"/>
      <c r="E12" s="33"/>
      <c r="F12" s="33"/>
      <c r="G12" s="33"/>
      <c r="H12" s="33"/>
      <c r="I12" s="33"/>
      <c r="J12" s="33"/>
      <c r="K12" s="32">
        <v>1.0</v>
      </c>
      <c r="L12" s="33"/>
      <c r="M12" s="60"/>
      <c r="N12" s="60"/>
      <c r="O12" s="32"/>
      <c r="P12" s="33"/>
      <c r="T12" s="36"/>
      <c r="U12" s="36"/>
      <c r="V12" s="25"/>
      <c r="W12" s="25"/>
      <c r="X12" s="25"/>
      <c r="Y12" s="25"/>
      <c r="Z12" s="25"/>
      <c r="AA12" s="25"/>
      <c r="AB12" s="25"/>
      <c r="AC12" s="25"/>
      <c r="AD12" s="25"/>
    </row>
    <row r="13">
      <c r="A13" s="26"/>
      <c r="B13" s="16" t="s">
        <v>69</v>
      </c>
      <c r="C13" s="32"/>
      <c r="D13" s="33"/>
      <c r="E13" s="33"/>
      <c r="F13" s="33"/>
      <c r="G13" s="33"/>
      <c r="H13" s="33"/>
      <c r="I13" s="33"/>
      <c r="J13" s="33"/>
      <c r="K13" s="32">
        <v>1.0</v>
      </c>
      <c r="L13" s="33"/>
      <c r="M13" s="60"/>
      <c r="N13" s="60"/>
      <c r="O13" s="32"/>
      <c r="P13" s="33"/>
      <c r="R13" s="63" t="s">
        <v>66</v>
      </c>
      <c r="T13" s="36"/>
      <c r="U13" s="36"/>
      <c r="V13" s="25"/>
      <c r="W13" s="25"/>
      <c r="X13" s="25"/>
      <c r="Y13" s="25"/>
      <c r="Z13" s="25"/>
      <c r="AA13" s="25"/>
      <c r="AB13" s="25"/>
      <c r="AC13" s="25"/>
      <c r="AD13" s="25"/>
    </row>
    <row r="14">
      <c r="A14" s="34" t="s">
        <v>70</v>
      </c>
      <c r="B14" s="37" t="s">
        <v>71</v>
      </c>
      <c r="C14" s="23" t="s">
        <v>53</v>
      </c>
      <c r="D14" s="32">
        <v>2.0</v>
      </c>
      <c r="E14" s="23">
        <v>3.0</v>
      </c>
      <c r="F14" s="15" t="s">
        <v>72</v>
      </c>
      <c r="G14" s="32">
        <v>1.0</v>
      </c>
      <c r="H14" s="32">
        <v>2.0</v>
      </c>
      <c r="I14" s="32">
        <v>0.8</v>
      </c>
      <c r="J14" s="32">
        <v>0.79</v>
      </c>
      <c r="K14" s="32">
        <v>1.15</v>
      </c>
      <c r="L14" s="32" t="s">
        <v>117</v>
      </c>
      <c r="M14" s="60">
        <f>QDF!L14</f>
        <v>5.454545455</v>
      </c>
      <c r="N14" s="60">
        <f t="shared" ref="N14:N15" si="3">(M14*1.15)/(I14*J14)</f>
        <v>9.925201381</v>
      </c>
      <c r="O14" s="32">
        <v>24.0</v>
      </c>
      <c r="P14" s="61">
        <f t="shared" ref="P14:P22" si="4">O14*I14*J14</f>
        <v>15.168</v>
      </c>
      <c r="T14" s="36"/>
      <c r="U14" s="36"/>
      <c r="V14" s="25"/>
      <c r="W14" s="25"/>
      <c r="X14" s="25"/>
      <c r="Y14" s="25"/>
      <c r="Z14" s="25"/>
      <c r="AA14" s="25"/>
      <c r="AB14" s="25"/>
      <c r="AC14" s="25"/>
      <c r="AD14" s="25"/>
    </row>
    <row r="15">
      <c r="A15" s="26"/>
      <c r="B15" s="37" t="s">
        <v>73</v>
      </c>
      <c r="C15" s="36" t="s">
        <v>53</v>
      </c>
      <c r="D15" s="32">
        <v>2.0</v>
      </c>
      <c r="E15" s="23">
        <v>3.0</v>
      </c>
      <c r="F15" s="15" t="s">
        <v>72</v>
      </c>
      <c r="G15" s="32">
        <v>1.0</v>
      </c>
      <c r="H15" s="32">
        <v>2.0</v>
      </c>
      <c r="I15" s="32">
        <v>0.8</v>
      </c>
      <c r="J15" s="32">
        <v>0.79</v>
      </c>
      <c r="K15" s="32">
        <v>1.15</v>
      </c>
      <c r="L15" s="32" t="s">
        <v>117</v>
      </c>
      <c r="M15" s="60">
        <f>QDF!L15</f>
        <v>4.545454545</v>
      </c>
      <c r="N15" s="60">
        <f t="shared" si="3"/>
        <v>8.271001151</v>
      </c>
      <c r="O15" s="32">
        <v>24.0</v>
      </c>
      <c r="P15" s="61">
        <f t="shared" si="4"/>
        <v>15.168</v>
      </c>
      <c r="T15" s="36"/>
      <c r="U15" s="36"/>
      <c r="V15" s="25"/>
      <c r="W15" s="25"/>
      <c r="X15" s="25"/>
      <c r="Y15" s="25"/>
      <c r="Z15" s="25"/>
      <c r="AA15" s="25"/>
      <c r="AB15" s="25"/>
      <c r="AC15" s="25"/>
      <c r="AD15" s="25"/>
    </row>
    <row r="16">
      <c r="A16" s="34" t="s">
        <v>74</v>
      </c>
      <c r="B16" s="37" t="s">
        <v>75</v>
      </c>
      <c r="C16" s="36" t="s">
        <v>53</v>
      </c>
      <c r="D16" s="32">
        <v>2.0</v>
      </c>
      <c r="E16" s="23">
        <v>3.0</v>
      </c>
      <c r="F16" s="15" t="s">
        <v>72</v>
      </c>
      <c r="G16" s="32">
        <v>1.0</v>
      </c>
      <c r="H16" s="32">
        <v>2.0</v>
      </c>
      <c r="I16" s="32">
        <v>0.8</v>
      </c>
      <c r="J16" s="32">
        <v>0.79</v>
      </c>
      <c r="K16" s="32">
        <v>1.0</v>
      </c>
      <c r="L16" s="32" t="s">
        <v>117</v>
      </c>
      <c r="M16" s="60">
        <f>QDF!L16</f>
        <v>6.818181818</v>
      </c>
      <c r="N16" s="60">
        <f>M16/(I16*J16)</f>
        <v>10.78826237</v>
      </c>
      <c r="O16" s="32">
        <v>24.0</v>
      </c>
      <c r="P16" s="61">
        <f t="shared" si="4"/>
        <v>15.168</v>
      </c>
      <c r="T16" s="36"/>
      <c r="U16" s="36"/>
      <c r="V16" s="25"/>
      <c r="W16" s="25"/>
      <c r="X16" s="25"/>
      <c r="Y16" s="25"/>
      <c r="Z16" s="25"/>
      <c r="AA16" s="25"/>
      <c r="AB16" s="25"/>
      <c r="AC16" s="25"/>
      <c r="AD16" s="25"/>
    </row>
    <row r="17">
      <c r="A17" s="30"/>
      <c r="B17" s="37" t="s">
        <v>76</v>
      </c>
      <c r="C17" s="23" t="s">
        <v>77</v>
      </c>
      <c r="D17" s="32">
        <v>1.0</v>
      </c>
      <c r="E17" s="23">
        <v>3.0</v>
      </c>
      <c r="F17" s="15" t="s">
        <v>72</v>
      </c>
      <c r="G17" s="32">
        <v>1.0</v>
      </c>
      <c r="H17" s="32">
        <v>1.0</v>
      </c>
      <c r="I17" s="32">
        <v>1.0</v>
      </c>
      <c r="J17" s="32">
        <v>0.79</v>
      </c>
      <c r="K17" s="32">
        <v>1.15</v>
      </c>
      <c r="L17" s="32" t="s">
        <v>117</v>
      </c>
      <c r="M17" s="60">
        <f>QDF!L17</f>
        <v>7.272727273</v>
      </c>
      <c r="N17" s="60">
        <f t="shared" ref="N17:N18" si="5">(M17*1.15)/(I17*J17)</f>
        <v>10.58688147</v>
      </c>
      <c r="O17" s="32">
        <v>24.0</v>
      </c>
      <c r="P17" s="61">
        <f t="shared" si="4"/>
        <v>18.96</v>
      </c>
      <c r="T17" s="36"/>
      <c r="U17" s="36"/>
      <c r="V17" s="25"/>
      <c r="W17" s="25"/>
      <c r="X17" s="25"/>
      <c r="Y17" s="25"/>
      <c r="Z17" s="25"/>
      <c r="AA17" s="25"/>
      <c r="AB17" s="25"/>
      <c r="AC17" s="25"/>
      <c r="AD17" s="25"/>
    </row>
    <row r="18">
      <c r="A18" s="30"/>
      <c r="B18" s="23" t="s">
        <v>78</v>
      </c>
      <c r="C18" s="23" t="s">
        <v>46</v>
      </c>
      <c r="D18" s="32">
        <v>2.0</v>
      </c>
      <c r="E18" s="23">
        <v>3.0</v>
      </c>
      <c r="F18" s="15" t="s">
        <v>72</v>
      </c>
      <c r="G18" s="32">
        <v>1.0</v>
      </c>
      <c r="H18" s="32">
        <v>2.0</v>
      </c>
      <c r="I18" s="32">
        <v>0.8</v>
      </c>
      <c r="J18" s="32">
        <v>0.79</v>
      </c>
      <c r="K18" s="32">
        <v>1.15</v>
      </c>
      <c r="L18" s="32" t="s">
        <v>117</v>
      </c>
      <c r="M18" s="60">
        <f>QDF!L18</f>
        <v>7.272727273</v>
      </c>
      <c r="N18" s="60">
        <f t="shared" si="5"/>
        <v>13.23360184</v>
      </c>
      <c r="O18" s="32">
        <v>24.0</v>
      </c>
      <c r="P18" s="61">
        <f t="shared" si="4"/>
        <v>15.168</v>
      </c>
      <c r="T18" s="36"/>
      <c r="U18" s="36"/>
      <c r="V18" s="25"/>
      <c r="W18" s="25"/>
      <c r="X18" s="25"/>
      <c r="Y18" s="25"/>
      <c r="Z18" s="25"/>
      <c r="AA18" s="25"/>
      <c r="AB18" s="25"/>
      <c r="AC18" s="25"/>
      <c r="AD18" s="25"/>
    </row>
    <row r="19">
      <c r="A19" s="26"/>
      <c r="B19" s="23" t="s">
        <v>80</v>
      </c>
      <c r="C19" s="36" t="s">
        <v>77</v>
      </c>
      <c r="D19" s="32">
        <v>1.0</v>
      </c>
      <c r="E19" s="23">
        <v>3.0</v>
      </c>
      <c r="F19" s="15" t="s">
        <v>72</v>
      </c>
      <c r="G19" s="32">
        <v>1.0</v>
      </c>
      <c r="H19" s="32">
        <v>1.0</v>
      </c>
      <c r="I19" s="32">
        <v>1.0</v>
      </c>
      <c r="J19" s="32">
        <v>0.79</v>
      </c>
      <c r="K19" s="32">
        <v>1.0</v>
      </c>
      <c r="L19" s="32" t="s">
        <v>117</v>
      </c>
      <c r="M19" s="60">
        <f>QDF!L19</f>
        <v>6.818181818</v>
      </c>
      <c r="N19" s="60">
        <f t="shared" ref="N19:N20" si="6">M19/(I19*J19)</f>
        <v>8.630609896</v>
      </c>
      <c r="O19" s="32">
        <v>24.0</v>
      </c>
      <c r="P19" s="61">
        <f t="shared" si="4"/>
        <v>18.96</v>
      </c>
      <c r="T19" s="36"/>
      <c r="U19" s="36"/>
      <c r="V19" s="25"/>
      <c r="W19" s="25"/>
      <c r="X19" s="25"/>
      <c r="Y19" s="25"/>
      <c r="Z19" s="25"/>
      <c r="AA19" s="25"/>
      <c r="AB19" s="25"/>
      <c r="AC19" s="25"/>
      <c r="AD19" s="25"/>
    </row>
    <row r="20">
      <c r="A20" s="34" t="s">
        <v>81</v>
      </c>
      <c r="B20" s="23" t="s">
        <v>82</v>
      </c>
      <c r="C20" s="36" t="s">
        <v>46</v>
      </c>
      <c r="D20" s="32">
        <v>1.0</v>
      </c>
      <c r="E20" s="23">
        <v>3.0</v>
      </c>
      <c r="F20" s="15" t="s">
        <v>72</v>
      </c>
      <c r="G20" s="32">
        <v>1.0</v>
      </c>
      <c r="H20" s="42">
        <v>1.0</v>
      </c>
      <c r="I20" s="32">
        <v>1.0</v>
      </c>
      <c r="J20" s="32">
        <v>0.79</v>
      </c>
      <c r="K20" s="32">
        <v>1.0</v>
      </c>
      <c r="L20" s="32" t="s">
        <v>117</v>
      </c>
      <c r="M20" s="60">
        <f>QDF!L20</f>
        <v>6.818181818</v>
      </c>
      <c r="N20" s="60">
        <f t="shared" si="6"/>
        <v>8.630609896</v>
      </c>
      <c r="O20" s="32">
        <v>24.0</v>
      </c>
      <c r="P20" s="61">
        <f t="shared" si="4"/>
        <v>18.96</v>
      </c>
      <c r="T20" s="36"/>
      <c r="U20" s="36"/>
      <c r="V20" s="25"/>
      <c r="W20" s="25"/>
      <c r="X20" s="25"/>
      <c r="Y20" s="25"/>
      <c r="Z20" s="25"/>
      <c r="AA20" s="25"/>
      <c r="AB20" s="25"/>
      <c r="AC20" s="25"/>
      <c r="AD20" s="25"/>
    </row>
    <row r="21">
      <c r="A21" s="30"/>
      <c r="B21" s="23" t="s">
        <v>85</v>
      </c>
      <c r="C21" s="23" t="s">
        <v>86</v>
      </c>
      <c r="D21" s="32">
        <v>1.0</v>
      </c>
      <c r="E21" s="23">
        <v>3.0</v>
      </c>
      <c r="F21" s="15" t="s">
        <v>72</v>
      </c>
      <c r="G21" s="32">
        <v>1.0</v>
      </c>
      <c r="H21" s="42">
        <v>1.0</v>
      </c>
      <c r="I21" s="32">
        <v>1.0</v>
      </c>
      <c r="J21" s="32">
        <v>0.79</v>
      </c>
      <c r="K21" s="32">
        <v>1.15</v>
      </c>
      <c r="L21" s="32" t="s">
        <v>117</v>
      </c>
      <c r="M21" s="60">
        <f>QDF!L21</f>
        <v>2.727272727</v>
      </c>
      <c r="N21" s="60">
        <f>(M21*1.15)/(I21*J21)</f>
        <v>3.970080552</v>
      </c>
      <c r="O21" s="32">
        <v>24.0</v>
      </c>
      <c r="P21" s="61">
        <f t="shared" si="4"/>
        <v>18.96</v>
      </c>
      <c r="T21" s="36"/>
      <c r="U21" s="36"/>
      <c r="V21" s="25"/>
      <c r="W21" s="25"/>
      <c r="X21" s="25"/>
      <c r="Y21" s="25"/>
      <c r="Z21" s="25"/>
      <c r="AA21" s="25"/>
      <c r="AB21" s="25"/>
      <c r="AC21" s="25"/>
      <c r="AD21" s="25"/>
    </row>
    <row r="22">
      <c r="A22" s="30"/>
      <c r="B22" s="23" t="s">
        <v>91</v>
      </c>
      <c r="C22" s="36" t="s">
        <v>86</v>
      </c>
      <c r="D22" s="32">
        <v>1.0</v>
      </c>
      <c r="E22" s="23">
        <v>3.0</v>
      </c>
      <c r="F22" s="15" t="s">
        <v>72</v>
      </c>
      <c r="G22" s="32">
        <v>1.0</v>
      </c>
      <c r="H22" s="42">
        <v>1.0</v>
      </c>
      <c r="I22" s="32">
        <v>1.0</v>
      </c>
      <c r="J22" s="32">
        <v>0.79</v>
      </c>
      <c r="K22" s="32">
        <v>1.0</v>
      </c>
      <c r="L22" s="32" t="s">
        <v>117</v>
      </c>
      <c r="M22" s="60">
        <f>QDF!L22</f>
        <v>40.90909091</v>
      </c>
      <c r="N22" s="60">
        <f>M22/(I22*J22)</f>
        <v>51.78365938</v>
      </c>
      <c r="O22" s="32">
        <v>76.0</v>
      </c>
      <c r="P22" s="61">
        <f t="shared" si="4"/>
        <v>60.04</v>
      </c>
      <c r="T22" s="36"/>
      <c r="U22" s="36"/>
      <c r="V22" s="25"/>
      <c r="W22" s="25"/>
      <c r="X22" s="25"/>
      <c r="Y22" s="25"/>
      <c r="Z22" s="25"/>
      <c r="AA22" s="25"/>
      <c r="AB22" s="25"/>
      <c r="AC22" s="25"/>
      <c r="AD22" s="25"/>
    </row>
    <row r="23">
      <c r="A23" s="26"/>
      <c r="B23" s="32" t="s">
        <v>95</v>
      </c>
      <c r="C23" s="32" t="s">
        <v>96</v>
      </c>
      <c r="D23" s="36"/>
      <c r="E23" s="36"/>
      <c r="F23" s="36"/>
      <c r="G23" s="36"/>
      <c r="H23" s="69"/>
      <c r="I23" s="36"/>
      <c r="J23" s="36"/>
      <c r="K23" s="32"/>
      <c r="L23" s="36"/>
      <c r="M23" s="70"/>
      <c r="N23" s="70"/>
      <c r="O23" s="36"/>
      <c r="P23" s="67"/>
      <c r="T23" s="36"/>
      <c r="U23" s="36"/>
      <c r="V23" s="25"/>
      <c r="W23" s="25"/>
      <c r="X23" s="25"/>
      <c r="Y23" s="25"/>
      <c r="Z23" s="25"/>
      <c r="AA23" s="25"/>
      <c r="AB23" s="25"/>
      <c r="AC23" s="25"/>
      <c r="AD23" s="25"/>
    </row>
    <row r="24">
      <c r="T24" s="36"/>
      <c r="U24" s="36"/>
      <c r="V24" s="25"/>
      <c r="W24" s="25"/>
      <c r="X24" s="25"/>
      <c r="Y24" s="25"/>
      <c r="Z24" s="25"/>
      <c r="AA24" s="25"/>
      <c r="AB24" s="25"/>
      <c r="AC24" s="25"/>
      <c r="AD24" s="25"/>
    </row>
    <row r="25"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</row>
    <row r="26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</row>
    <row r="27">
      <c r="A27" s="52"/>
      <c r="B27" s="52"/>
      <c r="C27" s="52"/>
      <c r="D27" s="52"/>
      <c r="E27" s="52"/>
      <c r="F27" s="52"/>
      <c r="G27" s="40"/>
      <c r="H27" s="52"/>
      <c r="I27" s="52"/>
      <c r="J27" s="52"/>
      <c r="K27" s="52"/>
      <c r="L27" s="52"/>
      <c r="M27" s="52"/>
      <c r="N27" s="53"/>
      <c r="O27" s="52"/>
      <c r="P27" s="52"/>
      <c r="Q27" s="52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</row>
    <row r="28">
      <c r="A28" s="40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71"/>
      <c r="O28" s="71"/>
      <c r="P28" s="71"/>
      <c r="Q28" s="71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</row>
    <row r="29">
      <c r="A29" s="40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71"/>
      <c r="O29" s="71"/>
      <c r="P29" s="71"/>
      <c r="Q29" s="71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</row>
    <row r="30">
      <c r="A30" s="40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71"/>
      <c r="O30" s="71"/>
      <c r="P30" s="71"/>
      <c r="Q30" s="71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</row>
    <row r="31">
      <c r="A31" s="40"/>
      <c r="B31" s="48"/>
      <c r="C31" s="48"/>
      <c r="D31" s="48"/>
      <c r="E31" s="54"/>
      <c r="F31" s="54"/>
      <c r="G31" s="48"/>
      <c r="H31" s="48"/>
      <c r="I31" s="48"/>
      <c r="J31" s="48"/>
      <c r="K31" s="48"/>
      <c r="L31" s="48"/>
      <c r="M31" s="48"/>
      <c r="N31" s="71"/>
      <c r="O31" s="71"/>
      <c r="P31" s="71"/>
      <c r="Q31" s="71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</row>
    <row r="32">
      <c r="A32" s="40"/>
      <c r="B32" s="48"/>
      <c r="C32" s="54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71"/>
      <c r="O32" s="71"/>
      <c r="P32" s="71"/>
      <c r="Q32" s="71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</row>
    <row r="33">
      <c r="B33" s="48"/>
      <c r="C33" s="54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71"/>
      <c r="O33" s="71"/>
      <c r="P33" s="71"/>
      <c r="Q33" s="71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</row>
    <row r="34">
      <c r="B34" s="48"/>
      <c r="C34" s="47"/>
      <c r="D34" s="47"/>
      <c r="E34" s="47"/>
      <c r="F34" s="47"/>
      <c r="G34" s="47"/>
      <c r="H34" s="47"/>
      <c r="I34" s="47"/>
      <c r="J34" s="47"/>
      <c r="K34" s="47"/>
      <c r="L34" s="72"/>
      <c r="M34" s="72"/>
      <c r="N34" s="73"/>
      <c r="O34" s="73"/>
      <c r="P34" s="47"/>
      <c r="Q34" s="47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</row>
    <row r="35">
      <c r="B35" s="48"/>
      <c r="C35" s="47"/>
      <c r="D35" s="47"/>
      <c r="E35" s="47"/>
      <c r="F35" s="47"/>
      <c r="G35" s="47"/>
      <c r="H35" s="47"/>
      <c r="I35" s="47"/>
      <c r="J35" s="47"/>
      <c r="K35" s="47"/>
      <c r="L35" s="72"/>
      <c r="M35" s="72"/>
      <c r="N35" s="73"/>
      <c r="O35" s="73"/>
      <c r="P35" s="47"/>
      <c r="Q35" s="47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</row>
    <row r="36">
      <c r="B36" s="48"/>
      <c r="C36" s="47"/>
      <c r="D36" s="47"/>
      <c r="E36" s="47"/>
      <c r="F36" s="47"/>
      <c r="G36" s="47"/>
      <c r="H36" s="47"/>
      <c r="I36" s="47"/>
      <c r="J36" s="47"/>
      <c r="K36" s="47"/>
      <c r="L36" s="72"/>
      <c r="M36" s="72"/>
      <c r="N36" s="73"/>
      <c r="O36" s="73"/>
      <c r="P36" s="47"/>
      <c r="Q36" s="47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>
      <c r="B37" s="48"/>
      <c r="C37" s="47"/>
      <c r="D37" s="47"/>
      <c r="E37" s="47"/>
      <c r="F37" s="47"/>
      <c r="G37" s="47"/>
      <c r="H37" s="47"/>
      <c r="I37" s="47"/>
      <c r="J37" s="47"/>
      <c r="K37" s="47"/>
      <c r="L37" s="72"/>
      <c r="M37" s="72"/>
      <c r="N37" s="73"/>
      <c r="O37" s="73"/>
      <c r="P37" s="47"/>
      <c r="Q37" s="47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</row>
    <row r="38">
      <c r="B38" s="48"/>
      <c r="C38" s="47"/>
      <c r="D38" s="47"/>
      <c r="E38" s="47"/>
      <c r="F38" s="47"/>
      <c r="G38" s="47"/>
      <c r="H38" s="47"/>
      <c r="I38" s="47"/>
      <c r="J38" s="47"/>
      <c r="K38" s="47"/>
      <c r="L38" s="72"/>
      <c r="M38" s="72"/>
      <c r="N38" s="73"/>
      <c r="O38" s="73"/>
      <c r="P38" s="47"/>
      <c r="Q38" s="47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</row>
    <row r="39">
      <c r="B39" s="48"/>
      <c r="C39" s="47"/>
      <c r="D39" s="47"/>
      <c r="E39" s="47"/>
      <c r="F39" s="47"/>
      <c r="G39" s="47"/>
      <c r="H39" s="47"/>
      <c r="I39" s="47"/>
      <c r="J39" s="47"/>
      <c r="K39" s="47"/>
      <c r="L39" s="72"/>
      <c r="M39" s="72"/>
      <c r="N39" s="73"/>
      <c r="O39" s="73"/>
      <c r="P39" s="47"/>
      <c r="Q39" s="47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</row>
    <row r="40">
      <c r="B40" s="48"/>
      <c r="C40" s="47"/>
      <c r="D40" s="47"/>
      <c r="E40" s="47"/>
      <c r="F40" s="47"/>
      <c r="G40" s="47"/>
      <c r="H40" s="47"/>
      <c r="I40" s="47"/>
      <c r="J40" s="47"/>
      <c r="K40" s="47"/>
      <c r="L40" s="72"/>
      <c r="M40" s="72"/>
      <c r="N40" s="73"/>
      <c r="O40" s="73"/>
      <c r="P40" s="47"/>
      <c r="Q40" s="47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</row>
    <row r="41">
      <c r="B41" s="48"/>
      <c r="C41" s="47"/>
      <c r="D41" s="47"/>
      <c r="E41" s="47"/>
      <c r="F41" s="47"/>
      <c r="G41" s="47"/>
      <c r="H41" s="47"/>
      <c r="I41" s="47"/>
      <c r="J41" s="47"/>
      <c r="K41" s="47"/>
      <c r="L41" s="72"/>
      <c r="M41" s="72"/>
      <c r="N41" s="73"/>
      <c r="O41" s="73"/>
      <c r="P41" s="47"/>
      <c r="Q41" s="47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</row>
    <row r="42">
      <c r="B42" s="48"/>
      <c r="C42" s="47"/>
      <c r="D42" s="47"/>
      <c r="E42" s="47"/>
      <c r="F42" s="47"/>
      <c r="G42" s="47"/>
      <c r="H42" s="47"/>
      <c r="I42" s="47"/>
      <c r="J42" s="47"/>
      <c r="K42" s="47"/>
      <c r="L42" s="72"/>
      <c r="M42" s="72"/>
      <c r="N42" s="73"/>
      <c r="O42" s="73"/>
      <c r="P42" s="47"/>
      <c r="Q42" s="47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</row>
    <row r="43">
      <c r="B43" s="48"/>
      <c r="C43" s="47"/>
      <c r="D43" s="47"/>
      <c r="E43" s="47"/>
      <c r="F43" s="47"/>
      <c r="G43" s="47"/>
      <c r="H43" s="47"/>
      <c r="I43" s="47"/>
      <c r="J43" s="47"/>
      <c r="K43" s="47"/>
      <c r="L43" s="72"/>
      <c r="M43" s="72"/>
      <c r="N43" s="73"/>
      <c r="O43" s="73"/>
      <c r="P43" s="47"/>
      <c r="Q43" s="47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</row>
    <row r="44">
      <c r="B44" s="48"/>
      <c r="C44" s="47"/>
      <c r="D44" s="47"/>
      <c r="E44" s="47"/>
      <c r="F44" s="47"/>
      <c r="G44" s="47"/>
      <c r="H44" s="47"/>
      <c r="I44" s="47"/>
      <c r="J44" s="47"/>
      <c r="K44" s="47"/>
      <c r="L44" s="72"/>
      <c r="M44" s="72"/>
      <c r="N44" s="73"/>
      <c r="O44" s="73"/>
      <c r="P44" s="47"/>
      <c r="Q44" s="47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</row>
    <row r="45">
      <c r="B45" s="48"/>
      <c r="C45" s="47"/>
      <c r="D45" s="47"/>
      <c r="E45" s="47"/>
      <c r="F45" s="47"/>
      <c r="G45" s="47"/>
      <c r="H45" s="47"/>
      <c r="I45" s="47"/>
      <c r="J45" s="47"/>
      <c r="K45" s="47"/>
      <c r="L45" s="72"/>
      <c r="M45" s="72"/>
      <c r="N45" s="73"/>
      <c r="O45" s="73"/>
      <c r="P45" s="47"/>
      <c r="Q45" s="47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</row>
    <row r="46">
      <c r="A46" s="40"/>
      <c r="B46" s="48"/>
      <c r="C46" s="47"/>
      <c r="D46" s="47"/>
      <c r="E46" s="47"/>
      <c r="F46" s="47"/>
      <c r="G46" s="47"/>
      <c r="H46" s="47"/>
      <c r="I46" s="47"/>
      <c r="J46" s="47"/>
      <c r="K46" s="47"/>
      <c r="L46" s="72"/>
      <c r="M46" s="72"/>
      <c r="N46" s="73"/>
      <c r="O46" s="73"/>
      <c r="P46" s="47"/>
      <c r="Q46" s="47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</row>
    <row r="47">
      <c r="A47" s="40"/>
      <c r="B47" s="48"/>
      <c r="C47" s="47"/>
      <c r="D47" s="47"/>
      <c r="E47" s="47"/>
      <c r="F47" s="47"/>
      <c r="G47" s="47"/>
      <c r="H47" s="47"/>
      <c r="I47" s="47"/>
      <c r="J47" s="47"/>
      <c r="K47" s="47"/>
      <c r="L47" s="72"/>
      <c r="M47" s="72"/>
      <c r="N47" s="73"/>
      <c r="O47" s="73"/>
      <c r="P47" s="47"/>
      <c r="Q47" s="47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</row>
    <row r="48">
      <c r="B48" s="48"/>
      <c r="C48" s="47"/>
      <c r="D48" s="47"/>
      <c r="E48" s="47"/>
      <c r="F48" s="47"/>
      <c r="G48" s="47"/>
      <c r="H48" s="47"/>
      <c r="I48" s="47"/>
      <c r="J48" s="47"/>
      <c r="K48" s="47"/>
      <c r="L48" s="72"/>
      <c r="M48" s="72"/>
      <c r="N48" s="73"/>
      <c r="O48" s="73"/>
      <c r="P48" s="47"/>
      <c r="Q48" s="47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</row>
    <row r="49">
      <c r="A49" s="40"/>
      <c r="B49" s="48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</row>
    <row r="50"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</row>
    <row r="51"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</row>
    <row r="52"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</row>
    <row r="53"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</row>
    <row r="54"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</row>
    <row r="55"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</row>
    <row r="56"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</row>
    <row r="57"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</row>
    <row r="58"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</row>
    <row r="59"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</row>
    <row r="60"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</row>
    <row r="61"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</row>
    <row r="62"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</row>
    <row r="67">
      <c r="T67" s="25"/>
      <c r="U67" s="25"/>
      <c r="V67" s="76" t="s">
        <v>120</v>
      </c>
      <c r="W67" s="5"/>
      <c r="X67" s="6"/>
      <c r="Y67" s="25"/>
      <c r="Z67" s="25"/>
      <c r="AA67" s="25"/>
      <c r="AB67" s="25"/>
      <c r="AC67" s="25"/>
      <c r="AD67" s="25"/>
    </row>
    <row r="68">
      <c r="T68" s="25"/>
      <c r="U68" s="25"/>
      <c r="V68" s="78" t="s">
        <v>125</v>
      </c>
      <c r="W68" s="78" t="s">
        <v>117</v>
      </c>
      <c r="X68" s="78" t="s">
        <v>106</v>
      </c>
      <c r="Y68" s="25"/>
      <c r="Z68" s="25"/>
      <c r="AA68" s="25"/>
      <c r="AB68" s="25"/>
      <c r="AC68" s="25"/>
      <c r="AD68" s="25"/>
    </row>
    <row r="69">
      <c r="T69" s="25"/>
      <c r="U69" s="25"/>
      <c r="V69" s="79">
        <v>45.0</v>
      </c>
      <c r="W69" s="79">
        <v>0.79</v>
      </c>
      <c r="X69" s="79">
        <v>0.87</v>
      </c>
      <c r="Y69" s="25"/>
      <c r="Z69" s="25"/>
      <c r="AA69" s="25"/>
      <c r="AB69" s="25"/>
      <c r="AC69" s="25"/>
      <c r="AD69" s="25"/>
    </row>
    <row r="70"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</row>
    <row r="71">
      <c r="T71" s="25"/>
      <c r="U71" s="25"/>
      <c r="V71" s="41" t="s">
        <v>127</v>
      </c>
      <c r="AA71" s="25"/>
      <c r="AB71" s="25"/>
      <c r="AC71" s="25"/>
      <c r="AD71" s="25"/>
    </row>
    <row r="72">
      <c r="T72" s="25"/>
      <c r="U72" s="25"/>
      <c r="AA72" s="25"/>
      <c r="AB72" s="25"/>
      <c r="AC72" s="25"/>
      <c r="AD72" s="25"/>
    </row>
    <row r="73">
      <c r="T73" s="25"/>
      <c r="U73" s="25"/>
      <c r="AA73" s="25"/>
      <c r="AB73" s="25"/>
      <c r="AC73" s="25"/>
      <c r="AD73" s="25"/>
    </row>
    <row r="74">
      <c r="T74" s="25"/>
      <c r="U74" s="25"/>
      <c r="AA74" s="25"/>
      <c r="AB74" s="25"/>
      <c r="AC74" s="25"/>
      <c r="AD74" s="25"/>
    </row>
    <row r="75"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</row>
    <row r="76"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</row>
    <row r="77">
      <c r="T77" s="25"/>
      <c r="U77" s="25"/>
      <c r="V77" s="41" t="s">
        <v>128</v>
      </c>
      <c r="AB77" s="25"/>
      <c r="AC77" s="25"/>
      <c r="AD77" s="25"/>
    </row>
    <row r="78">
      <c r="T78" s="25"/>
      <c r="U78" s="25"/>
      <c r="AB78" s="25"/>
      <c r="AC78" s="25"/>
      <c r="AD78" s="25"/>
    </row>
    <row r="79">
      <c r="T79" s="25"/>
      <c r="U79" s="25"/>
      <c r="AB79" s="25"/>
      <c r="AC79" s="25"/>
      <c r="AD79" s="25"/>
    </row>
    <row r="80"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</row>
    <row r="81"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</row>
    <row r="82"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</row>
    <row r="83"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</row>
    <row r="84"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</row>
    <row r="85"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</row>
    <row r="86"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</row>
    <row r="87"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</row>
    <row r="88"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</row>
    <row r="89"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</row>
    <row r="90"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</row>
    <row r="91"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</row>
    <row r="92"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</row>
    <row r="93"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</row>
    <row r="94"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</row>
    <row r="95"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</row>
    <row r="96"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</row>
    <row r="97"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</row>
    <row r="98"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</row>
    <row r="99">
      <c r="T99" s="25"/>
      <c r="U99" s="25"/>
      <c r="V99" s="25" t="s">
        <v>102</v>
      </c>
      <c r="W99" s="25"/>
      <c r="X99" s="25"/>
      <c r="Y99" s="25"/>
      <c r="Z99" s="25"/>
      <c r="AA99" s="25"/>
      <c r="AB99" s="25"/>
      <c r="AC99" s="25"/>
      <c r="AD99" s="25"/>
    </row>
    <row r="100">
      <c r="T100" s="25"/>
      <c r="U100" s="25"/>
      <c r="V100" s="95"/>
      <c r="W100" s="25"/>
      <c r="X100" s="25"/>
      <c r="Y100" s="25"/>
      <c r="Z100" s="25"/>
      <c r="AA100" s="25"/>
      <c r="AB100" s="25"/>
      <c r="AC100" s="25"/>
      <c r="AD100" s="25"/>
    </row>
    <row r="101">
      <c r="T101" s="25"/>
      <c r="U101" s="25"/>
      <c r="V101" s="95"/>
      <c r="W101" s="25"/>
      <c r="X101" s="25"/>
      <c r="Y101" s="25"/>
      <c r="Z101" s="25"/>
      <c r="AA101" s="25"/>
      <c r="AB101" s="25"/>
      <c r="AC101" s="25"/>
      <c r="AD101" s="25"/>
    </row>
    <row r="102">
      <c r="T102" s="25"/>
      <c r="U102" s="25"/>
      <c r="V102" s="95"/>
      <c r="W102" s="25"/>
      <c r="X102" s="25"/>
      <c r="Y102" s="25"/>
      <c r="Z102" s="25"/>
      <c r="AA102" s="25"/>
      <c r="AB102" s="25"/>
      <c r="AC102" s="25"/>
      <c r="AD102" s="25"/>
    </row>
    <row r="103">
      <c r="T103" s="25"/>
      <c r="U103" s="25"/>
      <c r="V103" s="95"/>
      <c r="W103" s="25"/>
      <c r="X103" s="25"/>
      <c r="Y103" s="25"/>
      <c r="Z103" s="25"/>
      <c r="AA103" s="25"/>
      <c r="AB103" s="25"/>
      <c r="AC103" s="25"/>
      <c r="AD103" s="25"/>
    </row>
    <row r="104">
      <c r="T104" s="25"/>
      <c r="U104" s="25"/>
      <c r="V104" s="95"/>
      <c r="W104" s="25"/>
      <c r="X104" s="25"/>
      <c r="Y104" s="25"/>
      <c r="Z104" s="25"/>
      <c r="AA104" s="25"/>
      <c r="AB104" s="25"/>
      <c r="AC104" s="25"/>
      <c r="AD104" s="25"/>
    </row>
    <row r="105">
      <c r="T105" s="25"/>
      <c r="U105" s="25"/>
      <c r="V105" s="95"/>
      <c r="W105" s="25"/>
      <c r="X105" s="25"/>
      <c r="Y105" s="25"/>
      <c r="Z105" s="25"/>
      <c r="AA105" s="25"/>
      <c r="AB105" s="25"/>
      <c r="AC105" s="25"/>
      <c r="AD105" s="25"/>
    </row>
    <row r="106">
      <c r="T106" s="25"/>
      <c r="U106" s="25"/>
      <c r="V106" s="95"/>
      <c r="W106" s="25"/>
      <c r="X106" s="25"/>
      <c r="Y106" s="25"/>
      <c r="Z106" s="25"/>
      <c r="AA106" s="25"/>
      <c r="AB106" s="25"/>
      <c r="AC106" s="25"/>
      <c r="AD106" s="25"/>
    </row>
    <row r="107">
      <c r="T107" s="25"/>
      <c r="U107" s="25"/>
      <c r="V107" s="95"/>
      <c r="W107" s="25"/>
      <c r="X107" s="25"/>
      <c r="Y107" s="25"/>
      <c r="Z107" s="25"/>
      <c r="AA107" s="25"/>
      <c r="AB107" s="25"/>
      <c r="AC107" s="25"/>
      <c r="AD107" s="25"/>
    </row>
    <row r="108">
      <c r="T108" s="25"/>
      <c r="U108" s="25"/>
      <c r="V108" s="95"/>
      <c r="W108" s="25"/>
      <c r="X108" s="25"/>
      <c r="Y108" s="25"/>
      <c r="Z108" s="25"/>
      <c r="AA108" s="25"/>
      <c r="AB108" s="25"/>
      <c r="AC108" s="25"/>
      <c r="AD108" s="25"/>
    </row>
    <row r="109">
      <c r="T109" s="25"/>
      <c r="U109" s="25"/>
      <c r="V109" s="95"/>
      <c r="W109" s="25"/>
      <c r="X109" s="25"/>
      <c r="Y109" s="25"/>
      <c r="Z109" s="25"/>
      <c r="AA109" s="25"/>
      <c r="AB109" s="25"/>
      <c r="AC109" s="25"/>
      <c r="AD109" s="25"/>
    </row>
    <row r="110">
      <c r="T110" s="25"/>
      <c r="U110" s="25"/>
      <c r="V110" s="95"/>
      <c r="W110" s="25"/>
      <c r="X110" s="25"/>
      <c r="Y110" s="25"/>
      <c r="Z110" s="25"/>
      <c r="AA110" s="25"/>
      <c r="AB110" s="25"/>
      <c r="AC110" s="25"/>
      <c r="AD110" s="25"/>
    </row>
    <row r="111">
      <c r="T111" s="25"/>
      <c r="U111" s="25"/>
      <c r="V111" s="95"/>
      <c r="W111" s="25"/>
      <c r="X111" s="25"/>
      <c r="Y111" s="25"/>
      <c r="Z111" s="25"/>
      <c r="AA111" s="25"/>
      <c r="AB111" s="25"/>
      <c r="AC111" s="25"/>
      <c r="AD111" s="25"/>
    </row>
    <row r="112">
      <c r="T112" s="25"/>
      <c r="U112" s="25"/>
      <c r="V112" s="95"/>
      <c r="W112" s="25"/>
      <c r="X112" s="25"/>
      <c r="Y112" s="25"/>
      <c r="Z112" s="25"/>
      <c r="AA112" s="25"/>
      <c r="AB112" s="25"/>
      <c r="AC112" s="25"/>
      <c r="AD112" s="25"/>
    </row>
    <row r="113"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</row>
    <row r="114"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T121" s="41" t="s">
        <v>151</v>
      </c>
      <c r="Z121" s="25"/>
      <c r="AA121" s="25"/>
      <c r="AB121" s="25"/>
      <c r="AC121" s="25"/>
      <c r="AD121" s="25"/>
    </row>
    <row r="122">
      <c r="Z122" s="25"/>
      <c r="AA122" s="25"/>
      <c r="AB122" s="25"/>
      <c r="AC122" s="25"/>
      <c r="AD122" s="25"/>
    </row>
    <row r="123">
      <c r="Z123" s="25"/>
      <c r="AA123" s="25"/>
      <c r="AB123" s="25"/>
      <c r="AC123" s="25"/>
      <c r="AD123" s="25"/>
    </row>
    <row r="124"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T125" s="25"/>
      <c r="U125" s="25"/>
      <c r="V125" s="116" t="s">
        <v>153</v>
      </c>
      <c r="W125" s="116"/>
      <c r="X125" s="25"/>
      <c r="Y125" s="25"/>
      <c r="Z125" s="25"/>
      <c r="AA125" s="25"/>
      <c r="AB125" s="25"/>
      <c r="AC125" s="25"/>
      <c r="AD125" s="25"/>
    </row>
    <row r="126">
      <c r="T126" s="25"/>
      <c r="U126" s="25"/>
      <c r="V126" s="116" t="s">
        <v>156</v>
      </c>
      <c r="Y126" s="25"/>
      <c r="Z126" s="25"/>
      <c r="AA126" s="25"/>
      <c r="AB126" s="25"/>
      <c r="AC126" s="25"/>
      <c r="AD126" s="25"/>
    </row>
    <row r="127"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T129" s="25"/>
      <c r="U129" s="25"/>
      <c r="V129" s="27" t="s">
        <v>162</v>
      </c>
      <c r="AB129" s="25"/>
      <c r="AC129" s="25"/>
      <c r="AD129" s="25"/>
    </row>
    <row r="130">
      <c r="T130" s="25"/>
      <c r="U130" s="25"/>
      <c r="AB130" s="25"/>
      <c r="AC130" s="25"/>
      <c r="AD130" s="25"/>
    </row>
    <row r="131">
      <c r="T131" s="25"/>
      <c r="U131" s="25"/>
      <c r="AB131" s="25"/>
      <c r="AC131" s="25"/>
      <c r="AD131" s="25"/>
    </row>
    <row r="132"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</row>
    <row r="155"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</row>
    <row r="181"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</row>
    <row r="197"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</row>
  </sheetData>
  <mergeCells count="21">
    <mergeCell ref="A1:P1"/>
    <mergeCell ref="W2:AD2"/>
    <mergeCell ref="A4:A5"/>
    <mergeCell ref="C4:C5"/>
    <mergeCell ref="A6:A7"/>
    <mergeCell ref="C6:C7"/>
    <mergeCell ref="C8:C9"/>
    <mergeCell ref="A47:A48"/>
    <mergeCell ref="V67:X67"/>
    <mergeCell ref="V71:Z74"/>
    <mergeCell ref="V77:AA79"/>
    <mergeCell ref="T121:Y123"/>
    <mergeCell ref="V126:X126"/>
    <mergeCell ref="V129:AA131"/>
    <mergeCell ref="A8:A9"/>
    <mergeCell ref="A10:A13"/>
    <mergeCell ref="C10:C11"/>
    <mergeCell ref="A14:A15"/>
    <mergeCell ref="A16:A19"/>
    <mergeCell ref="A20:A23"/>
    <mergeCell ref="A32:A4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0.63"/>
  </cols>
  <sheetData>
    <row r="1">
      <c r="A1" s="38" t="s">
        <v>79</v>
      </c>
      <c r="B1" s="5"/>
      <c r="C1" s="5"/>
      <c r="D1" s="5"/>
      <c r="E1" s="5"/>
      <c r="F1" s="5"/>
      <c r="G1" s="5"/>
      <c r="H1" s="5"/>
      <c r="I1" s="5"/>
      <c r="J1" s="5"/>
      <c r="K1" s="5"/>
      <c r="L1" s="6"/>
    </row>
    <row r="2">
      <c r="A2" s="7" t="s">
        <v>12</v>
      </c>
      <c r="B2" s="7" t="s">
        <v>13</v>
      </c>
      <c r="C2" s="7" t="s">
        <v>14</v>
      </c>
      <c r="D2" s="7" t="s">
        <v>84</v>
      </c>
      <c r="E2" s="7" t="s">
        <v>87</v>
      </c>
      <c r="F2" s="7" t="s">
        <v>88</v>
      </c>
      <c r="G2" s="7" t="s">
        <v>89</v>
      </c>
      <c r="H2" s="7" t="s">
        <v>18</v>
      </c>
      <c r="I2" s="7" t="s">
        <v>19</v>
      </c>
      <c r="J2" s="39" t="s">
        <v>90</v>
      </c>
      <c r="K2" s="39" t="s">
        <v>92</v>
      </c>
      <c r="L2" s="39" t="s">
        <v>93</v>
      </c>
      <c r="P2" s="41" t="s">
        <v>94</v>
      </c>
    </row>
    <row r="3">
      <c r="A3" s="8" t="s">
        <v>26</v>
      </c>
      <c r="B3" s="14" t="s">
        <v>29</v>
      </c>
      <c r="C3" s="15" t="s">
        <v>32</v>
      </c>
      <c r="D3" s="32">
        <f>'QDF-FATOR CORREÇÃO'!H3</f>
        <v>1</v>
      </c>
      <c r="E3" s="32">
        <f>'QDF-FATOR CORREÇÃO'!D3</f>
        <v>1</v>
      </c>
      <c r="F3" s="32">
        <v>2.0</v>
      </c>
      <c r="G3" s="32" t="s">
        <v>106</v>
      </c>
      <c r="H3" s="32">
        <f>'QDF-FATOR CORREÇÃO'!E3</f>
        <v>13</v>
      </c>
      <c r="I3" s="32" t="str">
        <f>'QDF-FATOR CORREÇÃO'!F3</f>
        <v>F</v>
      </c>
      <c r="J3" s="50">
        <v>2.5</v>
      </c>
      <c r="K3" s="50">
        <v>2.5</v>
      </c>
      <c r="L3" s="50">
        <v>2.5</v>
      </c>
    </row>
    <row r="4">
      <c r="A4" s="21" t="s">
        <v>38</v>
      </c>
      <c r="B4" s="14" t="s">
        <v>40</v>
      </c>
      <c r="C4" s="22" t="s">
        <v>11</v>
      </c>
      <c r="D4" s="32">
        <f>'QDF-FATOR CORREÇÃO'!H4</f>
        <v>2</v>
      </c>
      <c r="E4" s="32">
        <f>'QDF-FATOR CORREÇÃO'!D4</f>
        <v>2</v>
      </c>
      <c r="F4" s="32">
        <v>2.0</v>
      </c>
      <c r="G4" s="32" t="s">
        <v>106</v>
      </c>
      <c r="H4" s="32">
        <f>'QDF-FATOR CORREÇÃO'!E4</f>
        <v>13</v>
      </c>
      <c r="I4" s="32" t="str">
        <f>'QDF-FATOR CORREÇÃO'!F4</f>
        <v>F</v>
      </c>
      <c r="J4" s="50">
        <v>2.5</v>
      </c>
      <c r="K4" s="50">
        <v>2.5</v>
      </c>
      <c r="L4" s="50">
        <v>2.5</v>
      </c>
    </row>
    <row r="5">
      <c r="A5" s="26"/>
      <c r="B5" s="14" t="s">
        <v>47</v>
      </c>
      <c r="C5" s="26"/>
      <c r="D5" s="32">
        <f>'QDF-FATOR CORREÇÃO'!H5</f>
        <v>2</v>
      </c>
      <c r="E5" s="32">
        <f>'QDF-FATOR CORREÇÃO'!D5</f>
        <v>2</v>
      </c>
      <c r="F5" s="50">
        <v>3.0</v>
      </c>
      <c r="G5" s="32" t="s">
        <v>106</v>
      </c>
      <c r="H5" s="32">
        <f>'QDF-FATOR CORREÇÃO'!E5</f>
        <v>13</v>
      </c>
      <c r="I5" s="32" t="str">
        <f>'QDF-FATOR CORREÇÃO'!F5</f>
        <v>F</v>
      </c>
      <c r="J5" s="50">
        <v>2.5</v>
      </c>
      <c r="K5" s="50">
        <v>2.5</v>
      </c>
      <c r="L5" s="50">
        <v>2.5</v>
      </c>
    </row>
    <row r="6">
      <c r="A6" s="21" t="s">
        <v>54</v>
      </c>
      <c r="B6" s="14" t="s">
        <v>56</v>
      </c>
      <c r="C6" s="22" t="s">
        <v>31</v>
      </c>
      <c r="D6" s="32">
        <f>'QDF-FATOR CORREÇÃO'!H6</f>
        <v>2</v>
      </c>
      <c r="E6" s="32">
        <f>'QDF-FATOR CORREÇÃO'!D6</f>
        <v>2</v>
      </c>
      <c r="F6" s="32">
        <v>2.0</v>
      </c>
      <c r="G6" s="32" t="s">
        <v>106</v>
      </c>
      <c r="H6" s="32">
        <f>'QDF-FATOR CORREÇÃO'!E6</f>
        <v>13</v>
      </c>
      <c r="I6" s="32" t="str">
        <f>'QDF-FATOR CORREÇÃO'!F6</f>
        <v>F</v>
      </c>
      <c r="J6" s="50">
        <v>2.5</v>
      </c>
      <c r="K6" s="50">
        <v>2.5</v>
      </c>
      <c r="L6" s="50">
        <v>2.5</v>
      </c>
    </row>
    <row r="7">
      <c r="A7" s="26"/>
      <c r="B7" s="14" t="s">
        <v>57</v>
      </c>
      <c r="C7" s="26"/>
      <c r="D7" s="32">
        <f>'QDF-FATOR CORREÇÃO'!H7</f>
        <v>2</v>
      </c>
      <c r="E7" s="32">
        <f>'QDF-FATOR CORREÇÃO'!D7</f>
        <v>2</v>
      </c>
      <c r="F7" s="50">
        <v>3.0</v>
      </c>
      <c r="G7" s="32" t="s">
        <v>106</v>
      </c>
      <c r="H7" s="32">
        <f>'QDF-FATOR CORREÇÃO'!E7</f>
        <v>13</v>
      </c>
      <c r="I7" s="32" t="str">
        <f>'QDF-FATOR CORREÇÃO'!F7</f>
        <v>F</v>
      </c>
      <c r="J7" s="50">
        <v>2.5</v>
      </c>
      <c r="K7" s="50">
        <v>2.5</v>
      </c>
      <c r="L7" s="50">
        <v>2.5</v>
      </c>
    </row>
    <row r="8">
      <c r="A8" s="21" t="s">
        <v>58</v>
      </c>
      <c r="B8" s="14" t="s">
        <v>59</v>
      </c>
      <c r="C8" s="28" t="s">
        <v>60</v>
      </c>
      <c r="D8" s="32">
        <f>'QDF-FATOR CORREÇÃO'!H8</f>
        <v>2</v>
      </c>
      <c r="E8" s="32">
        <f>'QDF-FATOR CORREÇÃO'!D8</f>
        <v>2</v>
      </c>
      <c r="F8" s="32">
        <v>2.0</v>
      </c>
      <c r="G8" s="32" t="s">
        <v>106</v>
      </c>
      <c r="H8" s="32">
        <f>'QDF-FATOR CORREÇÃO'!E8</f>
        <v>13</v>
      </c>
      <c r="I8" s="32" t="str">
        <f>'QDF-FATOR CORREÇÃO'!F8</f>
        <v>F</v>
      </c>
      <c r="J8" s="50">
        <v>2.5</v>
      </c>
      <c r="K8" s="50">
        <v>2.5</v>
      </c>
      <c r="L8" s="50">
        <v>2.5</v>
      </c>
    </row>
    <row r="9">
      <c r="A9" s="26"/>
      <c r="B9" s="14" t="s">
        <v>62</v>
      </c>
      <c r="C9" s="26"/>
      <c r="D9" s="32">
        <f>'QDF-FATOR CORREÇÃO'!H9</f>
        <v>2</v>
      </c>
      <c r="E9" s="32">
        <f>'QDF-FATOR CORREÇÃO'!D9</f>
        <v>2</v>
      </c>
      <c r="F9" s="65">
        <v>3.0</v>
      </c>
      <c r="G9" s="32" t="s">
        <v>106</v>
      </c>
      <c r="H9" s="32">
        <f>'QDF-FATOR CORREÇÃO'!E9</f>
        <v>13</v>
      </c>
      <c r="I9" s="32" t="str">
        <f>'QDF-FATOR CORREÇÃO'!F9</f>
        <v>F</v>
      </c>
      <c r="J9" s="50">
        <v>2.5</v>
      </c>
      <c r="K9" s="50">
        <v>2.5</v>
      </c>
      <c r="L9" s="50">
        <v>2.5</v>
      </c>
    </row>
    <row r="10">
      <c r="A10" s="21" t="s">
        <v>63</v>
      </c>
      <c r="B10" s="14" t="s">
        <v>64</v>
      </c>
      <c r="C10" s="22" t="s">
        <v>37</v>
      </c>
      <c r="D10" s="32">
        <f>'QDF-FATOR CORREÇÃO'!H10</f>
        <v>2</v>
      </c>
      <c r="E10" s="32">
        <f>'QDF-FATOR CORREÇÃO'!D10</f>
        <v>2</v>
      </c>
      <c r="F10" s="65">
        <v>2.0</v>
      </c>
      <c r="G10" s="32" t="s">
        <v>106</v>
      </c>
      <c r="H10" s="32">
        <f>'QDF-FATOR CORREÇÃO'!E10</f>
        <v>13</v>
      </c>
      <c r="I10" s="32" t="str">
        <f>'QDF-FATOR CORREÇÃO'!F10</f>
        <v>F</v>
      </c>
      <c r="J10" s="50">
        <v>2.5</v>
      </c>
      <c r="K10" s="50">
        <v>2.5</v>
      </c>
      <c r="L10" s="50">
        <v>2.5</v>
      </c>
    </row>
    <row r="11">
      <c r="A11" s="30"/>
      <c r="B11" s="14" t="s">
        <v>65</v>
      </c>
      <c r="C11" s="26"/>
      <c r="D11" s="32">
        <f>'QDF-FATOR CORREÇÃO'!H11</f>
        <v>2</v>
      </c>
      <c r="E11" s="32">
        <f>'QDF-FATOR CORREÇÃO'!D11</f>
        <v>2</v>
      </c>
      <c r="F11" s="65">
        <v>3.0</v>
      </c>
      <c r="G11" s="32" t="s">
        <v>106</v>
      </c>
      <c r="H11" s="32">
        <f>'QDF-FATOR CORREÇÃO'!E11</f>
        <v>13</v>
      </c>
      <c r="I11" s="32" t="str">
        <f>'QDF-FATOR CORREÇÃO'!F11</f>
        <v>F</v>
      </c>
      <c r="J11" s="50">
        <v>2.5</v>
      </c>
      <c r="K11" s="50">
        <v>2.5</v>
      </c>
      <c r="L11" s="50">
        <v>2.5</v>
      </c>
    </row>
    <row r="12">
      <c r="A12" s="30"/>
      <c r="B12" s="16" t="s">
        <v>67</v>
      </c>
      <c r="C12" s="23"/>
      <c r="D12" s="36"/>
      <c r="E12" s="36"/>
      <c r="F12" s="36"/>
      <c r="G12" s="36"/>
      <c r="H12" s="36"/>
      <c r="I12" s="36"/>
      <c r="J12" s="36"/>
      <c r="K12" s="36"/>
      <c r="L12" s="36"/>
    </row>
    <row r="13">
      <c r="A13" s="26"/>
      <c r="B13" s="16" t="s">
        <v>69</v>
      </c>
      <c r="C13" s="32"/>
      <c r="D13" s="36"/>
      <c r="E13" s="36"/>
      <c r="F13" s="36"/>
      <c r="G13" s="36"/>
      <c r="H13" s="36"/>
      <c r="I13" s="36"/>
      <c r="J13" s="36"/>
      <c r="K13" s="36"/>
      <c r="L13" s="36"/>
    </row>
    <row r="14">
      <c r="A14" s="34" t="s">
        <v>70</v>
      </c>
      <c r="B14" s="37" t="s">
        <v>71</v>
      </c>
      <c r="C14" s="23" t="s">
        <v>53</v>
      </c>
      <c r="D14" s="32">
        <f>'QDF-FATOR CORREÇÃO'!H14</f>
        <v>2</v>
      </c>
      <c r="E14" s="32">
        <f>'QDF-FATOR CORREÇÃO'!D14</f>
        <v>2</v>
      </c>
      <c r="F14" s="32">
        <v>2.0</v>
      </c>
      <c r="G14" s="32" t="s">
        <v>117</v>
      </c>
      <c r="H14" s="32">
        <f>'QDF-FATOR CORREÇÃO'!E14</f>
        <v>3</v>
      </c>
      <c r="I14" s="32" t="str">
        <f>'QDF-FATOR CORREÇÃO'!F14</f>
        <v>B1</v>
      </c>
      <c r="J14" s="32">
        <v>2.5</v>
      </c>
      <c r="K14" s="32">
        <v>2.5</v>
      </c>
      <c r="L14" s="32">
        <v>2.5</v>
      </c>
    </row>
    <row r="15">
      <c r="A15" s="26"/>
      <c r="B15" s="37" t="s">
        <v>73</v>
      </c>
      <c r="C15" s="32" t="s">
        <v>53</v>
      </c>
      <c r="D15" s="32">
        <f>'QDF-FATOR CORREÇÃO'!H15</f>
        <v>2</v>
      </c>
      <c r="E15" s="32">
        <f>'QDF-FATOR CORREÇÃO'!D15</f>
        <v>2</v>
      </c>
      <c r="F15" s="32">
        <v>2.0</v>
      </c>
      <c r="G15" s="32" t="s">
        <v>117</v>
      </c>
      <c r="H15" s="32">
        <f>'QDF-FATOR CORREÇÃO'!E15</f>
        <v>3</v>
      </c>
      <c r="I15" s="32" t="str">
        <f>'QDF-FATOR CORREÇÃO'!F15</f>
        <v>B1</v>
      </c>
      <c r="J15" s="32">
        <v>2.5</v>
      </c>
      <c r="K15" s="32">
        <v>2.5</v>
      </c>
      <c r="L15" s="32">
        <v>2.5</v>
      </c>
    </row>
    <row r="16">
      <c r="A16" s="34" t="s">
        <v>74</v>
      </c>
      <c r="B16" s="37" t="s">
        <v>75</v>
      </c>
      <c r="C16" s="32" t="s">
        <v>53</v>
      </c>
      <c r="D16" s="32">
        <f>'QDF-FATOR CORREÇÃO'!H16</f>
        <v>2</v>
      </c>
      <c r="E16" s="32">
        <f>'QDF-FATOR CORREÇÃO'!D16</f>
        <v>2</v>
      </c>
      <c r="F16" s="32">
        <v>2.0</v>
      </c>
      <c r="G16" s="32" t="s">
        <v>117</v>
      </c>
      <c r="H16" s="32">
        <f>'QDF-FATOR CORREÇÃO'!E16</f>
        <v>3</v>
      </c>
      <c r="I16" s="32" t="str">
        <f>'QDF-FATOR CORREÇÃO'!F16</f>
        <v>B1</v>
      </c>
      <c r="J16" s="32">
        <v>2.5</v>
      </c>
      <c r="K16" s="32">
        <v>2.5</v>
      </c>
      <c r="L16" s="32">
        <v>2.5</v>
      </c>
    </row>
    <row r="17">
      <c r="A17" s="30"/>
      <c r="B17" s="37" t="s">
        <v>76</v>
      </c>
      <c r="C17" s="23" t="s">
        <v>77</v>
      </c>
      <c r="D17" s="32">
        <f>'QDF-FATOR CORREÇÃO'!H17</f>
        <v>1</v>
      </c>
      <c r="E17" s="32">
        <f>'QDF-FATOR CORREÇÃO'!D17</f>
        <v>1</v>
      </c>
      <c r="F17" s="32">
        <v>2.0</v>
      </c>
      <c r="G17" s="32" t="s">
        <v>117</v>
      </c>
      <c r="H17" s="32">
        <f>'QDF-FATOR CORREÇÃO'!E17</f>
        <v>3</v>
      </c>
      <c r="I17" s="32" t="str">
        <f>'QDF-FATOR CORREÇÃO'!F17</f>
        <v>B1</v>
      </c>
      <c r="J17" s="32">
        <v>2.5</v>
      </c>
      <c r="K17" s="32">
        <v>2.5</v>
      </c>
      <c r="L17" s="32">
        <v>2.5</v>
      </c>
    </row>
    <row r="18">
      <c r="A18" s="30"/>
      <c r="B18" s="23" t="s">
        <v>78</v>
      </c>
      <c r="C18" s="23" t="s">
        <v>46</v>
      </c>
      <c r="D18" s="32">
        <f>'QDF-FATOR CORREÇÃO'!H18</f>
        <v>2</v>
      </c>
      <c r="E18" s="32">
        <f>'QDF-FATOR CORREÇÃO'!D18</f>
        <v>2</v>
      </c>
      <c r="F18" s="32">
        <v>2.0</v>
      </c>
      <c r="G18" s="32" t="s">
        <v>117</v>
      </c>
      <c r="H18" s="32">
        <f>'QDF-FATOR CORREÇÃO'!E18</f>
        <v>3</v>
      </c>
      <c r="I18" s="32" t="str">
        <f>'QDF-FATOR CORREÇÃO'!F18</f>
        <v>B1</v>
      </c>
      <c r="J18" s="32">
        <v>2.5</v>
      </c>
      <c r="K18" s="32">
        <v>2.5</v>
      </c>
      <c r="L18" s="32">
        <v>2.5</v>
      </c>
    </row>
    <row r="19">
      <c r="A19" s="26"/>
      <c r="B19" s="23" t="s">
        <v>80</v>
      </c>
      <c r="C19" s="32" t="s">
        <v>77</v>
      </c>
      <c r="D19" s="32">
        <f>'QDF-FATOR CORREÇÃO'!H19</f>
        <v>1</v>
      </c>
      <c r="E19" s="32">
        <f>'QDF-FATOR CORREÇÃO'!D19</f>
        <v>1</v>
      </c>
      <c r="F19" s="32">
        <v>2.0</v>
      </c>
      <c r="G19" s="32" t="s">
        <v>117</v>
      </c>
      <c r="H19" s="32">
        <f>'QDF-FATOR CORREÇÃO'!E19</f>
        <v>3</v>
      </c>
      <c r="I19" s="32" t="str">
        <f>'QDF-FATOR CORREÇÃO'!F19</f>
        <v>B1</v>
      </c>
      <c r="J19" s="32">
        <v>2.5</v>
      </c>
      <c r="K19" s="32">
        <v>2.5</v>
      </c>
      <c r="L19" s="32">
        <v>2.5</v>
      </c>
    </row>
    <row r="20">
      <c r="A20" s="34" t="s">
        <v>81</v>
      </c>
      <c r="B20" s="23" t="s">
        <v>82</v>
      </c>
      <c r="C20" s="32" t="s">
        <v>46</v>
      </c>
      <c r="D20" s="32">
        <f>'QDF-FATOR CORREÇÃO'!H20</f>
        <v>1</v>
      </c>
      <c r="E20" s="32">
        <f>'QDF-FATOR CORREÇÃO'!D20</f>
        <v>1</v>
      </c>
      <c r="F20" s="32">
        <v>2.0</v>
      </c>
      <c r="G20" s="32" t="s">
        <v>117</v>
      </c>
      <c r="H20" s="32">
        <f>'QDF-FATOR CORREÇÃO'!E20</f>
        <v>3</v>
      </c>
      <c r="I20" s="32" t="str">
        <f>'QDF-FATOR CORREÇÃO'!F20</f>
        <v>B1</v>
      </c>
      <c r="J20" s="32">
        <v>2.5</v>
      </c>
      <c r="K20" s="32">
        <v>2.5</v>
      </c>
      <c r="L20" s="32">
        <v>2.5</v>
      </c>
    </row>
    <row r="21">
      <c r="A21" s="30"/>
      <c r="B21" s="23" t="s">
        <v>85</v>
      </c>
      <c r="C21" s="23" t="s">
        <v>86</v>
      </c>
      <c r="D21" s="32">
        <f>'QDF-FATOR CORREÇÃO'!H21</f>
        <v>1</v>
      </c>
      <c r="E21" s="32">
        <f>'QDF-FATOR CORREÇÃO'!D21</f>
        <v>1</v>
      </c>
      <c r="F21" s="32">
        <v>2.0</v>
      </c>
      <c r="G21" s="32" t="s">
        <v>117</v>
      </c>
      <c r="H21" s="32">
        <f>'QDF-FATOR CORREÇÃO'!E21</f>
        <v>3</v>
      </c>
      <c r="I21" s="32" t="str">
        <f>'QDF-FATOR CORREÇÃO'!F21</f>
        <v>B1</v>
      </c>
      <c r="J21" s="32">
        <v>2.5</v>
      </c>
      <c r="K21" s="32">
        <v>2.5</v>
      </c>
      <c r="L21" s="32">
        <v>2.5</v>
      </c>
    </row>
    <row r="22">
      <c r="A22" s="30"/>
      <c r="B22" s="23" t="s">
        <v>91</v>
      </c>
      <c r="C22" s="32" t="s">
        <v>86</v>
      </c>
      <c r="D22" s="32">
        <f>'QDF-FATOR CORREÇÃO'!H22</f>
        <v>1</v>
      </c>
      <c r="E22" s="32">
        <f>'QDF-FATOR CORREÇÃO'!D22</f>
        <v>1</v>
      </c>
      <c r="F22" s="32">
        <v>2.0</v>
      </c>
      <c r="G22" s="32" t="s">
        <v>117</v>
      </c>
      <c r="H22" s="32">
        <f>'QDF-FATOR CORREÇÃO'!E22</f>
        <v>3</v>
      </c>
      <c r="I22" s="32" t="str">
        <f>'QDF-FATOR CORREÇÃO'!F22</f>
        <v>B1</v>
      </c>
      <c r="J22" s="32">
        <v>16.0</v>
      </c>
      <c r="K22" s="32">
        <v>16.0</v>
      </c>
      <c r="L22" s="32">
        <v>16.0</v>
      </c>
    </row>
    <row r="23">
      <c r="A23" s="26"/>
      <c r="B23" s="32" t="s">
        <v>95</v>
      </c>
      <c r="C23" s="32" t="s">
        <v>96</v>
      </c>
      <c r="D23" s="36"/>
      <c r="E23" s="36"/>
      <c r="F23" s="36"/>
      <c r="G23" s="36"/>
      <c r="H23" s="36"/>
      <c r="I23" s="36"/>
      <c r="J23" s="36"/>
      <c r="K23" s="36"/>
      <c r="L23" s="36"/>
    </row>
  </sheetData>
  <mergeCells count="13">
    <mergeCell ref="A8:A9"/>
    <mergeCell ref="A10:A13"/>
    <mergeCell ref="C10:C11"/>
    <mergeCell ref="A14:A15"/>
    <mergeCell ref="A16:A19"/>
    <mergeCell ref="A20:A23"/>
    <mergeCell ref="A1:L1"/>
    <mergeCell ref="P2:S3"/>
    <mergeCell ref="A4:A5"/>
    <mergeCell ref="C4:C5"/>
    <mergeCell ref="A6:A7"/>
    <mergeCell ref="C6:C7"/>
    <mergeCell ref="C8:C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75"/>
  </cols>
  <sheetData>
    <row r="1">
      <c r="A1" s="38" t="s">
        <v>109</v>
      </c>
      <c r="B1" s="5"/>
      <c r="C1" s="5"/>
      <c r="D1" s="5"/>
      <c r="E1" s="5"/>
      <c r="F1" s="6"/>
      <c r="G1" s="56"/>
      <c r="H1" s="59" t="s">
        <v>110</v>
      </c>
    </row>
    <row r="2">
      <c r="A2" s="7" t="s">
        <v>12</v>
      </c>
      <c r="B2" s="7" t="s">
        <v>13</v>
      </c>
      <c r="C2" s="7" t="s">
        <v>14</v>
      </c>
      <c r="D2" s="39" t="s">
        <v>111</v>
      </c>
      <c r="E2" s="39" t="s">
        <v>112</v>
      </c>
      <c r="F2" s="39" t="s">
        <v>113</v>
      </c>
      <c r="G2" s="39" t="s">
        <v>114</v>
      </c>
      <c r="L2" s="25" t="s">
        <v>115</v>
      </c>
    </row>
    <row r="3">
      <c r="A3" s="8" t="s">
        <v>26</v>
      </c>
      <c r="B3" s="14" t="s">
        <v>29</v>
      </c>
      <c r="C3" s="15" t="s">
        <v>32</v>
      </c>
      <c r="D3" s="61">
        <f>'QDF-FATOR CORREÇÃO'!P3</f>
        <v>26.1</v>
      </c>
      <c r="E3" s="62">
        <v>10.0</v>
      </c>
      <c r="F3" s="61">
        <f>QDF!L3</f>
        <v>3.636363636</v>
      </c>
      <c r="G3" s="32" t="str">
        <f t="shared" ref="G3:G11" si="1">IF(AND(D3&gt;E3,E3&gt;F3),"OK","MUDAR DISJUNTOR")</f>
        <v>OK</v>
      </c>
      <c r="H3" s="25"/>
    </row>
    <row r="4">
      <c r="A4" s="21" t="s">
        <v>38</v>
      </c>
      <c r="B4" s="14" t="s">
        <v>40</v>
      </c>
      <c r="C4" s="22" t="s">
        <v>11</v>
      </c>
      <c r="D4" s="61">
        <f>'QDF-FATOR CORREÇÃO'!P4</f>
        <v>22.968</v>
      </c>
      <c r="E4" s="64">
        <v>10.0</v>
      </c>
      <c r="F4" s="61">
        <f>QDF!L4</f>
        <v>3.636363636</v>
      </c>
      <c r="G4" s="32" t="str">
        <f t="shared" si="1"/>
        <v>OK</v>
      </c>
      <c r="H4" s="25"/>
    </row>
    <row r="5">
      <c r="A5" s="26"/>
      <c r="B5" s="14" t="s">
        <v>47</v>
      </c>
      <c r="C5" s="26"/>
      <c r="D5" s="61">
        <f>'QDF-FATOR CORREÇÃO'!P5</f>
        <v>22.968</v>
      </c>
      <c r="E5" s="62">
        <v>10.0</v>
      </c>
      <c r="F5" s="61">
        <f>QDF!L5</f>
        <v>4.545454545</v>
      </c>
      <c r="G5" s="32" t="str">
        <f t="shared" si="1"/>
        <v>OK</v>
      </c>
      <c r="H5" s="25"/>
    </row>
    <row r="6">
      <c r="A6" s="21" t="s">
        <v>54</v>
      </c>
      <c r="B6" s="14" t="s">
        <v>56</v>
      </c>
      <c r="C6" s="22" t="s">
        <v>31</v>
      </c>
      <c r="D6" s="61">
        <f>'QDF-FATOR CORREÇÃO'!P6</f>
        <v>22.968</v>
      </c>
      <c r="E6" s="62">
        <v>6.0</v>
      </c>
      <c r="F6" s="61">
        <f>QDF!L6</f>
        <v>1.818181818</v>
      </c>
      <c r="G6" s="32" t="str">
        <f t="shared" si="1"/>
        <v>OK</v>
      </c>
      <c r="H6" s="25"/>
    </row>
    <row r="7" ht="31.5" customHeight="1">
      <c r="A7" s="26"/>
      <c r="B7" s="14" t="s">
        <v>57</v>
      </c>
      <c r="C7" s="26"/>
      <c r="D7" s="61">
        <f>'QDF-FATOR CORREÇÃO'!P7</f>
        <v>22.968</v>
      </c>
      <c r="E7" s="62">
        <v>10.0</v>
      </c>
      <c r="F7" s="61">
        <f>QDF!L7</f>
        <v>4.545454545</v>
      </c>
      <c r="G7" s="32" t="str">
        <f t="shared" si="1"/>
        <v>OK</v>
      </c>
      <c r="H7" s="25"/>
    </row>
    <row r="8">
      <c r="A8" s="21" t="s">
        <v>58</v>
      </c>
      <c r="B8" s="14" t="s">
        <v>59</v>
      </c>
      <c r="C8" s="28" t="s">
        <v>60</v>
      </c>
      <c r="D8" s="61">
        <f>'QDF-FATOR CORREÇÃO'!P8</f>
        <v>22.968</v>
      </c>
      <c r="E8" s="62">
        <v>10.0</v>
      </c>
      <c r="F8" s="61">
        <f>QDF!L8</f>
        <v>3.636363636</v>
      </c>
      <c r="G8" s="32" t="str">
        <f t="shared" si="1"/>
        <v>OK</v>
      </c>
      <c r="H8" s="25"/>
    </row>
    <row r="9" ht="35.25" customHeight="1">
      <c r="A9" s="26"/>
      <c r="B9" s="14" t="s">
        <v>62</v>
      </c>
      <c r="C9" s="26"/>
      <c r="D9" s="61">
        <f>'QDF-FATOR CORREÇÃO'!P9</f>
        <v>22.968</v>
      </c>
      <c r="E9" s="66">
        <v>10.0</v>
      </c>
      <c r="F9" s="61">
        <f>QDF!L9</f>
        <v>4.545454545</v>
      </c>
      <c r="G9" s="32" t="str">
        <f t="shared" si="1"/>
        <v>OK</v>
      </c>
      <c r="H9" s="25"/>
    </row>
    <row r="10" ht="25.5" customHeight="1">
      <c r="A10" s="21" t="s">
        <v>63</v>
      </c>
      <c r="B10" s="14" t="s">
        <v>64</v>
      </c>
      <c r="C10" s="22" t="s">
        <v>37</v>
      </c>
      <c r="D10" s="61">
        <f>'QDF-FATOR CORREÇÃO'!P10</f>
        <v>22.968</v>
      </c>
      <c r="E10" s="66">
        <v>10.0</v>
      </c>
      <c r="F10" s="61">
        <f>QDF!L10</f>
        <v>5.454545455</v>
      </c>
      <c r="G10" s="32" t="str">
        <f t="shared" si="1"/>
        <v>OK</v>
      </c>
      <c r="H10" s="25"/>
    </row>
    <row r="11">
      <c r="A11" s="30"/>
      <c r="B11" s="14" t="s">
        <v>65</v>
      </c>
      <c r="C11" s="26"/>
      <c r="D11" s="61">
        <f>'QDF-FATOR CORREÇÃO'!P11</f>
        <v>22.968</v>
      </c>
      <c r="E11" s="66">
        <v>10.0</v>
      </c>
      <c r="F11" s="61">
        <f>QDF!L11</f>
        <v>4.545454545</v>
      </c>
      <c r="G11" s="32" t="str">
        <f t="shared" si="1"/>
        <v>OK</v>
      </c>
      <c r="H11" s="25"/>
    </row>
    <row r="12">
      <c r="A12" s="30"/>
      <c r="B12" s="16" t="s">
        <v>67</v>
      </c>
      <c r="C12" s="23"/>
      <c r="D12" s="67"/>
      <c r="E12" s="68"/>
      <c r="F12" s="67"/>
      <c r="G12" s="36"/>
      <c r="H12" s="25"/>
    </row>
    <row r="13">
      <c r="A13" s="26"/>
      <c r="B13" s="16" t="s">
        <v>69</v>
      </c>
      <c r="C13" s="32"/>
      <c r="D13" s="67"/>
      <c r="E13" s="68"/>
      <c r="F13" s="67"/>
      <c r="G13" s="36"/>
      <c r="H13" s="25"/>
    </row>
    <row r="14">
      <c r="A14" s="34" t="s">
        <v>70</v>
      </c>
      <c r="B14" s="37" t="s">
        <v>71</v>
      </c>
      <c r="C14" s="23" t="s">
        <v>53</v>
      </c>
      <c r="D14" s="61">
        <f>'QDF-FATOR CORREÇÃO'!P14</f>
        <v>15.168</v>
      </c>
      <c r="E14" s="64">
        <v>10.0</v>
      </c>
      <c r="F14" s="61">
        <f>QDF!L14</f>
        <v>5.454545455</v>
      </c>
      <c r="G14" s="32" t="str">
        <f t="shared" ref="G14:G22" si="2">IF(AND(D14&gt;E14,E14&gt;F14),"OK","MUDAR DISJUNTOR")</f>
        <v>OK</v>
      </c>
      <c r="H14" s="25"/>
    </row>
    <row r="15">
      <c r="A15" s="26"/>
      <c r="B15" s="37" t="s">
        <v>73</v>
      </c>
      <c r="C15" s="32" t="s">
        <v>53</v>
      </c>
      <c r="D15" s="61">
        <f>'QDF-FATOR CORREÇÃO'!P15</f>
        <v>15.168</v>
      </c>
      <c r="E15" s="64">
        <v>10.0</v>
      </c>
      <c r="F15" s="61">
        <f>QDF!L15</f>
        <v>4.545454545</v>
      </c>
      <c r="G15" s="32" t="str">
        <f t="shared" si="2"/>
        <v>OK</v>
      </c>
      <c r="H15" s="25"/>
    </row>
    <row r="16">
      <c r="A16" s="34" t="s">
        <v>74</v>
      </c>
      <c r="B16" s="37" t="s">
        <v>75</v>
      </c>
      <c r="C16" s="32" t="s">
        <v>53</v>
      </c>
      <c r="D16" s="61">
        <f>'QDF-FATOR CORREÇÃO'!P16</f>
        <v>15.168</v>
      </c>
      <c r="E16" s="64">
        <v>10.0</v>
      </c>
      <c r="F16" s="61">
        <f>QDF!L16</f>
        <v>6.818181818</v>
      </c>
      <c r="G16" s="32" t="str">
        <f t="shared" si="2"/>
        <v>OK</v>
      </c>
      <c r="H16" s="25"/>
    </row>
    <row r="17">
      <c r="A17" s="30"/>
      <c r="B17" s="37" t="s">
        <v>76</v>
      </c>
      <c r="C17" s="23" t="s">
        <v>77</v>
      </c>
      <c r="D17" s="61">
        <f>'QDF-FATOR CORREÇÃO'!P17</f>
        <v>18.96</v>
      </c>
      <c r="E17" s="64">
        <v>10.0</v>
      </c>
      <c r="F17" s="61">
        <f>QDF!L17</f>
        <v>7.272727273</v>
      </c>
      <c r="G17" s="32" t="str">
        <f t="shared" si="2"/>
        <v>OK</v>
      </c>
      <c r="H17" s="25"/>
    </row>
    <row r="18">
      <c r="A18" s="30"/>
      <c r="B18" s="23" t="s">
        <v>78</v>
      </c>
      <c r="C18" s="23" t="s">
        <v>46</v>
      </c>
      <c r="D18" s="61">
        <f>'QDF-FATOR CORREÇÃO'!P18</f>
        <v>15.168</v>
      </c>
      <c r="E18" s="64">
        <v>10.0</v>
      </c>
      <c r="F18" s="61">
        <f>QDF!L18</f>
        <v>7.272727273</v>
      </c>
      <c r="G18" s="32" t="str">
        <f t="shared" si="2"/>
        <v>OK</v>
      </c>
      <c r="H18" s="25"/>
    </row>
    <row r="19">
      <c r="A19" s="26"/>
      <c r="B19" s="23" t="s">
        <v>80</v>
      </c>
      <c r="C19" s="32" t="s">
        <v>77</v>
      </c>
      <c r="D19" s="61">
        <f>'QDF-FATOR CORREÇÃO'!P19</f>
        <v>18.96</v>
      </c>
      <c r="E19" s="64">
        <v>10.0</v>
      </c>
      <c r="F19" s="61">
        <f>QDF!L19</f>
        <v>6.818181818</v>
      </c>
      <c r="G19" s="32" t="str">
        <f t="shared" si="2"/>
        <v>OK</v>
      </c>
      <c r="H19" s="25"/>
    </row>
    <row r="20">
      <c r="A20" s="34" t="s">
        <v>81</v>
      </c>
      <c r="B20" s="23" t="s">
        <v>82</v>
      </c>
      <c r="C20" s="32" t="s">
        <v>46</v>
      </c>
      <c r="D20" s="61">
        <f>'QDF-FATOR CORREÇÃO'!P20</f>
        <v>18.96</v>
      </c>
      <c r="E20" s="64">
        <v>10.0</v>
      </c>
      <c r="F20" s="61">
        <f>QDF!L20</f>
        <v>6.818181818</v>
      </c>
      <c r="G20" s="32" t="str">
        <f t="shared" si="2"/>
        <v>OK</v>
      </c>
      <c r="H20" s="25"/>
    </row>
    <row r="21">
      <c r="A21" s="30"/>
      <c r="B21" s="23" t="s">
        <v>85</v>
      </c>
      <c r="C21" s="23" t="s">
        <v>86</v>
      </c>
      <c r="D21" s="61">
        <f>'QDF-FATOR CORREÇÃO'!P21</f>
        <v>18.96</v>
      </c>
      <c r="E21" s="64">
        <v>10.0</v>
      </c>
      <c r="F21" s="61">
        <f>QDF!L21</f>
        <v>2.727272727</v>
      </c>
      <c r="G21" s="32" t="str">
        <f t="shared" si="2"/>
        <v>OK</v>
      </c>
      <c r="H21" s="25"/>
    </row>
    <row r="22">
      <c r="A22" s="30"/>
      <c r="B22" s="23" t="s">
        <v>91</v>
      </c>
      <c r="C22" s="32" t="s">
        <v>86</v>
      </c>
      <c r="D22" s="61">
        <f>'QDF-FATOR CORREÇÃO'!P22</f>
        <v>60.04</v>
      </c>
      <c r="E22" s="64">
        <v>50.0</v>
      </c>
      <c r="F22" s="61">
        <f>QDF!L22</f>
        <v>40.90909091</v>
      </c>
      <c r="G22" s="32" t="str">
        <f t="shared" si="2"/>
        <v>OK</v>
      </c>
      <c r="H22" s="25"/>
    </row>
    <row r="23">
      <c r="A23" s="26"/>
      <c r="B23" s="32" t="s">
        <v>95</v>
      </c>
      <c r="C23" s="32" t="s">
        <v>96</v>
      </c>
      <c r="D23" s="67"/>
      <c r="E23" s="68"/>
      <c r="F23" s="67"/>
      <c r="G23" s="36"/>
      <c r="H23" s="25"/>
    </row>
    <row r="24">
      <c r="A24" s="56"/>
      <c r="B24" s="43"/>
      <c r="C24" s="36"/>
      <c r="D24" s="67"/>
      <c r="E24" s="68"/>
      <c r="F24" s="67"/>
      <c r="G24" s="36"/>
      <c r="H24" s="25"/>
    </row>
  </sheetData>
  <mergeCells count="14">
    <mergeCell ref="C6:C7"/>
    <mergeCell ref="C8:C9"/>
    <mergeCell ref="A10:A13"/>
    <mergeCell ref="C10:C11"/>
    <mergeCell ref="A14:A15"/>
    <mergeCell ref="A16:A19"/>
    <mergeCell ref="A20:A23"/>
    <mergeCell ref="A1:F1"/>
    <mergeCell ref="H1:H2"/>
    <mergeCell ref="L2:R2"/>
    <mergeCell ref="A4:A5"/>
    <mergeCell ref="C4:C5"/>
    <mergeCell ref="A6:A7"/>
    <mergeCell ref="A8:A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3" t="s">
        <v>66</v>
      </c>
    </row>
    <row r="26">
      <c r="H26" s="25" t="s">
        <v>130</v>
      </c>
    </row>
    <row r="34">
      <c r="A34" s="82" t="s">
        <v>17</v>
      </c>
      <c r="B34" s="83">
        <v>220.0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>
      <c r="A35" s="84" t="s">
        <v>132</v>
      </c>
      <c r="B35" s="85" t="str">
        <f>QDL!$H$3</f>
        <v>#REF!</v>
      </c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>
      <c r="A36" s="84" t="s">
        <v>133</v>
      </c>
      <c r="B36" s="86" t="str">
        <f>QDL!$G$3</f>
        <v>#REF!</v>
      </c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>
      <c r="A37" s="87" t="s">
        <v>134</v>
      </c>
      <c r="B37" s="5"/>
      <c r="C37" s="5"/>
      <c r="D37" s="5"/>
      <c r="E37" s="5"/>
      <c r="F37" s="5"/>
      <c r="G37" s="5"/>
      <c r="H37" s="5"/>
      <c r="I37" s="5"/>
      <c r="J37" s="6"/>
      <c r="K37" s="25"/>
      <c r="L37" s="25"/>
      <c r="M37" s="25"/>
      <c r="N37" s="25"/>
      <c r="O37" s="25"/>
      <c r="P37" s="88" t="s">
        <v>135</v>
      </c>
      <c r="Q37" s="5"/>
      <c r="R37" s="5"/>
      <c r="S37" s="5"/>
      <c r="T37" s="5"/>
      <c r="U37" s="5"/>
      <c r="V37" s="5"/>
      <c r="W37" s="6"/>
    </row>
    <row r="38">
      <c r="A38" s="89" t="s">
        <v>136</v>
      </c>
      <c r="B38" s="89" t="s">
        <v>137</v>
      </c>
      <c r="C38" s="89" t="s">
        <v>138</v>
      </c>
      <c r="D38" s="90" t="s">
        <v>139</v>
      </c>
      <c r="E38" s="89" t="s">
        <v>140</v>
      </c>
      <c r="F38" s="89" t="s">
        <v>141</v>
      </c>
      <c r="G38" s="89" t="s">
        <v>24</v>
      </c>
      <c r="H38" s="89" t="s">
        <v>142</v>
      </c>
      <c r="I38" s="89" t="s">
        <v>143</v>
      </c>
      <c r="J38" s="89" t="s">
        <v>144</v>
      </c>
      <c r="K38" s="25"/>
      <c r="L38" s="91" t="s">
        <v>145</v>
      </c>
      <c r="M38" s="91" t="s">
        <v>146</v>
      </c>
      <c r="N38" s="91" t="s">
        <v>147</v>
      </c>
      <c r="O38" s="25"/>
      <c r="P38" s="93" t="s">
        <v>134</v>
      </c>
      <c r="Q38" s="94"/>
      <c r="R38" s="94"/>
      <c r="S38" s="94"/>
      <c r="T38" s="94"/>
      <c r="U38" s="94"/>
      <c r="V38" s="94"/>
      <c r="W38" s="96"/>
    </row>
    <row r="39">
      <c r="A39" s="97"/>
      <c r="B39" s="98"/>
      <c r="C39" s="97"/>
      <c r="D39" s="97"/>
      <c r="E39" s="97"/>
      <c r="F39" s="97"/>
      <c r="G39" s="97"/>
      <c r="H39" s="98"/>
      <c r="I39" s="99"/>
      <c r="J39" s="99"/>
      <c r="K39" s="95"/>
      <c r="L39" s="25"/>
      <c r="M39" s="25"/>
      <c r="N39" s="25"/>
      <c r="O39" s="25"/>
      <c r="P39" s="100" t="s">
        <v>136</v>
      </c>
      <c r="Q39" s="100" t="s">
        <v>137</v>
      </c>
      <c r="R39" s="100" t="s">
        <v>138</v>
      </c>
      <c r="S39" s="101" t="s">
        <v>139</v>
      </c>
      <c r="T39" s="100" t="s">
        <v>24</v>
      </c>
      <c r="U39" s="100" t="s">
        <v>148</v>
      </c>
      <c r="V39" s="100" t="s">
        <v>143</v>
      </c>
      <c r="W39" s="100" t="s">
        <v>144</v>
      </c>
    </row>
    <row r="40">
      <c r="A40" s="102"/>
      <c r="B40" s="103"/>
      <c r="C40" s="102"/>
      <c r="D40" s="102"/>
      <c r="E40" s="102"/>
      <c r="F40" s="102"/>
      <c r="G40" s="102"/>
      <c r="H40" s="103"/>
      <c r="I40" s="104"/>
      <c r="J40" s="104"/>
      <c r="K40" s="95"/>
      <c r="L40" s="25"/>
      <c r="M40" s="25"/>
      <c r="N40" s="25"/>
      <c r="O40" s="25"/>
      <c r="P40" s="97" t="str">
        <f t="shared" ref="P40:R40" si="1">A39</f>
        <v/>
      </c>
      <c r="Q40" s="98" t="str">
        <f t="shared" si="1"/>
        <v/>
      </c>
      <c r="R40" s="98" t="str">
        <f t="shared" si="1"/>
        <v/>
      </c>
      <c r="S40" s="97"/>
      <c r="T40" s="97"/>
      <c r="U40" s="97"/>
      <c r="V40" s="105"/>
      <c r="W40" s="99"/>
    </row>
    <row r="41">
      <c r="A41" s="97"/>
      <c r="B41" s="98"/>
      <c r="C41" s="97"/>
      <c r="D41" s="97"/>
      <c r="E41" s="97"/>
      <c r="F41" s="97"/>
      <c r="G41" s="97"/>
      <c r="H41" s="98"/>
      <c r="I41" s="99"/>
      <c r="J41" s="99"/>
      <c r="K41" s="95"/>
      <c r="L41" s="25"/>
      <c r="M41" s="25"/>
      <c r="N41" s="25"/>
      <c r="O41" s="25"/>
      <c r="P41" s="102" t="str">
        <f t="shared" ref="P41:R41" si="2">A40</f>
        <v/>
      </c>
      <c r="Q41" s="103" t="str">
        <f t="shared" si="2"/>
        <v/>
      </c>
      <c r="R41" s="103" t="str">
        <f t="shared" si="2"/>
        <v/>
      </c>
      <c r="S41" s="102"/>
      <c r="T41" s="102"/>
      <c r="U41" s="102"/>
      <c r="V41" s="106"/>
      <c r="W41" s="104"/>
    </row>
    <row r="42">
      <c r="A42" s="102"/>
      <c r="B42" s="103"/>
      <c r="C42" s="102"/>
      <c r="D42" s="102"/>
      <c r="E42" s="102"/>
      <c r="F42" s="102"/>
      <c r="G42" s="102"/>
      <c r="H42" s="103"/>
      <c r="I42" s="104"/>
      <c r="J42" s="104"/>
      <c r="K42" s="95"/>
      <c r="L42" s="25"/>
      <c r="M42" s="25"/>
      <c r="N42" s="25"/>
      <c r="O42" s="25"/>
      <c r="P42" s="97" t="str">
        <f t="shared" ref="P42:R42" si="3">A41</f>
        <v/>
      </c>
      <c r="Q42" s="98" t="str">
        <f t="shared" si="3"/>
        <v/>
      </c>
      <c r="R42" s="98" t="str">
        <f t="shared" si="3"/>
        <v/>
      </c>
      <c r="S42" s="97"/>
      <c r="T42" s="97"/>
      <c r="U42" s="97"/>
      <c r="V42" s="105"/>
      <c r="W42" s="99"/>
    </row>
    <row r="43">
      <c r="A43" s="109"/>
      <c r="B43" s="110"/>
      <c r="C43" s="111"/>
      <c r="D43" s="109"/>
      <c r="E43" s="109"/>
      <c r="F43" s="109"/>
      <c r="G43" s="110"/>
      <c r="H43" s="113"/>
      <c r="I43" s="113"/>
      <c r="J43" s="25"/>
      <c r="K43" s="95"/>
      <c r="L43" s="25"/>
      <c r="M43" s="25"/>
      <c r="N43" s="25"/>
      <c r="O43" s="25"/>
      <c r="P43" s="43" t="str">
        <f t="shared" ref="P43:R43" si="4">A42</f>
        <v/>
      </c>
      <c r="Q43" s="119" t="str">
        <f t="shared" si="4"/>
        <v/>
      </c>
      <c r="R43" s="119" t="str">
        <f t="shared" si="4"/>
        <v/>
      </c>
      <c r="S43" s="36"/>
      <c r="T43" s="43"/>
      <c r="U43" s="121"/>
      <c r="V43" s="122"/>
      <c r="W43" s="123"/>
    </row>
    <row r="44">
      <c r="A44" s="125"/>
      <c r="B44" s="127"/>
      <c r="C44" s="125"/>
      <c r="D44" s="125"/>
      <c r="E44" s="125"/>
      <c r="F44" s="125"/>
      <c r="G44" s="127"/>
      <c r="H44" s="129"/>
      <c r="I44" s="129"/>
      <c r="J44" s="25"/>
      <c r="K44" s="95"/>
      <c r="L44" s="25"/>
      <c r="M44" s="25"/>
      <c r="N44" s="25"/>
      <c r="O44" s="25"/>
      <c r="P44" s="43"/>
      <c r="Q44" s="44"/>
      <c r="R44" s="44"/>
      <c r="S44" s="43"/>
      <c r="T44" s="122"/>
      <c r="U44" s="123"/>
      <c r="V44" s="25"/>
      <c r="W44" s="25"/>
    </row>
    <row r="45">
      <c r="A45" s="132" t="s">
        <v>164</v>
      </c>
      <c r="B45" s="134">
        <f>QDF!J4</f>
        <v>200</v>
      </c>
      <c r="C45" s="132" t="s">
        <v>165</v>
      </c>
      <c r="D45" s="125">
        <f>QDF!J5</f>
        <v>1000</v>
      </c>
      <c r="E45" s="125"/>
      <c r="F45" s="125"/>
      <c r="G45" s="127"/>
      <c r="H45" s="129"/>
      <c r="I45" s="129"/>
      <c r="J45" s="25"/>
      <c r="K45" s="9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>
      <c r="A46" s="138" t="s">
        <v>166</v>
      </c>
      <c r="B46" s="86">
        <f>QDF!I4</f>
        <v>4</v>
      </c>
      <c r="C46" s="138" t="s">
        <v>166</v>
      </c>
      <c r="D46" s="139">
        <f>QDF!I5</f>
        <v>1</v>
      </c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141" t="s">
        <v>135</v>
      </c>
      <c r="Q46" s="114"/>
      <c r="R46" s="114"/>
      <c r="S46" s="114"/>
      <c r="T46" s="114"/>
      <c r="U46" s="114"/>
      <c r="V46" s="114"/>
      <c r="W46" s="142"/>
    </row>
    <row r="47">
      <c r="A47" s="87" t="s">
        <v>168</v>
      </c>
      <c r="B47" s="5"/>
      <c r="C47" s="5"/>
      <c r="D47" s="5"/>
      <c r="E47" s="5"/>
      <c r="F47" s="5"/>
      <c r="G47" s="5"/>
      <c r="H47" s="5"/>
      <c r="I47" s="5"/>
      <c r="J47" s="6"/>
      <c r="K47" s="25"/>
      <c r="L47" s="25"/>
      <c r="M47" s="25"/>
      <c r="N47" s="25"/>
      <c r="O47" s="25"/>
      <c r="P47" s="93" t="s">
        <v>168</v>
      </c>
      <c r="Q47" s="94"/>
      <c r="R47" s="94"/>
      <c r="S47" s="94"/>
      <c r="T47" s="94"/>
      <c r="U47" s="94"/>
      <c r="V47" s="94"/>
      <c r="W47" s="96"/>
    </row>
    <row r="48">
      <c r="A48" s="145" t="s">
        <v>169</v>
      </c>
      <c r="B48" s="89" t="s">
        <v>137</v>
      </c>
      <c r="C48" s="89" t="s">
        <v>138</v>
      </c>
      <c r="D48" s="89" t="s">
        <v>139</v>
      </c>
      <c r="E48" s="89" t="s">
        <v>140</v>
      </c>
      <c r="F48" s="89" t="s">
        <v>141</v>
      </c>
      <c r="G48" s="89" t="s">
        <v>24</v>
      </c>
      <c r="H48" s="89" t="s">
        <v>142</v>
      </c>
      <c r="I48" s="89" t="s">
        <v>143</v>
      </c>
      <c r="J48" s="89" t="s">
        <v>144</v>
      </c>
      <c r="K48" s="25"/>
      <c r="L48" s="147" t="s">
        <v>145</v>
      </c>
      <c r="M48" s="91" t="s">
        <v>146</v>
      </c>
      <c r="N48" s="91" t="s">
        <v>147</v>
      </c>
      <c r="O48" s="25"/>
      <c r="P48" s="145" t="s">
        <v>169</v>
      </c>
      <c r="Q48" s="89" t="s">
        <v>137</v>
      </c>
      <c r="R48" s="89" t="s">
        <v>138</v>
      </c>
      <c r="S48" s="89" t="s">
        <v>139</v>
      </c>
      <c r="T48" s="89" t="s">
        <v>24</v>
      </c>
      <c r="U48" s="89" t="s">
        <v>148</v>
      </c>
      <c r="V48" s="89" t="s">
        <v>143</v>
      </c>
      <c r="W48" s="89" t="s">
        <v>144</v>
      </c>
    </row>
    <row r="49">
      <c r="A49" s="18" t="s">
        <v>171</v>
      </c>
      <c r="B49" s="149">
        <f>($B$45*4)/$B$34</f>
        <v>3.636363636</v>
      </c>
      <c r="C49" s="152">
        <f t="shared" ref="C49:C52" si="6">L49+(M49*1.5)+N49</f>
        <v>18.66</v>
      </c>
      <c r="D49" s="153">
        <v>2.5</v>
      </c>
      <c r="E49" s="152">
        <f t="shared" ref="E49:E52" si="7">8.8882*10^-3</f>
        <v>0.0088882</v>
      </c>
      <c r="F49" s="152">
        <f t="shared" ref="F49:F52" si="8">0.1345*10^-3</f>
        <v>0.0001345</v>
      </c>
      <c r="G49" s="153">
        <v>1.0</v>
      </c>
      <c r="H49" s="149">
        <f t="shared" ref="H49:H52" si="9">2*B49*C49*(E49*G49+F49*SIN(ACOS(G49)))</f>
        <v>1.206209542</v>
      </c>
      <c r="I49" s="154">
        <f t="shared" ref="I49:I52" si="10">H49/220</f>
        <v>0.005482770645</v>
      </c>
      <c r="J49" s="154">
        <f>I49</f>
        <v>0.005482770645</v>
      </c>
      <c r="K49" s="25"/>
      <c r="L49" s="155">
        <f>1.86+3.1+(7-0.3)</f>
        <v>11.66</v>
      </c>
      <c r="M49" s="156">
        <v>1.0</v>
      </c>
      <c r="N49" s="155">
        <f>7-1.5</f>
        <v>5.5</v>
      </c>
      <c r="O49" s="25"/>
      <c r="P49" s="152" t="str">
        <f t="shared" ref="P49:R49" si="5">A49</f>
        <v>QDF1-TOM1</v>
      </c>
      <c r="Q49" s="149">
        <f t="shared" si="5"/>
        <v>3.636363636</v>
      </c>
      <c r="R49" s="149">
        <f t="shared" si="5"/>
        <v>18.66</v>
      </c>
      <c r="S49" s="153">
        <v>2.5</v>
      </c>
      <c r="T49" s="152">
        <f t="shared" ref="T49:T52" si="12">G49</f>
        <v>1</v>
      </c>
      <c r="U49" s="153">
        <v>16.8</v>
      </c>
      <c r="V49" s="157">
        <f t="shared" ref="V49:V52" si="13">(R49/1000)*Q49*U49*(100/220)/100</f>
        <v>0.005181619835</v>
      </c>
      <c r="W49" s="154">
        <f>V49</f>
        <v>0.005181619835</v>
      </c>
    </row>
    <row r="50">
      <c r="A50" s="18" t="s">
        <v>173</v>
      </c>
      <c r="B50" s="149">
        <f>($B$45*3)/$B$34</f>
        <v>2.727272727</v>
      </c>
      <c r="C50" s="159">
        <f t="shared" si="6"/>
        <v>19.42</v>
      </c>
      <c r="D50" s="153">
        <v>2.5</v>
      </c>
      <c r="E50" s="152">
        <f t="shared" si="7"/>
        <v>0.0088882</v>
      </c>
      <c r="F50" s="152">
        <f t="shared" si="8"/>
        <v>0.0001345</v>
      </c>
      <c r="G50" s="160">
        <v>1.0</v>
      </c>
      <c r="H50" s="161">
        <f t="shared" si="9"/>
        <v>0.9415027855</v>
      </c>
      <c r="I50" s="162">
        <f t="shared" si="10"/>
        <v>0.004279558116</v>
      </c>
      <c r="J50" s="162">
        <f t="shared" ref="J50:J52" si="14">J49+I50</f>
        <v>0.00976232876</v>
      </c>
      <c r="K50" s="25"/>
      <c r="L50" s="155">
        <f>3.22+6.5+(7-0.3)</f>
        <v>16.42</v>
      </c>
      <c r="M50" s="156">
        <v>2.0</v>
      </c>
      <c r="N50" s="155">
        <v>0.0</v>
      </c>
      <c r="O50" s="25"/>
      <c r="P50" s="159" t="str">
        <f t="shared" ref="P50:R50" si="11">A50</f>
        <v>QDF1-TOM2</v>
      </c>
      <c r="Q50" s="161">
        <f t="shared" si="11"/>
        <v>2.727272727</v>
      </c>
      <c r="R50" s="161">
        <f t="shared" si="11"/>
        <v>19.42</v>
      </c>
      <c r="S50" s="153">
        <v>2.5</v>
      </c>
      <c r="T50" s="159">
        <f t="shared" si="12"/>
        <v>1</v>
      </c>
      <c r="U50" s="153">
        <v>16.8</v>
      </c>
      <c r="V50" s="163">
        <f t="shared" si="13"/>
        <v>0.004044495868</v>
      </c>
      <c r="W50" s="162">
        <f t="shared" ref="W50:W52" si="16">W49+V50</f>
        <v>0.009226115702</v>
      </c>
    </row>
    <row r="51">
      <c r="A51" s="18" t="s">
        <v>175</v>
      </c>
      <c r="B51" s="149">
        <f>($B$45*2)/$B$34</f>
        <v>1.818181818</v>
      </c>
      <c r="C51" s="152">
        <f t="shared" si="6"/>
        <v>19.89</v>
      </c>
      <c r="D51" s="153">
        <v>2.5</v>
      </c>
      <c r="E51" s="152">
        <f t="shared" si="7"/>
        <v>0.0088882</v>
      </c>
      <c r="F51" s="152">
        <f t="shared" si="8"/>
        <v>0.0001345</v>
      </c>
      <c r="G51" s="160">
        <v>1.0</v>
      </c>
      <c r="H51" s="149">
        <f t="shared" si="9"/>
        <v>0.6428592655</v>
      </c>
      <c r="I51" s="154">
        <f t="shared" si="10"/>
        <v>0.00292208757</v>
      </c>
      <c r="J51" s="154">
        <f t="shared" si="14"/>
        <v>0.01268441633</v>
      </c>
      <c r="K51" s="25"/>
      <c r="L51" s="155">
        <f>7.09+3.1+(7-0.3)</f>
        <v>16.89</v>
      </c>
      <c r="M51" s="156">
        <v>2.0</v>
      </c>
      <c r="N51" s="155">
        <v>0.0</v>
      </c>
      <c r="O51" s="25"/>
      <c r="P51" s="152" t="str">
        <f t="shared" ref="P51:R51" si="15">A51</f>
        <v>QDF1-TOM3</v>
      </c>
      <c r="Q51" s="149">
        <f t="shared" si="15"/>
        <v>1.818181818</v>
      </c>
      <c r="R51" s="149">
        <f t="shared" si="15"/>
        <v>19.89</v>
      </c>
      <c r="S51" s="153">
        <v>2.5</v>
      </c>
      <c r="T51" s="152">
        <f t="shared" si="12"/>
        <v>1</v>
      </c>
      <c r="U51" s="153">
        <v>16.8</v>
      </c>
      <c r="V51" s="157">
        <f t="shared" si="13"/>
        <v>0.002761586777</v>
      </c>
      <c r="W51" s="154">
        <f t="shared" si="16"/>
        <v>0.01198770248</v>
      </c>
    </row>
    <row r="52">
      <c r="A52" s="18" t="s">
        <v>177</v>
      </c>
      <c r="B52" s="149">
        <f>($B$45*1)/$B$34</f>
        <v>0.9090909091</v>
      </c>
      <c r="C52" s="159">
        <f t="shared" si="6"/>
        <v>30.77</v>
      </c>
      <c r="D52" s="153">
        <v>2.5</v>
      </c>
      <c r="E52" s="152">
        <f t="shared" si="7"/>
        <v>0.0088882</v>
      </c>
      <c r="F52" s="152">
        <f t="shared" si="8"/>
        <v>0.0001345</v>
      </c>
      <c r="G52" s="160">
        <v>1.0</v>
      </c>
      <c r="H52" s="161">
        <f t="shared" si="9"/>
        <v>0.4972543891</v>
      </c>
      <c r="I52" s="162">
        <f t="shared" si="10"/>
        <v>0.002260247223</v>
      </c>
      <c r="J52" s="162">
        <f t="shared" si="14"/>
        <v>0.01494466355</v>
      </c>
      <c r="K52" s="25"/>
      <c r="L52" s="155">
        <f>14.57+6.5+(7-0.3)</f>
        <v>27.77</v>
      </c>
      <c r="M52" s="156">
        <v>2.0</v>
      </c>
      <c r="N52" s="155">
        <v>0.0</v>
      </c>
      <c r="O52" s="25"/>
      <c r="P52" s="159" t="str">
        <f t="shared" ref="P52:R52" si="17">A52</f>
        <v>QDF1-TOM4</v>
      </c>
      <c r="Q52" s="161">
        <f t="shared" si="17"/>
        <v>0.9090909091</v>
      </c>
      <c r="R52" s="161">
        <f t="shared" si="17"/>
        <v>30.77</v>
      </c>
      <c r="S52" s="153">
        <v>2.5</v>
      </c>
      <c r="T52" s="159">
        <f t="shared" si="12"/>
        <v>1</v>
      </c>
      <c r="U52" s="153">
        <v>16.8</v>
      </c>
      <c r="V52" s="163">
        <f t="shared" si="13"/>
        <v>0.002136099174</v>
      </c>
      <c r="W52" s="162">
        <f t="shared" si="16"/>
        <v>0.01412380165</v>
      </c>
    </row>
    <row r="53">
      <c r="A53" s="145" t="s">
        <v>178</v>
      </c>
      <c r="B53" s="89" t="s">
        <v>137</v>
      </c>
      <c r="C53" s="89" t="s">
        <v>138</v>
      </c>
      <c r="D53" s="89" t="s">
        <v>139</v>
      </c>
      <c r="E53" s="89" t="s">
        <v>140</v>
      </c>
      <c r="F53" s="89" t="s">
        <v>141</v>
      </c>
      <c r="G53" s="89" t="s">
        <v>24</v>
      </c>
      <c r="H53" s="89" t="s">
        <v>142</v>
      </c>
      <c r="I53" s="89" t="s">
        <v>143</v>
      </c>
      <c r="J53" s="89" t="s">
        <v>144</v>
      </c>
      <c r="K53" s="25"/>
      <c r="L53" s="147" t="s">
        <v>145</v>
      </c>
      <c r="M53" s="91" t="s">
        <v>146</v>
      </c>
      <c r="N53" s="91" t="s">
        <v>147</v>
      </c>
      <c r="O53" s="25"/>
      <c r="P53" s="145" t="s">
        <v>178</v>
      </c>
      <c r="Q53" s="89" t="s">
        <v>137</v>
      </c>
      <c r="R53" s="89" t="s">
        <v>138</v>
      </c>
      <c r="S53" s="89" t="s">
        <v>139</v>
      </c>
      <c r="T53" s="89" t="s">
        <v>24</v>
      </c>
      <c r="U53" s="89" t="s">
        <v>148</v>
      </c>
      <c r="V53" s="89" t="s">
        <v>143</v>
      </c>
      <c r="W53" s="89" t="s">
        <v>144</v>
      </c>
    </row>
    <row r="54">
      <c r="A54" s="18" t="s">
        <v>179</v>
      </c>
      <c r="B54" s="149">
        <f>($D$45*1)/$B$34</f>
        <v>4.545454545</v>
      </c>
      <c r="C54" s="159">
        <f>L54+(M54*1.5)+N54</f>
        <v>28.52</v>
      </c>
      <c r="D54" s="153">
        <v>2.5</v>
      </c>
      <c r="E54" s="152">
        <f>8.8882*10^-3</f>
        <v>0.0088882</v>
      </c>
      <c r="F54" s="152">
        <f>0.1345*10^-3</f>
        <v>0.0001345</v>
      </c>
      <c r="G54" s="63">
        <v>1.0</v>
      </c>
      <c r="H54" s="161">
        <f>2*B54*C54*(E54*G54+F54*SIN(ACOS(G54)))</f>
        <v>2.304467855</v>
      </c>
      <c r="I54" s="162">
        <f>H54/220</f>
        <v>0.01047485388</v>
      </c>
      <c r="J54" s="154">
        <f>I54</f>
        <v>0.01047485388</v>
      </c>
      <c r="L54" s="167">
        <f>3.22+6.5+0.6+(7-0.3)</f>
        <v>17.02</v>
      </c>
      <c r="M54" s="63">
        <v>4.0</v>
      </c>
      <c r="N54" s="155">
        <f>7-1.5</f>
        <v>5.5</v>
      </c>
      <c r="P54" s="169" t="str">
        <f t="shared" ref="P54:S54" si="18">A54</f>
        <v>QDF1-TUE</v>
      </c>
      <c r="Q54" s="170">
        <f t="shared" si="18"/>
        <v>4.545454545</v>
      </c>
      <c r="R54" s="171">
        <f t="shared" si="18"/>
        <v>28.52</v>
      </c>
      <c r="S54" s="171">
        <f t="shared" si="18"/>
        <v>2.5</v>
      </c>
      <c r="T54" s="172">
        <v>1.0</v>
      </c>
      <c r="U54" s="153">
        <v>16.8</v>
      </c>
      <c r="V54" s="163">
        <f>(R54/1000)*Q54*U54*(100/220)/100</f>
        <v>0.009899504132</v>
      </c>
      <c r="W54" s="154">
        <f>V54</f>
        <v>0.009899504132</v>
      </c>
    </row>
    <row r="55">
      <c r="U55" s="25"/>
      <c r="V55" s="25"/>
      <c r="W55" s="25"/>
    </row>
    <row r="56">
      <c r="A56" s="63" t="s">
        <v>183</v>
      </c>
      <c r="L56" s="173" t="s">
        <v>184</v>
      </c>
      <c r="U56" s="25"/>
      <c r="V56" s="25"/>
      <c r="W56" s="25"/>
    </row>
    <row r="57">
      <c r="U57" s="25"/>
      <c r="V57" s="25"/>
      <c r="W57" s="25"/>
    </row>
    <row r="58">
      <c r="U58" s="25"/>
      <c r="V58" s="25"/>
      <c r="W58" s="25"/>
    </row>
    <row r="59">
      <c r="U59" s="25"/>
      <c r="V59" s="25"/>
      <c r="W59" s="25"/>
    </row>
    <row r="60">
      <c r="U60" s="25"/>
      <c r="V60" s="25"/>
      <c r="W60" s="25"/>
    </row>
    <row r="61">
      <c r="A61" s="25" t="s">
        <v>185</v>
      </c>
      <c r="J61" s="174"/>
      <c r="K61" s="174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 t="s">
        <v>186</v>
      </c>
      <c r="S62" s="25"/>
      <c r="T62" s="25"/>
      <c r="U62" s="25"/>
      <c r="V62" s="25"/>
      <c r="W62" s="25"/>
    </row>
    <row r="63">
      <c r="A63" s="25" t="s">
        <v>187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>
      <c r="A64" s="25" t="s">
        <v>188</v>
      </c>
      <c r="J64" s="25"/>
      <c r="U64" s="25"/>
      <c r="V64" s="25"/>
      <c r="W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U65" s="25"/>
      <c r="V65" s="25"/>
      <c r="W65" s="25"/>
    </row>
    <row r="66">
      <c r="A66" s="25" t="s">
        <v>189</v>
      </c>
      <c r="I66" s="25"/>
      <c r="J66" s="25"/>
      <c r="U66" s="25"/>
      <c r="V66" s="25"/>
      <c r="W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U67" s="25"/>
      <c r="V67" s="25"/>
      <c r="W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U68" s="25"/>
      <c r="V68" s="25"/>
      <c r="W68" s="25"/>
    </row>
    <row r="69">
      <c r="A69" s="31" t="s">
        <v>66</v>
      </c>
      <c r="B69" s="25"/>
      <c r="C69" s="25"/>
      <c r="D69" s="25"/>
      <c r="E69" s="25"/>
      <c r="F69" s="25"/>
      <c r="G69" s="25"/>
      <c r="H69" s="25"/>
      <c r="I69" s="25"/>
      <c r="J69" s="25"/>
      <c r="U69" s="25"/>
      <c r="V69" s="25"/>
      <c r="W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U70" s="25"/>
      <c r="V70" s="25"/>
      <c r="W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U71" s="25"/>
      <c r="V71" s="25"/>
      <c r="W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U72" s="25"/>
      <c r="V72" s="25"/>
      <c r="W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U73" s="25"/>
      <c r="V73" s="25"/>
      <c r="W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>
      <c r="A77" s="25"/>
      <c r="B77" s="25"/>
      <c r="C77" s="25"/>
      <c r="D77" s="25"/>
      <c r="E77" s="25"/>
      <c r="T77" s="25"/>
      <c r="U77" s="25"/>
      <c r="V77" s="25"/>
      <c r="W77" s="25"/>
    </row>
    <row r="78">
      <c r="A78" s="25"/>
      <c r="B78" s="25"/>
      <c r="C78" s="25"/>
      <c r="D78" s="25"/>
      <c r="E78" s="25"/>
      <c r="T78" s="25"/>
      <c r="U78" s="25"/>
      <c r="V78" s="25"/>
      <c r="W78" s="25"/>
    </row>
    <row r="79">
      <c r="A79" s="25"/>
      <c r="B79" s="25"/>
      <c r="C79" s="25"/>
      <c r="D79" s="25"/>
      <c r="E79" s="25"/>
      <c r="T79" s="25"/>
      <c r="U79" s="25"/>
      <c r="V79" s="25"/>
      <c r="W79" s="25"/>
    </row>
    <row r="80">
      <c r="A80" s="25"/>
      <c r="B80" s="25"/>
      <c r="C80" s="25"/>
      <c r="D80" s="25"/>
      <c r="E80" s="25"/>
      <c r="T80" s="25"/>
      <c r="U80" s="25"/>
      <c r="V80" s="25"/>
      <c r="W80" s="25"/>
    </row>
    <row r="81">
      <c r="A81" s="25"/>
      <c r="B81" s="25"/>
      <c r="C81" s="25"/>
      <c r="D81" s="25"/>
      <c r="E81" s="25"/>
      <c r="T81" s="25"/>
      <c r="U81" s="25"/>
      <c r="V81" s="25"/>
      <c r="W81" s="25"/>
    </row>
    <row r="82">
      <c r="A82" s="25"/>
      <c r="B82" s="25"/>
      <c r="C82" s="25"/>
      <c r="D82" s="25"/>
      <c r="E82" s="25"/>
      <c r="T82" s="25"/>
      <c r="U82" s="25"/>
      <c r="V82" s="25"/>
      <c r="W82" s="25"/>
    </row>
    <row r="83">
      <c r="A83" s="25"/>
      <c r="B83" s="25"/>
      <c r="C83" s="25"/>
      <c r="D83" s="25"/>
      <c r="E83" s="25"/>
      <c r="T83" s="25"/>
      <c r="U83" s="25"/>
      <c r="V83" s="25"/>
      <c r="W83" s="25"/>
    </row>
    <row r="84">
      <c r="A84" s="25"/>
      <c r="B84" s="25"/>
      <c r="C84" s="25"/>
      <c r="D84" s="25"/>
      <c r="E84" s="25"/>
      <c r="T84" s="25"/>
      <c r="U84" s="25"/>
      <c r="V84" s="25"/>
      <c r="W84" s="25"/>
    </row>
    <row r="85">
      <c r="A85" s="25"/>
      <c r="B85" s="25"/>
      <c r="C85" s="25"/>
      <c r="D85" s="25"/>
      <c r="E85" s="25"/>
      <c r="T85" s="25"/>
      <c r="U85" s="25"/>
      <c r="V85" s="25"/>
      <c r="W85" s="25"/>
    </row>
    <row r="86">
      <c r="A86" s="25"/>
      <c r="B86" s="25"/>
      <c r="C86" s="25"/>
      <c r="D86" s="25"/>
      <c r="E86" s="25"/>
      <c r="T86" s="25"/>
      <c r="U86" s="25"/>
      <c r="V86" s="25"/>
      <c r="W86" s="25"/>
    </row>
    <row r="87">
      <c r="A87" s="25" t="s">
        <v>195</v>
      </c>
      <c r="B87" s="25"/>
      <c r="C87" s="25"/>
      <c r="D87" s="25"/>
      <c r="E87" s="25"/>
      <c r="Q87" s="25"/>
      <c r="R87" s="25"/>
      <c r="S87" s="25"/>
      <c r="T87" s="25"/>
      <c r="U87" s="25"/>
      <c r="V87" s="25"/>
      <c r="W87" s="25"/>
    </row>
    <row r="88">
      <c r="A88" s="25"/>
      <c r="B88" s="25"/>
      <c r="C88" s="25"/>
      <c r="D88" s="25"/>
      <c r="E88" s="25"/>
      <c r="Q88" s="25"/>
      <c r="R88" s="25"/>
      <c r="S88" s="25"/>
      <c r="T88" s="25"/>
      <c r="U88" s="25"/>
      <c r="V88" s="25"/>
      <c r="W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>
      <c r="A107" s="41" t="s">
        <v>213</v>
      </c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>
      <c r="A110" s="41" t="s">
        <v>215</v>
      </c>
      <c r="H110" s="25"/>
      <c r="I110" s="25"/>
      <c r="J110" s="25"/>
      <c r="K110" s="25"/>
      <c r="L110" s="25"/>
      <c r="M110" s="25"/>
      <c r="N110" s="41" t="s">
        <v>215</v>
      </c>
      <c r="U110" s="25"/>
      <c r="V110" s="25"/>
      <c r="W110" s="25"/>
    </row>
    <row r="111">
      <c r="H111" s="25"/>
      <c r="I111" s="25"/>
      <c r="J111" s="25"/>
      <c r="K111" s="25"/>
      <c r="L111" s="25"/>
      <c r="M111" s="25"/>
      <c r="U111" s="25"/>
      <c r="V111" s="25"/>
      <c r="W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</row>
    <row r="136">
      <c r="A136" s="125"/>
      <c r="B136" s="127"/>
      <c r="C136" s="125"/>
      <c r="D136" s="125"/>
      <c r="E136" s="125"/>
      <c r="F136" s="125"/>
      <c r="G136" s="127"/>
      <c r="H136" s="129"/>
      <c r="I136" s="129"/>
      <c r="J136" s="25"/>
      <c r="K136" s="95"/>
      <c r="L136" s="25"/>
      <c r="M136" s="25"/>
      <c r="N136" s="25"/>
      <c r="O136" s="25"/>
      <c r="P136" s="43"/>
      <c r="Q136" s="44"/>
      <c r="R136" s="44"/>
      <c r="S136" s="43"/>
      <c r="T136" s="122"/>
      <c r="U136" s="123"/>
      <c r="V136" s="25"/>
      <c r="W136" s="25"/>
    </row>
    <row r="137">
      <c r="A137" s="132" t="s">
        <v>164</v>
      </c>
      <c r="B137" s="134">
        <f>QDF!J6</f>
        <v>200</v>
      </c>
      <c r="C137" s="132" t="s">
        <v>165</v>
      </c>
      <c r="D137" s="125">
        <f>QDF!J7</f>
        <v>1000</v>
      </c>
      <c r="E137" s="125"/>
      <c r="F137" s="125"/>
      <c r="G137" s="127"/>
      <c r="H137" s="129"/>
      <c r="I137" s="129"/>
      <c r="J137" s="25"/>
      <c r="K137" s="9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</row>
    <row r="138">
      <c r="A138" s="138" t="s">
        <v>166</v>
      </c>
      <c r="B138" s="86">
        <f>QDF!I6</f>
        <v>2</v>
      </c>
      <c r="C138" s="138" t="s">
        <v>166</v>
      </c>
      <c r="D138" s="139">
        <f>QDF!I7</f>
        <v>1</v>
      </c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141" t="s">
        <v>135</v>
      </c>
      <c r="Q138" s="114"/>
      <c r="R138" s="114"/>
      <c r="S138" s="114"/>
      <c r="T138" s="114"/>
      <c r="U138" s="114"/>
      <c r="V138" s="114"/>
      <c r="W138" s="142"/>
    </row>
    <row r="139">
      <c r="A139" s="216" t="s">
        <v>230</v>
      </c>
      <c r="B139" s="5"/>
      <c r="C139" s="5"/>
      <c r="D139" s="5"/>
      <c r="E139" s="5"/>
      <c r="F139" s="5"/>
      <c r="G139" s="5"/>
      <c r="H139" s="5"/>
      <c r="I139" s="5"/>
      <c r="J139" s="6"/>
      <c r="K139" s="25"/>
      <c r="L139" s="25"/>
      <c r="M139" s="25"/>
      <c r="N139" s="25"/>
      <c r="O139" s="25"/>
      <c r="P139" s="216" t="s">
        <v>230</v>
      </c>
      <c r="Q139" s="5"/>
      <c r="R139" s="5"/>
      <c r="S139" s="5"/>
      <c r="T139" s="5"/>
      <c r="U139" s="5"/>
      <c r="V139" s="5"/>
      <c r="W139" s="6"/>
    </row>
    <row r="140">
      <c r="A140" s="145" t="s">
        <v>231</v>
      </c>
      <c r="B140" s="89" t="s">
        <v>137</v>
      </c>
      <c r="C140" s="89" t="s">
        <v>138</v>
      </c>
      <c r="D140" s="89" t="s">
        <v>139</v>
      </c>
      <c r="E140" s="89" t="s">
        <v>140</v>
      </c>
      <c r="F140" s="89" t="s">
        <v>141</v>
      </c>
      <c r="G140" s="89" t="s">
        <v>24</v>
      </c>
      <c r="H140" s="89" t="s">
        <v>142</v>
      </c>
      <c r="I140" s="89" t="s">
        <v>143</v>
      </c>
      <c r="J140" s="89" t="s">
        <v>144</v>
      </c>
      <c r="K140" s="25"/>
      <c r="L140" s="147" t="s">
        <v>145</v>
      </c>
      <c r="M140" s="91" t="s">
        <v>146</v>
      </c>
      <c r="N140" s="91" t="s">
        <v>147</v>
      </c>
      <c r="O140" s="25"/>
      <c r="P140" s="145" t="s">
        <v>231</v>
      </c>
      <c r="Q140" s="89" t="s">
        <v>137</v>
      </c>
      <c r="R140" s="89" t="s">
        <v>138</v>
      </c>
      <c r="S140" s="89" t="s">
        <v>139</v>
      </c>
      <c r="T140" s="89" t="s">
        <v>24</v>
      </c>
      <c r="U140" s="89" t="s">
        <v>148</v>
      </c>
      <c r="V140" s="89" t="s">
        <v>143</v>
      </c>
      <c r="W140" s="89" t="s">
        <v>144</v>
      </c>
    </row>
    <row r="141">
      <c r="A141" s="18" t="s">
        <v>232</v>
      </c>
      <c r="B141" s="149">
        <f>($B$137*2)/$B$34</f>
        <v>1.818181818</v>
      </c>
      <c r="C141" s="152">
        <f t="shared" ref="C141:C142" si="20">L141+(M141*1.5)+N141</f>
        <v>19.12</v>
      </c>
      <c r="D141" s="153">
        <v>2.5</v>
      </c>
      <c r="E141" s="152">
        <f t="shared" ref="E141:E142" si="21">8.8882*10^-3</f>
        <v>0.0088882</v>
      </c>
      <c r="F141" s="152">
        <f t="shared" ref="F141:F142" si="22">0.1345*10^-3</f>
        <v>0.0001345</v>
      </c>
      <c r="G141" s="153">
        <v>1.0</v>
      </c>
      <c r="H141" s="149">
        <f t="shared" ref="H141:H142" si="23">2*B141*C141*(E141*G141+F141*SIN(ACOS(G141)))</f>
        <v>0.6179723055</v>
      </c>
      <c r="I141" s="154">
        <f t="shared" ref="I141:I142" si="24">H141/220</f>
        <v>0.002808965025</v>
      </c>
      <c r="J141" s="154">
        <f>I141</f>
        <v>0.002808965025</v>
      </c>
      <c r="K141" s="25"/>
      <c r="L141" s="155">
        <f>2.33+3.09+(7-0.3)</f>
        <v>12.12</v>
      </c>
      <c r="M141" s="156">
        <v>1.0</v>
      </c>
      <c r="N141" s="155">
        <f>7-1.5</f>
        <v>5.5</v>
      </c>
      <c r="O141" s="25"/>
      <c r="P141" s="152" t="str">
        <f t="shared" ref="P141:R141" si="19">A141</f>
        <v>QDF2-TOM1</v>
      </c>
      <c r="Q141" s="149">
        <f t="shared" si="19"/>
        <v>1.818181818</v>
      </c>
      <c r="R141" s="149">
        <f t="shared" si="19"/>
        <v>19.12</v>
      </c>
      <c r="S141" s="153">
        <v>2.5</v>
      </c>
      <c r="T141" s="152">
        <f t="shared" ref="T141:T142" si="26">G141</f>
        <v>1</v>
      </c>
      <c r="U141" s="153">
        <v>16.8</v>
      </c>
      <c r="V141" s="157">
        <f t="shared" ref="V141:V142" si="27">(R141/1000)*Q141*U141*(100/220)/100</f>
        <v>0.002654677686</v>
      </c>
      <c r="W141" s="154">
        <f>V141</f>
        <v>0.002654677686</v>
      </c>
    </row>
    <row r="142">
      <c r="A142" s="18" t="s">
        <v>234</v>
      </c>
      <c r="B142" s="149">
        <f>($B$137*1)/$B$34</f>
        <v>0.9090909091</v>
      </c>
      <c r="C142" s="159">
        <f t="shared" si="20"/>
        <v>19.67</v>
      </c>
      <c r="D142" s="153">
        <v>2.5</v>
      </c>
      <c r="E142" s="152">
        <f t="shared" si="21"/>
        <v>0.0088882</v>
      </c>
      <c r="F142" s="152">
        <f t="shared" si="22"/>
        <v>0.0001345</v>
      </c>
      <c r="G142" s="160">
        <v>1.0</v>
      </c>
      <c r="H142" s="161">
        <f t="shared" si="23"/>
        <v>0.3178743527</v>
      </c>
      <c r="I142" s="162">
        <f t="shared" si="24"/>
        <v>0.001444883421</v>
      </c>
      <c r="J142" s="162">
        <f>J141+I142</f>
        <v>0.004253848446</v>
      </c>
      <c r="K142" s="25"/>
      <c r="L142" s="155">
        <f>8.65+1.32+(7-0.3)</f>
        <v>16.67</v>
      </c>
      <c r="M142" s="156">
        <v>2.0</v>
      </c>
      <c r="N142" s="155">
        <v>0.0</v>
      </c>
      <c r="O142" s="25"/>
      <c r="P142" s="159" t="str">
        <f t="shared" ref="P142:R142" si="25">A142</f>
        <v>QDF2-TOM2</v>
      </c>
      <c r="Q142" s="161">
        <f t="shared" si="25"/>
        <v>0.9090909091</v>
      </c>
      <c r="R142" s="161">
        <f t="shared" si="25"/>
        <v>19.67</v>
      </c>
      <c r="S142" s="153">
        <v>2.5</v>
      </c>
      <c r="T142" s="159">
        <f t="shared" si="26"/>
        <v>1</v>
      </c>
      <c r="U142" s="153">
        <v>16.8</v>
      </c>
      <c r="V142" s="163">
        <f t="shared" si="27"/>
        <v>0.001365520661</v>
      </c>
      <c r="W142" s="162">
        <f>W141+V142</f>
        <v>0.004020198347</v>
      </c>
    </row>
    <row r="143">
      <c r="A143" s="18"/>
      <c r="B143" s="149"/>
      <c r="C143" s="152"/>
      <c r="D143" s="153"/>
      <c r="E143" s="152"/>
      <c r="F143" s="152"/>
      <c r="G143" s="160"/>
      <c r="H143" s="149"/>
      <c r="I143" s="154"/>
      <c r="J143" s="154"/>
      <c r="K143" s="25"/>
      <c r="L143" s="155"/>
      <c r="M143" s="156"/>
      <c r="N143" s="155"/>
      <c r="O143" s="25"/>
      <c r="P143" s="152" t="str">
        <f t="shared" ref="P143:R143" si="28">A143</f>
        <v/>
      </c>
      <c r="Q143" s="149" t="str">
        <f t="shared" si="28"/>
        <v/>
      </c>
      <c r="R143" s="149" t="str">
        <f t="shared" si="28"/>
        <v/>
      </c>
      <c r="S143" s="153"/>
      <c r="T143" s="152"/>
      <c r="U143" s="153"/>
      <c r="V143" s="157"/>
      <c r="W143" s="154"/>
    </row>
    <row r="144">
      <c r="A144" s="18"/>
      <c r="B144" s="149"/>
      <c r="C144" s="159"/>
      <c r="D144" s="153"/>
      <c r="E144" s="152"/>
      <c r="F144" s="152"/>
      <c r="G144" s="160"/>
      <c r="H144" s="161"/>
      <c r="I144" s="162"/>
      <c r="J144" s="162"/>
      <c r="K144" s="25"/>
      <c r="L144" s="155"/>
      <c r="M144" s="156"/>
      <c r="N144" s="155"/>
      <c r="O144" s="25"/>
      <c r="P144" s="159" t="str">
        <f t="shared" ref="P144:R144" si="29">A144</f>
        <v/>
      </c>
      <c r="Q144" s="161" t="str">
        <f t="shared" si="29"/>
        <v/>
      </c>
      <c r="R144" s="161" t="str">
        <f t="shared" si="29"/>
        <v/>
      </c>
      <c r="S144" s="153"/>
      <c r="T144" s="159"/>
      <c r="U144" s="153"/>
      <c r="V144" s="163"/>
      <c r="W144" s="162"/>
    </row>
    <row r="145">
      <c r="A145" s="145" t="s">
        <v>236</v>
      </c>
      <c r="B145" s="89" t="s">
        <v>137</v>
      </c>
      <c r="C145" s="89" t="s">
        <v>138</v>
      </c>
      <c r="D145" s="89" t="s">
        <v>139</v>
      </c>
      <c r="E145" s="89" t="s">
        <v>140</v>
      </c>
      <c r="F145" s="89" t="s">
        <v>141</v>
      </c>
      <c r="G145" s="89" t="s">
        <v>24</v>
      </c>
      <c r="H145" s="89" t="s">
        <v>142</v>
      </c>
      <c r="I145" s="89" t="s">
        <v>143</v>
      </c>
      <c r="J145" s="89" t="s">
        <v>144</v>
      </c>
      <c r="K145" s="25"/>
      <c r="L145" s="147" t="s">
        <v>145</v>
      </c>
      <c r="M145" s="91" t="s">
        <v>146</v>
      </c>
      <c r="N145" s="91" t="s">
        <v>147</v>
      </c>
      <c r="O145" s="25"/>
      <c r="P145" s="145" t="s">
        <v>236</v>
      </c>
      <c r="Q145" s="89" t="s">
        <v>137</v>
      </c>
      <c r="R145" s="89" t="s">
        <v>138</v>
      </c>
      <c r="S145" s="89" t="s">
        <v>139</v>
      </c>
      <c r="T145" s="89" t="s">
        <v>24</v>
      </c>
      <c r="U145" s="89" t="s">
        <v>148</v>
      </c>
      <c r="V145" s="89" t="s">
        <v>143</v>
      </c>
      <c r="W145" s="89" t="s">
        <v>144</v>
      </c>
    </row>
    <row r="146">
      <c r="A146" s="18" t="s">
        <v>237</v>
      </c>
      <c r="B146" s="149">
        <f>($D$137*1)/$B$34</f>
        <v>4.545454545</v>
      </c>
      <c r="C146" s="159">
        <f>L146+(M146*1.5)+N146</f>
        <v>28.77</v>
      </c>
      <c r="D146" s="153">
        <v>2.5</v>
      </c>
      <c r="E146" s="152">
        <f>8.8882*10^-3</f>
        <v>0.0088882</v>
      </c>
      <c r="F146" s="152">
        <f>0.1345*10^-3</f>
        <v>0.0001345</v>
      </c>
      <c r="G146" s="63">
        <v>1.0</v>
      </c>
      <c r="H146" s="161">
        <f>2*B146*C146*(E146*G146+F146*SIN(ACOS(G146)))</f>
        <v>2.324668309</v>
      </c>
      <c r="I146" s="162">
        <f>H146/220</f>
        <v>0.01056667413</v>
      </c>
      <c r="J146" s="154">
        <f>I146</f>
        <v>0.01056667413</v>
      </c>
      <c r="L146" s="167">
        <f>8.65+1.32+0.6+(7-0.3)</f>
        <v>17.27</v>
      </c>
      <c r="M146" s="63">
        <v>4.0</v>
      </c>
      <c r="N146" s="155">
        <f>7-1.5</f>
        <v>5.5</v>
      </c>
      <c r="P146" s="222" t="str">
        <f t="shared" ref="P146:S146" si="30">A146</f>
        <v>QDF2-TUE</v>
      </c>
      <c r="Q146" s="223">
        <f t="shared" si="30"/>
        <v>4.545454545</v>
      </c>
      <c r="R146" s="224">
        <f t="shared" si="30"/>
        <v>28.77</v>
      </c>
      <c r="S146" s="224">
        <f t="shared" si="30"/>
        <v>2.5</v>
      </c>
      <c r="T146" s="225">
        <v>1.0</v>
      </c>
      <c r="U146" s="153">
        <v>16.8</v>
      </c>
      <c r="V146" s="163">
        <f>(R146/1000)*Q146*U146*(100/220)/100</f>
        <v>0.009986280992</v>
      </c>
      <c r="W146" s="154">
        <f>V146</f>
        <v>0.009986280992</v>
      </c>
    </row>
    <row r="147">
      <c r="U147" s="25"/>
      <c r="V147" s="25"/>
      <c r="W147" s="25"/>
    </row>
    <row r="148">
      <c r="L148" s="173" t="s">
        <v>240</v>
      </c>
      <c r="U148" s="25"/>
      <c r="V148" s="25"/>
      <c r="W148" s="25"/>
    </row>
    <row r="149">
      <c r="U149" s="25"/>
      <c r="V149" s="25"/>
      <c r="W149" s="25"/>
    </row>
    <row r="150">
      <c r="U150" s="25"/>
      <c r="V150" s="25"/>
      <c r="W150" s="25"/>
    </row>
    <row r="151">
      <c r="U151" s="25"/>
      <c r="V151" s="25"/>
      <c r="W151" s="25"/>
    </row>
    <row r="152">
      <c r="U152" s="25"/>
      <c r="V152" s="25"/>
      <c r="W152" s="25"/>
    </row>
    <row r="153">
      <c r="A153" s="25" t="s">
        <v>185</v>
      </c>
      <c r="J153" s="174"/>
      <c r="K153" s="174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 t="s">
        <v>186</v>
      </c>
      <c r="S154" s="25"/>
      <c r="T154" s="25"/>
      <c r="U154" s="25"/>
      <c r="V154" s="25"/>
      <c r="W154" s="25"/>
    </row>
    <row r="155">
      <c r="A155" s="25" t="s">
        <v>187</v>
      </c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</row>
    <row r="156">
      <c r="A156" s="25" t="s">
        <v>188</v>
      </c>
      <c r="J156" s="25"/>
      <c r="U156" s="25"/>
      <c r="V156" s="25"/>
      <c r="W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U157" s="25"/>
      <c r="V157" s="25"/>
      <c r="W157" s="25"/>
    </row>
    <row r="158">
      <c r="A158" s="25" t="s">
        <v>189</v>
      </c>
      <c r="I158" s="25"/>
      <c r="J158" s="25"/>
      <c r="U158" s="25"/>
      <c r="V158" s="25"/>
      <c r="W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U159" s="25"/>
      <c r="V159" s="25"/>
      <c r="W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U160" s="25"/>
      <c r="V160" s="25"/>
      <c r="W160" s="25"/>
    </row>
    <row r="161">
      <c r="A161" s="31"/>
      <c r="B161" s="25"/>
      <c r="C161" s="25"/>
      <c r="D161" s="25"/>
      <c r="E161" s="25"/>
      <c r="F161" s="25"/>
      <c r="G161" s="25"/>
      <c r="H161" s="25"/>
      <c r="I161" s="25"/>
      <c r="J161" s="25"/>
      <c r="U161" s="25"/>
      <c r="V161" s="25"/>
      <c r="W161" s="25"/>
    </row>
    <row r="162">
      <c r="A162" s="25"/>
      <c r="B162" s="31"/>
      <c r="C162" s="25"/>
      <c r="D162" s="25"/>
      <c r="E162" s="25"/>
      <c r="F162" s="25"/>
      <c r="G162" s="25"/>
      <c r="H162" s="25"/>
      <c r="I162" s="25"/>
      <c r="J162" s="25"/>
      <c r="U162" s="25"/>
      <c r="V162" s="25"/>
      <c r="W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U163" s="25"/>
      <c r="V163" s="25"/>
      <c r="W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U164" s="25"/>
      <c r="V164" s="25"/>
      <c r="W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U165" s="25"/>
      <c r="V165" s="25"/>
      <c r="W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</row>
    <row r="167">
      <c r="A167" s="31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</row>
    <row r="169">
      <c r="A169" s="25"/>
      <c r="B169" s="25"/>
      <c r="C169" s="25"/>
      <c r="D169" s="25"/>
      <c r="E169" s="25"/>
      <c r="T169" s="25"/>
      <c r="U169" s="25"/>
      <c r="V169" s="25"/>
      <c r="W169" s="25"/>
    </row>
    <row r="170">
      <c r="A170" s="25"/>
      <c r="B170" s="25"/>
      <c r="C170" s="25"/>
      <c r="D170" s="25"/>
      <c r="E170" s="25"/>
      <c r="T170" s="25"/>
      <c r="U170" s="25"/>
      <c r="V170" s="25"/>
      <c r="W170" s="25"/>
    </row>
    <row r="171">
      <c r="A171" s="25"/>
      <c r="B171" s="25"/>
      <c r="C171" s="25"/>
      <c r="D171" s="25"/>
      <c r="E171" s="25"/>
      <c r="T171" s="25"/>
      <c r="U171" s="25"/>
      <c r="V171" s="25"/>
      <c r="W171" s="25"/>
    </row>
    <row r="172">
      <c r="A172" s="25"/>
      <c r="B172" s="25"/>
      <c r="C172" s="25"/>
      <c r="D172" s="25"/>
      <c r="E172" s="25"/>
      <c r="T172" s="25"/>
      <c r="U172" s="25"/>
      <c r="V172" s="25"/>
      <c r="W172" s="25"/>
    </row>
    <row r="173">
      <c r="A173" s="25"/>
      <c r="B173" s="25"/>
      <c r="C173" s="25"/>
      <c r="D173" s="25"/>
      <c r="E173" s="25"/>
      <c r="T173" s="25"/>
      <c r="U173" s="25"/>
      <c r="V173" s="25"/>
      <c r="W173" s="25"/>
    </row>
    <row r="174">
      <c r="A174" s="25"/>
      <c r="B174" s="25"/>
      <c r="C174" s="25"/>
      <c r="D174" s="25"/>
      <c r="E174" s="25"/>
      <c r="T174" s="25"/>
      <c r="U174" s="25"/>
      <c r="V174" s="25"/>
      <c r="W174" s="25"/>
    </row>
    <row r="175">
      <c r="A175" s="25"/>
      <c r="B175" s="25"/>
      <c r="C175" s="25"/>
      <c r="D175" s="25"/>
      <c r="E175" s="25"/>
      <c r="T175" s="25"/>
      <c r="U175" s="25"/>
      <c r="V175" s="25"/>
      <c r="W175" s="25"/>
    </row>
    <row r="176">
      <c r="A176" s="25"/>
      <c r="B176" s="25"/>
      <c r="C176" s="25"/>
      <c r="D176" s="25"/>
      <c r="E176" s="25"/>
      <c r="T176" s="25"/>
      <c r="U176" s="25"/>
      <c r="V176" s="25"/>
      <c r="W176" s="25"/>
    </row>
    <row r="177">
      <c r="A177" s="25"/>
      <c r="B177" s="25"/>
      <c r="C177" s="25"/>
      <c r="D177" s="25"/>
      <c r="E177" s="25"/>
      <c r="T177" s="25"/>
      <c r="U177" s="25"/>
      <c r="V177" s="25"/>
      <c r="W177" s="25"/>
    </row>
    <row r="178">
      <c r="A178" s="25"/>
      <c r="B178" s="25"/>
      <c r="C178" s="25"/>
      <c r="D178" s="25"/>
      <c r="E178" s="25"/>
      <c r="T178" s="25"/>
      <c r="U178" s="25"/>
      <c r="V178" s="25"/>
      <c r="W178" s="25"/>
    </row>
    <row r="179">
      <c r="A179" s="25" t="s">
        <v>195</v>
      </c>
      <c r="B179" s="25"/>
      <c r="C179" s="25"/>
      <c r="D179" s="25"/>
      <c r="E179" s="25"/>
      <c r="Q179" s="25"/>
      <c r="R179" s="25"/>
      <c r="S179" s="25"/>
      <c r="T179" s="25"/>
      <c r="U179" s="25"/>
      <c r="V179" s="25"/>
      <c r="W179" s="25"/>
    </row>
    <row r="180">
      <c r="A180" s="25"/>
      <c r="B180" s="25"/>
      <c r="C180" s="25"/>
      <c r="D180" s="25"/>
      <c r="E180" s="25"/>
      <c r="Q180" s="25"/>
      <c r="R180" s="25"/>
      <c r="S180" s="25"/>
      <c r="T180" s="25"/>
      <c r="U180" s="25"/>
      <c r="V180" s="25"/>
      <c r="W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</row>
    <row r="199">
      <c r="A199" s="41" t="s">
        <v>213</v>
      </c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</row>
    <row r="200"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</row>
    <row r="202">
      <c r="A202" s="41" t="s">
        <v>215</v>
      </c>
      <c r="H202" s="25"/>
      <c r="I202" s="25"/>
      <c r="J202" s="25"/>
      <c r="K202" s="25"/>
      <c r="L202" s="25"/>
      <c r="M202" s="25"/>
      <c r="N202" s="41" t="s">
        <v>215</v>
      </c>
      <c r="U202" s="25"/>
      <c r="V202" s="25"/>
      <c r="W202" s="25"/>
    </row>
    <row r="203">
      <c r="H203" s="25"/>
      <c r="I203" s="25"/>
      <c r="J203" s="25"/>
      <c r="K203" s="25"/>
      <c r="L203" s="25"/>
      <c r="M203" s="25"/>
      <c r="U203" s="25"/>
      <c r="V203" s="25"/>
      <c r="W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</row>
    <row r="226">
      <c r="A226" s="132" t="s">
        <v>164</v>
      </c>
      <c r="B226" s="134">
        <f>QDF!J8</f>
        <v>200</v>
      </c>
      <c r="C226" s="132" t="s">
        <v>165</v>
      </c>
      <c r="D226" s="125">
        <f>QDF!J9</f>
        <v>1000</v>
      </c>
      <c r="E226" s="125"/>
      <c r="F226" s="125"/>
      <c r="G226" s="127"/>
      <c r="H226" s="129"/>
      <c r="I226" s="129"/>
      <c r="J226" s="25"/>
      <c r="K226" s="9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</row>
    <row r="227">
      <c r="A227" s="138" t="s">
        <v>166</v>
      </c>
      <c r="B227" s="86">
        <f>QDF!I8</f>
        <v>4</v>
      </c>
      <c r="C227" s="138" t="s">
        <v>166</v>
      </c>
      <c r="D227" s="31">
        <f>QDF!I9</f>
        <v>1</v>
      </c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141" t="s">
        <v>135</v>
      </c>
      <c r="Q227" s="114"/>
      <c r="R227" s="114"/>
      <c r="S227" s="114"/>
      <c r="T227" s="114"/>
      <c r="U227" s="114"/>
      <c r="V227" s="114"/>
      <c r="W227" s="142"/>
    </row>
    <row r="228">
      <c r="A228" s="216" t="s">
        <v>241</v>
      </c>
      <c r="B228" s="5"/>
      <c r="C228" s="5"/>
      <c r="D228" s="5"/>
      <c r="E228" s="5"/>
      <c r="F228" s="5"/>
      <c r="G228" s="5"/>
      <c r="H228" s="5"/>
      <c r="I228" s="5"/>
      <c r="J228" s="6"/>
      <c r="K228" s="25"/>
      <c r="L228" s="25"/>
      <c r="M228" s="25"/>
      <c r="N228" s="25"/>
      <c r="O228" s="25"/>
      <c r="P228" s="216" t="s">
        <v>241</v>
      </c>
      <c r="Q228" s="5"/>
      <c r="R228" s="5"/>
      <c r="S228" s="5"/>
      <c r="T228" s="5"/>
      <c r="U228" s="5"/>
      <c r="V228" s="5"/>
      <c r="W228" s="6"/>
    </row>
    <row r="229">
      <c r="A229" s="145" t="s">
        <v>242</v>
      </c>
      <c r="B229" s="89" t="s">
        <v>137</v>
      </c>
      <c r="C229" s="89" t="s">
        <v>138</v>
      </c>
      <c r="D229" s="89" t="s">
        <v>139</v>
      </c>
      <c r="E229" s="89" t="s">
        <v>140</v>
      </c>
      <c r="F229" s="89" t="s">
        <v>141</v>
      </c>
      <c r="G229" s="89" t="s">
        <v>24</v>
      </c>
      <c r="H229" s="89" t="s">
        <v>142</v>
      </c>
      <c r="I229" s="89" t="s">
        <v>143</v>
      </c>
      <c r="J229" s="89" t="s">
        <v>144</v>
      </c>
      <c r="K229" s="25"/>
      <c r="L229" s="147" t="s">
        <v>145</v>
      </c>
      <c r="M229" s="91" t="s">
        <v>146</v>
      </c>
      <c r="N229" s="91" t="s">
        <v>147</v>
      </c>
      <c r="O229" s="25"/>
      <c r="P229" s="145" t="s">
        <v>242</v>
      </c>
      <c r="Q229" s="89" t="s">
        <v>137</v>
      </c>
      <c r="R229" s="89" t="s">
        <v>138</v>
      </c>
      <c r="S229" s="89" t="s">
        <v>139</v>
      </c>
      <c r="T229" s="89" t="s">
        <v>24</v>
      </c>
      <c r="U229" s="89" t="s">
        <v>148</v>
      </c>
      <c r="V229" s="89" t="s">
        <v>143</v>
      </c>
      <c r="W229" s="89" t="s">
        <v>144</v>
      </c>
    </row>
    <row r="230">
      <c r="A230" s="18" t="s">
        <v>243</v>
      </c>
      <c r="B230" s="149">
        <f>($B$226*4)/$B$34</f>
        <v>3.636363636</v>
      </c>
      <c r="C230" s="152">
        <f t="shared" ref="C230:C233" si="32">L230+(M230*1.5)+N230</f>
        <v>22.59</v>
      </c>
      <c r="D230" s="153">
        <v>2.5</v>
      </c>
      <c r="E230" s="152">
        <f t="shared" ref="E230:E233" si="33">8.8882*10^-3</f>
        <v>0.0088882</v>
      </c>
      <c r="F230" s="152">
        <f t="shared" ref="F230:F233" si="34">0.1345*10^-3</f>
        <v>0.0001345</v>
      </c>
      <c r="G230" s="153">
        <v>1.0</v>
      </c>
      <c r="H230" s="149">
        <f t="shared" ref="H230:H233" si="35">2*B230*C230*(E230*G230+F230*SIN(ACOS(G230)))</f>
        <v>1.460250458</v>
      </c>
      <c r="I230" s="154">
        <f t="shared" ref="I230:I233" si="36">H230/220</f>
        <v>0.006637502083</v>
      </c>
      <c r="J230" s="154">
        <f>I230</f>
        <v>0.006637502083</v>
      </c>
      <c r="K230" s="25"/>
      <c r="L230" s="155">
        <f>4.16+4.73+(7-0.3)</f>
        <v>15.59</v>
      </c>
      <c r="M230" s="156">
        <v>1.0</v>
      </c>
      <c r="N230" s="155">
        <f>7-1.5</f>
        <v>5.5</v>
      </c>
      <c r="O230" s="25"/>
      <c r="P230" s="152" t="str">
        <f t="shared" ref="P230:R230" si="31">A230</f>
        <v>QDF3-TOM1</v>
      </c>
      <c r="Q230" s="149">
        <f t="shared" si="31"/>
        <v>3.636363636</v>
      </c>
      <c r="R230" s="149">
        <f t="shared" si="31"/>
        <v>22.59</v>
      </c>
      <c r="S230" s="153">
        <v>2.5</v>
      </c>
      <c r="T230" s="152">
        <f t="shared" ref="T230:T233" si="38">G230</f>
        <v>1</v>
      </c>
      <c r="U230" s="153">
        <v>16.8</v>
      </c>
      <c r="V230" s="157">
        <f t="shared" ref="V230:V233" si="39">(R230/1000)*Q230*U230*(100/220)/100</f>
        <v>0.00627292562</v>
      </c>
      <c r="W230" s="154">
        <f>V230</f>
        <v>0.00627292562</v>
      </c>
    </row>
    <row r="231">
      <c r="A231" s="18" t="s">
        <v>244</v>
      </c>
      <c r="B231" s="149">
        <f>($B$226*3)/$B$34</f>
        <v>2.727272727</v>
      </c>
      <c r="C231" s="152">
        <f t="shared" si="32"/>
        <v>21.77</v>
      </c>
      <c r="D231" s="153">
        <v>2.5</v>
      </c>
      <c r="E231" s="152">
        <f t="shared" si="33"/>
        <v>0.0088882</v>
      </c>
      <c r="F231" s="152">
        <f t="shared" si="34"/>
        <v>0.0001345</v>
      </c>
      <c r="G231" s="160">
        <v>1.0</v>
      </c>
      <c r="H231" s="161">
        <f t="shared" si="35"/>
        <v>1.055433349</v>
      </c>
      <c r="I231" s="162">
        <f t="shared" si="36"/>
        <v>0.004797424314</v>
      </c>
      <c r="J231" s="162">
        <f t="shared" ref="J231:J233" si="40">J230+I231</f>
        <v>0.0114349264</v>
      </c>
      <c r="K231" s="25"/>
      <c r="L231" s="155">
        <f>10.39+1.68+(7-0.3)</f>
        <v>18.77</v>
      </c>
      <c r="M231" s="156">
        <v>2.0</v>
      </c>
      <c r="N231" s="155">
        <v>0.0</v>
      </c>
      <c r="O231" s="25"/>
      <c r="P231" s="159" t="str">
        <f t="shared" ref="P231:R231" si="37">A231</f>
        <v>QDF3-TOM2</v>
      </c>
      <c r="Q231" s="161">
        <f t="shared" si="37"/>
        <v>2.727272727</v>
      </c>
      <c r="R231" s="161">
        <f t="shared" si="37"/>
        <v>21.77</v>
      </c>
      <c r="S231" s="153">
        <v>2.5</v>
      </c>
      <c r="T231" s="159">
        <f t="shared" si="38"/>
        <v>1</v>
      </c>
      <c r="U231" s="153">
        <v>16.8</v>
      </c>
      <c r="V231" s="163">
        <f t="shared" si="39"/>
        <v>0.004533917355</v>
      </c>
      <c r="W231" s="162">
        <f t="shared" ref="W231:W233" si="42">W230+V231</f>
        <v>0.01080684298</v>
      </c>
    </row>
    <row r="232">
      <c r="A232" s="18" t="s">
        <v>245</v>
      </c>
      <c r="B232" s="149">
        <f>($B$226*2)/$B$34</f>
        <v>1.818181818</v>
      </c>
      <c r="C232" s="152">
        <f t="shared" si="32"/>
        <v>26.53</v>
      </c>
      <c r="D232" s="153">
        <v>2.5</v>
      </c>
      <c r="E232" s="152">
        <f t="shared" si="33"/>
        <v>0.0088882</v>
      </c>
      <c r="F232" s="152">
        <f t="shared" si="34"/>
        <v>0.0001345</v>
      </c>
      <c r="G232" s="160">
        <v>1.0</v>
      </c>
      <c r="H232" s="161">
        <f t="shared" si="35"/>
        <v>0.8574688945</v>
      </c>
      <c r="I232" s="162">
        <f t="shared" si="36"/>
        <v>0.003897585884</v>
      </c>
      <c r="J232" s="162">
        <f t="shared" si="40"/>
        <v>0.01533251228</v>
      </c>
      <c r="K232" s="25"/>
      <c r="L232" s="155">
        <f>10.39+6.44+(7-0.3)</f>
        <v>23.53</v>
      </c>
      <c r="M232" s="156">
        <v>2.0</v>
      </c>
      <c r="N232" s="155"/>
      <c r="O232" s="25"/>
      <c r="P232" s="152" t="str">
        <f t="shared" ref="P232:R232" si="41">A232</f>
        <v>QDF3-TOM3</v>
      </c>
      <c r="Q232" s="149">
        <f t="shared" si="41"/>
        <v>1.818181818</v>
      </c>
      <c r="R232" s="149">
        <f t="shared" si="41"/>
        <v>26.53</v>
      </c>
      <c r="S232" s="153">
        <v>2.5</v>
      </c>
      <c r="T232" s="159">
        <f t="shared" si="38"/>
        <v>1</v>
      </c>
      <c r="U232" s="153">
        <v>16.8</v>
      </c>
      <c r="V232" s="163">
        <f t="shared" si="39"/>
        <v>0.003683504132</v>
      </c>
      <c r="W232" s="162">
        <f t="shared" si="42"/>
        <v>0.01449034711</v>
      </c>
    </row>
    <row r="233">
      <c r="A233" s="18" t="s">
        <v>246</v>
      </c>
      <c r="B233" s="149">
        <f>($B$226*1)/$B$34</f>
        <v>0.9090909091</v>
      </c>
      <c r="C233" s="152">
        <f t="shared" si="32"/>
        <v>28.44</v>
      </c>
      <c r="D233" s="153">
        <v>2.5</v>
      </c>
      <c r="E233" s="152">
        <f t="shared" si="33"/>
        <v>0.0088882</v>
      </c>
      <c r="F233" s="152">
        <f t="shared" si="34"/>
        <v>0.0001345</v>
      </c>
      <c r="G233" s="160">
        <v>1.0</v>
      </c>
      <c r="H233" s="161">
        <f t="shared" si="35"/>
        <v>0.4596007418</v>
      </c>
      <c r="I233" s="162">
        <f t="shared" si="36"/>
        <v>0.002089094281</v>
      </c>
      <c r="J233" s="162">
        <f t="shared" si="40"/>
        <v>0.01742160656</v>
      </c>
      <c r="K233" s="25"/>
      <c r="L233" s="155">
        <f>15.16+3.58+(7-0.3)</f>
        <v>25.44</v>
      </c>
      <c r="M233" s="156">
        <v>2.0</v>
      </c>
      <c r="N233" s="155"/>
      <c r="O233" s="25"/>
      <c r="P233" s="159" t="str">
        <f t="shared" ref="P233:R233" si="43">A233</f>
        <v>QDF3-TOM4</v>
      </c>
      <c r="Q233" s="161">
        <f t="shared" si="43"/>
        <v>0.9090909091</v>
      </c>
      <c r="R233" s="161">
        <f t="shared" si="43"/>
        <v>28.44</v>
      </c>
      <c r="S233" s="153">
        <v>2.5</v>
      </c>
      <c r="T233" s="159">
        <f t="shared" si="38"/>
        <v>1</v>
      </c>
      <c r="U233" s="153">
        <v>16.8</v>
      </c>
      <c r="V233" s="163">
        <f t="shared" si="39"/>
        <v>0.001974347107</v>
      </c>
      <c r="W233" s="162">
        <f t="shared" si="42"/>
        <v>0.01646469421</v>
      </c>
    </row>
    <row r="234">
      <c r="A234" s="145" t="s">
        <v>247</v>
      </c>
      <c r="B234" s="89" t="s">
        <v>137</v>
      </c>
      <c r="C234" s="89" t="s">
        <v>138</v>
      </c>
      <c r="D234" s="89" t="s">
        <v>139</v>
      </c>
      <c r="E234" s="89" t="s">
        <v>140</v>
      </c>
      <c r="F234" s="89" t="s">
        <v>141</v>
      </c>
      <c r="G234" s="89" t="s">
        <v>24</v>
      </c>
      <c r="H234" s="89" t="s">
        <v>142</v>
      </c>
      <c r="I234" s="89" t="s">
        <v>143</v>
      </c>
      <c r="J234" s="89" t="s">
        <v>144</v>
      </c>
      <c r="K234" s="25"/>
      <c r="L234" s="147" t="s">
        <v>145</v>
      </c>
      <c r="M234" s="91" t="s">
        <v>146</v>
      </c>
      <c r="N234" s="91" t="s">
        <v>147</v>
      </c>
      <c r="O234" s="25"/>
      <c r="P234" s="145" t="s">
        <v>247</v>
      </c>
      <c r="Q234" s="89" t="s">
        <v>137</v>
      </c>
      <c r="R234" s="89" t="s">
        <v>138</v>
      </c>
      <c r="S234" s="89" t="s">
        <v>139</v>
      </c>
      <c r="T234" s="89" t="s">
        <v>24</v>
      </c>
      <c r="U234" s="89" t="s">
        <v>148</v>
      </c>
      <c r="V234" s="89" t="s">
        <v>143</v>
      </c>
      <c r="W234" s="89" t="s">
        <v>144</v>
      </c>
    </row>
    <row r="235">
      <c r="A235" s="18" t="s">
        <v>248</v>
      </c>
      <c r="B235" s="149">
        <f>($D$226*1)/$B$34</f>
        <v>4.545454545</v>
      </c>
      <c r="C235" s="159">
        <f>L235+(M235*1.5)+N235</f>
        <v>37.54</v>
      </c>
      <c r="D235" s="153">
        <v>2.5</v>
      </c>
      <c r="E235" s="152">
        <f>8.8882*10^-3</f>
        <v>0.0088882</v>
      </c>
      <c r="F235" s="152">
        <f>0.1345*10^-3</f>
        <v>0.0001345</v>
      </c>
      <c r="G235" s="63">
        <v>1.0</v>
      </c>
      <c r="H235" s="161">
        <f>2*B235*C235*(E235*G235+F235*SIN(ACOS(G235)))</f>
        <v>3.033300255</v>
      </c>
      <c r="I235" s="162">
        <f>H235/220</f>
        <v>0.01378772843</v>
      </c>
      <c r="J235" s="154">
        <f>I235</f>
        <v>0.01378772843</v>
      </c>
      <c r="L235" s="167">
        <f>15.16+3.58+0.6+(7-0.3)</f>
        <v>26.04</v>
      </c>
      <c r="M235" s="63">
        <v>4.0</v>
      </c>
      <c r="N235" s="155">
        <f>7-1.5</f>
        <v>5.5</v>
      </c>
      <c r="P235" s="222" t="str">
        <f t="shared" ref="P235:S235" si="44">A235</f>
        <v>QDF3-TUE</v>
      </c>
      <c r="Q235" s="223">
        <f t="shared" si="44"/>
        <v>4.545454545</v>
      </c>
      <c r="R235" s="224">
        <f t="shared" si="44"/>
        <v>37.54</v>
      </c>
      <c r="S235" s="224">
        <f t="shared" si="44"/>
        <v>2.5</v>
      </c>
      <c r="T235" s="225">
        <v>1.0</v>
      </c>
      <c r="U235" s="153">
        <v>16.8</v>
      </c>
      <c r="V235" s="163">
        <f>(R235/1000)*Q235*U235*(100/220)/100</f>
        <v>0.01303041322</v>
      </c>
      <c r="W235" s="154">
        <f>V235</f>
        <v>0.01303041322</v>
      </c>
    </row>
    <row r="236">
      <c r="U236" s="25"/>
      <c r="V236" s="25"/>
      <c r="W236" s="25"/>
    </row>
    <row r="237">
      <c r="L237" s="173" t="s">
        <v>240</v>
      </c>
      <c r="U237" s="25"/>
      <c r="V237" s="25"/>
      <c r="W237" s="25"/>
    </row>
    <row r="238">
      <c r="U238" s="25"/>
      <c r="V238" s="25"/>
      <c r="W238" s="25"/>
    </row>
    <row r="239">
      <c r="U239" s="25"/>
      <c r="V239" s="25"/>
      <c r="W239" s="25"/>
    </row>
    <row r="240">
      <c r="U240" s="25"/>
      <c r="V240" s="25"/>
      <c r="W240" s="25"/>
    </row>
    <row r="241">
      <c r="U241" s="25"/>
      <c r="V241" s="25"/>
      <c r="W241" s="25"/>
    </row>
    <row r="242">
      <c r="A242" s="25" t="s">
        <v>185</v>
      </c>
      <c r="J242" s="174"/>
      <c r="K242" s="174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 t="s">
        <v>186</v>
      </c>
      <c r="S243" s="25"/>
      <c r="T243" s="25"/>
      <c r="U243" s="25"/>
      <c r="V243" s="25"/>
      <c r="W243" s="25"/>
    </row>
    <row r="244">
      <c r="A244" s="25" t="s">
        <v>187</v>
      </c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</row>
    <row r="245">
      <c r="A245" s="25" t="s">
        <v>188</v>
      </c>
      <c r="J245" s="25"/>
      <c r="U245" s="25"/>
      <c r="V245" s="25"/>
      <c r="W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U246" s="25"/>
      <c r="V246" s="25"/>
      <c r="W246" s="25"/>
    </row>
    <row r="247">
      <c r="A247" s="25" t="s">
        <v>189</v>
      </c>
      <c r="I247" s="25"/>
      <c r="J247" s="25"/>
      <c r="U247" s="25"/>
      <c r="V247" s="25"/>
      <c r="W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U248" s="25"/>
      <c r="V248" s="25"/>
      <c r="W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U249" s="25"/>
      <c r="V249" s="25"/>
      <c r="W249" s="25"/>
    </row>
    <row r="250">
      <c r="A250" s="31"/>
      <c r="B250" s="25"/>
      <c r="C250" s="25"/>
      <c r="D250" s="25"/>
      <c r="E250" s="25"/>
      <c r="F250" s="25"/>
      <c r="G250" s="25"/>
      <c r="H250" s="25"/>
      <c r="I250" s="25"/>
      <c r="J250" s="25"/>
      <c r="U250" s="25"/>
      <c r="V250" s="25"/>
      <c r="W250" s="25"/>
    </row>
    <row r="251">
      <c r="A251" s="25"/>
      <c r="B251" s="31"/>
      <c r="C251" s="25"/>
      <c r="D251" s="25"/>
      <c r="E251" s="25"/>
      <c r="F251" s="25"/>
      <c r="G251" s="25"/>
      <c r="H251" s="25"/>
      <c r="I251" s="25"/>
      <c r="J251" s="25"/>
      <c r="U251" s="25"/>
      <c r="V251" s="25"/>
      <c r="W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U252" s="25"/>
      <c r="V252" s="25"/>
      <c r="W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U253" s="25"/>
      <c r="V253" s="25"/>
      <c r="W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U254" s="25"/>
      <c r="V254" s="25"/>
      <c r="W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</row>
    <row r="256">
      <c r="A256" s="31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</row>
    <row r="258">
      <c r="A258" s="25"/>
      <c r="B258" s="25"/>
      <c r="C258" s="25"/>
      <c r="D258" s="25"/>
      <c r="E258" s="25"/>
      <c r="T258" s="25"/>
      <c r="U258" s="25"/>
      <c r="V258" s="25"/>
      <c r="W258" s="25"/>
    </row>
    <row r="259">
      <c r="A259" s="25"/>
      <c r="B259" s="25"/>
      <c r="C259" s="25"/>
      <c r="D259" s="25"/>
      <c r="E259" s="25"/>
      <c r="T259" s="25"/>
      <c r="U259" s="25"/>
      <c r="V259" s="25"/>
      <c r="W259" s="25"/>
    </row>
    <row r="260">
      <c r="A260" s="25"/>
      <c r="B260" s="25"/>
      <c r="C260" s="25"/>
      <c r="D260" s="25"/>
      <c r="E260" s="25"/>
      <c r="T260" s="25"/>
      <c r="U260" s="25"/>
      <c r="V260" s="25"/>
      <c r="W260" s="25"/>
    </row>
    <row r="261">
      <c r="A261" s="25"/>
      <c r="B261" s="25"/>
      <c r="C261" s="25"/>
      <c r="D261" s="25"/>
      <c r="E261" s="25"/>
      <c r="T261" s="25"/>
      <c r="U261" s="25"/>
      <c r="V261" s="25"/>
      <c r="W261" s="25"/>
    </row>
    <row r="262">
      <c r="A262" s="25"/>
      <c r="B262" s="25"/>
      <c r="C262" s="25"/>
      <c r="D262" s="25"/>
      <c r="E262" s="25"/>
      <c r="T262" s="25"/>
      <c r="U262" s="25"/>
      <c r="V262" s="25"/>
      <c r="W262" s="25"/>
    </row>
    <row r="263">
      <c r="A263" s="25"/>
      <c r="B263" s="25"/>
      <c r="C263" s="25"/>
      <c r="D263" s="25"/>
      <c r="E263" s="25"/>
      <c r="T263" s="25"/>
      <c r="U263" s="25"/>
      <c r="V263" s="25"/>
      <c r="W263" s="25"/>
    </row>
    <row r="264">
      <c r="A264" s="25"/>
      <c r="B264" s="25"/>
      <c r="C264" s="25"/>
      <c r="D264" s="25"/>
      <c r="E264" s="25"/>
      <c r="T264" s="25"/>
      <c r="U264" s="25"/>
      <c r="V264" s="25"/>
      <c r="W264" s="25"/>
    </row>
    <row r="265">
      <c r="A265" s="25"/>
      <c r="B265" s="25"/>
      <c r="C265" s="25"/>
      <c r="D265" s="25"/>
      <c r="E265" s="25"/>
      <c r="T265" s="25"/>
      <c r="U265" s="25"/>
      <c r="V265" s="25"/>
      <c r="W265" s="25"/>
    </row>
    <row r="266">
      <c r="A266" s="25"/>
      <c r="B266" s="25"/>
      <c r="C266" s="25"/>
      <c r="D266" s="25"/>
      <c r="E266" s="25"/>
      <c r="T266" s="25"/>
      <c r="U266" s="25"/>
      <c r="V266" s="25"/>
      <c r="W266" s="25"/>
    </row>
    <row r="267">
      <c r="A267" s="25"/>
      <c r="B267" s="25"/>
      <c r="C267" s="25"/>
      <c r="D267" s="25"/>
      <c r="E267" s="25"/>
      <c r="T267" s="25"/>
      <c r="U267" s="25"/>
      <c r="V267" s="25"/>
      <c r="W267" s="25"/>
    </row>
    <row r="268">
      <c r="A268" s="25" t="s">
        <v>195</v>
      </c>
      <c r="B268" s="25"/>
      <c r="C268" s="25"/>
      <c r="D268" s="25"/>
      <c r="E268" s="25"/>
      <c r="Q268" s="25"/>
      <c r="R268" s="25"/>
      <c r="S268" s="25"/>
      <c r="T268" s="25"/>
      <c r="U268" s="25"/>
      <c r="V268" s="25"/>
      <c r="W268" s="25"/>
    </row>
    <row r="269">
      <c r="A269" s="25"/>
      <c r="B269" s="25"/>
      <c r="C269" s="25"/>
      <c r="D269" s="25"/>
      <c r="E269" s="25"/>
      <c r="Q269" s="25"/>
      <c r="R269" s="25"/>
      <c r="S269" s="25"/>
      <c r="T269" s="25"/>
      <c r="U269" s="25"/>
      <c r="V269" s="25"/>
      <c r="W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</row>
    <row r="288">
      <c r="A288" s="41" t="s">
        <v>213</v>
      </c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</row>
    <row r="289"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</row>
    <row r="291">
      <c r="A291" s="41" t="s">
        <v>215</v>
      </c>
      <c r="H291" s="25"/>
      <c r="I291" s="25"/>
      <c r="J291" s="25"/>
      <c r="K291" s="25"/>
      <c r="L291" s="25"/>
      <c r="M291" s="25"/>
      <c r="N291" s="41" t="s">
        <v>215</v>
      </c>
      <c r="U291" s="25"/>
      <c r="V291" s="25"/>
      <c r="W291" s="25"/>
    </row>
    <row r="292">
      <c r="H292" s="25"/>
      <c r="I292" s="25"/>
      <c r="J292" s="25"/>
      <c r="K292" s="25"/>
      <c r="L292" s="25"/>
      <c r="M292" s="25"/>
      <c r="U292" s="25"/>
      <c r="V292" s="25"/>
      <c r="W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</row>
    <row r="313">
      <c r="A313" s="132" t="s">
        <v>164</v>
      </c>
      <c r="B313" s="134">
        <f>QDF!J10</f>
        <v>200</v>
      </c>
      <c r="C313" s="132" t="s">
        <v>165</v>
      </c>
      <c r="D313" s="125">
        <f>QDF!J11</f>
        <v>1000</v>
      </c>
      <c r="E313" s="125"/>
      <c r="F313" s="125"/>
      <c r="G313" s="127"/>
      <c r="H313" s="129"/>
      <c r="I313" s="129"/>
      <c r="J313" s="25"/>
      <c r="K313" s="9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</row>
    <row r="314">
      <c r="A314" s="138" t="s">
        <v>166</v>
      </c>
      <c r="B314" s="86">
        <f>QDF!I10</f>
        <v>6</v>
      </c>
      <c r="C314" s="138" t="s">
        <v>166</v>
      </c>
      <c r="D314" s="31">
        <f>QDF!I11</f>
        <v>1</v>
      </c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141" t="s">
        <v>135</v>
      </c>
      <c r="Q314" s="114"/>
      <c r="R314" s="114"/>
      <c r="S314" s="114"/>
      <c r="T314" s="114"/>
      <c r="U314" s="114"/>
      <c r="V314" s="114"/>
      <c r="W314" s="142"/>
    </row>
    <row r="315">
      <c r="A315" s="216" t="s">
        <v>249</v>
      </c>
      <c r="B315" s="5"/>
      <c r="C315" s="5"/>
      <c r="D315" s="5"/>
      <c r="E315" s="5"/>
      <c r="F315" s="5"/>
      <c r="G315" s="5"/>
      <c r="H315" s="5"/>
      <c r="I315" s="5"/>
      <c r="J315" s="6"/>
      <c r="K315" s="25"/>
      <c r="L315" s="25"/>
      <c r="M315" s="25"/>
      <c r="N315" s="25"/>
      <c r="O315" s="25"/>
      <c r="P315" s="216" t="s">
        <v>241</v>
      </c>
      <c r="Q315" s="5"/>
      <c r="R315" s="5"/>
      <c r="S315" s="5"/>
      <c r="T315" s="5"/>
      <c r="U315" s="5"/>
      <c r="V315" s="5"/>
      <c r="W315" s="6"/>
    </row>
    <row r="316">
      <c r="A316" s="145" t="s">
        <v>250</v>
      </c>
      <c r="B316" s="89" t="s">
        <v>137</v>
      </c>
      <c r="C316" s="89" t="s">
        <v>138</v>
      </c>
      <c r="D316" s="89" t="s">
        <v>139</v>
      </c>
      <c r="E316" s="89" t="s">
        <v>140</v>
      </c>
      <c r="F316" s="89" t="s">
        <v>141</v>
      </c>
      <c r="G316" s="89" t="s">
        <v>24</v>
      </c>
      <c r="H316" s="89" t="s">
        <v>142</v>
      </c>
      <c r="I316" s="89" t="s">
        <v>143</v>
      </c>
      <c r="J316" s="89" t="s">
        <v>144</v>
      </c>
      <c r="K316" s="25"/>
      <c r="L316" s="147" t="s">
        <v>145</v>
      </c>
      <c r="M316" s="91" t="s">
        <v>146</v>
      </c>
      <c r="N316" s="91" t="s">
        <v>147</v>
      </c>
      <c r="O316" s="25"/>
      <c r="P316" s="145" t="s">
        <v>250</v>
      </c>
      <c r="Q316" s="89" t="s">
        <v>137</v>
      </c>
      <c r="R316" s="89" t="s">
        <v>138</v>
      </c>
      <c r="S316" s="89" t="s">
        <v>139</v>
      </c>
      <c r="T316" s="89" t="s">
        <v>24</v>
      </c>
      <c r="U316" s="89" t="s">
        <v>148</v>
      </c>
      <c r="V316" s="89" t="s">
        <v>143</v>
      </c>
      <c r="W316" s="89" t="s">
        <v>144</v>
      </c>
    </row>
    <row r="317">
      <c r="A317" s="18" t="s">
        <v>251</v>
      </c>
      <c r="B317" s="149">
        <f>($B$313*6)/$B$34</f>
        <v>5.454545455</v>
      </c>
      <c r="C317" s="152">
        <f t="shared" ref="C317:C322" si="46">L317+(M317*1.5)+N317</f>
        <v>26.54</v>
      </c>
      <c r="D317" s="153">
        <v>2.5</v>
      </c>
      <c r="E317" s="152">
        <f t="shared" ref="E317:E322" si="47">8.8882*10^-3</f>
        <v>0.0088882</v>
      </c>
      <c r="F317" s="152">
        <f t="shared" ref="F317:F322" si="48">0.1345*10^-3</f>
        <v>0.0001345</v>
      </c>
      <c r="G317" s="153">
        <v>1.0</v>
      </c>
      <c r="H317" s="149">
        <f t="shared" ref="H317:H322" si="49">2*B317*C317*(E317*G317+F317*SIN(ACOS(G317)))</f>
        <v>2.573376305</v>
      </c>
      <c r="I317" s="154">
        <f t="shared" ref="I317:I322" si="50">H317/220</f>
        <v>0.01169716502</v>
      </c>
      <c r="J317" s="154">
        <f>I317</f>
        <v>0.01169716502</v>
      </c>
      <c r="K317" s="25"/>
      <c r="L317" s="155">
        <f>3.1+6.64+3.1+(7-0.3)</f>
        <v>19.54</v>
      </c>
      <c r="M317" s="156">
        <v>1.0</v>
      </c>
      <c r="N317" s="155">
        <f>7-1.5</f>
        <v>5.5</v>
      </c>
      <c r="O317" s="25"/>
      <c r="P317" s="152" t="str">
        <f t="shared" ref="P317:R317" si="45">A317</f>
        <v>QDF4-TOM1</v>
      </c>
      <c r="Q317" s="149">
        <f t="shared" si="45"/>
        <v>5.454545455</v>
      </c>
      <c r="R317" s="149">
        <f t="shared" si="45"/>
        <v>26.54</v>
      </c>
      <c r="S317" s="153">
        <v>2.5</v>
      </c>
      <c r="T317" s="152">
        <f t="shared" ref="T317:T322" si="52">G317</f>
        <v>1</v>
      </c>
      <c r="U317" s="153">
        <v>16.8</v>
      </c>
      <c r="V317" s="157">
        <f t="shared" ref="V317:V322" si="53">(R317/1000)*Q317*U317*(100/220)/100</f>
        <v>0.01105467769</v>
      </c>
      <c r="W317" s="154">
        <f>V317</f>
        <v>0.01105467769</v>
      </c>
    </row>
    <row r="318">
      <c r="A318" s="18" t="s">
        <v>252</v>
      </c>
      <c r="B318" s="149">
        <f>($B$313*5)/$B$34</f>
        <v>4.545454545</v>
      </c>
      <c r="C318" s="152">
        <f t="shared" si="46"/>
        <v>24.47</v>
      </c>
      <c r="D318" s="153">
        <v>2.5</v>
      </c>
      <c r="E318" s="152">
        <f t="shared" si="47"/>
        <v>0.0088882</v>
      </c>
      <c r="F318" s="152">
        <f t="shared" si="48"/>
        <v>0.0001345</v>
      </c>
      <c r="G318" s="160">
        <v>1.0</v>
      </c>
      <c r="H318" s="161">
        <f t="shared" si="49"/>
        <v>1.977220491</v>
      </c>
      <c r="I318" s="162">
        <f t="shared" si="50"/>
        <v>0.008987365868</v>
      </c>
      <c r="J318" s="162">
        <f t="shared" ref="J318:J322" si="54">J317+I318</f>
        <v>0.02068453089</v>
      </c>
      <c r="K318" s="25"/>
      <c r="L318" s="155">
        <f>3.1+6.64+5.03+(7-0.3)</f>
        <v>21.47</v>
      </c>
      <c r="M318" s="156">
        <v>2.0</v>
      </c>
      <c r="N318" s="155">
        <v>0.0</v>
      </c>
      <c r="O318" s="25"/>
      <c r="P318" s="159" t="str">
        <f t="shared" ref="P318:R318" si="51">A318</f>
        <v>QDF4-TOM2</v>
      </c>
      <c r="Q318" s="161">
        <f t="shared" si="51"/>
        <v>4.545454545</v>
      </c>
      <c r="R318" s="161">
        <f t="shared" si="51"/>
        <v>24.47</v>
      </c>
      <c r="S318" s="153">
        <v>2.5</v>
      </c>
      <c r="T318" s="159">
        <f t="shared" si="52"/>
        <v>1</v>
      </c>
      <c r="U318" s="153">
        <v>16.8</v>
      </c>
      <c r="V318" s="163">
        <f t="shared" si="53"/>
        <v>0.008493719008</v>
      </c>
      <c r="W318" s="162">
        <f t="shared" ref="W318:W322" si="56">W317+V318</f>
        <v>0.01954839669</v>
      </c>
    </row>
    <row r="319">
      <c r="A319" s="18" t="s">
        <v>253</v>
      </c>
      <c r="B319" s="149">
        <f>($B$313*4)/$B$34</f>
        <v>3.636363636</v>
      </c>
      <c r="C319" s="152">
        <f t="shared" si="46"/>
        <v>29.2</v>
      </c>
      <c r="D319" s="153">
        <v>2.5</v>
      </c>
      <c r="E319" s="152">
        <f t="shared" si="47"/>
        <v>0.0088882</v>
      </c>
      <c r="F319" s="152">
        <f t="shared" si="48"/>
        <v>0.0001345</v>
      </c>
      <c r="G319" s="160">
        <v>1.0</v>
      </c>
      <c r="H319" s="161">
        <f t="shared" si="49"/>
        <v>1.887530473</v>
      </c>
      <c r="I319" s="162">
        <f t="shared" si="50"/>
        <v>0.008579683967</v>
      </c>
      <c r="J319" s="162">
        <f t="shared" si="54"/>
        <v>0.02926421486</v>
      </c>
      <c r="K319" s="25"/>
      <c r="L319" s="155">
        <f>3.1+15.87+0.53+(7-0.3)</f>
        <v>26.2</v>
      </c>
      <c r="M319" s="156">
        <v>2.0</v>
      </c>
      <c r="N319" s="155"/>
      <c r="O319" s="25"/>
      <c r="P319" s="152" t="str">
        <f t="shared" ref="P319:R319" si="55">A319</f>
        <v>QDF4-TOM3</v>
      </c>
      <c r="Q319" s="149">
        <f t="shared" si="55"/>
        <v>3.636363636</v>
      </c>
      <c r="R319" s="149">
        <f t="shared" si="55"/>
        <v>29.2</v>
      </c>
      <c r="S319" s="153">
        <v>2.5</v>
      </c>
      <c r="T319" s="159">
        <f t="shared" si="52"/>
        <v>1</v>
      </c>
      <c r="U319" s="153">
        <v>16.8</v>
      </c>
      <c r="V319" s="163">
        <f t="shared" si="53"/>
        <v>0.008108429752</v>
      </c>
      <c r="W319" s="162">
        <f t="shared" si="56"/>
        <v>0.02765682645</v>
      </c>
    </row>
    <row r="320">
      <c r="A320" s="18" t="s">
        <v>254</v>
      </c>
      <c r="B320" s="149">
        <f>($B$313*3)/$B$34</f>
        <v>2.727272727</v>
      </c>
      <c r="C320" s="152">
        <f t="shared" si="46"/>
        <v>22.78</v>
      </c>
      <c r="D320" s="153">
        <v>2.5</v>
      </c>
      <c r="E320" s="152">
        <f t="shared" si="47"/>
        <v>0.0088882</v>
      </c>
      <c r="F320" s="152">
        <f t="shared" si="48"/>
        <v>0.0001345</v>
      </c>
      <c r="G320" s="160">
        <v>1.0</v>
      </c>
      <c r="H320" s="161">
        <f t="shared" si="49"/>
        <v>1.104399251</v>
      </c>
      <c r="I320" s="162">
        <f t="shared" si="50"/>
        <v>0.005019996595</v>
      </c>
      <c r="J320" s="162">
        <f t="shared" si="54"/>
        <v>0.03428421145</v>
      </c>
      <c r="K320" s="25"/>
      <c r="L320" s="155">
        <f>3.1+5.82+4.16+(7-0.3)</f>
        <v>19.78</v>
      </c>
      <c r="M320" s="156">
        <v>2.0</v>
      </c>
      <c r="N320" s="155"/>
      <c r="O320" s="25"/>
      <c r="P320" s="159" t="str">
        <f t="shared" ref="P320:R320" si="57">A320</f>
        <v>QDF4-TOM4</v>
      </c>
      <c r="Q320" s="161">
        <f t="shared" si="57"/>
        <v>2.727272727</v>
      </c>
      <c r="R320" s="161">
        <f t="shared" si="57"/>
        <v>22.78</v>
      </c>
      <c r="S320" s="153">
        <v>2.5</v>
      </c>
      <c r="T320" s="159">
        <f t="shared" si="52"/>
        <v>1</v>
      </c>
      <c r="U320" s="153">
        <v>16.8</v>
      </c>
      <c r="V320" s="163">
        <f t="shared" si="53"/>
        <v>0.004744264463</v>
      </c>
      <c r="W320" s="162">
        <f t="shared" si="56"/>
        <v>0.03240109091</v>
      </c>
    </row>
    <row r="321">
      <c r="A321" s="18" t="s">
        <v>255</v>
      </c>
      <c r="B321" s="149">
        <f>($B$313*2)/$B$34</f>
        <v>1.818181818</v>
      </c>
      <c r="C321" s="152">
        <f t="shared" si="46"/>
        <v>28.81</v>
      </c>
      <c r="D321" s="153">
        <v>2.5</v>
      </c>
      <c r="E321" s="152">
        <f t="shared" si="47"/>
        <v>0.0088882</v>
      </c>
      <c r="F321" s="152">
        <f t="shared" si="48"/>
        <v>0.0001345</v>
      </c>
      <c r="G321" s="160">
        <v>1.0</v>
      </c>
      <c r="H321" s="161">
        <f t="shared" si="49"/>
        <v>0.9311601527</v>
      </c>
      <c r="I321" s="162">
        <f t="shared" si="50"/>
        <v>0.004232546149</v>
      </c>
      <c r="J321" s="162">
        <f t="shared" si="54"/>
        <v>0.0385167576</v>
      </c>
      <c r="L321" s="155">
        <f>3.1+12.05+3.96+(7-0.3)</f>
        <v>25.81</v>
      </c>
      <c r="M321" s="63">
        <v>2.0</v>
      </c>
      <c r="P321" s="159" t="str">
        <f t="shared" ref="P321:R321" si="58">A321</f>
        <v>QDF4-TOM5</v>
      </c>
      <c r="Q321" s="161">
        <f t="shared" si="58"/>
        <v>1.818181818</v>
      </c>
      <c r="R321" s="161">
        <f t="shared" si="58"/>
        <v>28.81</v>
      </c>
      <c r="S321" s="153">
        <v>2.5</v>
      </c>
      <c r="T321" s="159">
        <f t="shared" si="52"/>
        <v>1</v>
      </c>
      <c r="U321" s="153">
        <v>16.8</v>
      </c>
      <c r="V321" s="163">
        <f t="shared" si="53"/>
        <v>0.004000066116</v>
      </c>
      <c r="W321" s="162">
        <f t="shared" si="56"/>
        <v>0.03640115702</v>
      </c>
    </row>
    <row r="322">
      <c r="A322" s="18" t="s">
        <v>256</v>
      </c>
      <c r="B322" s="149">
        <f>($B$313*1)/$B$34</f>
        <v>0.9090909091</v>
      </c>
      <c r="C322" s="152">
        <f t="shared" si="46"/>
        <v>25.48</v>
      </c>
      <c r="D322" s="153">
        <v>2.5</v>
      </c>
      <c r="E322" s="152">
        <f t="shared" si="47"/>
        <v>0.0088882</v>
      </c>
      <c r="F322" s="152">
        <f t="shared" si="48"/>
        <v>0.0001345</v>
      </c>
      <c r="G322" s="160">
        <v>1.0</v>
      </c>
      <c r="H322" s="161">
        <f t="shared" si="49"/>
        <v>0.4117660655</v>
      </c>
      <c r="I322" s="162">
        <f t="shared" si="50"/>
        <v>0.001871663934</v>
      </c>
      <c r="J322" s="162">
        <f t="shared" si="54"/>
        <v>0.04038842154</v>
      </c>
      <c r="L322" s="167">
        <f>15.05+0.73+(7-0.3)</f>
        <v>22.48</v>
      </c>
      <c r="M322" s="63">
        <v>2.0</v>
      </c>
      <c r="P322" s="159" t="str">
        <f t="shared" ref="P322:R322" si="59">A322</f>
        <v>QDF4-TOM6</v>
      </c>
      <c r="Q322" s="161">
        <f t="shared" si="59"/>
        <v>0.9090909091</v>
      </c>
      <c r="R322" s="161">
        <f t="shared" si="59"/>
        <v>25.48</v>
      </c>
      <c r="S322" s="153">
        <v>2.5</v>
      </c>
      <c r="T322" s="159">
        <f t="shared" si="52"/>
        <v>1</v>
      </c>
      <c r="U322" s="153">
        <v>16.8</v>
      </c>
      <c r="V322" s="163">
        <f t="shared" si="53"/>
        <v>0.001768859504</v>
      </c>
      <c r="W322" s="162">
        <f t="shared" si="56"/>
        <v>0.03817001653</v>
      </c>
    </row>
    <row r="323">
      <c r="A323" s="145" t="s">
        <v>257</v>
      </c>
      <c r="B323" s="89" t="s">
        <v>137</v>
      </c>
      <c r="C323" s="89" t="s">
        <v>138</v>
      </c>
      <c r="D323" s="89" t="s">
        <v>139</v>
      </c>
      <c r="E323" s="89" t="s">
        <v>140</v>
      </c>
      <c r="F323" s="89" t="s">
        <v>141</v>
      </c>
      <c r="G323" s="89" t="s">
        <v>24</v>
      </c>
      <c r="H323" s="89" t="s">
        <v>142</v>
      </c>
      <c r="I323" s="89" t="s">
        <v>143</v>
      </c>
      <c r="J323" s="89" t="s">
        <v>144</v>
      </c>
      <c r="K323" s="25"/>
      <c r="L323" s="147" t="s">
        <v>145</v>
      </c>
      <c r="M323" s="91" t="s">
        <v>146</v>
      </c>
      <c r="N323" s="91" t="s">
        <v>147</v>
      </c>
      <c r="O323" s="25"/>
      <c r="P323" s="145" t="s">
        <v>257</v>
      </c>
      <c r="Q323" s="89" t="s">
        <v>137</v>
      </c>
      <c r="R323" s="89" t="s">
        <v>138</v>
      </c>
      <c r="S323" s="89" t="s">
        <v>139</v>
      </c>
      <c r="T323" s="89" t="s">
        <v>24</v>
      </c>
      <c r="U323" s="89" t="s">
        <v>148</v>
      </c>
      <c r="V323" s="89" t="s">
        <v>143</v>
      </c>
      <c r="W323" s="89" t="s">
        <v>144</v>
      </c>
    </row>
    <row r="324">
      <c r="A324" s="18" t="s">
        <v>258</v>
      </c>
      <c r="B324" s="149">
        <f>($D$226*1)/$B$34</f>
        <v>4.545454545</v>
      </c>
      <c r="C324" s="159">
        <f>L324+(M324*1.5)+N324</f>
        <v>38.3</v>
      </c>
      <c r="D324" s="153">
        <v>2.5</v>
      </c>
      <c r="E324" s="152">
        <f>8.8882*10^-3</f>
        <v>0.0088882</v>
      </c>
      <c r="F324" s="152">
        <f>0.1345*10^-3</f>
        <v>0.0001345</v>
      </c>
      <c r="G324" s="63">
        <v>1.0</v>
      </c>
      <c r="H324" s="161">
        <f>2*B324*C324*(E324*G324+F324*SIN(ACOS(G324)))</f>
        <v>3.094709636</v>
      </c>
      <c r="I324" s="162">
        <f>H324/220</f>
        <v>0.01406686198</v>
      </c>
      <c r="J324" s="154">
        <f>I324</f>
        <v>0.01406686198</v>
      </c>
      <c r="L324" s="167">
        <f>3.1+15.87+0.53+0.6+(7-0.3)</f>
        <v>26.8</v>
      </c>
      <c r="M324" s="63">
        <v>4.0</v>
      </c>
      <c r="N324" s="155">
        <f>7-1.5</f>
        <v>5.5</v>
      </c>
      <c r="P324" s="222" t="str">
        <f t="shared" ref="P324:S324" si="60">A324</f>
        <v>QDF4-TUE</v>
      </c>
      <c r="Q324" s="223">
        <f t="shared" si="60"/>
        <v>4.545454545</v>
      </c>
      <c r="R324" s="224">
        <f t="shared" si="60"/>
        <v>38.3</v>
      </c>
      <c r="S324" s="224">
        <f t="shared" si="60"/>
        <v>2.5</v>
      </c>
      <c r="T324" s="225">
        <v>1.0</v>
      </c>
      <c r="U324" s="153">
        <v>16.8</v>
      </c>
      <c r="V324" s="163">
        <f>(R324/1000)*Q324*U324*(100/220)/100</f>
        <v>0.01329421488</v>
      </c>
      <c r="W324" s="154">
        <f>V324</f>
        <v>0.01329421488</v>
      </c>
    </row>
    <row r="325">
      <c r="R325" s="224"/>
      <c r="S325" s="224"/>
      <c r="T325" s="222"/>
      <c r="U325" s="226"/>
      <c r="V325" s="227"/>
      <c r="W325" s="228"/>
    </row>
    <row r="326">
      <c r="L326" s="173" t="s">
        <v>240</v>
      </c>
      <c r="P326" s="25"/>
      <c r="Q326" s="25"/>
      <c r="R326" s="224"/>
      <c r="S326" s="224"/>
      <c r="T326" s="222"/>
      <c r="U326" s="226"/>
      <c r="V326" s="227"/>
      <c r="W326" s="228"/>
    </row>
    <row r="327">
      <c r="U327" s="25"/>
      <c r="V327" s="25"/>
      <c r="W327" s="25"/>
    </row>
    <row r="328">
      <c r="U328" s="25"/>
      <c r="V328" s="25"/>
      <c r="W328" s="25"/>
    </row>
    <row r="329">
      <c r="A329" s="25" t="s">
        <v>185</v>
      </c>
      <c r="J329" s="174"/>
      <c r="K329" s="174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 t="s">
        <v>186</v>
      </c>
      <c r="S330" s="25"/>
      <c r="T330" s="25"/>
      <c r="U330" s="25"/>
      <c r="V330" s="25"/>
      <c r="W330" s="25"/>
    </row>
    <row r="331">
      <c r="A331" s="25" t="s">
        <v>187</v>
      </c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</row>
    <row r="332">
      <c r="A332" s="25" t="s">
        <v>188</v>
      </c>
      <c r="J332" s="25"/>
      <c r="U332" s="25"/>
      <c r="V332" s="25"/>
      <c r="W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U333" s="25"/>
      <c r="V333" s="25"/>
      <c r="W333" s="25"/>
    </row>
    <row r="334">
      <c r="A334" s="25" t="s">
        <v>189</v>
      </c>
      <c r="I334" s="25"/>
      <c r="J334" s="25"/>
      <c r="U334" s="25"/>
      <c r="V334" s="25"/>
      <c r="W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U335" s="25"/>
      <c r="V335" s="25"/>
      <c r="W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U336" s="25"/>
      <c r="V336" s="25"/>
      <c r="W336" s="25"/>
    </row>
    <row r="337">
      <c r="A337" s="31"/>
      <c r="B337" s="25"/>
      <c r="C337" s="25"/>
      <c r="D337" s="25"/>
      <c r="E337" s="25"/>
      <c r="F337" s="25"/>
      <c r="G337" s="25"/>
      <c r="H337" s="25"/>
      <c r="I337" s="25"/>
      <c r="J337" s="25"/>
      <c r="U337" s="25"/>
      <c r="V337" s="25"/>
      <c r="W337" s="25"/>
    </row>
    <row r="338">
      <c r="A338" s="25"/>
      <c r="B338" s="31"/>
      <c r="C338" s="25"/>
      <c r="D338" s="25"/>
      <c r="E338" s="25"/>
      <c r="F338" s="25"/>
      <c r="G338" s="25"/>
      <c r="H338" s="25"/>
      <c r="I338" s="25"/>
      <c r="J338" s="25"/>
      <c r="U338" s="25"/>
      <c r="V338" s="25"/>
      <c r="W338" s="25"/>
    </row>
    <row r="339">
      <c r="U339" s="25"/>
      <c r="V339" s="25"/>
      <c r="W339" s="25"/>
    </row>
    <row r="340">
      <c r="U340" s="25"/>
      <c r="V340" s="25"/>
      <c r="W340" s="25"/>
    </row>
    <row r="341">
      <c r="U341" s="25"/>
      <c r="V341" s="25"/>
      <c r="W341" s="25"/>
    </row>
    <row r="342">
      <c r="R342" s="25"/>
      <c r="S342" s="25"/>
      <c r="T342" s="25"/>
      <c r="U342" s="25"/>
      <c r="V342" s="25"/>
      <c r="W342" s="25"/>
    </row>
    <row r="343">
      <c r="A343" s="31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</row>
    <row r="345">
      <c r="A345" s="25"/>
      <c r="B345" s="25"/>
      <c r="C345" s="25"/>
      <c r="D345" s="25"/>
      <c r="E345" s="25"/>
      <c r="T345" s="25"/>
      <c r="U345" s="25"/>
      <c r="V345" s="25"/>
      <c r="W345" s="25"/>
    </row>
    <row r="346">
      <c r="A346" s="25"/>
      <c r="B346" s="25"/>
      <c r="C346" s="25"/>
      <c r="D346" s="25"/>
      <c r="E346" s="25"/>
      <c r="T346" s="25"/>
      <c r="U346" s="25"/>
      <c r="V346" s="25"/>
      <c r="W346" s="25"/>
    </row>
    <row r="347">
      <c r="A347" s="25"/>
      <c r="B347" s="25"/>
      <c r="C347" s="25"/>
      <c r="D347" s="25"/>
      <c r="E347" s="25"/>
      <c r="T347" s="25"/>
      <c r="U347" s="25"/>
      <c r="V347" s="25"/>
      <c r="W347" s="25"/>
    </row>
    <row r="348">
      <c r="A348" s="25"/>
      <c r="B348" s="25"/>
      <c r="C348" s="25"/>
      <c r="D348" s="25"/>
      <c r="E348" s="25"/>
      <c r="T348" s="25"/>
      <c r="U348" s="25"/>
      <c r="V348" s="25"/>
      <c r="W348" s="25"/>
    </row>
    <row r="349">
      <c r="A349" s="25"/>
      <c r="B349" s="25"/>
      <c r="C349" s="25"/>
      <c r="D349" s="25"/>
      <c r="E349" s="25"/>
      <c r="T349" s="25"/>
      <c r="U349" s="25"/>
      <c r="V349" s="25"/>
      <c r="W349" s="25"/>
    </row>
    <row r="350">
      <c r="A350" s="25"/>
      <c r="B350" s="25"/>
      <c r="C350" s="25"/>
      <c r="D350" s="25"/>
      <c r="E350" s="25"/>
      <c r="T350" s="25"/>
      <c r="U350" s="25"/>
      <c r="V350" s="25"/>
      <c r="W350" s="25"/>
    </row>
    <row r="351">
      <c r="A351" s="25"/>
      <c r="B351" s="25"/>
      <c r="C351" s="25"/>
      <c r="D351" s="25"/>
      <c r="E351" s="25"/>
      <c r="T351" s="25"/>
      <c r="U351" s="25"/>
      <c r="V351" s="25"/>
      <c r="W351" s="25"/>
    </row>
    <row r="352">
      <c r="A352" s="25"/>
      <c r="B352" s="25"/>
      <c r="C352" s="25"/>
      <c r="D352" s="25"/>
      <c r="E352" s="25"/>
      <c r="T352" s="25"/>
      <c r="U352" s="25"/>
      <c r="V352" s="25"/>
      <c r="W352" s="25"/>
    </row>
    <row r="353">
      <c r="A353" s="25"/>
      <c r="B353" s="25"/>
      <c r="C353" s="25"/>
      <c r="D353" s="25"/>
      <c r="E353" s="25"/>
      <c r="T353" s="25"/>
      <c r="U353" s="25"/>
      <c r="V353" s="25"/>
      <c r="W353" s="25"/>
    </row>
    <row r="354">
      <c r="A354" s="25"/>
      <c r="B354" s="25"/>
      <c r="C354" s="25"/>
      <c r="D354" s="25"/>
      <c r="E354" s="25"/>
      <c r="T354" s="25"/>
      <c r="U354" s="25"/>
      <c r="V354" s="25"/>
      <c r="W354" s="25"/>
    </row>
    <row r="355">
      <c r="A355" s="25" t="s">
        <v>195</v>
      </c>
      <c r="B355" s="25"/>
      <c r="C355" s="25"/>
      <c r="D355" s="25"/>
      <c r="E355" s="25"/>
      <c r="Q355" s="25"/>
      <c r="R355" s="25"/>
      <c r="S355" s="25"/>
      <c r="T355" s="25"/>
      <c r="U355" s="25"/>
      <c r="V355" s="25"/>
      <c r="W355" s="25"/>
    </row>
    <row r="356">
      <c r="A356" s="25"/>
      <c r="B356" s="25"/>
      <c r="C356" s="25"/>
      <c r="D356" s="25"/>
      <c r="E356" s="25"/>
      <c r="Q356" s="25"/>
      <c r="R356" s="25"/>
      <c r="S356" s="25"/>
      <c r="T356" s="25"/>
      <c r="U356" s="25"/>
      <c r="V356" s="25"/>
      <c r="W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</row>
    <row r="375">
      <c r="A375" s="41" t="s">
        <v>213</v>
      </c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</row>
    <row r="376"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</row>
    <row r="378">
      <c r="A378" s="41" t="s">
        <v>215</v>
      </c>
      <c r="H378" s="25"/>
      <c r="I378" s="25"/>
      <c r="J378" s="25"/>
      <c r="K378" s="25"/>
      <c r="L378" s="25"/>
      <c r="M378" s="25"/>
      <c r="N378" s="41" t="s">
        <v>215</v>
      </c>
      <c r="U378" s="25"/>
      <c r="V378" s="25"/>
      <c r="W378" s="25"/>
    </row>
    <row r="379">
      <c r="H379" s="25"/>
      <c r="I379" s="25"/>
      <c r="J379" s="25"/>
      <c r="K379" s="25"/>
      <c r="L379" s="25"/>
      <c r="M379" s="25"/>
      <c r="U379" s="25"/>
      <c r="V379" s="25"/>
      <c r="W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141" t="s">
        <v>135</v>
      </c>
      <c r="Q382" s="114"/>
      <c r="R382" s="114"/>
      <c r="S382" s="114"/>
      <c r="T382" s="114"/>
      <c r="U382" s="114"/>
      <c r="V382" s="114"/>
      <c r="W382" s="142"/>
    </row>
    <row r="383">
      <c r="A383" s="87" t="s">
        <v>220</v>
      </c>
      <c r="B383" s="5"/>
      <c r="C383" s="5"/>
      <c r="D383" s="5"/>
      <c r="E383" s="5"/>
      <c r="F383" s="5"/>
      <c r="G383" s="5"/>
      <c r="H383" s="5"/>
      <c r="I383" s="5"/>
      <c r="J383" s="5"/>
      <c r="K383" s="25"/>
      <c r="L383" s="25"/>
      <c r="M383" s="25"/>
      <c r="N383" s="25"/>
      <c r="O383" s="25"/>
      <c r="P383" s="87" t="s">
        <v>220</v>
      </c>
      <c r="Q383" s="5"/>
      <c r="R383" s="5"/>
      <c r="S383" s="5"/>
      <c r="T383" s="5"/>
      <c r="U383" s="5"/>
      <c r="V383" s="5"/>
      <c r="W383" s="6"/>
      <c r="X383" s="229"/>
    </row>
    <row r="384">
      <c r="A384" s="89" t="s">
        <v>259</v>
      </c>
      <c r="B384" s="89" t="s">
        <v>137</v>
      </c>
      <c r="C384" s="89" t="s">
        <v>138</v>
      </c>
      <c r="D384" s="89" t="s">
        <v>139</v>
      </c>
      <c r="E384" s="89" t="s">
        <v>140</v>
      </c>
      <c r="F384" s="89" t="s">
        <v>141</v>
      </c>
      <c r="G384" s="89" t="s">
        <v>24</v>
      </c>
      <c r="H384" s="89" t="s">
        <v>142</v>
      </c>
      <c r="I384" s="89" t="s">
        <v>143</v>
      </c>
      <c r="J384" s="89" t="s">
        <v>144</v>
      </c>
      <c r="K384" s="25"/>
      <c r="L384" s="147" t="s">
        <v>145</v>
      </c>
      <c r="M384" s="91" t="s">
        <v>146</v>
      </c>
      <c r="N384" s="91" t="s">
        <v>147</v>
      </c>
      <c r="O384" s="25"/>
      <c r="P384" s="89" t="s">
        <v>259</v>
      </c>
      <c r="Q384" s="89" t="s">
        <v>137</v>
      </c>
      <c r="R384" s="89" t="s">
        <v>138</v>
      </c>
      <c r="S384" s="89" t="s">
        <v>139</v>
      </c>
      <c r="T384" s="89" t="s">
        <v>24</v>
      </c>
      <c r="U384" s="89" t="s">
        <v>148</v>
      </c>
      <c r="V384" s="89" t="s">
        <v>143</v>
      </c>
      <c r="W384" s="89" t="s">
        <v>144</v>
      </c>
      <c r="X384" s="229"/>
    </row>
    <row r="385">
      <c r="A385" s="19" t="s">
        <v>260</v>
      </c>
      <c r="B385" s="20">
        <v>5.4545</v>
      </c>
      <c r="C385" s="166">
        <f t="shared" ref="C385:C390" si="61">L385+(M385*1.5)+N385</f>
        <v>7.086</v>
      </c>
      <c r="D385" s="19">
        <v>2.5</v>
      </c>
      <c r="E385" s="19">
        <v>0.0088882</v>
      </c>
      <c r="F385" s="19">
        <v>1.345E-4</v>
      </c>
      <c r="G385" s="19">
        <v>1.0</v>
      </c>
      <c r="H385" s="20">
        <f t="shared" ref="H385:H390" si="62">2*B385*C385*(E385*G385+F385*SIN(ACOS(G385)))</f>
        <v>0.6870682947</v>
      </c>
      <c r="I385" s="230">
        <f t="shared" ref="I385:I390" si="63">H385/220</f>
        <v>0.003123037703</v>
      </c>
      <c r="J385" s="230">
        <f>I385</f>
        <v>0.003123037703</v>
      </c>
      <c r="K385" s="25"/>
      <c r="L385" s="166">
        <v>2.586</v>
      </c>
      <c r="M385" s="166">
        <v>2.0</v>
      </c>
      <c r="N385" s="166">
        <v>1.5</v>
      </c>
      <c r="O385" s="25"/>
      <c r="P385" s="19" t="s">
        <v>260</v>
      </c>
      <c r="Q385" s="20">
        <v>5.4545</v>
      </c>
      <c r="R385" s="80">
        <v>7.09</v>
      </c>
      <c r="S385" s="19">
        <v>2.5</v>
      </c>
      <c r="T385" s="19">
        <v>1.0</v>
      </c>
      <c r="U385" s="19">
        <v>16.8</v>
      </c>
      <c r="V385" s="231">
        <f t="shared" ref="V385:V390" si="64">(U385*Q385*R385/1000)/220</f>
        <v>0.002953165473</v>
      </c>
      <c r="W385" s="230">
        <f>V385</f>
        <v>0.002953165473</v>
      </c>
      <c r="X385" s="229"/>
    </row>
    <row r="386">
      <c r="A386" s="19" t="s">
        <v>261</v>
      </c>
      <c r="B386" s="20">
        <v>4.5455</v>
      </c>
      <c r="C386" s="166">
        <f t="shared" si="61"/>
        <v>0.933</v>
      </c>
      <c r="D386" s="19">
        <v>2.5</v>
      </c>
      <c r="E386" s="19">
        <v>0.0088882</v>
      </c>
      <c r="F386" s="19">
        <v>1.345E-4</v>
      </c>
      <c r="G386" s="19">
        <v>1.0</v>
      </c>
      <c r="H386" s="20">
        <f t="shared" si="62"/>
        <v>0.07538885024</v>
      </c>
      <c r="I386" s="230">
        <f t="shared" si="63"/>
        <v>0.000342676592</v>
      </c>
      <c r="J386" s="230">
        <f t="shared" ref="J386:J390" si="65">J385+I386</f>
        <v>0.003465714295</v>
      </c>
      <c r="K386" s="25"/>
      <c r="L386" s="166">
        <v>0.933</v>
      </c>
      <c r="M386" s="166">
        <v>0.0</v>
      </c>
      <c r="N386" s="166">
        <v>0.0</v>
      </c>
      <c r="O386" s="25"/>
      <c r="P386" s="19" t="s">
        <v>261</v>
      </c>
      <c r="Q386" s="20">
        <v>4.5455</v>
      </c>
      <c r="R386" s="80">
        <v>0.933</v>
      </c>
      <c r="S386" s="19">
        <v>2.5</v>
      </c>
      <c r="T386" s="19">
        <v>1.0</v>
      </c>
      <c r="U386" s="19">
        <v>16.8</v>
      </c>
      <c r="V386" s="231">
        <f t="shared" si="64"/>
        <v>0.0003238544782</v>
      </c>
      <c r="W386" s="230">
        <f t="shared" ref="W386:W390" si="66">W385+V386</f>
        <v>0.003277019951</v>
      </c>
      <c r="X386" s="229"/>
    </row>
    <row r="387">
      <c r="A387" s="19" t="s">
        <v>262</v>
      </c>
      <c r="B387" s="20">
        <v>3.6364</v>
      </c>
      <c r="C387" s="166">
        <f t="shared" si="61"/>
        <v>0.981</v>
      </c>
      <c r="D387" s="19">
        <v>2.5</v>
      </c>
      <c r="E387" s="19">
        <v>0.0088882</v>
      </c>
      <c r="F387" s="19">
        <v>1.345E-4</v>
      </c>
      <c r="G387" s="19">
        <v>1.0</v>
      </c>
      <c r="H387" s="20">
        <f t="shared" si="62"/>
        <v>0.06341390104</v>
      </c>
      <c r="I387" s="230">
        <f t="shared" si="63"/>
        <v>0.0002882450047</v>
      </c>
      <c r="J387" s="230">
        <f t="shared" si="65"/>
        <v>0.0037539593</v>
      </c>
      <c r="K387" s="25"/>
      <c r="L387" s="166">
        <v>0.981</v>
      </c>
      <c r="M387" s="166">
        <v>0.0</v>
      </c>
      <c r="N387" s="166">
        <v>0.0</v>
      </c>
      <c r="O387" s="25"/>
      <c r="P387" s="19" t="s">
        <v>262</v>
      </c>
      <c r="Q387" s="20">
        <v>3.6364</v>
      </c>
      <c r="R387" s="80">
        <v>0.981</v>
      </c>
      <c r="S387" s="19">
        <v>2.5</v>
      </c>
      <c r="T387" s="19">
        <v>1.0</v>
      </c>
      <c r="U387" s="19">
        <v>16.8</v>
      </c>
      <c r="V387" s="231">
        <f t="shared" si="64"/>
        <v>0.0002724126415</v>
      </c>
      <c r="W387" s="230">
        <f t="shared" si="66"/>
        <v>0.003549432592</v>
      </c>
      <c r="X387" s="229"/>
    </row>
    <row r="388">
      <c r="A388" s="19" t="s">
        <v>263</v>
      </c>
      <c r="B388" s="20">
        <v>2.7273</v>
      </c>
      <c r="C388" s="166">
        <f t="shared" si="61"/>
        <v>1.12</v>
      </c>
      <c r="D388" s="19">
        <v>2.5</v>
      </c>
      <c r="E388" s="19">
        <v>0.0088882</v>
      </c>
      <c r="F388" s="19">
        <v>1.345E-4</v>
      </c>
      <c r="G388" s="19">
        <v>1.0</v>
      </c>
      <c r="H388" s="20">
        <f t="shared" si="62"/>
        <v>0.05429936481</v>
      </c>
      <c r="I388" s="230">
        <f t="shared" si="63"/>
        <v>0.0002468152946</v>
      </c>
      <c r="J388" s="230">
        <f t="shared" si="65"/>
        <v>0.004000774595</v>
      </c>
      <c r="K388" s="25"/>
      <c r="L388" s="166">
        <v>1.12</v>
      </c>
      <c r="M388" s="166">
        <v>0.0</v>
      </c>
      <c r="N388" s="166">
        <v>0.0</v>
      </c>
      <c r="O388" s="25"/>
      <c r="P388" s="19" t="s">
        <v>263</v>
      </c>
      <c r="Q388" s="20">
        <v>2.7273</v>
      </c>
      <c r="R388" s="80">
        <v>1.12</v>
      </c>
      <c r="S388" s="19">
        <v>2.5</v>
      </c>
      <c r="T388" s="19">
        <v>1.0</v>
      </c>
      <c r="U388" s="19">
        <v>16.8</v>
      </c>
      <c r="V388" s="231">
        <f t="shared" si="64"/>
        <v>0.0002332585309</v>
      </c>
      <c r="W388" s="230">
        <f t="shared" si="66"/>
        <v>0.003782691123</v>
      </c>
      <c r="X388" s="229"/>
    </row>
    <row r="389">
      <c r="A389" s="19" t="s">
        <v>264</v>
      </c>
      <c r="B389" s="20">
        <v>1.8182</v>
      </c>
      <c r="C389" s="166">
        <f t="shared" si="61"/>
        <v>1.085</v>
      </c>
      <c r="D389" s="19">
        <v>2.5</v>
      </c>
      <c r="E389" s="19">
        <v>0.0088882</v>
      </c>
      <c r="F389" s="19">
        <v>1.345E-4</v>
      </c>
      <c r="G389" s="19">
        <v>1.0</v>
      </c>
      <c r="H389" s="20">
        <f t="shared" si="62"/>
        <v>0.03506833977</v>
      </c>
      <c r="I389" s="230">
        <f t="shared" si="63"/>
        <v>0.0001594015444</v>
      </c>
      <c r="J389" s="230">
        <f t="shared" si="65"/>
        <v>0.004160176139</v>
      </c>
      <c r="K389" s="25"/>
      <c r="L389" s="166">
        <v>1.085</v>
      </c>
      <c r="M389" s="166">
        <v>0.0</v>
      </c>
      <c r="N389" s="166">
        <v>0.0</v>
      </c>
      <c r="O389" s="25"/>
      <c r="P389" s="19" t="s">
        <v>264</v>
      </c>
      <c r="Q389" s="20">
        <v>1.8182</v>
      </c>
      <c r="R389" s="80">
        <v>1.085</v>
      </c>
      <c r="S389" s="19">
        <v>2.5</v>
      </c>
      <c r="T389" s="19">
        <v>1.0</v>
      </c>
      <c r="U389" s="19">
        <v>16.8</v>
      </c>
      <c r="V389" s="231">
        <f t="shared" si="64"/>
        <v>0.0001506461345</v>
      </c>
      <c r="W389" s="230">
        <f t="shared" si="66"/>
        <v>0.003933337258</v>
      </c>
      <c r="X389" s="229"/>
    </row>
    <row r="390">
      <c r="A390" s="19" t="s">
        <v>265</v>
      </c>
      <c r="B390" s="20">
        <v>0.9091</v>
      </c>
      <c r="C390" s="166">
        <f t="shared" si="61"/>
        <v>1.081</v>
      </c>
      <c r="D390" s="19">
        <v>2.5</v>
      </c>
      <c r="E390" s="19">
        <v>0.0088882</v>
      </c>
      <c r="F390" s="19">
        <v>1.345E-4</v>
      </c>
      <c r="G390" s="19">
        <v>1.0</v>
      </c>
      <c r="H390" s="20">
        <f t="shared" si="62"/>
        <v>0.01746952778</v>
      </c>
      <c r="I390" s="230">
        <f t="shared" si="63"/>
        <v>0.00007940694447</v>
      </c>
      <c r="J390" s="230">
        <f t="shared" si="65"/>
        <v>0.004239583084</v>
      </c>
      <c r="K390" s="25"/>
      <c r="L390" s="166">
        <v>1.081</v>
      </c>
      <c r="M390" s="166">
        <v>0.0</v>
      </c>
      <c r="N390" s="166">
        <v>0.0</v>
      </c>
      <c r="O390" s="25"/>
      <c r="P390" s="19" t="s">
        <v>265</v>
      </c>
      <c r="Q390" s="20">
        <v>0.9091</v>
      </c>
      <c r="R390" s="80">
        <v>1.081</v>
      </c>
      <c r="S390" s="19">
        <v>2.5</v>
      </c>
      <c r="T390" s="19">
        <v>1.0</v>
      </c>
      <c r="U390" s="19">
        <v>16.8</v>
      </c>
      <c r="V390" s="231">
        <f t="shared" si="64"/>
        <v>0.00007504537855</v>
      </c>
      <c r="W390" s="230">
        <f t="shared" si="66"/>
        <v>0.004008382636</v>
      </c>
      <c r="X390" s="229"/>
    </row>
    <row r="391">
      <c r="A391" s="87" t="s">
        <v>220</v>
      </c>
      <c r="B391" s="5"/>
      <c r="C391" s="5"/>
      <c r="D391" s="5"/>
      <c r="E391" s="5"/>
      <c r="F391" s="5"/>
      <c r="G391" s="5"/>
      <c r="H391" s="5"/>
      <c r="I391" s="5"/>
      <c r="J391" s="5"/>
      <c r="K391" s="25"/>
      <c r="L391" s="25"/>
      <c r="M391" s="25"/>
      <c r="N391" s="25"/>
      <c r="O391" s="25"/>
      <c r="P391" s="87" t="s">
        <v>220</v>
      </c>
      <c r="Q391" s="5"/>
      <c r="R391" s="5"/>
      <c r="S391" s="5"/>
      <c r="T391" s="5"/>
      <c r="U391" s="5"/>
      <c r="V391" s="5"/>
      <c r="W391" s="6"/>
      <c r="X391" s="229"/>
    </row>
    <row r="392">
      <c r="A392" s="89" t="s">
        <v>266</v>
      </c>
      <c r="B392" s="89" t="s">
        <v>137</v>
      </c>
      <c r="C392" s="89" t="s">
        <v>138</v>
      </c>
      <c r="D392" s="89" t="s">
        <v>139</v>
      </c>
      <c r="E392" s="89" t="s">
        <v>140</v>
      </c>
      <c r="F392" s="89" t="s">
        <v>141</v>
      </c>
      <c r="G392" s="89" t="s">
        <v>24</v>
      </c>
      <c r="H392" s="89" t="s">
        <v>142</v>
      </c>
      <c r="I392" s="89" t="s">
        <v>143</v>
      </c>
      <c r="J392" s="89" t="s">
        <v>144</v>
      </c>
      <c r="K392" s="25"/>
      <c r="L392" s="147" t="s">
        <v>145</v>
      </c>
      <c r="M392" s="91" t="s">
        <v>146</v>
      </c>
      <c r="N392" s="91" t="s">
        <v>147</v>
      </c>
      <c r="O392" s="25"/>
      <c r="P392" s="89" t="s">
        <v>266</v>
      </c>
      <c r="Q392" s="89" t="s">
        <v>137</v>
      </c>
      <c r="R392" s="89" t="s">
        <v>138</v>
      </c>
      <c r="S392" s="89" t="s">
        <v>139</v>
      </c>
      <c r="T392" s="89" t="s">
        <v>24</v>
      </c>
      <c r="U392" s="89" t="s">
        <v>148</v>
      </c>
      <c r="V392" s="89" t="s">
        <v>143</v>
      </c>
      <c r="W392" s="89" t="s">
        <v>144</v>
      </c>
      <c r="X392" s="229"/>
    </row>
    <row r="393">
      <c r="A393" s="19" t="s">
        <v>267</v>
      </c>
      <c r="B393" s="20">
        <v>4.5455</v>
      </c>
      <c r="C393" s="166">
        <f t="shared" ref="C393:C397" si="67">L393+(M393*1.5)+N393</f>
        <v>17.466</v>
      </c>
      <c r="D393" s="19">
        <v>2.5</v>
      </c>
      <c r="E393" s="19">
        <v>0.0088882</v>
      </c>
      <c r="F393" s="19">
        <v>1.345E-4</v>
      </c>
      <c r="G393" s="19">
        <v>1.0</v>
      </c>
      <c r="H393" s="20">
        <f t="shared" ref="H393:H397" si="68">2*B393*C393*(E393*G393+F393*SIN(ACOS(G393)))</f>
        <v>1.411298669</v>
      </c>
      <c r="I393" s="230">
        <f t="shared" ref="I393:I397" si="69">H393/220</f>
        <v>0.006414993951</v>
      </c>
      <c r="J393" s="230">
        <f>I393</f>
        <v>0.006414993951</v>
      </c>
      <c r="K393" s="25"/>
      <c r="L393" s="166">
        <v>9.966</v>
      </c>
      <c r="M393" s="166">
        <v>4.0</v>
      </c>
      <c r="N393" s="166">
        <v>1.5</v>
      </c>
      <c r="O393" s="25"/>
      <c r="P393" s="19" t="s">
        <v>267</v>
      </c>
      <c r="Q393" s="20">
        <v>4.5455</v>
      </c>
      <c r="R393" s="80">
        <v>17.47</v>
      </c>
      <c r="S393" s="19">
        <v>2.5</v>
      </c>
      <c r="T393" s="19">
        <v>1.0</v>
      </c>
      <c r="U393" s="19">
        <v>16.8</v>
      </c>
      <c r="V393" s="231">
        <f t="shared" ref="V393:V397" si="70">(U393*Q393*R393/1000)/220</f>
        <v>0.006064027582</v>
      </c>
      <c r="W393" s="230">
        <f>V393</f>
        <v>0.006064027582</v>
      </c>
      <c r="X393" s="229"/>
    </row>
    <row r="394">
      <c r="A394" s="19" t="s">
        <v>268</v>
      </c>
      <c r="B394" s="20">
        <v>3.6364</v>
      </c>
      <c r="C394" s="166">
        <f t="shared" si="67"/>
        <v>1</v>
      </c>
      <c r="D394" s="19">
        <v>2.5</v>
      </c>
      <c r="E394" s="19">
        <v>0.0088882</v>
      </c>
      <c r="F394" s="19">
        <v>1.345E-4</v>
      </c>
      <c r="G394" s="19">
        <v>1.0</v>
      </c>
      <c r="H394" s="20">
        <f t="shared" si="68"/>
        <v>0.06464210096</v>
      </c>
      <c r="I394" s="230">
        <f t="shared" si="69"/>
        <v>0.0002938277316</v>
      </c>
      <c r="J394" s="230">
        <f t="shared" ref="J394:J397" si="71">J393+I394</f>
        <v>0.006708821683</v>
      </c>
      <c r="K394" s="25"/>
      <c r="L394" s="166">
        <v>1.0</v>
      </c>
      <c r="M394" s="166">
        <v>0.0</v>
      </c>
      <c r="N394" s="166">
        <v>0.0</v>
      </c>
      <c r="O394" s="25"/>
      <c r="P394" s="19" t="s">
        <v>268</v>
      </c>
      <c r="Q394" s="20">
        <v>3.6364</v>
      </c>
      <c r="R394" s="80">
        <v>1.0</v>
      </c>
      <c r="S394" s="19">
        <v>2.5</v>
      </c>
      <c r="T394" s="19">
        <v>1.0</v>
      </c>
      <c r="U394" s="19">
        <v>16.8</v>
      </c>
      <c r="V394" s="231">
        <f t="shared" si="70"/>
        <v>0.0002776887273</v>
      </c>
      <c r="W394" s="230">
        <f t="shared" ref="W394:W397" si="72">W393+V394</f>
        <v>0.006341716309</v>
      </c>
      <c r="X394" s="229"/>
    </row>
    <row r="395">
      <c r="A395" s="19" t="s">
        <v>269</v>
      </c>
      <c r="B395" s="20">
        <v>2.7273</v>
      </c>
      <c r="C395" s="166">
        <f t="shared" si="67"/>
        <v>1</v>
      </c>
      <c r="D395" s="19">
        <v>2.5</v>
      </c>
      <c r="E395" s="19">
        <v>0.0088882</v>
      </c>
      <c r="F395" s="19">
        <v>1.345E-4</v>
      </c>
      <c r="G395" s="19">
        <v>1.0</v>
      </c>
      <c r="H395" s="20">
        <f t="shared" si="68"/>
        <v>0.04848157572</v>
      </c>
      <c r="I395" s="230">
        <f t="shared" si="69"/>
        <v>0.0002203707987</v>
      </c>
      <c r="J395" s="230">
        <f t="shared" si="71"/>
        <v>0.006929192481</v>
      </c>
      <c r="K395" s="25"/>
      <c r="L395" s="166">
        <v>1.0</v>
      </c>
      <c r="M395" s="166">
        <v>0.0</v>
      </c>
      <c r="N395" s="166">
        <v>0.0</v>
      </c>
      <c r="O395" s="25"/>
      <c r="P395" s="19" t="s">
        <v>269</v>
      </c>
      <c r="Q395" s="20">
        <v>2.7273</v>
      </c>
      <c r="R395" s="80">
        <v>1.0</v>
      </c>
      <c r="S395" s="19">
        <v>2.5</v>
      </c>
      <c r="T395" s="19">
        <v>1.0</v>
      </c>
      <c r="U395" s="19">
        <v>16.8</v>
      </c>
      <c r="V395" s="231">
        <f t="shared" si="70"/>
        <v>0.0002082665455</v>
      </c>
      <c r="W395" s="230">
        <f t="shared" si="72"/>
        <v>0.006549982855</v>
      </c>
      <c r="X395" s="229"/>
    </row>
    <row r="396">
      <c r="A396" s="19" t="s">
        <v>270</v>
      </c>
      <c r="B396" s="20">
        <v>1.8182</v>
      </c>
      <c r="C396" s="166">
        <f t="shared" si="67"/>
        <v>1</v>
      </c>
      <c r="D396" s="19">
        <v>2.5</v>
      </c>
      <c r="E396" s="19">
        <v>0.0088882</v>
      </c>
      <c r="F396" s="19">
        <v>1.345E-4</v>
      </c>
      <c r="G396" s="19">
        <v>1.0</v>
      </c>
      <c r="H396" s="20">
        <f t="shared" si="68"/>
        <v>0.03232105048</v>
      </c>
      <c r="I396" s="230">
        <f t="shared" si="69"/>
        <v>0.0001469138658</v>
      </c>
      <c r="J396" s="230">
        <f t="shared" si="71"/>
        <v>0.007076106347</v>
      </c>
      <c r="K396" s="25"/>
      <c r="L396" s="166">
        <v>1.0</v>
      </c>
      <c r="M396" s="166">
        <v>0.0</v>
      </c>
      <c r="N396" s="166">
        <v>0.0</v>
      </c>
      <c r="O396" s="25"/>
      <c r="P396" s="19" t="s">
        <v>270</v>
      </c>
      <c r="Q396" s="20">
        <v>1.8182</v>
      </c>
      <c r="R396" s="80">
        <v>1.0</v>
      </c>
      <c r="S396" s="19">
        <v>2.5</v>
      </c>
      <c r="T396" s="19">
        <v>1.0</v>
      </c>
      <c r="U396" s="19">
        <v>16.8</v>
      </c>
      <c r="V396" s="231">
        <f t="shared" si="70"/>
        <v>0.0001388443636</v>
      </c>
      <c r="W396" s="230">
        <f t="shared" si="72"/>
        <v>0.006688827218</v>
      </c>
      <c r="X396" s="229"/>
    </row>
    <row r="397">
      <c r="A397" s="19" t="s">
        <v>271</v>
      </c>
      <c r="B397" s="20">
        <v>0.9091</v>
      </c>
      <c r="C397" s="166">
        <f t="shared" si="67"/>
        <v>1</v>
      </c>
      <c r="D397" s="19">
        <v>2.5</v>
      </c>
      <c r="E397" s="19">
        <v>0.0088882</v>
      </c>
      <c r="F397" s="19">
        <v>1.345E-4</v>
      </c>
      <c r="G397" s="19">
        <v>1.0</v>
      </c>
      <c r="H397" s="20">
        <f t="shared" si="68"/>
        <v>0.01616052524</v>
      </c>
      <c r="I397" s="230">
        <f t="shared" si="69"/>
        <v>0.00007345693291</v>
      </c>
      <c r="J397" s="230">
        <f t="shared" si="71"/>
        <v>0.00714956328</v>
      </c>
      <c r="K397" s="25"/>
      <c r="L397" s="166">
        <v>1.0</v>
      </c>
      <c r="M397" s="166">
        <v>0.0</v>
      </c>
      <c r="N397" s="166">
        <v>0.0</v>
      </c>
      <c r="O397" s="25"/>
      <c r="P397" s="19" t="s">
        <v>271</v>
      </c>
      <c r="Q397" s="20">
        <v>0.9091</v>
      </c>
      <c r="R397" s="80">
        <v>1.0</v>
      </c>
      <c r="S397" s="19">
        <v>2.5</v>
      </c>
      <c r="T397" s="19">
        <v>1.0</v>
      </c>
      <c r="U397" s="19">
        <v>16.8</v>
      </c>
      <c r="V397" s="231">
        <f t="shared" si="70"/>
        <v>0.00006942218182</v>
      </c>
      <c r="W397" s="230">
        <f t="shared" si="72"/>
        <v>0.0067582494</v>
      </c>
      <c r="X397" s="229"/>
    </row>
    <row r="398">
      <c r="A398" s="87" t="s">
        <v>220</v>
      </c>
      <c r="B398" s="5"/>
      <c r="C398" s="5"/>
      <c r="D398" s="5"/>
      <c r="E398" s="5"/>
      <c r="F398" s="5"/>
      <c r="G398" s="5"/>
      <c r="H398" s="5"/>
      <c r="I398" s="5"/>
      <c r="J398" s="5"/>
      <c r="K398" s="25"/>
      <c r="L398" s="25"/>
      <c r="M398" s="25"/>
      <c r="N398" s="25"/>
      <c r="O398" s="25"/>
      <c r="P398" s="87" t="s">
        <v>220</v>
      </c>
      <c r="Q398" s="5"/>
      <c r="R398" s="5"/>
      <c r="S398" s="5"/>
      <c r="T398" s="5"/>
      <c r="U398" s="5"/>
      <c r="V398" s="5"/>
      <c r="W398" s="6"/>
      <c r="X398" s="229"/>
    </row>
    <row r="399">
      <c r="A399" s="89" t="s">
        <v>272</v>
      </c>
      <c r="B399" s="89" t="s">
        <v>137</v>
      </c>
      <c r="C399" s="89" t="s">
        <v>138</v>
      </c>
      <c r="D399" s="89" t="s">
        <v>139</v>
      </c>
      <c r="E399" s="89" t="s">
        <v>140</v>
      </c>
      <c r="F399" s="89" t="s">
        <v>141</v>
      </c>
      <c r="G399" s="89" t="s">
        <v>24</v>
      </c>
      <c r="H399" s="89" t="s">
        <v>142</v>
      </c>
      <c r="I399" s="89" t="s">
        <v>143</v>
      </c>
      <c r="J399" s="89" t="s">
        <v>144</v>
      </c>
      <c r="K399" s="25"/>
      <c r="L399" s="147" t="s">
        <v>145</v>
      </c>
      <c r="M399" s="91" t="s">
        <v>146</v>
      </c>
      <c r="N399" s="91" t="s">
        <v>147</v>
      </c>
      <c r="O399" s="25"/>
      <c r="P399" s="89" t="s">
        <v>272</v>
      </c>
      <c r="Q399" s="89" t="s">
        <v>137</v>
      </c>
      <c r="R399" s="89" t="s">
        <v>138</v>
      </c>
      <c r="S399" s="89" t="s">
        <v>139</v>
      </c>
      <c r="T399" s="89" t="s">
        <v>24</v>
      </c>
      <c r="U399" s="89" t="s">
        <v>148</v>
      </c>
      <c r="V399" s="89" t="s">
        <v>143</v>
      </c>
      <c r="W399" s="89" t="s">
        <v>144</v>
      </c>
      <c r="X399" s="229"/>
    </row>
    <row r="400">
      <c r="A400" s="19" t="s">
        <v>273</v>
      </c>
      <c r="B400" s="20">
        <v>6.8182</v>
      </c>
      <c r="C400" s="166">
        <f>L400+(M400*1.5)+N400</f>
        <v>7.2</v>
      </c>
      <c r="D400" s="19">
        <v>2.5</v>
      </c>
      <c r="E400" s="19">
        <v>0.0088882</v>
      </c>
      <c r="F400" s="19">
        <v>1.345E-4</v>
      </c>
      <c r="G400" s="19">
        <v>0.9</v>
      </c>
      <c r="H400" s="20">
        <f>2*B400*C400*(E400*G400+F400*SIN(ACOS(G400)))</f>
        <v>0.7911519066</v>
      </c>
      <c r="I400" s="230">
        <f>H400/220</f>
        <v>0.00359614503</v>
      </c>
      <c r="J400" s="230">
        <f>I400</f>
        <v>0.00359614503</v>
      </c>
      <c r="K400" s="25"/>
      <c r="L400" s="166">
        <v>2.7</v>
      </c>
      <c r="M400" s="166">
        <v>2.0</v>
      </c>
      <c r="N400" s="166">
        <v>1.5</v>
      </c>
      <c r="O400" s="25"/>
      <c r="P400" s="19" t="s">
        <v>273</v>
      </c>
      <c r="Q400" s="20">
        <v>6.8182</v>
      </c>
      <c r="R400" s="80">
        <v>7.2</v>
      </c>
      <c r="S400" s="19">
        <v>2.5</v>
      </c>
      <c r="T400" s="19">
        <v>0.9</v>
      </c>
      <c r="U400" s="19">
        <v>16.8</v>
      </c>
      <c r="V400" s="231">
        <f>(U400*Q400*R400/1000)/220</f>
        <v>0.003748770327</v>
      </c>
      <c r="W400" s="230">
        <f>V400</f>
        <v>0.003748770327</v>
      </c>
      <c r="X400" s="229"/>
    </row>
    <row r="401">
      <c r="A401" s="87" t="s">
        <v>274</v>
      </c>
      <c r="B401" s="5"/>
      <c r="C401" s="5"/>
      <c r="D401" s="5"/>
      <c r="E401" s="5"/>
      <c r="F401" s="5"/>
      <c r="G401" s="5"/>
      <c r="H401" s="5"/>
      <c r="I401" s="5"/>
      <c r="J401" s="5"/>
      <c r="K401" s="25"/>
      <c r="L401" s="25"/>
      <c r="M401" s="25"/>
      <c r="N401" s="25"/>
      <c r="O401" s="25"/>
      <c r="P401" s="87" t="s">
        <v>274</v>
      </c>
      <c r="Q401" s="5"/>
      <c r="R401" s="5"/>
      <c r="S401" s="5"/>
      <c r="T401" s="5"/>
      <c r="U401" s="5"/>
      <c r="V401" s="5"/>
      <c r="W401" s="6"/>
      <c r="X401" s="229"/>
    </row>
    <row r="402">
      <c r="A402" s="89" t="s">
        <v>275</v>
      </c>
      <c r="B402" s="89" t="s">
        <v>137</v>
      </c>
      <c r="C402" s="89" t="s">
        <v>138</v>
      </c>
      <c r="D402" s="89" t="s">
        <v>139</v>
      </c>
      <c r="E402" s="89" t="s">
        <v>140</v>
      </c>
      <c r="F402" s="89" t="s">
        <v>141</v>
      </c>
      <c r="G402" s="89" t="s">
        <v>24</v>
      </c>
      <c r="H402" s="89" t="s">
        <v>142</v>
      </c>
      <c r="I402" s="89" t="s">
        <v>143</v>
      </c>
      <c r="J402" s="89" t="s">
        <v>144</v>
      </c>
      <c r="K402" s="25"/>
      <c r="L402" s="147" t="s">
        <v>145</v>
      </c>
      <c r="M402" s="91" t="s">
        <v>146</v>
      </c>
      <c r="N402" s="91" t="s">
        <v>147</v>
      </c>
      <c r="O402" s="25"/>
      <c r="P402" s="89" t="s">
        <v>275</v>
      </c>
      <c r="Q402" s="89" t="s">
        <v>137</v>
      </c>
      <c r="R402" s="89" t="s">
        <v>138</v>
      </c>
      <c r="S402" s="89" t="s">
        <v>139</v>
      </c>
      <c r="T402" s="89" t="s">
        <v>24</v>
      </c>
      <c r="U402" s="89" t="s">
        <v>148</v>
      </c>
      <c r="V402" s="89" t="s">
        <v>143</v>
      </c>
      <c r="W402" s="89" t="s">
        <v>144</v>
      </c>
      <c r="X402" s="229"/>
    </row>
    <row r="403">
      <c r="A403" s="19" t="s">
        <v>276</v>
      </c>
      <c r="B403" s="20">
        <v>7.2727</v>
      </c>
      <c r="C403" s="166">
        <f t="shared" ref="C403:C410" si="73">L403+(M403*1.5)+N403</f>
        <v>11.585</v>
      </c>
      <c r="D403" s="19">
        <v>2.5</v>
      </c>
      <c r="E403" s="19">
        <v>0.0088882</v>
      </c>
      <c r="F403" s="19">
        <v>1.345E-4</v>
      </c>
      <c r="G403" s="19">
        <v>1.0</v>
      </c>
      <c r="H403" s="20">
        <f t="shared" ref="H403:H410" si="74">2*B403*C403*(E403*G403+F403*SIN(ACOS(G403)))</f>
        <v>1.497736885</v>
      </c>
      <c r="I403" s="230">
        <f t="shared" ref="I403:I410" si="75">H403/220</f>
        <v>0.006807894933</v>
      </c>
      <c r="J403" s="230">
        <f>I403</f>
        <v>0.006807894933</v>
      </c>
      <c r="K403" s="25"/>
      <c r="L403" s="166">
        <v>7.085</v>
      </c>
      <c r="M403" s="166">
        <v>2.0</v>
      </c>
      <c r="N403" s="166">
        <v>1.5</v>
      </c>
      <c r="O403" s="25"/>
      <c r="P403" s="19" t="s">
        <v>276</v>
      </c>
      <c r="Q403" s="20">
        <v>7.2727</v>
      </c>
      <c r="R403" s="80">
        <v>11.59</v>
      </c>
      <c r="S403" s="19">
        <v>2.5</v>
      </c>
      <c r="T403" s="19">
        <v>1.0</v>
      </c>
      <c r="U403" s="19">
        <v>16.8</v>
      </c>
      <c r="V403" s="231">
        <f t="shared" ref="V403:V410" si="76">(U403*Q403*R403/1000)/220</f>
        <v>0.006436736193</v>
      </c>
      <c r="W403" s="230">
        <f>V403</f>
        <v>0.006436736193</v>
      </c>
      <c r="X403" s="229"/>
    </row>
    <row r="404">
      <c r="A404" s="19" t="s">
        <v>277</v>
      </c>
      <c r="B404" s="20">
        <v>6.3636</v>
      </c>
      <c r="C404" s="166">
        <f t="shared" si="73"/>
        <v>1</v>
      </c>
      <c r="D404" s="19">
        <v>2.5</v>
      </c>
      <c r="E404" s="19">
        <v>0.0088882</v>
      </c>
      <c r="F404" s="19">
        <v>1.345E-4</v>
      </c>
      <c r="G404" s="19">
        <v>1.0</v>
      </c>
      <c r="H404" s="20">
        <f t="shared" si="74"/>
        <v>0.113121899</v>
      </c>
      <c r="I404" s="230">
        <f t="shared" si="75"/>
        <v>0.0005141904502</v>
      </c>
      <c r="J404" s="230">
        <f t="shared" ref="J404:J410" si="77">J403+I404</f>
        <v>0.007322085383</v>
      </c>
      <c r="K404" s="25"/>
      <c r="L404" s="166">
        <v>1.0</v>
      </c>
      <c r="M404" s="166">
        <v>0.0</v>
      </c>
      <c r="N404" s="166">
        <v>0.0</v>
      </c>
      <c r="O404" s="25"/>
      <c r="P404" s="19" t="s">
        <v>277</v>
      </c>
      <c r="Q404" s="20">
        <v>6.3636</v>
      </c>
      <c r="R404" s="80">
        <v>1.0</v>
      </c>
      <c r="S404" s="19">
        <v>2.5</v>
      </c>
      <c r="T404" s="19">
        <v>1.0</v>
      </c>
      <c r="U404" s="19">
        <v>16.8</v>
      </c>
      <c r="V404" s="231">
        <f t="shared" si="76"/>
        <v>0.0004859476364</v>
      </c>
      <c r="W404" s="230">
        <f t="shared" ref="W404:W410" si="78">W403+V404</f>
        <v>0.006922683829</v>
      </c>
      <c r="X404" s="229"/>
    </row>
    <row r="405">
      <c r="A405" s="19" t="s">
        <v>278</v>
      </c>
      <c r="B405" s="20">
        <v>5.4545</v>
      </c>
      <c r="C405" s="166">
        <f t="shared" si="73"/>
        <v>1</v>
      </c>
      <c r="D405" s="19">
        <v>2.5</v>
      </c>
      <c r="E405" s="19">
        <v>0.0088882</v>
      </c>
      <c r="F405" s="19">
        <v>1.345E-4</v>
      </c>
      <c r="G405" s="19">
        <v>1.0</v>
      </c>
      <c r="H405" s="20">
        <f t="shared" si="74"/>
        <v>0.0969613738</v>
      </c>
      <c r="I405" s="230">
        <f t="shared" si="75"/>
        <v>0.0004407335173</v>
      </c>
      <c r="J405" s="230">
        <f t="shared" si="77"/>
        <v>0.007762818901</v>
      </c>
      <c r="K405" s="25"/>
      <c r="L405" s="166">
        <v>1.0</v>
      </c>
      <c r="M405" s="166">
        <v>0.0</v>
      </c>
      <c r="N405" s="166">
        <v>0.0</v>
      </c>
      <c r="O405" s="25"/>
      <c r="P405" s="19" t="s">
        <v>278</v>
      </c>
      <c r="Q405" s="20">
        <v>5.4545</v>
      </c>
      <c r="R405" s="80">
        <v>1.0</v>
      </c>
      <c r="S405" s="19">
        <v>2.5</v>
      </c>
      <c r="T405" s="19">
        <v>1.0</v>
      </c>
      <c r="U405" s="19">
        <v>16.8</v>
      </c>
      <c r="V405" s="231">
        <f t="shared" si="76"/>
        <v>0.0004165254545</v>
      </c>
      <c r="W405" s="230">
        <f t="shared" si="78"/>
        <v>0.007339209284</v>
      </c>
      <c r="X405" s="229"/>
    </row>
    <row r="406">
      <c r="A406" s="19" t="s">
        <v>279</v>
      </c>
      <c r="B406" s="20">
        <v>4.5455</v>
      </c>
      <c r="C406" s="166">
        <f t="shared" si="73"/>
        <v>1</v>
      </c>
      <c r="D406" s="19">
        <v>2.5</v>
      </c>
      <c r="E406" s="19">
        <v>0.0088882</v>
      </c>
      <c r="F406" s="19">
        <v>1.345E-4</v>
      </c>
      <c r="G406" s="19">
        <v>1.0</v>
      </c>
      <c r="H406" s="20">
        <f t="shared" si="74"/>
        <v>0.0808026262</v>
      </c>
      <c r="I406" s="230">
        <f t="shared" si="75"/>
        <v>0.0003672846645</v>
      </c>
      <c r="J406" s="230">
        <f t="shared" si="77"/>
        <v>0.008130103565</v>
      </c>
      <c r="K406" s="25"/>
      <c r="L406" s="166">
        <v>1.0</v>
      </c>
      <c r="M406" s="166">
        <v>0.0</v>
      </c>
      <c r="N406" s="166">
        <v>0.0</v>
      </c>
      <c r="O406" s="25"/>
      <c r="P406" s="19" t="s">
        <v>279</v>
      </c>
      <c r="Q406" s="20">
        <v>4.5455</v>
      </c>
      <c r="R406" s="80">
        <v>1.0</v>
      </c>
      <c r="S406" s="19">
        <v>2.5</v>
      </c>
      <c r="T406" s="19">
        <v>1.0</v>
      </c>
      <c r="U406" s="19">
        <v>16.8</v>
      </c>
      <c r="V406" s="231">
        <f t="shared" si="76"/>
        <v>0.0003471109091</v>
      </c>
      <c r="W406" s="230">
        <f t="shared" si="78"/>
        <v>0.007686320193</v>
      </c>
      <c r="X406" s="229"/>
    </row>
    <row r="407">
      <c r="A407" s="19" t="s">
        <v>280</v>
      </c>
      <c r="B407" s="20">
        <v>3.6364</v>
      </c>
      <c r="C407" s="166">
        <f t="shared" si="73"/>
        <v>1</v>
      </c>
      <c r="D407" s="19">
        <v>2.5</v>
      </c>
      <c r="E407" s="19">
        <v>0.0088882</v>
      </c>
      <c r="F407" s="19">
        <v>1.345E-4</v>
      </c>
      <c r="G407" s="19">
        <v>1.0</v>
      </c>
      <c r="H407" s="20">
        <f t="shared" si="74"/>
        <v>0.06464210096</v>
      </c>
      <c r="I407" s="230">
        <f t="shared" si="75"/>
        <v>0.0002938277316</v>
      </c>
      <c r="J407" s="230">
        <f t="shared" si="77"/>
        <v>0.008423931297</v>
      </c>
      <c r="K407" s="25"/>
      <c r="L407" s="166">
        <v>1.0</v>
      </c>
      <c r="M407" s="166">
        <v>0.0</v>
      </c>
      <c r="N407" s="166">
        <v>0.0</v>
      </c>
      <c r="O407" s="25"/>
      <c r="P407" s="19" t="s">
        <v>280</v>
      </c>
      <c r="Q407" s="20">
        <v>3.6364</v>
      </c>
      <c r="R407" s="80">
        <v>1.0</v>
      </c>
      <c r="S407" s="19">
        <v>2.5</v>
      </c>
      <c r="T407" s="19">
        <v>1.0</v>
      </c>
      <c r="U407" s="19">
        <v>16.8</v>
      </c>
      <c r="V407" s="231">
        <f t="shared" si="76"/>
        <v>0.0002776887273</v>
      </c>
      <c r="W407" s="230">
        <f t="shared" si="78"/>
        <v>0.00796400892</v>
      </c>
      <c r="X407" s="229"/>
    </row>
    <row r="408">
      <c r="A408" s="19" t="s">
        <v>281</v>
      </c>
      <c r="B408" s="20">
        <v>2.7273</v>
      </c>
      <c r="C408" s="166">
        <f t="shared" si="73"/>
        <v>4.331</v>
      </c>
      <c r="D408" s="19">
        <v>2.5</v>
      </c>
      <c r="E408" s="19">
        <v>0.0088882</v>
      </c>
      <c r="F408" s="19">
        <v>1.345E-4</v>
      </c>
      <c r="G408" s="19">
        <v>1.0</v>
      </c>
      <c r="H408" s="20">
        <f t="shared" si="74"/>
        <v>0.2099737044</v>
      </c>
      <c r="I408" s="230">
        <f t="shared" si="75"/>
        <v>0.0009544259293</v>
      </c>
      <c r="J408" s="230">
        <f t="shared" si="77"/>
        <v>0.009378357226</v>
      </c>
      <c r="K408" s="25"/>
      <c r="L408" s="166">
        <v>1.331</v>
      </c>
      <c r="M408" s="166">
        <v>2.0</v>
      </c>
      <c r="N408" s="166">
        <v>0.0</v>
      </c>
      <c r="O408" s="25"/>
      <c r="P408" s="19" t="s">
        <v>281</v>
      </c>
      <c r="Q408" s="20">
        <v>2.7273</v>
      </c>
      <c r="R408" s="80">
        <v>4.33</v>
      </c>
      <c r="S408" s="19">
        <v>2.5</v>
      </c>
      <c r="T408" s="19">
        <v>1.0</v>
      </c>
      <c r="U408" s="19">
        <v>16.8</v>
      </c>
      <c r="V408" s="231">
        <f t="shared" si="76"/>
        <v>0.0009017941418</v>
      </c>
      <c r="W408" s="230">
        <f t="shared" si="78"/>
        <v>0.008865803062</v>
      </c>
      <c r="X408" s="229"/>
    </row>
    <row r="409">
      <c r="A409" s="19" t="s">
        <v>282</v>
      </c>
      <c r="B409" s="20">
        <v>1.8182</v>
      </c>
      <c r="C409" s="166">
        <f t="shared" si="73"/>
        <v>4.4</v>
      </c>
      <c r="D409" s="19">
        <v>2.5</v>
      </c>
      <c r="E409" s="19">
        <v>0.0088882</v>
      </c>
      <c r="F409" s="19">
        <v>1.345E-4</v>
      </c>
      <c r="G409" s="19">
        <v>1.0</v>
      </c>
      <c r="H409" s="20">
        <f t="shared" si="74"/>
        <v>0.1422126221</v>
      </c>
      <c r="I409" s="230">
        <f t="shared" si="75"/>
        <v>0.0006464210096</v>
      </c>
      <c r="J409" s="230">
        <f t="shared" si="77"/>
        <v>0.01002477824</v>
      </c>
      <c r="K409" s="25"/>
      <c r="L409" s="166">
        <v>1.4</v>
      </c>
      <c r="M409" s="166">
        <v>2.0</v>
      </c>
      <c r="N409" s="166">
        <v>0.0</v>
      </c>
      <c r="O409" s="25"/>
      <c r="P409" s="19" t="s">
        <v>282</v>
      </c>
      <c r="Q409" s="20">
        <v>1.8182</v>
      </c>
      <c r="R409" s="80">
        <v>4.4</v>
      </c>
      <c r="S409" s="19">
        <v>2.5</v>
      </c>
      <c r="T409" s="19">
        <v>1.0</v>
      </c>
      <c r="U409" s="19">
        <v>16.8</v>
      </c>
      <c r="V409" s="231">
        <f t="shared" si="76"/>
        <v>0.0006109152</v>
      </c>
      <c r="W409" s="230">
        <f t="shared" si="78"/>
        <v>0.009476718262</v>
      </c>
      <c r="X409" s="229"/>
    </row>
    <row r="410">
      <c r="A410" s="19" t="s">
        <v>283</v>
      </c>
      <c r="B410" s="20">
        <v>0.9091</v>
      </c>
      <c r="C410" s="166">
        <f t="shared" si="73"/>
        <v>5.1</v>
      </c>
      <c r="D410" s="19">
        <v>2.5</v>
      </c>
      <c r="E410" s="19">
        <v>0.0088882</v>
      </c>
      <c r="F410" s="19">
        <v>1.345E-4</v>
      </c>
      <c r="G410" s="19">
        <v>1.0</v>
      </c>
      <c r="H410" s="20">
        <f t="shared" si="74"/>
        <v>0.08241867872</v>
      </c>
      <c r="I410" s="230">
        <f t="shared" si="75"/>
        <v>0.0003746303578</v>
      </c>
      <c r="J410" s="230">
        <f t="shared" si="77"/>
        <v>0.01039940859</v>
      </c>
      <c r="K410" s="25"/>
      <c r="L410" s="166">
        <v>2.1</v>
      </c>
      <c r="M410" s="166">
        <v>2.0</v>
      </c>
      <c r="N410" s="166">
        <v>0.0</v>
      </c>
      <c r="O410" s="25"/>
      <c r="P410" s="19" t="s">
        <v>283</v>
      </c>
      <c r="Q410" s="20">
        <v>0.9091</v>
      </c>
      <c r="R410" s="80">
        <v>5.1</v>
      </c>
      <c r="S410" s="19">
        <v>2.5</v>
      </c>
      <c r="T410" s="19">
        <v>1.0</v>
      </c>
      <c r="U410" s="19">
        <v>16.8</v>
      </c>
      <c r="V410" s="231">
        <f t="shared" si="76"/>
        <v>0.0003540531273</v>
      </c>
      <c r="W410" s="230">
        <f t="shared" si="78"/>
        <v>0.009830771389</v>
      </c>
      <c r="X410" s="229"/>
    </row>
    <row r="411">
      <c r="A411" s="87" t="s">
        <v>284</v>
      </c>
      <c r="B411" s="5"/>
      <c r="C411" s="5"/>
      <c r="D411" s="5"/>
      <c r="E411" s="5"/>
      <c r="F411" s="5"/>
      <c r="G411" s="5"/>
      <c r="H411" s="5"/>
      <c r="I411" s="5"/>
      <c r="J411" s="5"/>
      <c r="K411" s="25"/>
      <c r="L411" s="25"/>
      <c r="M411" s="25"/>
      <c r="N411" s="25"/>
      <c r="O411" s="25"/>
      <c r="P411" s="87" t="s">
        <v>284</v>
      </c>
      <c r="Q411" s="5"/>
      <c r="R411" s="5"/>
      <c r="S411" s="5"/>
      <c r="T411" s="5"/>
      <c r="U411" s="5"/>
      <c r="V411" s="5"/>
      <c r="W411" s="6"/>
      <c r="X411" s="229"/>
    </row>
    <row r="412">
      <c r="A412" s="89" t="s">
        <v>285</v>
      </c>
      <c r="B412" s="89" t="s">
        <v>137</v>
      </c>
      <c r="C412" s="89" t="s">
        <v>138</v>
      </c>
      <c r="D412" s="89" t="s">
        <v>139</v>
      </c>
      <c r="E412" s="89" t="s">
        <v>140</v>
      </c>
      <c r="F412" s="89" t="s">
        <v>141</v>
      </c>
      <c r="G412" s="89" t="s">
        <v>24</v>
      </c>
      <c r="H412" s="89" t="s">
        <v>142</v>
      </c>
      <c r="I412" s="89" t="s">
        <v>143</v>
      </c>
      <c r="J412" s="89" t="s">
        <v>144</v>
      </c>
      <c r="K412" s="25"/>
      <c r="L412" s="147" t="s">
        <v>145</v>
      </c>
      <c r="M412" s="91" t="s">
        <v>146</v>
      </c>
      <c r="N412" s="91" t="s">
        <v>147</v>
      </c>
      <c r="O412" s="25"/>
      <c r="P412" s="89" t="s">
        <v>285</v>
      </c>
      <c r="Q412" s="89" t="s">
        <v>137</v>
      </c>
      <c r="R412" s="89" t="s">
        <v>138</v>
      </c>
      <c r="S412" s="89" t="s">
        <v>139</v>
      </c>
      <c r="T412" s="89" t="s">
        <v>24</v>
      </c>
      <c r="U412" s="89" t="s">
        <v>148</v>
      </c>
      <c r="V412" s="89" t="s">
        <v>143</v>
      </c>
      <c r="W412" s="89" t="s">
        <v>144</v>
      </c>
      <c r="X412" s="229"/>
    </row>
    <row r="413">
      <c r="A413" s="19" t="s">
        <v>286</v>
      </c>
      <c r="B413" s="20">
        <v>7.2727</v>
      </c>
      <c r="C413" s="166">
        <f t="shared" ref="C413:C422" si="79">L413+(M413*1.5)+N413</f>
        <v>4.691</v>
      </c>
      <c r="D413" s="19">
        <v>2.5</v>
      </c>
      <c r="E413" s="19">
        <v>0.0088882</v>
      </c>
      <c r="F413" s="19">
        <v>1.345E-4</v>
      </c>
      <c r="G413" s="19">
        <v>1.0</v>
      </c>
      <c r="H413" s="20">
        <f t="shared" ref="H413:H422" si="80">2*B413*C413*(E413*G413+F413*SIN(ACOS(G413)))</f>
        <v>0.6064638523</v>
      </c>
      <c r="I413" s="230">
        <f t="shared" ref="I413:I422" si="81">H413/220</f>
        <v>0.002756653874</v>
      </c>
      <c r="J413" s="230">
        <f>I413</f>
        <v>0.002756653874</v>
      </c>
      <c r="K413" s="25"/>
      <c r="L413" s="166">
        <v>1.691</v>
      </c>
      <c r="M413" s="166">
        <v>1.0</v>
      </c>
      <c r="N413" s="166">
        <v>1.5</v>
      </c>
      <c r="O413" s="25"/>
      <c r="P413" s="19" t="s">
        <v>287</v>
      </c>
      <c r="Q413" s="20">
        <v>7.2727</v>
      </c>
      <c r="R413" s="80">
        <v>4.77</v>
      </c>
      <c r="S413" s="19">
        <v>2.5</v>
      </c>
      <c r="T413" s="19">
        <v>1.0</v>
      </c>
      <c r="U413" s="19">
        <v>16.8</v>
      </c>
      <c r="V413" s="231">
        <f t="shared" ref="V413:V422" si="82">(U413*Q413*R413/1000)/220</f>
        <v>0.002649114033</v>
      </c>
      <c r="W413" s="230">
        <f>V413</f>
        <v>0.002649114033</v>
      </c>
      <c r="X413" s="229"/>
    </row>
    <row r="414">
      <c r="A414" s="19" t="s">
        <v>288</v>
      </c>
      <c r="B414" s="20">
        <v>6.3636</v>
      </c>
      <c r="C414" s="166">
        <f t="shared" si="79"/>
        <v>0.688</v>
      </c>
      <c r="D414" s="19">
        <v>2.5</v>
      </c>
      <c r="E414" s="19">
        <v>0.0088882</v>
      </c>
      <c r="F414" s="19">
        <v>1.345E-4</v>
      </c>
      <c r="G414" s="19">
        <v>1.0</v>
      </c>
      <c r="H414" s="20">
        <f t="shared" si="80"/>
        <v>0.07782786654</v>
      </c>
      <c r="I414" s="230">
        <f t="shared" si="81"/>
        <v>0.0003537630297</v>
      </c>
      <c r="J414" s="230">
        <f t="shared" ref="J414:J416" si="83">J413+I414</f>
        <v>0.003110416904</v>
      </c>
      <c r="K414" s="25"/>
      <c r="L414" s="166">
        <v>0.688</v>
      </c>
      <c r="M414" s="166">
        <v>0.0</v>
      </c>
      <c r="N414" s="166">
        <v>0.0</v>
      </c>
      <c r="O414" s="25"/>
      <c r="P414" s="19" t="s">
        <v>289</v>
      </c>
      <c r="Q414" s="20">
        <v>6.3636</v>
      </c>
      <c r="R414" s="80">
        <v>5.46</v>
      </c>
      <c r="S414" s="19">
        <v>2.5</v>
      </c>
      <c r="T414" s="19">
        <v>1.0</v>
      </c>
      <c r="U414" s="19">
        <v>16.8</v>
      </c>
      <c r="V414" s="231">
        <f t="shared" si="82"/>
        <v>0.002653274095</v>
      </c>
      <c r="W414" s="230">
        <f t="shared" ref="W414:W422" si="84">W413+V414</f>
        <v>0.005302388127</v>
      </c>
      <c r="X414" s="229"/>
    </row>
    <row r="415">
      <c r="A415" s="19" t="s">
        <v>290</v>
      </c>
      <c r="B415" s="20">
        <v>5.4545</v>
      </c>
      <c r="C415" s="166">
        <f t="shared" si="79"/>
        <v>0.502</v>
      </c>
      <c r="D415" s="19">
        <v>2.5</v>
      </c>
      <c r="E415" s="19">
        <v>0.0088882</v>
      </c>
      <c r="F415" s="19">
        <v>1.345E-4</v>
      </c>
      <c r="G415" s="19">
        <v>1.0</v>
      </c>
      <c r="H415" s="20">
        <f t="shared" si="80"/>
        <v>0.04867460965</v>
      </c>
      <c r="I415" s="230">
        <f t="shared" si="81"/>
        <v>0.0002212482257</v>
      </c>
      <c r="J415" s="230">
        <f t="shared" si="83"/>
        <v>0.003331665129</v>
      </c>
      <c r="K415" s="25"/>
      <c r="L415" s="166">
        <v>0.502</v>
      </c>
      <c r="M415" s="166">
        <v>0.0</v>
      </c>
      <c r="N415" s="166">
        <v>0.0</v>
      </c>
      <c r="O415" s="25"/>
      <c r="P415" s="19" t="s">
        <v>291</v>
      </c>
      <c r="Q415" s="20">
        <v>5.4545</v>
      </c>
      <c r="R415" s="80">
        <v>6.98</v>
      </c>
      <c r="S415" s="19">
        <v>2.5</v>
      </c>
      <c r="T415" s="19">
        <v>1.0</v>
      </c>
      <c r="U415" s="19">
        <v>16.8</v>
      </c>
      <c r="V415" s="231">
        <f t="shared" si="82"/>
        <v>0.002907347673</v>
      </c>
      <c r="W415" s="230">
        <f t="shared" si="84"/>
        <v>0.0082097358</v>
      </c>
      <c r="X415" s="229"/>
    </row>
    <row r="416">
      <c r="A416" s="19" t="s">
        <v>292</v>
      </c>
      <c r="B416" s="20">
        <v>2.7273</v>
      </c>
      <c r="C416" s="166">
        <f t="shared" si="79"/>
        <v>6.581</v>
      </c>
      <c r="D416" s="19">
        <v>2.5</v>
      </c>
      <c r="E416" s="19">
        <v>0.0088882</v>
      </c>
      <c r="F416" s="19">
        <v>1.345E-4</v>
      </c>
      <c r="G416" s="19">
        <v>1.0</v>
      </c>
      <c r="H416" s="20">
        <f t="shared" si="80"/>
        <v>0.3190572498</v>
      </c>
      <c r="I416" s="230">
        <f t="shared" si="81"/>
        <v>0.001450260226</v>
      </c>
      <c r="J416" s="230">
        <f t="shared" si="83"/>
        <v>0.004781925356</v>
      </c>
      <c r="K416" s="25"/>
      <c r="L416" s="166">
        <v>5.081</v>
      </c>
      <c r="M416" s="166">
        <v>1.0</v>
      </c>
      <c r="N416" s="166">
        <v>0.0</v>
      </c>
      <c r="O416" s="25"/>
      <c r="P416" s="19" t="s">
        <v>293</v>
      </c>
      <c r="Q416" s="20">
        <v>4.5455</v>
      </c>
      <c r="R416" s="80">
        <v>9.31</v>
      </c>
      <c r="S416" s="19">
        <v>2.5</v>
      </c>
      <c r="T416" s="19">
        <v>1.0</v>
      </c>
      <c r="U416" s="19">
        <v>16.8</v>
      </c>
      <c r="V416" s="231">
        <f t="shared" si="82"/>
        <v>0.003231602564</v>
      </c>
      <c r="W416" s="230">
        <f t="shared" si="84"/>
        <v>0.01144133836</v>
      </c>
      <c r="X416" s="229"/>
    </row>
    <row r="417">
      <c r="A417" s="19" t="s">
        <v>294</v>
      </c>
      <c r="B417" s="20">
        <v>2.7273</v>
      </c>
      <c r="C417" s="166">
        <f t="shared" si="79"/>
        <v>1.1</v>
      </c>
      <c r="D417" s="19">
        <v>2.5</v>
      </c>
      <c r="E417" s="19">
        <v>0.0088882</v>
      </c>
      <c r="F417" s="19">
        <v>1.345E-4</v>
      </c>
      <c r="G417" s="19">
        <v>1.0</v>
      </c>
      <c r="H417" s="20">
        <f t="shared" si="80"/>
        <v>0.05332973329</v>
      </c>
      <c r="I417" s="230">
        <f t="shared" si="81"/>
        <v>0.0002424078786</v>
      </c>
      <c r="J417" s="230">
        <f>J415+I417</f>
        <v>0.003574073008</v>
      </c>
      <c r="K417" s="25"/>
      <c r="L417" s="166">
        <v>1.1</v>
      </c>
      <c r="M417" s="166">
        <v>0.0</v>
      </c>
      <c r="N417" s="166">
        <v>0.0</v>
      </c>
      <c r="O417" s="25"/>
      <c r="P417" s="19" t="s">
        <v>295</v>
      </c>
      <c r="Q417" s="20">
        <v>3.6364</v>
      </c>
      <c r="R417" s="80">
        <v>10.31</v>
      </c>
      <c r="S417" s="19">
        <v>2.5</v>
      </c>
      <c r="T417" s="19">
        <v>1.0</v>
      </c>
      <c r="U417" s="19">
        <v>16.8</v>
      </c>
      <c r="V417" s="231">
        <f t="shared" si="82"/>
        <v>0.002862970778</v>
      </c>
      <c r="W417" s="230">
        <f t="shared" si="84"/>
        <v>0.01430430914</v>
      </c>
      <c r="X417" s="229"/>
    </row>
    <row r="418">
      <c r="A418" s="19" t="s">
        <v>296</v>
      </c>
      <c r="B418" s="20">
        <v>1.8182</v>
      </c>
      <c r="C418" s="166">
        <f t="shared" si="79"/>
        <v>1.673</v>
      </c>
      <c r="D418" s="19">
        <v>2.5</v>
      </c>
      <c r="E418" s="19">
        <v>0.0088882</v>
      </c>
      <c r="F418" s="19">
        <v>1.345E-4</v>
      </c>
      <c r="G418" s="19">
        <v>1.0</v>
      </c>
      <c r="H418" s="20">
        <f t="shared" si="80"/>
        <v>0.05407311745</v>
      </c>
      <c r="I418" s="230">
        <f t="shared" si="81"/>
        <v>0.0002457868975</v>
      </c>
      <c r="J418" s="230">
        <f t="shared" ref="J418:J420" si="85">J417+I418</f>
        <v>0.003819859906</v>
      </c>
      <c r="K418" s="25"/>
      <c r="L418" s="166">
        <v>1.673</v>
      </c>
      <c r="M418" s="166">
        <v>0.0</v>
      </c>
      <c r="N418" s="166">
        <v>0.0</v>
      </c>
      <c r="O418" s="25"/>
      <c r="P418" s="19" t="s">
        <v>297</v>
      </c>
      <c r="Q418" s="20">
        <v>2.7273</v>
      </c>
      <c r="R418" s="80">
        <v>15.42</v>
      </c>
      <c r="S418" s="19">
        <v>2.5</v>
      </c>
      <c r="T418" s="19">
        <v>1.0</v>
      </c>
      <c r="U418" s="19">
        <v>16.8</v>
      </c>
      <c r="V418" s="231">
        <f t="shared" si="82"/>
        <v>0.003211470131</v>
      </c>
      <c r="W418" s="230">
        <f t="shared" si="84"/>
        <v>0.01751577927</v>
      </c>
      <c r="X418" s="229"/>
    </row>
    <row r="419">
      <c r="A419" s="19" t="s">
        <v>298</v>
      </c>
      <c r="B419" s="20">
        <v>1.8182</v>
      </c>
      <c r="C419" s="166">
        <f t="shared" si="79"/>
        <v>2.075</v>
      </c>
      <c r="D419" s="19">
        <v>2.5</v>
      </c>
      <c r="E419" s="19">
        <v>0.0088882</v>
      </c>
      <c r="F419" s="19">
        <v>1.345E-4</v>
      </c>
      <c r="G419" s="19">
        <v>1.0</v>
      </c>
      <c r="H419" s="20">
        <f t="shared" si="80"/>
        <v>0.06706617975</v>
      </c>
      <c r="I419" s="230">
        <f t="shared" si="81"/>
        <v>0.0003048462716</v>
      </c>
      <c r="J419" s="230">
        <f t="shared" si="85"/>
        <v>0.004124706177</v>
      </c>
      <c r="K419" s="25"/>
      <c r="L419" s="166">
        <v>0.575</v>
      </c>
      <c r="M419" s="166">
        <v>1.0</v>
      </c>
      <c r="N419" s="166">
        <v>0.0</v>
      </c>
      <c r="O419" s="25"/>
      <c r="P419" s="19" t="s">
        <v>299</v>
      </c>
      <c r="Q419" s="20">
        <v>1.8182</v>
      </c>
      <c r="R419" s="80">
        <v>14.75</v>
      </c>
      <c r="S419" s="19">
        <v>2.5</v>
      </c>
      <c r="T419" s="19">
        <v>1.0</v>
      </c>
      <c r="U419" s="19">
        <v>16.8</v>
      </c>
      <c r="V419" s="231">
        <f t="shared" si="82"/>
        <v>0.002047954364</v>
      </c>
      <c r="W419" s="230">
        <f t="shared" si="84"/>
        <v>0.01956373364</v>
      </c>
      <c r="X419" s="229"/>
    </row>
    <row r="420">
      <c r="A420" s="19" t="s">
        <v>300</v>
      </c>
      <c r="B420" s="20">
        <v>0.9091</v>
      </c>
      <c r="C420" s="166">
        <f t="shared" si="79"/>
        <v>1</v>
      </c>
      <c r="D420" s="19">
        <v>2.5</v>
      </c>
      <c r="E420" s="19">
        <v>0.0088882</v>
      </c>
      <c r="F420" s="19">
        <v>1.345E-4</v>
      </c>
      <c r="G420" s="19">
        <v>1.0</v>
      </c>
      <c r="H420" s="20">
        <f t="shared" si="80"/>
        <v>0.01616052524</v>
      </c>
      <c r="I420" s="230">
        <f t="shared" si="81"/>
        <v>0.00007345693291</v>
      </c>
      <c r="J420" s="230">
        <f t="shared" si="85"/>
        <v>0.00419816311</v>
      </c>
      <c r="K420" s="25"/>
      <c r="L420" s="166">
        <v>1.0</v>
      </c>
      <c r="M420" s="166">
        <v>0.0</v>
      </c>
      <c r="N420" s="166">
        <v>0.0</v>
      </c>
      <c r="O420" s="25"/>
      <c r="P420" s="19" t="s">
        <v>301</v>
      </c>
      <c r="Q420" s="20">
        <v>0.9091</v>
      </c>
      <c r="R420" s="80">
        <v>16.44</v>
      </c>
      <c r="S420" s="19">
        <v>2.5</v>
      </c>
      <c r="T420" s="19">
        <v>1.0</v>
      </c>
      <c r="U420" s="19">
        <v>16.8</v>
      </c>
      <c r="V420" s="231">
        <f t="shared" si="82"/>
        <v>0.001141300669</v>
      </c>
      <c r="W420" s="230">
        <f t="shared" si="84"/>
        <v>0.02070503431</v>
      </c>
      <c r="X420" s="229"/>
    </row>
    <row r="421">
      <c r="A421" s="25" t="s">
        <v>302</v>
      </c>
      <c r="B421" s="166">
        <v>1.8182</v>
      </c>
      <c r="C421" s="166">
        <f t="shared" si="79"/>
        <v>2.148</v>
      </c>
      <c r="D421" s="166">
        <v>2.5</v>
      </c>
      <c r="E421" s="166">
        <v>0.0088882</v>
      </c>
      <c r="F421" s="166">
        <v>1.345E-4</v>
      </c>
      <c r="G421" s="166">
        <v>1.0</v>
      </c>
      <c r="H421" s="166">
        <f t="shared" si="80"/>
        <v>0.06942561643</v>
      </c>
      <c r="I421" s="166">
        <f t="shared" si="81"/>
        <v>0.0003155709838</v>
      </c>
      <c r="J421" s="232">
        <f>J416+I421</f>
        <v>0.00509749634</v>
      </c>
      <c r="K421" s="25"/>
      <c r="L421" s="166">
        <v>2.148</v>
      </c>
      <c r="M421" s="166">
        <v>0.0</v>
      </c>
      <c r="N421" s="166">
        <v>0.0</v>
      </c>
      <c r="O421" s="25"/>
      <c r="P421" s="19" t="s">
        <v>302</v>
      </c>
      <c r="Q421" s="20">
        <v>1.818</v>
      </c>
      <c r="R421" s="80">
        <v>2.15</v>
      </c>
      <c r="S421" s="19">
        <v>2.5</v>
      </c>
      <c r="T421" s="19">
        <v>1.0</v>
      </c>
      <c r="U421" s="19">
        <v>16.8</v>
      </c>
      <c r="V421" s="231">
        <f t="shared" si="82"/>
        <v>0.0002984825455</v>
      </c>
      <c r="W421" s="230">
        <f t="shared" si="84"/>
        <v>0.02100351685</v>
      </c>
      <c r="X421" s="229"/>
    </row>
    <row r="422">
      <c r="A422" s="25" t="s">
        <v>303</v>
      </c>
      <c r="B422" s="166">
        <v>0.9091</v>
      </c>
      <c r="C422" s="166">
        <f t="shared" si="79"/>
        <v>1.69</v>
      </c>
      <c r="D422" s="166">
        <v>2.5</v>
      </c>
      <c r="E422" s="166">
        <v>0.0088882</v>
      </c>
      <c r="F422" s="166">
        <v>1.345E-4</v>
      </c>
      <c r="G422" s="166">
        <v>1.0</v>
      </c>
      <c r="H422" s="166">
        <f t="shared" si="80"/>
        <v>0.02731128766</v>
      </c>
      <c r="I422" s="166">
        <f t="shared" si="81"/>
        <v>0.0001241422166</v>
      </c>
      <c r="J422" s="232">
        <f>J421+I422</f>
        <v>0.005221638556</v>
      </c>
      <c r="K422" s="25"/>
      <c r="L422" s="166">
        <v>1.69</v>
      </c>
      <c r="M422" s="166">
        <v>0.0</v>
      </c>
      <c r="N422" s="166">
        <v>0.0</v>
      </c>
      <c r="O422" s="25"/>
      <c r="P422" s="19" t="s">
        <v>303</v>
      </c>
      <c r="Q422" s="20">
        <v>0.9091</v>
      </c>
      <c r="R422" s="80">
        <v>1.69</v>
      </c>
      <c r="S422" s="19">
        <v>2.5</v>
      </c>
      <c r="T422" s="19">
        <v>1.0</v>
      </c>
      <c r="U422" s="19">
        <v>16.8</v>
      </c>
      <c r="V422" s="231">
        <f t="shared" si="82"/>
        <v>0.0001173234873</v>
      </c>
      <c r="W422" s="230">
        <f t="shared" si="84"/>
        <v>0.02112084034</v>
      </c>
      <c r="X422" s="229"/>
    </row>
    <row r="423">
      <c r="A423" s="87" t="s">
        <v>274</v>
      </c>
      <c r="B423" s="5"/>
      <c r="C423" s="5"/>
      <c r="D423" s="5"/>
      <c r="E423" s="5"/>
      <c r="F423" s="5"/>
      <c r="G423" s="5"/>
      <c r="H423" s="5"/>
      <c r="I423" s="5"/>
      <c r="J423" s="5"/>
      <c r="K423" s="25"/>
      <c r="L423" s="25"/>
      <c r="M423" s="25"/>
      <c r="N423" s="25"/>
      <c r="O423" s="25"/>
      <c r="P423" s="87" t="s">
        <v>274</v>
      </c>
      <c r="Q423" s="5"/>
      <c r="R423" s="5"/>
      <c r="S423" s="5"/>
      <c r="T423" s="5"/>
      <c r="U423" s="5"/>
      <c r="V423" s="5"/>
      <c r="W423" s="6"/>
      <c r="X423" s="229"/>
    </row>
    <row r="424">
      <c r="A424" s="89" t="s">
        <v>304</v>
      </c>
      <c r="B424" s="89" t="s">
        <v>137</v>
      </c>
      <c r="C424" s="89" t="s">
        <v>138</v>
      </c>
      <c r="D424" s="89" t="s">
        <v>139</v>
      </c>
      <c r="E424" s="89" t="s">
        <v>140</v>
      </c>
      <c r="F424" s="89" t="s">
        <v>141</v>
      </c>
      <c r="G424" s="89" t="s">
        <v>24</v>
      </c>
      <c r="H424" s="89" t="s">
        <v>142</v>
      </c>
      <c r="I424" s="89" t="s">
        <v>143</v>
      </c>
      <c r="J424" s="89" t="s">
        <v>144</v>
      </c>
      <c r="K424" s="25"/>
      <c r="L424" s="147" t="s">
        <v>145</v>
      </c>
      <c r="M424" s="91" t="s">
        <v>146</v>
      </c>
      <c r="N424" s="91" t="s">
        <v>147</v>
      </c>
      <c r="O424" s="25"/>
      <c r="P424" s="89" t="s">
        <v>304</v>
      </c>
      <c r="Q424" s="89" t="s">
        <v>137</v>
      </c>
      <c r="R424" s="89" t="s">
        <v>138</v>
      </c>
      <c r="S424" s="89" t="s">
        <v>139</v>
      </c>
      <c r="T424" s="89" t="s">
        <v>24</v>
      </c>
      <c r="U424" s="89" t="s">
        <v>148</v>
      </c>
      <c r="V424" s="89" t="s">
        <v>143</v>
      </c>
      <c r="W424" s="89" t="s">
        <v>144</v>
      </c>
      <c r="X424" s="229"/>
    </row>
    <row r="425">
      <c r="A425" s="19" t="s">
        <v>305</v>
      </c>
      <c r="B425" s="20">
        <v>6.8182</v>
      </c>
      <c r="C425" s="166">
        <f>L425+(M425*1.5)+N425</f>
        <v>13.462</v>
      </c>
      <c r="D425" s="19">
        <v>2.5</v>
      </c>
      <c r="E425" s="19">
        <v>0.0088882</v>
      </c>
      <c r="F425" s="19">
        <v>1.345E-4</v>
      </c>
      <c r="G425" s="19">
        <v>0.9</v>
      </c>
      <c r="H425" s="20">
        <f>2*B425*C425*(E425*G425+F425*SIN(ACOS(G425)))</f>
        <v>1.479234301</v>
      </c>
      <c r="I425" s="230">
        <f>H425/220</f>
        <v>0.006723792277</v>
      </c>
      <c r="J425" s="230">
        <f>I425</f>
        <v>0.006723792277</v>
      </c>
      <c r="K425" s="25"/>
      <c r="L425" s="166">
        <v>8.962</v>
      </c>
      <c r="M425" s="166">
        <v>2.0</v>
      </c>
      <c r="N425" s="166">
        <v>1.5</v>
      </c>
      <c r="O425" s="25"/>
      <c r="P425" s="19" t="s">
        <v>305</v>
      </c>
      <c r="Q425" s="20">
        <v>6.8182</v>
      </c>
      <c r="R425" s="80">
        <v>13.46</v>
      </c>
      <c r="S425" s="19">
        <v>2.5</v>
      </c>
      <c r="T425" s="19">
        <v>0.9</v>
      </c>
      <c r="U425" s="19">
        <v>16.8</v>
      </c>
      <c r="V425" s="231">
        <f>(U425*Q425*R425/1000)/220</f>
        <v>0.007008117862</v>
      </c>
      <c r="W425" s="230">
        <f>V425</f>
        <v>0.007008117862</v>
      </c>
      <c r="X425" s="229"/>
    </row>
    <row r="426">
      <c r="A426" s="87" t="s">
        <v>284</v>
      </c>
      <c r="B426" s="5"/>
      <c r="C426" s="5"/>
      <c r="D426" s="5"/>
      <c r="E426" s="5"/>
      <c r="F426" s="5"/>
      <c r="G426" s="5"/>
      <c r="H426" s="5"/>
      <c r="I426" s="5"/>
      <c r="J426" s="5"/>
      <c r="K426" s="25"/>
      <c r="L426" s="25"/>
      <c r="M426" s="25"/>
      <c r="N426" s="25"/>
      <c r="O426" s="25"/>
      <c r="P426" s="87" t="s">
        <v>284</v>
      </c>
      <c r="Q426" s="5"/>
      <c r="R426" s="5"/>
      <c r="S426" s="5"/>
      <c r="T426" s="5"/>
      <c r="U426" s="5"/>
      <c r="V426" s="5"/>
      <c r="W426" s="6"/>
      <c r="X426" s="229"/>
    </row>
    <row r="427">
      <c r="A427" s="89" t="s">
        <v>306</v>
      </c>
      <c r="B427" s="89" t="s">
        <v>137</v>
      </c>
      <c r="C427" s="89" t="s">
        <v>138</v>
      </c>
      <c r="D427" s="89" t="s">
        <v>139</v>
      </c>
      <c r="E427" s="89" t="s">
        <v>140</v>
      </c>
      <c r="F427" s="89" t="s">
        <v>141</v>
      </c>
      <c r="G427" s="89" t="s">
        <v>24</v>
      </c>
      <c r="H427" s="89" t="s">
        <v>142</v>
      </c>
      <c r="I427" s="89" t="s">
        <v>143</v>
      </c>
      <c r="J427" s="89" t="s">
        <v>144</v>
      </c>
      <c r="K427" s="25"/>
      <c r="L427" s="147" t="s">
        <v>145</v>
      </c>
      <c r="M427" s="91" t="s">
        <v>146</v>
      </c>
      <c r="N427" s="91" t="s">
        <v>147</v>
      </c>
      <c r="O427" s="25"/>
      <c r="P427" s="89" t="s">
        <v>306</v>
      </c>
      <c r="Q427" s="89" t="s">
        <v>137</v>
      </c>
      <c r="R427" s="89" t="s">
        <v>138</v>
      </c>
      <c r="S427" s="89" t="s">
        <v>139</v>
      </c>
      <c r="T427" s="89" t="s">
        <v>24</v>
      </c>
      <c r="U427" s="89" t="s">
        <v>148</v>
      </c>
      <c r="V427" s="89" t="s">
        <v>143</v>
      </c>
      <c r="W427" s="89" t="s">
        <v>144</v>
      </c>
      <c r="X427" s="229"/>
    </row>
    <row r="428">
      <c r="A428" s="19" t="s">
        <v>307</v>
      </c>
      <c r="B428" s="20">
        <v>6.8182</v>
      </c>
      <c r="C428" s="166">
        <f>L428+(M428*1.5)+N428</f>
        <v>12.462</v>
      </c>
      <c r="D428" s="19">
        <v>2.5</v>
      </c>
      <c r="E428" s="19">
        <v>0.0088882</v>
      </c>
      <c r="F428" s="19">
        <v>1.345E-4</v>
      </c>
      <c r="G428" s="19">
        <v>0.9</v>
      </c>
      <c r="H428" s="20">
        <f>2*B428*C428*(E428*G428+F428*SIN(ACOS(G428)))</f>
        <v>1.369352092</v>
      </c>
      <c r="I428" s="230">
        <f>H428/220</f>
        <v>0.00622432769</v>
      </c>
      <c r="J428" s="230">
        <f>I428</f>
        <v>0.00622432769</v>
      </c>
      <c r="K428" s="25"/>
      <c r="L428" s="166">
        <v>7.962</v>
      </c>
      <c r="M428" s="166">
        <v>2.0</v>
      </c>
      <c r="N428" s="166">
        <v>1.5</v>
      </c>
      <c r="O428" s="25"/>
      <c r="P428" s="19" t="s">
        <v>307</v>
      </c>
      <c r="Q428" s="20">
        <v>6.8182</v>
      </c>
      <c r="R428" s="80">
        <v>12.46</v>
      </c>
      <c r="S428" s="19">
        <v>2.5</v>
      </c>
      <c r="T428" s="19">
        <v>0.9</v>
      </c>
      <c r="U428" s="19">
        <v>16.8</v>
      </c>
      <c r="V428" s="231">
        <f>(U428*Q428*R428/1000)/220</f>
        <v>0.006487455316</v>
      </c>
      <c r="W428" s="230">
        <f>V428</f>
        <v>0.006487455316</v>
      </c>
      <c r="X428" s="229"/>
    </row>
    <row r="429">
      <c r="A429" s="87" t="s">
        <v>238</v>
      </c>
      <c r="B429" s="5"/>
      <c r="C429" s="5"/>
      <c r="D429" s="5"/>
      <c r="E429" s="5"/>
      <c r="F429" s="5"/>
      <c r="G429" s="5"/>
      <c r="H429" s="5"/>
      <c r="I429" s="5"/>
      <c r="J429" s="5"/>
      <c r="K429" s="25"/>
      <c r="L429" s="25"/>
      <c r="M429" s="25"/>
      <c r="N429" s="25"/>
      <c r="O429" s="25"/>
      <c r="P429" s="87" t="s">
        <v>238</v>
      </c>
      <c r="Q429" s="5"/>
      <c r="R429" s="5"/>
      <c r="S429" s="5"/>
      <c r="T429" s="5"/>
      <c r="U429" s="5"/>
      <c r="V429" s="5"/>
      <c r="W429" s="6"/>
      <c r="X429" s="229"/>
    </row>
    <row r="430">
      <c r="A430" s="89" t="s">
        <v>308</v>
      </c>
      <c r="B430" s="89" t="s">
        <v>137</v>
      </c>
      <c r="C430" s="89" t="s">
        <v>138</v>
      </c>
      <c r="D430" s="89" t="s">
        <v>139</v>
      </c>
      <c r="E430" s="89" t="s">
        <v>140</v>
      </c>
      <c r="F430" s="89" t="s">
        <v>141</v>
      </c>
      <c r="G430" s="89" t="s">
        <v>24</v>
      </c>
      <c r="H430" s="89" t="s">
        <v>142</v>
      </c>
      <c r="I430" s="89" t="s">
        <v>143</v>
      </c>
      <c r="J430" s="89" t="s">
        <v>144</v>
      </c>
      <c r="K430" s="25"/>
      <c r="L430" s="147" t="s">
        <v>145</v>
      </c>
      <c r="M430" s="91" t="s">
        <v>146</v>
      </c>
      <c r="N430" s="91" t="s">
        <v>147</v>
      </c>
      <c r="O430" s="25"/>
      <c r="P430" s="89" t="s">
        <v>308</v>
      </c>
      <c r="Q430" s="89" t="s">
        <v>137</v>
      </c>
      <c r="R430" s="89" t="s">
        <v>138</v>
      </c>
      <c r="S430" s="89" t="s">
        <v>139</v>
      </c>
      <c r="T430" s="89" t="s">
        <v>24</v>
      </c>
      <c r="U430" s="89" t="s">
        <v>148</v>
      </c>
      <c r="V430" s="89" t="s">
        <v>143</v>
      </c>
      <c r="W430" s="89" t="s">
        <v>144</v>
      </c>
      <c r="X430" s="229"/>
    </row>
    <row r="431">
      <c r="A431" s="19" t="s">
        <v>309</v>
      </c>
      <c r="B431" s="20">
        <v>2.7273</v>
      </c>
      <c r="C431" s="166">
        <f>L431+(M431*1.5)+N431</f>
        <v>5.215</v>
      </c>
      <c r="D431" s="19">
        <v>2.5</v>
      </c>
      <c r="E431" s="19">
        <v>0.0088882</v>
      </c>
      <c r="F431" s="19">
        <v>1.345E-4</v>
      </c>
      <c r="G431" s="19">
        <v>1.0</v>
      </c>
      <c r="H431" s="20">
        <f>2*B431*C431*(E431*G431+F431*SIN(ACOS(G431)))</f>
        <v>0.2528314174</v>
      </c>
      <c r="I431" s="230">
        <f>H431/220</f>
        <v>0.001149233715</v>
      </c>
      <c r="J431" s="230">
        <f>I431</f>
        <v>0.001149233715</v>
      </c>
      <c r="K431" s="25"/>
      <c r="L431" s="166">
        <v>2.215</v>
      </c>
      <c r="M431" s="166">
        <v>1.0</v>
      </c>
      <c r="N431" s="166">
        <v>1.5</v>
      </c>
      <c r="O431" s="25"/>
      <c r="P431" s="19" t="s">
        <v>309</v>
      </c>
      <c r="Q431" s="20">
        <v>2.7273</v>
      </c>
      <c r="R431" s="80">
        <v>5.21</v>
      </c>
      <c r="S431" s="19">
        <v>2.5</v>
      </c>
      <c r="T431" s="19">
        <v>1.0</v>
      </c>
      <c r="U431" s="19">
        <v>16.8</v>
      </c>
      <c r="V431" s="231">
        <f>(U431*Q431*R431/1000)/220</f>
        <v>0.001085068702</v>
      </c>
      <c r="W431" s="230">
        <f>V431</f>
        <v>0.001085068702</v>
      </c>
      <c r="X431" s="229"/>
    </row>
    <row r="432">
      <c r="A432" s="87" t="s">
        <v>238</v>
      </c>
      <c r="B432" s="5"/>
      <c r="C432" s="5"/>
      <c r="D432" s="5"/>
      <c r="E432" s="5"/>
      <c r="F432" s="5"/>
      <c r="G432" s="5"/>
      <c r="H432" s="5"/>
      <c r="I432" s="5"/>
      <c r="J432" s="5"/>
      <c r="K432" s="25"/>
      <c r="L432" s="25"/>
      <c r="M432" s="25"/>
      <c r="N432" s="25"/>
      <c r="O432" s="25"/>
      <c r="P432" s="87" t="s">
        <v>238</v>
      </c>
      <c r="Q432" s="5"/>
      <c r="R432" s="5"/>
      <c r="S432" s="5"/>
      <c r="T432" s="5"/>
      <c r="U432" s="5"/>
      <c r="V432" s="5"/>
      <c r="W432" s="6"/>
      <c r="X432" s="229"/>
    </row>
    <row r="433">
      <c r="A433" s="89" t="s">
        <v>310</v>
      </c>
      <c r="B433" s="89" t="s">
        <v>137</v>
      </c>
      <c r="C433" s="89" t="s">
        <v>138</v>
      </c>
      <c r="D433" s="89" t="s">
        <v>139</v>
      </c>
      <c r="E433" s="89" t="s">
        <v>140</v>
      </c>
      <c r="F433" s="89" t="s">
        <v>141</v>
      </c>
      <c r="G433" s="89" t="s">
        <v>24</v>
      </c>
      <c r="H433" s="89" t="s">
        <v>142</v>
      </c>
      <c r="I433" s="89" t="s">
        <v>143</v>
      </c>
      <c r="J433" s="89" t="s">
        <v>144</v>
      </c>
      <c r="K433" s="25"/>
      <c r="L433" s="147" t="s">
        <v>145</v>
      </c>
      <c r="M433" s="91" t="s">
        <v>146</v>
      </c>
      <c r="N433" s="91" t="s">
        <v>147</v>
      </c>
      <c r="O433" s="25"/>
      <c r="P433" s="89" t="s">
        <v>310</v>
      </c>
      <c r="Q433" s="89" t="s">
        <v>137</v>
      </c>
      <c r="R433" s="89" t="s">
        <v>138</v>
      </c>
      <c r="S433" s="89" t="s">
        <v>139</v>
      </c>
      <c r="T433" s="89" t="s">
        <v>24</v>
      </c>
      <c r="U433" s="89" t="s">
        <v>148</v>
      </c>
      <c r="V433" s="89" t="s">
        <v>143</v>
      </c>
      <c r="W433" s="89" t="s">
        <v>144</v>
      </c>
      <c r="X433" s="229"/>
    </row>
    <row r="434">
      <c r="A434" s="19" t="s">
        <v>311</v>
      </c>
      <c r="B434" s="20">
        <v>40.9091</v>
      </c>
      <c r="C434" s="166">
        <f>L434+(M434*1.5)+N434</f>
        <v>8.363</v>
      </c>
      <c r="D434" s="19">
        <v>16.0</v>
      </c>
      <c r="E434" s="19">
        <v>0.0013888</v>
      </c>
      <c r="F434" s="19">
        <v>1.168E-4</v>
      </c>
      <c r="G434" s="19">
        <v>1.0</v>
      </c>
      <c r="H434" s="20">
        <f>2*B434*C434*(E434*G434+F434*SIN(ACOS(G434)))</f>
        <v>0.9502802984</v>
      </c>
      <c r="I434" s="230">
        <f>H434/220</f>
        <v>0.004319455902</v>
      </c>
      <c r="J434" s="230">
        <f>I434</f>
        <v>0.004319455902</v>
      </c>
      <c r="K434" s="25"/>
      <c r="L434" s="166">
        <v>5.363</v>
      </c>
      <c r="M434" s="166">
        <v>1.0</v>
      </c>
      <c r="N434" s="166">
        <v>1.5</v>
      </c>
      <c r="O434" s="25"/>
      <c r="P434" s="19" t="s">
        <v>311</v>
      </c>
      <c r="Q434" s="20">
        <v>40.9091</v>
      </c>
      <c r="R434" s="80">
        <v>8.36</v>
      </c>
      <c r="S434" s="19">
        <v>16.0</v>
      </c>
      <c r="T434" s="19">
        <v>1.0</v>
      </c>
      <c r="U434" s="19">
        <v>2.27</v>
      </c>
      <c r="V434" s="231">
        <f>(U434*Q434*R434/1000)/220</f>
        <v>0.003528818966</v>
      </c>
      <c r="W434" s="230">
        <f>V434</f>
        <v>0.003528818966</v>
      </c>
      <c r="X434" s="229"/>
    </row>
    <row r="435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229"/>
    </row>
    <row r="436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229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</row>
  </sheetData>
  <mergeCells count="67">
    <mergeCell ref="A331:I331"/>
    <mergeCell ref="A332:I332"/>
    <mergeCell ref="A334:H334"/>
    <mergeCell ref="A375:G376"/>
    <mergeCell ref="A378:G379"/>
    <mergeCell ref="N378:T379"/>
    <mergeCell ref="A383:J383"/>
    <mergeCell ref="P382:W382"/>
    <mergeCell ref="P383:W383"/>
    <mergeCell ref="A398:J398"/>
    <mergeCell ref="A401:J401"/>
    <mergeCell ref="A411:J411"/>
    <mergeCell ref="A423:J423"/>
    <mergeCell ref="A426:J426"/>
    <mergeCell ref="A429:J429"/>
    <mergeCell ref="A432:J432"/>
    <mergeCell ref="A391:J391"/>
    <mergeCell ref="P391:W391"/>
    <mergeCell ref="P398:W398"/>
    <mergeCell ref="P401:W401"/>
    <mergeCell ref="P411:W411"/>
    <mergeCell ref="P423:W423"/>
    <mergeCell ref="P426:W426"/>
    <mergeCell ref="H26:N26"/>
    <mergeCell ref="A37:J37"/>
    <mergeCell ref="P37:W37"/>
    <mergeCell ref="P38:W38"/>
    <mergeCell ref="P46:W46"/>
    <mergeCell ref="A47:J47"/>
    <mergeCell ref="P47:W47"/>
    <mergeCell ref="A61:I61"/>
    <mergeCell ref="P62:R62"/>
    <mergeCell ref="A63:I63"/>
    <mergeCell ref="A64:I64"/>
    <mergeCell ref="A66:H66"/>
    <mergeCell ref="A107:G108"/>
    <mergeCell ref="A110:G111"/>
    <mergeCell ref="N110:T111"/>
    <mergeCell ref="P138:W138"/>
    <mergeCell ref="A139:J139"/>
    <mergeCell ref="P139:W139"/>
    <mergeCell ref="A153:I153"/>
    <mergeCell ref="P154:R154"/>
    <mergeCell ref="A155:I155"/>
    <mergeCell ref="A156:I156"/>
    <mergeCell ref="A158:H158"/>
    <mergeCell ref="A199:G200"/>
    <mergeCell ref="A202:G203"/>
    <mergeCell ref="N202:T203"/>
    <mergeCell ref="P227:W227"/>
    <mergeCell ref="P228:W228"/>
    <mergeCell ref="A228:J228"/>
    <mergeCell ref="A242:I242"/>
    <mergeCell ref="P243:R243"/>
    <mergeCell ref="A244:I244"/>
    <mergeCell ref="A245:I245"/>
    <mergeCell ref="A247:H247"/>
    <mergeCell ref="A288:G289"/>
    <mergeCell ref="A291:G292"/>
    <mergeCell ref="N291:T292"/>
    <mergeCell ref="P314:W314"/>
    <mergeCell ref="A315:J315"/>
    <mergeCell ref="P315:W315"/>
    <mergeCell ref="A329:I329"/>
    <mergeCell ref="P330:R330"/>
    <mergeCell ref="P429:W429"/>
    <mergeCell ref="P432:W432"/>
  </mergeCells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25"/>
  </cols>
  <sheetData>
    <row r="1">
      <c r="A1" s="74" t="s">
        <v>118</v>
      </c>
    </row>
    <row r="2">
      <c r="A2" s="56"/>
      <c r="B2" s="56"/>
      <c r="C2" s="56"/>
      <c r="D2" s="56"/>
      <c r="E2" s="38" t="s">
        <v>119</v>
      </c>
      <c r="F2" s="5"/>
      <c r="G2" s="6"/>
    </row>
    <row r="3">
      <c r="A3" s="7" t="s">
        <v>12</v>
      </c>
      <c r="B3" s="7" t="s">
        <v>13</v>
      </c>
      <c r="C3" s="7" t="s">
        <v>14</v>
      </c>
      <c r="D3" s="75" t="s">
        <v>121</v>
      </c>
      <c r="E3" s="77" t="s">
        <v>122</v>
      </c>
      <c r="F3" s="77" t="s">
        <v>123</v>
      </c>
      <c r="G3" s="77" t="s">
        <v>124</v>
      </c>
    </row>
    <row r="4">
      <c r="A4" s="8" t="s">
        <v>26</v>
      </c>
      <c r="B4" s="14" t="s">
        <v>29</v>
      </c>
      <c r="C4" s="15" t="s">
        <v>32</v>
      </c>
      <c r="D4" s="80">
        <f>QDF!K3</f>
        <v>800</v>
      </c>
      <c r="E4" s="81">
        <v>0.0</v>
      </c>
      <c r="F4" s="36" t="s">
        <v>126</v>
      </c>
      <c r="G4" s="36" t="s">
        <v>126</v>
      </c>
    </row>
    <row r="5">
      <c r="A5" s="21" t="s">
        <v>38</v>
      </c>
      <c r="B5" s="14" t="s">
        <v>40</v>
      </c>
      <c r="C5" s="22" t="s">
        <v>11</v>
      </c>
      <c r="D5" s="80">
        <f>QDF!K4</f>
        <v>800</v>
      </c>
      <c r="E5" s="36" t="s">
        <v>126</v>
      </c>
      <c r="F5" s="81" t="s">
        <v>126</v>
      </c>
      <c r="G5" s="65">
        <v>800.0</v>
      </c>
    </row>
    <row r="6">
      <c r="A6" s="26"/>
      <c r="B6" s="14" t="s">
        <v>47</v>
      </c>
      <c r="C6" s="26"/>
      <c r="D6" s="80">
        <f>QDF!K5</f>
        <v>1000</v>
      </c>
      <c r="E6" s="36">
        <f>D6/3</f>
        <v>333.3333333</v>
      </c>
      <c r="F6" s="36">
        <f>D6/3</f>
        <v>333.3333333</v>
      </c>
      <c r="G6" s="36">
        <f>D6/3</f>
        <v>333.3333333</v>
      </c>
      <c r="H6" s="63" t="s">
        <v>129</v>
      </c>
    </row>
    <row r="7">
      <c r="A7" s="21" t="s">
        <v>54</v>
      </c>
      <c r="B7" s="14" t="s">
        <v>56</v>
      </c>
      <c r="C7" s="22" t="s">
        <v>31</v>
      </c>
      <c r="D7" s="80">
        <f>QDF!K6</f>
        <v>400</v>
      </c>
      <c r="E7" s="81" t="s">
        <v>126</v>
      </c>
      <c r="F7" s="65">
        <v>400.0</v>
      </c>
      <c r="G7" s="36" t="s">
        <v>126</v>
      </c>
    </row>
    <row r="8" ht="27.75" customHeight="1">
      <c r="A8" s="26"/>
      <c r="B8" s="14" t="s">
        <v>57</v>
      </c>
      <c r="C8" s="26"/>
      <c r="D8" s="80">
        <f>QDF!K7</f>
        <v>1000</v>
      </c>
      <c r="E8" s="36">
        <f>D8/3</f>
        <v>333.3333333</v>
      </c>
      <c r="F8" s="81">
        <f>D8/3</f>
        <v>333.3333333</v>
      </c>
      <c r="G8" s="36">
        <f>D8/3</f>
        <v>333.3333333</v>
      </c>
      <c r="H8" s="63" t="s">
        <v>131</v>
      </c>
    </row>
    <row r="9">
      <c r="A9" s="21" t="s">
        <v>58</v>
      </c>
      <c r="B9" s="14" t="s">
        <v>59</v>
      </c>
      <c r="C9" s="28" t="s">
        <v>60</v>
      </c>
      <c r="D9" s="80">
        <f>QDF!K8</f>
        <v>800</v>
      </c>
      <c r="E9" s="65" t="s">
        <v>126</v>
      </c>
      <c r="F9" s="65">
        <v>800.0</v>
      </c>
      <c r="G9" s="81" t="s">
        <v>126</v>
      </c>
    </row>
    <row r="10">
      <c r="A10" s="26"/>
      <c r="B10" s="14" t="s">
        <v>62</v>
      </c>
      <c r="C10" s="26"/>
      <c r="D10" s="80">
        <f>QDF!K9</f>
        <v>1000</v>
      </c>
      <c r="E10" s="36">
        <f>D10/3</f>
        <v>333.3333333</v>
      </c>
      <c r="F10" s="36">
        <f>D10/3</f>
        <v>333.3333333</v>
      </c>
      <c r="G10" s="65">
        <f>D10/3</f>
        <v>333.3333333</v>
      </c>
      <c r="H10" s="63" t="s">
        <v>131</v>
      </c>
    </row>
    <row r="11">
      <c r="A11" s="21" t="s">
        <v>63</v>
      </c>
      <c r="B11" s="14" t="s">
        <v>64</v>
      </c>
      <c r="C11" s="22" t="s">
        <v>37</v>
      </c>
      <c r="D11" s="80">
        <f>QDF!K10</f>
        <v>1200</v>
      </c>
      <c r="E11" s="65">
        <v>1200.0</v>
      </c>
      <c r="F11" s="65" t="s">
        <v>126</v>
      </c>
      <c r="G11" s="65" t="s">
        <v>126</v>
      </c>
    </row>
    <row r="12">
      <c r="A12" s="30"/>
      <c r="B12" s="14" t="s">
        <v>65</v>
      </c>
      <c r="C12" s="26"/>
      <c r="D12" s="80">
        <f>QDF!K11</f>
        <v>1000</v>
      </c>
      <c r="E12" s="65">
        <f>D12/3</f>
        <v>333.3333333</v>
      </c>
      <c r="F12" s="65">
        <f>D12/3</f>
        <v>333.3333333</v>
      </c>
      <c r="G12" s="65">
        <f>D12/3</f>
        <v>333.3333333</v>
      </c>
      <c r="H12" s="63" t="s">
        <v>131</v>
      </c>
    </row>
    <row r="13">
      <c r="A13" s="30"/>
      <c r="B13" s="16" t="s">
        <v>67</v>
      </c>
      <c r="C13" s="23"/>
      <c r="D13" s="36"/>
      <c r="E13" s="36"/>
      <c r="F13" s="36"/>
      <c r="G13" s="36"/>
    </row>
    <row r="14">
      <c r="A14" s="26"/>
      <c r="B14" s="16" t="s">
        <v>69</v>
      </c>
      <c r="C14" s="36"/>
      <c r="D14" s="36"/>
      <c r="E14" s="36"/>
      <c r="F14" s="36"/>
      <c r="G14" s="36"/>
    </row>
    <row r="15">
      <c r="A15" s="34" t="s">
        <v>70</v>
      </c>
      <c r="B15" s="37" t="s">
        <v>71</v>
      </c>
      <c r="C15" s="23" t="s">
        <v>53</v>
      </c>
      <c r="D15" s="92">
        <f>QDF!K14</f>
        <v>1200</v>
      </c>
      <c r="E15" s="92">
        <f>QDF!K14</f>
        <v>1200</v>
      </c>
      <c r="F15" s="80" t="s">
        <v>126</v>
      </c>
      <c r="G15" s="36" t="s">
        <v>126</v>
      </c>
    </row>
    <row r="16">
      <c r="A16" s="26"/>
      <c r="B16" s="37" t="s">
        <v>73</v>
      </c>
      <c r="C16" s="36" t="s">
        <v>53</v>
      </c>
      <c r="D16" s="92">
        <f>QDF!K15</f>
        <v>1000</v>
      </c>
      <c r="E16" s="36" t="s">
        <v>126</v>
      </c>
      <c r="F16" s="92">
        <f>QDF!K15</f>
        <v>1000</v>
      </c>
      <c r="G16" s="36" t="s">
        <v>126</v>
      </c>
    </row>
    <row r="17">
      <c r="A17" s="21" t="s">
        <v>74</v>
      </c>
      <c r="B17" s="37" t="s">
        <v>75</v>
      </c>
      <c r="C17" s="36" t="s">
        <v>77</v>
      </c>
      <c r="D17" s="80">
        <f>QDF!K16</f>
        <v>1500</v>
      </c>
      <c r="E17" s="80">
        <f>QDF!K16</f>
        <v>1500</v>
      </c>
      <c r="F17" s="80" t="s">
        <v>126</v>
      </c>
      <c r="G17" s="36" t="s">
        <v>126</v>
      </c>
    </row>
    <row r="18">
      <c r="A18" s="30"/>
      <c r="B18" s="37" t="s">
        <v>76</v>
      </c>
      <c r="C18" s="23" t="s">
        <v>77</v>
      </c>
      <c r="D18" s="80">
        <f>QDF!K17</f>
        <v>1600</v>
      </c>
      <c r="E18" s="80">
        <f>QDF!K17</f>
        <v>1600</v>
      </c>
      <c r="F18" s="80" t="s">
        <v>126</v>
      </c>
      <c r="G18" s="36" t="s">
        <v>126</v>
      </c>
    </row>
    <row r="19">
      <c r="A19" s="30"/>
      <c r="B19" s="23" t="s">
        <v>78</v>
      </c>
      <c r="C19" s="23" t="s">
        <v>46</v>
      </c>
      <c r="D19" s="80">
        <f>QDF!K18</f>
        <v>1600</v>
      </c>
      <c r="E19" s="36" t="s">
        <v>126</v>
      </c>
      <c r="F19" s="80">
        <f>QDF!K18</f>
        <v>1600</v>
      </c>
      <c r="G19" s="36" t="s">
        <v>126</v>
      </c>
    </row>
    <row r="20">
      <c r="A20" s="26"/>
      <c r="B20" s="23" t="s">
        <v>80</v>
      </c>
      <c r="C20" s="23" t="s">
        <v>46</v>
      </c>
      <c r="D20" s="80">
        <f>QDF!K19</f>
        <v>1500</v>
      </c>
      <c r="E20" s="36" t="s">
        <v>126</v>
      </c>
      <c r="F20" s="80">
        <f>QDF!K19</f>
        <v>1500</v>
      </c>
      <c r="G20" s="36" t="s">
        <v>126</v>
      </c>
    </row>
    <row r="21">
      <c r="A21" s="21" t="s">
        <v>81</v>
      </c>
      <c r="B21" s="23" t="s">
        <v>82</v>
      </c>
      <c r="C21" s="23" t="s">
        <v>86</v>
      </c>
      <c r="D21" s="80">
        <f>QDF!K20</f>
        <v>1500</v>
      </c>
      <c r="E21" s="36" t="s">
        <v>126</v>
      </c>
      <c r="F21" s="80">
        <f>QDF!K20</f>
        <v>1500</v>
      </c>
      <c r="G21" s="36" t="s">
        <v>126</v>
      </c>
    </row>
    <row r="22">
      <c r="A22" s="30"/>
      <c r="B22" s="23" t="s">
        <v>85</v>
      </c>
      <c r="C22" s="23" t="s">
        <v>86</v>
      </c>
      <c r="D22" s="80">
        <f>QDF!K21</f>
        <v>600</v>
      </c>
      <c r="E22" s="80">
        <f>QDF!K21</f>
        <v>600</v>
      </c>
      <c r="F22" s="80" t="s">
        <v>126</v>
      </c>
      <c r="G22" s="36" t="s">
        <v>126</v>
      </c>
    </row>
    <row r="23">
      <c r="A23" s="30"/>
      <c r="B23" s="23" t="s">
        <v>91</v>
      </c>
      <c r="C23" s="36" t="s">
        <v>86</v>
      </c>
      <c r="D23" s="80">
        <f>QDF!K22</f>
        <v>9000</v>
      </c>
      <c r="E23" s="36" t="s">
        <v>126</v>
      </c>
      <c r="F23" s="80" t="s">
        <v>126</v>
      </c>
      <c r="G23" s="80">
        <f>QDF!K22</f>
        <v>9000</v>
      </c>
    </row>
    <row r="24">
      <c r="A24" s="26"/>
      <c r="B24" s="36" t="s">
        <v>95</v>
      </c>
      <c r="C24" s="36" t="s">
        <v>86</v>
      </c>
      <c r="D24" s="80" t="str">
        <f>QDF!K23</f>
        <v/>
      </c>
      <c r="E24" s="36" t="s">
        <v>126</v>
      </c>
      <c r="F24" s="80" t="str">
        <f>QDF!K23</f>
        <v/>
      </c>
      <c r="G24" s="36" t="s">
        <v>126</v>
      </c>
    </row>
    <row r="25">
      <c r="A25" s="39"/>
      <c r="B25" s="107"/>
      <c r="C25" s="36"/>
      <c r="D25" s="80"/>
      <c r="E25" s="36"/>
      <c r="F25" s="36"/>
      <c r="G25" s="80"/>
    </row>
    <row r="26">
      <c r="A26" s="36"/>
      <c r="B26" s="36"/>
      <c r="C26" s="36"/>
      <c r="D26" s="36"/>
      <c r="E26" s="36"/>
      <c r="F26" s="36"/>
      <c r="G26" s="36"/>
    </row>
    <row r="27">
      <c r="A27" s="108" t="s">
        <v>149</v>
      </c>
      <c r="B27" s="5"/>
      <c r="C27" s="5"/>
      <c r="D27" s="6"/>
      <c r="E27" s="80">
        <f t="shared" ref="E27:G27" si="1">SUM(E2:E26)</f>
        <v>7433.333333</v>
      </c>
      <c r="F27" s="80">
        <f t="shared" si="1"/>
        <v>8133.333333</v>
      </c>
      <c r="G27" s="80">
        <f t="shared" si="1"/>
        <v>11133.33333</v>
      </c>
    </row>
    <row r="28">
      <c r="A28" s="108" t="s">
        <v>152</v>
      </c>
      <c r="B28" s="5"/>
      <c r="C28" s="5"/>
      <c r="D28" s="6"/>
      <c r="E28" s="117">
        <f>SUM(E27:G27)</f>
        <v>26700</v>
      </c>
      <c r="F28" s="5"/>
      <c r="G28" s="6"/>
    </row>
    <row r="29">
      <c r="A29" s="36"/>
      <c r="B29" s="36"/>
      <c r="C29" s="36" t="s">
        <v>155</v>
      </c>
      <c r="D29" s="36"/>
      <c r="E29" s="120">
        <f>E28/3</f>
        <v>8900</v>
      </c>
      <c r="F29" s="5"/>
      <c r="G29" s="6"/>
    </row>
    <row r="30">
      <c r="A30" s="36"/>
      <c r="B30" s="36"/>
      <c r="C30" s="36" t="s">
        <v>159</v>
      </c>
      <c r="D30" s="36"/>
      <c r="E30" s="120">
        <f>G27/220</f>
        <v>50.60606061</v>
      </c>
      <c r="F30" s="5"/>
      <c r="G30" s="6"/>
    </row>
    <row r="35">
      <c r="C35" s="25" t="s">
        <v>163</v>
      </c>
    </row>
  </sheetData>
  <mergeCells count="23">
    <mergeCell ref="H10:M10"/>
    <mergeCell ref="H12:M12"/>
    <mergeCell ref="A1:G1"/>
    <mergeCell ref="E2:G2"/>
    <mergeCell ref="A5:A6"/>
    <mergeCell ref="C5:C6"/>
    <mergeCell ref="H6:M6"/>
    <mergeCell ref="C7:C8"/>
    <mergeCell ref="H8:M8"/>
    <mergeCell ref="A21:A24"/>
    <mergeCell ref="A27:D27"/>
    <mergeCell ref="A28:D28"/>
    <mergeCell ref="E28:G28"/>
    <mergeCell ref="E29:G29"/>
    <mergeCell ref="E30:G30"/>
    <mergeCell ref="C35:L35"/>
    <mergeCell ref="A7:A8"/>
    <mergeCell ref="A9:A10"/>
    <mergeCell ref="C9:C10"/>
    <mergeCell ref="A11:A14"/>
    <mergeCell ref="C11:C12"/>
    <mergeCell ref="A15:A16"/>
    <mergeCell ref="A17:A2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63"/>
    <col customWidth="1" min="3" max="3" width="23.0"/>
    <col customWidth="1" min="5" max="5" width="36.13"/>
  </cols>
  <sheetData>
    <row r="1">
      <c r="A1" s="112" t="s">
        <v>150</v>
      </c>
      <c r="B1" s="114"/>
      <c r="C1" s="114"/>
      <c r="D1" s="114"/>
      <c r="E1" s="114"/>
      <c r="F1" s="114"/>
      <c r="G1" s="114"/>
      <c r="H1" s="115"/>
      <c r="I1" s="25"/>
      <c r="J1" s="25"/>
      <c r="K1" s="25"/>
      <c r="L1" s="25"/>
      <c r="M1" s="25"/>
      <c r="N1" s="25"/>
      <c r="O1" s="25"/>
    </row>
    <row r="2">
      <c r="A2" s="118" t="s">
        <v>154</v>
      </c>
      <c r="B2" s="118" t="s">
        <v>14</v>
      </c>
      <c r="C2" s="118" t="s">
        <v>157</v>
      </c>
      <c r="D2" s="118" t="s">
        <v>158</v>
      </c>
      <c r="E2" s="118" t="s">
        <v>160</v>
      </c>
      <c r="F2" s="124" t="s">
        <v>161</v>
      </c>
      <c r="G2" s="5"/>
      <c r="H2" s="126"/>
      <c r="I2" s="25"/>
      <c r="J2" s="25"/>
      <c r="K2" s="25"/>
      <c r="L2" s="25"/>
      <c r="M2" s="25"/>
      <c r="N2" s="25"/>
      <c r="O2" s="25"/>
    </row>
    <row r="3">
      <c r="A3" s="128"/>
      <c r="B3" s="128"/>
      <c r="C3" s="128"/>
      <c r="D3" s="128"/>
      <c r="E3" s="128"/>
      <c r="F3" s="130" t="s">
        <v>122</v>
      </c>
      <c r="G3" s="130" t="s">
        <v>123</v>
      </c>
      <c r="H3" s="131" t="s">
        <v>124</v>
      </c>
      <c r="I3" s="25"/>
      <c r="J3" s="25"/>
      <c r="K3" s="25"/>
      <c r="L3" s="25"/>
      <c r="M3" s="25"/>
      <c r="N3" s="25"/>
      <c r="O3" s="25"/>
    </row>
    <row r="4">
      <c r="A4" s="133" t="str">
        <f>QDF!B3</f>
        <v>T0</v>
      </c>
      <c r="B4" s="133" t="str">
        <f>QDF!C3</f>
        <v>SUBESTAÇÃO</v>
      </c>
      <c r="C4" s="135">
        <f>DISJUNTORES!E3</f>
        <v>10</v>
      </c>
      <c r="D4" s="136"/>
      <c r="E4" s="137"/>
      <c r="F4" s="130" t="str">
        <f>'QDL-BALANÇO TOTAL'!E5</f>
        <v>#REF!</v>
      </c>
      <c r="G4" s="109"/>
      <c r="H4" s="109"/>
      <c r="I4" s="25"/>
      <c r="J4" s="25"/>
      <c r="K4" s="25"/>
      <c r="L4" s="25"/>
      <c r="M4" s="25"/>
      <c r="N4" s="25"/>
      <c r="O4" s="25"/>
    </row>
    <row r="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</row>
    <row r="6">
      <c r="A6" s="140"/>
      <c r="B6" s="140"/>
      <c r="C6" s="140"/>
      <c r="D6" s="140"/>
      <c r="E6" s="140"/>
      <c r="F6" s="140"/>
      <c r="G6" s="140"/>
      <c r="H6" s="140"/>
      <c r="I6" s="125"/>
      <c r="J6" s="125"/>
      <c r="K6" s="125"/>
      <c r="L6" s="25"/>
      <c r="M6" s="25"/>
      <c r="N6" s="25"/>
      <c r="O6" s="25"/>
    </row>
    <row r="7">
      <c r="A7" s="143" t="s">
        <v>167</v>
      </c>
      <c r="B7" s="5"/>
      <c r="C7" s="5"/>
      <c r="D7" s="5"/>
      <c r="E7" s="5"/>
      <c r="F7" s="5"/>
      <c r="G7" s="5"/>
      <c r="H7" s="6"/>
      <c r="I7" s="25"/>
      <c r="J7" s="25"/>
      <c r="K7" s="25"/>
      <c r="L7" s="25"/>
      <c r="M7" s="25"/>
      <c r="N7" s="31" t="s">
        <v>66</v>
      </c>
      <c r="O7" s="25"/>
    </row>
    <row r="8">
      <c r="A8" s="144" t="s">
        <v>154</v>
      </c>
      <c r="B8" s="144" t="s">
        <v>14</v>
      </c>
      <c r="C8" s="144" t="s">
        <v>157</v>
      </c>
      <c r="D8" s="144" t="s">
        <v>158</v>
      </c>
      <c r="E8" s="144" t="s">
        <v>160</v>
      </c>
      <c r="F8" s="146" t="s">
        <v>161</v>
      </c>
      <c r="G8" s="5"/>
      <c r="H8" s="6"/>
      <c r="I8" s="25"/>
      <c r="J8" s="25"/>
      <c r="K8" s="31" t="s">
        <v>170</v>
      </c>
      <c r="L8" s="25"/>
      <c r="M8" s="25"/>
      <c r="N8" s="25"/>
      <c r="O8" s="25"/>
    </row>
    <row r="9">
      <c r="A9" s="26"/>
      <c r="B9" s="26"/>
      <c r="C9" s="26"/>
      <c r="D9" s="26"/>
      <c r="E9" s="26"/>
      <c r="F9" s="19" t="s">
        <v>122</v>
      </c>
      <c r="G9" s="19" t="s">
        <v>123</v>
      </c>
      <c r="H9" s="20" t="s">
        <v>124</v>
      </c>
      <c r="I9" s="25"/>
      <c r="J9" s="25"/>
      <c r="K9" s="25"/>
      <c r="L9" s="25"/>
      <c r="M9" s="25"/>
      <c r="N9" s="25"/>
      <c r="O9" s="25"/>
    </row>
    <row r="10">
      <c r="A10" s="19" t="str">
        <f>QDF!B4</f>
        <v>T1</v>
      </c>
      <c r="B10" s="148" t="str">
        <f>QDF!C4</f>
        <v>SALA DE CALDEIRAS</v>
      </c>
      <c r="C10" s="150">
        <f>DISJUNTORES!E4</f>
        <v>10</v>
      </c>
      <c r="D10" s="151" t="s">
        <v>172</v>
      </c>
      <c r="E10" s="19">
        <v>5.0</v>
      </c>
      <c r="F10" s="19" t="str">
        <f>'QDF-BALANÇO TOTAL'!E5</f>
        <v>-</v>
      </c>
      <c r="G10" s="19" t="str">
        <f>'QDF-BALANÇO TOTAL'!F5</f>
        <v>-</v>
      </c>
      <c r="H10" s="19">
        <f>'QDF-BALANÇO TOTAL'!G5</f>
        <v>800</v>
      </c>
      <c r="I10" s="25"/>
      <c r="J10" s="25"/>
      <c r="K10" s="25"/>
      <c r="L10" s="25"/>
      <c r="M10" s="25"/>
      <c r="N10" s="25"/>
      <c r="O10" s="25"/>
    </row>
    <row r="11">
      <c r="A11" s="19" t="str">
        <f>QDF!B5</f>
        <v>T2</v>
      </c>
      <c r="B11" s="26"/>
      <c r="C11" s="150">
        <f>DISJUNTORES!E5</f>
        <v>10</v>
      </c>
      <c r="D11" s="151" t="s">
        <v>172</v>
      </c>
      <c r="E11" s="19">
        <v>5.0</v>
      </c>
      <c r="F11" s="19">
        <f>'QDF-BALANÇO TOTAL'!E6</f>
        <v>333.3333333</v>
      </c>
      <c r="G11" s="19">
        <f>'QDF-BALANÇO TOTAL'!F6</f>
        <v>333.3333333</v>
      </c>
      <c r="H11" s="19">
        <f>'QDF-BALANÇO TOTAL'!G6</f>
        <v>333.3333333</v>
      </c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O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158" t="s">
        <v>174</v>
      </c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 t="s">
        <v>160</v>
      </c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116" t="s">
        <v>176</v>
      </c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124" t="s">
        <v>180</v>
      </c>
      <c r="K68" s="5"/>
      <c r="L68" s="5"/>
      <c r="M68" s="5"/>
      <c r="N68" s="126"/>
      <c r="O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3">
      <c r="A73" s="143" t="s">
        <v>181</v>
      </c>
      <c r="B73" s="5"/>
      <c r="C73" s="5"/>
      <c r="D73" s="5"/>
      <c r="E73" s="5"/>
      <c r="F73" s="5"/>
      <c r="G73" s="5"/>
      <c r="H73" s="6"/>
    </row>
    <row r="74">
      <c r="A74" s="144" t="s">
        <v>154</v>
      </c>
      <c r="B74" s="144" t="s">
        <v>14</v>
      </c>
      <c r="C74" s="144" t="s">
        <v>157</v>
      </c>
      <c r="D74" s="144" t="s">
        <v>158</v>
      </c>
      <c r="E74" s="144" t="s">
        <v>160</v>
      </c>
      <c r="F74" s="146" t="s">
        <v>161</v>
      </c>
      <c r="G74" s="5"/>
      <c r="H74" s="6"/>
    </row>
    <row r="75">
      <c r="A75" s="26"/>
      <c r="B75" s="26"/>
      <c r="C75" s="26"/>
      <c r="D75" s="26"/>
      <c r="E75" s="26"/>
      <c r="F75" s="19" t="s">
        <v>122</v>
      </c>
      <c r="G75" s="19" t="s">
        <v>123</v>
      </c>
      <c r="H75" s="20" t="s">
        <v>124</v>
      </c>
    </row>
    <row r="76">
      <c r="A76" s="19" t="str">
        <f>QDF!B6</f>
        <v>T3</v>
      </c>
      <c r="B76" s="148" t="str">
        <f>QDF!C6</f>
        <v>COMPRESSOR (BOMBAS E PRENSA)</v>
      </c>
      <c r="C76" s="150">
        <f>DISJUNTORES!E6</f>
        <v>6</v>
      </c>
      <c r="D76" s="168" t="s">
        <v>182</v>
      </c>
      <c r="E76" s="19">
        <v>5.0</v>
      </c>
      <c r="F76" s="19" t="str">
        <f>'QDF-BALANÇO TOTAL'!E7</f>
        <v>-</v>
      </c>
      <c r="G76" s="19">
        <f>'QDF-BALANÇO TOTAL'!F7</f>
        <v>400</v>
      </c>
      <c r="H76" s="19" t="str">
        <f>'QDF-BALANÇO TOTAL'!G7</f>
        <v>-</v>
      </c>
    </row>
    <row r="77">
      <c r="A77" s="19" t="str">
        <f>QDF!B7</f>
        <v>T4</v>
      </c>
      <c r="B77" s="26"/>
      <c r="C77" s="150">
        <f>DISJUNTORES!E7</f>
        <v>10</v>
      </c>
      <c r="D77" s="151" t="s">
        <v>172</v>
      </c>
      <c r="E77" s="19">
        <v>5.0</v>
      </c>
      <c r="F77" s="19">
        <f>'QDF-BALANÇO TOTAL'!E8</f>
        <v>333.3333333</v>
      </c>
      <c r="G77" s="19">
        <f>'QDF-BALANÇO TOTAL'!F8</f>
        <v>333.3333333</v>
      </c>
      <c r="H77" s="19">
        <f>'QDF-BALANÇO TOTAL'!G8</f>
        <v>333.3333333</v>
      </c>
    </row>
    <row r="79">
      <c r="J79" s="25"/>
      <c r="K79" s="25"/>
      <c r="L79" s="25"/>
      <c r="M79" s="25"/>
      <c r="N79" s="25"/>
      <c r="O79" s="25"/>
    </row>
    <row r="80">
      <c r="J80" s="25"/>
      <c r="K80" s="25"/>
      <c r="L80" s="25"/>
      <c r="M80" s="25"/>
      <c r="N80" s="25"/>
      <c r="O80" s="25"/>
    </row>
    <row r="81">
      <c r="J81" s="25"/>
      <c r="K81" s="25"/>
      <c r="L81" s="25"/>
      <c r="M81" s="25"/>
      <c r="N81" s="25"/>
      <c r="O81" s="25"/>
    </row>
    <row r="82">
      <c r="J82" s="25"/>
      <c r="K82" s="25"/>
      <c r="L82" s="25"/>
      <c r="M82" s="25"/>
      <c r="N82" s="25"/>
      <c r="O82" s="25"/>
    </row>
    <row r="83">
      <c r="J83" s="25"/>
      <c r="K83" s="25"/>
      <c r="L83" s="25"/>
      <c r="M83" s="25"/>
      <c r="N83" s="25"/>
      <c r="O83" s="25"/>
    </row>
    <row r="84">
      <c r="J84" s="25"/>
      <c r="K84" s="25"/>
      <c r="L84" s="25"/>
      <c r="M84" s="25"/>
      <c r="N84" s="25"/>
      <c r="O84" s="25"/>
    </row>
    <row r="85">
      <c r="J85" s="25"/>
      <c r="K85" s="25"/>
      <c r="L85" s="25"/>
      <c r="M85" s="25"/>
      <c r="N85" s="25"/>
      <c r="O85" s="25"/>
    </row>
    <row r="86">
      <c r="J86" s="25"/>
      <c r="K86" s="25"/>
      <c r="L86" s="25"/>
      <c r="M86" s="25"/>
      <c r="N86" s="25"/>
      <c r="O86" s="25"/>
    </row>
    <row r="87">
      <c r="J87" s="25"/>
      <c r="K87" s="25"/>
      <c r="L87" s="25"/>
      <c r="M87" s="25"/>
      <c r="N87" s="25"/>
      <c r="O87" s="25"/>
    </row>
    <row r="88">
      <c r="J88" s="25"/>
      <c r="K88" s="25"/>
      <c r="L88" s="25"/>
      <c r="M88" s="25"/>
      <c r="N88" s="25"/>
      <c r="O88" s="25"/>
    </row>
    <row r="89">
      <c r="J89" s="25"/>
      <c r="K89" s="25"/>
      <c r="L89" s="25"/>
      <c r="M89" s="25"/>
      <c r="N89" s="25"/>
      <c r="O89" s="25"/>
    </row>
    <row r="90">
      <c r="J90" s="25"/>
      <c r="K90" s="25"/>
      <c r="L90" s="25"/>
      <c r="M90" s="25"/>
      <c r="N90" s="25"/>
      <c r="O90" s="25"/>
    </row>
    <row r="91">
      <c r="O91" s="25"/>
    </row>
    <row r="92">
      <c r="J92" s="25"/>
      <c r="K92" s="25"/>
      <c r="L92" s="25"/>
      <c r="M92" s="25"/>
      <c r="N92" s="25"/>
      <c r="O92" s="25"/>
    </row>
    <row r="93">
      <c r="J93" s="25"/>
      <c r="K93" s="25"/>
      <c r="L93" s="25"/>
      <c r="M93" s="25"/>
      <c r="N93" s="25"/>
      <c r="O93" s="25"/>
    </row>
    <row r="94">
      <c r="J94" s="25"/>
      <c r="K94" s="158" t="s">
        <v>174</v>
      </c>
    </row>
    <row r="95">
      <c r="J95" s="25"/>
      <c r="K95" s="25"/>
      <c r="L95" s="25"/>
      <c r="M95" s="25"/>
      <c r="N95" s="25"/>
      <c r="O95" s="25"/>
    </row>
    <row r="96">
      <c r="J96" s="25"/>
      <c r="K96" s="25"/>
      <c r="L96" s="25"/>
      <c r="M96" s="25"/>
      <c r="N96" s="25"/>
      <c r="O96" s="25"/>
    </row>
    <row r="97">
      <c r="J97" s="25"/>
      <c r="K97" s="25"/>
      <c r="L97" s="25"/>
      <c r="M97" s="25"/>
      <c r="N97" s="25"/>
      <c r="O97" s="25"/>
    </row>
    <row r="98">
      <c r="J98" s="25"/>
      <c r="K98" s="25"/>
      <c r="L98" s="25"/>
      <c r="M98" s="25"/>
      <c r="N98" s="25"/>
      <c r="O98" s="25"/>
    </row>
    <row r="99">
      <c r="J99" s="25"/>
      <c r="K99" s="25"/>
      <c r="L99" s="25"/>
      <c r="M99" s="25"/>
      <c r="N99" s="25"/>
      <c r="O99" s="25"/>
    </row>
    <row r="100">
      <c r="J100" s="25"/>
      <c r="K100" s="25"/>
      <c r="L100" s="25"/>
      <c r="M100" s="25"/>
      <c r="N100" s="25"/>
      <c r="O100" s="25"/>
    </row>
    <row r="101">
      <c r="J101" s="25"/>
    </row>
    <row r="102">
      <c r="J102" s="25"/>
      <c r="K102" s="25"/>
      <c r="L102" s="25"/>
      <c r="M102" s="25"/>
      <c r="N102" s="25"/>
      <c r="O102" s="25"/>
    </row>
    <row r="103">
      <c r="J103" s="25"/>
      <c r="K103" s="25"/>
      <c r="L103" s="25"/>
      <c r="M103" s="25"/>
      <c r="N103" s="25"/>
      <c r="O103" s="25"/>
    </row>
    <row r="104">
      <c r="J104" s="25"/>
      <c r="K104" s="25"/>
      <c r="L104" s="25"/>
      <c r="M104" s="25"/>
      <c r="N104" s="25"/>
      <c r="O104" s="25"/>
    </row>
    <row r="105">
      <c r="J105" s="25"/>
      <c r="K105" s="25"/>
      <c r="L105" s="25"/>
      <c r="M105" s="25"/>
      <c r="N105" s="25"/>
      <c r="O105" s="25"/>
    </row>
    <row r="106">
      <c r="J106" s="25"/>
      <c r="K106" s="25"/>
      <c r="L106" s="25"/>
      <c r="M106" s="25"/>
      <c r="N106" s="25"/>
      <c r="O106" s="25"/>
    </row>
    <row r="107">
      <c r="J107" s="25"/>
      <c r="K107" s="25"/>
      <c r="L107" s="25"/>
      <c r="M107" s="25"/>
      <c r="N107" s="25"/>
      <c r="O107" s="25"/>
    </row>
    <row r="108">
      <c r="J108" s="25"/>
      <c r="K108" s="25"/>
      <c r="L108" s="25"/>
      <c r="M108" s="25"/>
      <c r="N108" s="25"/>
      <c r="O108" s="25"/>
    </row>
    <row r="109">
      <c r="J109" s="25"/>
      <c r="K109" s="25"/>
      <c r="L109" s="25"/>
      <c r="M109" s="25"/>
      <c r="N109" s="25"/>
      <c r="O109" s="25"/>
    </row>
    <row r="110">
      <c r="J110" s="25"/>
      <c r="K110" s="25"/>
      <c r="L110" s="25"/>
      <c r="M110" s="25"/>
      <c r="N110" s="25"/>
      <c r="O110" s="25"/>
    </row>
    <row r="111">
      <c r="J111" s="25"/>
      <c r="K111" s="25"/>
      <c r="L111" s="25"/>
      <c r="M111" s="25"/>
      <c r="N111" s="25"/>
      <c r="O111" s="25"/>
    </row>
    <row r="112">
      <c r="J112" s="25"/>
      <c r="K112" s="25"/>
      <c r="L112" s="25"/>
      <c r="M112" s="25"/>
      <c r="N112" s="25"/>
      <c r="O112" s="25"/>
    </row>
    <row r="113">
      <c r="J113" s="25"/>
      <c r="K113" s="25"/>
      <c r="L113" s="25"/>
      <c r="M113" s="25"/>
      <c r="N113" s="25"/>
      <c r="O113" s="25"/>
    </row>
    <row r="114">
      <c r="J114" s="25" t="s">
        <v>160</v>
      </c>
    </row>
    <row r="115">
      <c r="J115" s="25"/>
      <c r="K115" s="25"/>
      <c r="L115" s="25"/>
      <c r="M115" s="25"/>
      <c r="N115" s="25"/>
      <c r="O115" s="25"/>
    </row>
    <row r="116">
      <c r="J116" s="116" t="s">
        <v>176</v>
      </c>
    </row>
    <row r="117">
      <c r="J117" s="25"/>
      <c r="K117" s="25"/>
      <c r="L117" s="25"/>
      <c r="M117" s="25"/>
      <c r="N117" s="25"/>
      <c r="O117" s="25"/>
    </row>
    <row r="118">
      <c r="J118" s="25"/>
      <c r="K118" s="25"/>
      <c r="L118" s="25"/>
      <c r="M118" s="25"/>
      <c r="N118" s="25"/>
      <c r="O118" s="25"/>
    </row>
    <row r="119">
      <c r="J119" s="25"/>
      <c r="K119" s="25"/>
      <c r="L119" s="25"/>
      <c r="M119" s="25"/>
      <c r="N119" s="25"/>
      <c r="O119" s="25"/>
    </row>
    <row r="120">
      <c r="J120" s="25"/>
      <c r="K120" s="25"/>
      <c r="L120" s="25"/>
      <c r="M120" s="25"/>
      <c r="N120" s="25"/>
      <c r="O120" s="25"/>
    </row>
    <row r="121">
      <c r="J121" s="25"/>
      <c r="K121" s="25"/>
      <c r="L121" s="25"/>
      <c r="M121" s="25"/>
      <c r="N121" s="25"/>
      <c r="O121" s="25"/>
    </row>
    <row r="122">
      <c r="J122" s="25"/>
      <c r="K122" s="25"/>
      <c r="L122" s="25"/>
      <c r="M122" s="25"/>
      <c r="N122" s="25"/>
      <c r="O122" s="25"/>
    </row>
    <row r="123">
      <c r="J123" s="25"/>
      <c r="K123" s="25"/>
      <c r="L123" s="25"/>
      <c r="M123" s="25"/>
      <c r="N123" s="25"/>
      <c r="O123" s="25"/>
    </row>
    <row r="124">
      <c r="J124" s="25"/>
      <c r="K124" s="25"/>
      <c r="L124" s="25"/>
      <c r="M124" s="25"/>
      <c r="N124" s="25"/>
      <c r="O124" s="25"/>
    </row>
    <row r="125">
      <c r="J125" s="25"/>
      <c r="K125" s="25"/>
      <c r="L125" s="25"/>
      <c r="M125" s="25"/>
      <c r="N125" s="25"/>
      <c r="O125" s="25"/>
    </row>
    <row r="126">
      <c r="J126" s="25"/>
      <c r="K126" s="25"/>
      <c r="L126" s="25"/>
      <c r="M126" s="25"/>
      <c r="N126" s="25"/>
      <c r="O126" s="25"/>
    </row>
    <row r="127">
      <c r="J127" s="25"/>
      <c r="K127" s="25"/>
      <c r="L127" s="25"/>
      <c r="M127" s="25"/>
      <c r="N127" s="25"/>
      <c r="O127" s="25"/>
    </row>
    <row r="128">
      <c r="J128" s="25"/>
      <c r="K128" s="25"/>
      <c r="L128" s="25"/>
      <c r="M128" s="25"/>
      <c r="N128" s="25"/>
      <c r="O128" s="25"/>
    </row>
    <row r="129">
      <c r="J129" s="25"/>
      <c r="K129" s="25"/>
      <c r="L129" s="25"/>
      <c r="M129" s="25"/>
      <c r="N129" s="25"/>
      <c r="O129" s="25"/>
    </row>
    <row r="130">
      <c r="J130" s="25"/>
      <c r="K130" s="25"/>
      <c r="L130" s="25"/>
      <c r="M130" s="25"/>
      <c r="N130" s="25"/>
      <c r="O130" s="25"/>
    </row>
    <row r="131">
      <c r="J131" s="25"/>
      <c r="K131" s="25"/>
      <c r="L131" s="25"/>
      <c r="M131" s="25"/>
      <c r="N131" s="25"/>
      <c r="O131" s="25"/>
    </row>
    <row r="132">
      <c r="J132" s="25"/>
      <c r="K132" s="25"/>
      <c r="L132" s="25"/>
      <c r="M132" s="25"/>
      <c r="N132" s="25"/>
      <c r="O132" s="25"/>
    </row>
    <row r="133">
      <c r="J133" s="25"/>
      <c r="K133" s="25"/>
      <c r="L133" s="25"/>
      <c r="M133" s="25"/>
      <c r="N133" s="25"/>
      <c r="O133" s="25"/>
    </row>
    <row r="134">
      <c r="J134" s="25"/>
      <c r="K134" s="25"/>
      <c r="L134" s="25"/>
      <c r="M134" s="25"/>
      <c r="N134" s="25"/>
      <c r="O134" s="25"/>
    </row>
    <row r="135">
      <c r="J135" s="25"/>
      <c r="K135" s="25"/>
      <c r="L135" s="25"/>
      <c r="M135" s="25"/>
      <c r="N135" s="25"/>
      <c r="O135" s="25"/>
    </row>
    <row r="136">
      <c r="J136" s="124" t="s">
        <v>180</v>
      </c>
      <c r="K136" s="5"/>
      <c r="L136" s="5"/>
      <c r="M136" s="5"/>
      <c r="N136" s="126"/>
      <c r="O136" s="25"/>
    </row>
    <row r="137">
      <c r="J137" s="25"/>
      <c r="K137" s="25"/>
      <c r="L137" s="25"/>
      <c r="M137" s="25"/>
      <c r="N137" s="25"/>
      <c r="O137" s="25"/>
    </row>
    <row r="139">
      <c r="A139" s="143" t="s">
        <v>193</v>
      </c>
      <c r="B139" s="5"/>
      <c r="C139" s="5"/>
      <c r="D139" s="5"/>
      <c r="E139" s="5"/>
      <c r="F139" s="5"/>
      <c r="G139" s="5"/>
      <c r="H139" s="6"/>
    </row>
    <row r="140">
      <c r="A140" s="144" t="s">
        <v>154</v>
      </c>
      <c r="B140" s="144" t="s">
        <v>14</v>
      </c>
      <c r="C140" s="144" t="s">
        <v>157</v>
      </c>
      <c r="D140" s="144" t="s">
        <v>158</v>
      </c>
      <c r="E140" s="144" t="s">
        <v>160</v>
      </c>
      <c r="F140" s="146" t="s">
        <v>161</v>
      </c>
      <c r="G140" s="5"/>
      <c r="H140" s="6"/>
    </row>
    <row r="141">
      <c r="A141" s="26"/>
      <c r="B141" s="26"/>
      <c r="C141" s="26"/>
      <c r="D141" s="26"/>
      <c r="E141" s="26"/>
      <c r="F141" s="19" t="s">
        <v>122</v>
      </c>
      <c r="G141" s="19" t="s">
        <v>123</v>
      </c>
      <c r="H141" s="20" t="s">
        <v>124</v>
      </c>
    </row>
    <row r="142">
      <c r="A142" s="19" t="str">
        <f>QDF!B8</f>
        <v>T5</v>
      </c>
      <c r="B142" s="148" t="str">
        <f>QDF!C8</f>
        <v>DEPÓSITO DE CARCAÇAS</v>
      </c>
      <c r="C142" s="150">
        <f>DISJUNTORES!E8</f>
        <v>10</v>
      </c>
      <c r="D142" s="168" t="s">
        <v>172</v>
      </c>
      <c r="E142" s="19">
        <v>5.0</v>
      </c>
      <c r="F142" s="19" t="str">
        <f>'QDF-BALANÇO TOTAL'!E9</f>
        <v>-</v>
      </c>
      <c r="G142" s="19">
        <f>'QDF-BALANÇO TOTAL'!F9</f>
        <v>800</v>
      </c>
      <c r="H142" s="19" t="str">
        <f>'QDF-BALANÇO TOTAL'!G9</f>
        <v>-</v>
      </c>
    </row>
    <row r="143">
      <c r="A143" s="19" t="str">
        <f>QDF!B9</f>
        <v>T6</v>
      </c>
      <c r="B143" s="26"/>
      <c r="C143" s="150">
        <f>DISJUNTORES!E9</f>
        <v>10</v>
      </c>
      <c r="D143" s="151" t="s">
        <v>172</v>
      </c>
      <c r="E143" s="19">
        <v>5.0</v>
      </c>
      <c r="F143" s="19">
        <f>'QDF-BALANÇO TOTAL'!E10</f>
        <v>333.3333333</v>
      </c>
      <c r="G143" s="19">
        <f>'QDF-BALANÇO TOTAL'!F10</f>
        <v>333.3333333</v>
      </c>
      <c r="H143" s="19">
        <f>'QDF-BALANÇO TOTAL'!G10</f>
        <v>333.3333333</v>
      </c>
    </row>
    <row r="146">
      <c r="K146" s="25"/>
      <c r="L146" s="25"/>
      <c r="M146" s="25"/>
      <c r="N146" s="25"/>
      <c r="O146" s="25"/>
      <c r="P146" s="25"/>
    </row>
    <row r="147">
      <c r="K147" s="25"/>
      <c r="L147" s="25"/>
      <c r="M147" s="25"/>
      <c r="N147" s="25"/>
      <c r="O147" s="25"/>
      <c r="P147" s="25"/>
    </row>
    <row r="148">
      <c r="K148" s="25"/>
      <c r="L148" s="25"/>
      <c r="M148" s="25"/>
      <c r="N148" s="25"/>
      <c r="O148" s="25"/>
      <c r="P148" s="25"/>
    </row>
    <row r="149">
      <c r="K149" s="25"/>
      <c r="L149" s="25"/>
      <c r="M149" s="25"/>
      <c r="N149" s="25"/>
      <c r="O149" s="25"/>
      <c r="P149" s="25"/>
    </row>
    <row r="150">
      <c r="K150" s="25"/>
      <c r="L150" s="25"/>
      <c r="M150" s="25"/>
      <c r="N150" s="25"/>
      <c r="O150" s="25"/>
      <c r="P150" s="25"/>
    </row>
    <row r="151">
      <c r="K151" s="25"/>
      <c r="L151" s="25"/>
      <c r="M151" s="25"/>
      <c r="N151" s="25"/>
      <c r="O151" s="25"/>
      <c r="P151" s="25"/>
    </row>
    <row r="152">
      <c r="K152" s="25"/>
      <c r="L152" s="25"/>
      <c r="M152" s="25"/>
      <c r="N152" s="25"/>
      <c r="O152" s="25"/>
      <c r="P152" s="25"/>
    </row>
    <row r="153">
      <c r="K153" s="25"/>
      <c r="L153" s="25"/>
      <c r="M153" s="25"/>
      <c r="N153" s="25"/>
      <c r="O153" s="25"/>
      <c r="P153" s="25"/>
    </row>
    <row r="154">
      <c r="K154" s="25"/>
      <c r="L154" s="25"/>
      <c r="M154" s="25"/>
      <c r="N154" s="25"/>
      <c r="O154" s="25"/>
      <c r="P154" s="25"/>
    </row>
    <row r="155">
      <c r="K155" s="25"/>
      <c r="L155" s="25"/>
      <c r="M155" s="25"/>
      <c r="N155" s="25"/>
      <c r="O155" s="25"/>
      <c r="P155" s="25"/>
    </row>
    <row r="156">
      <c r="K156" s="25"/>
      <c r="L156" s="25"/>
      <c r="M156" s="25"/>
      <c r="N156" s="25"/>
      <c r="O156" s="25"/>
      <c r="P156" s="25"/>
    </row>
    <row r="157">
      <c r="K157" s="25"/>
      <c r="L157" s="25"/>
      <c r="M157" s="25"/>
      <c r="N157" s="25"/>
      <c r="O157" s="25"/>
      <c r="P157" s="25"/>
    </row>
    <row r="158">
      <c r="P158" s="25"/>
    </row>
    <row r="159">
      <c r="K159" s="25"/>
      <c r="L159" s="25"/>
      <c r="M159" s="25"/>
      <c r="N159" s="25"/>
      <c r="O159" s="25"/>
      <c r="P159" s="25"/>
    </row>
    <row r="160">
      <c r="K160" s="25"/>
      <c r="L160" s="25"/>
      <c r="M160" s="25"/>
      <c r="N160" s="25"/>
      <c r="O160" s="25"/>
      <c r="P160" s="25"/>
    </row>
    <row r="161">
      <c r="K161" s="25"/>
      <c r="L161" s="158" t="s">
        <v>174</v>
      </c>
    </row>
    <row r="162">
      <c r="K162" s="25"/>
      <c r="L162" s="25"/>
      <c r="M162" s="25"/>
      <c r="N162" s="25"/>
      <c r="O162" s="25"/>
      <c r="P162" s="25"/>
    </row>
    <row r="163">
      <c r="K163" s="25"/>
      <c r="L163" s="25"/>
      <c r="M163" s="25"/>
      <c r="N163" s="25"/>
      <c r="O163" s="25"/>
      <c r="P163" s="25"/>
    </row>
    <row r="164">
      <c r="K164" s="25"/>
      <c r="L164" s="25"/>
      <c r="M164" s="25"/>
      <c r="N164" s="25"/>
      <c r="O164" s="25"/>
      <c r="P164" s="25"/>
    </row>
    <row r="165">
      <c r="K165" s="25"/>
      <c r="L165" s="25"/>
      <c r="M165" s="25"/>
      <c r="N165" s="25"/>
      <c r="O165" s="25"/>
      <c r="P165" s="25"/>
    </row>
    <row r="166">
      <c r="K166" s="25"/>
      <c r="L166" s="25"/>
      <c r="M166" s="25"/>
      <c r="N166" s="25"/>
      <c r="O166" s="25"/>
      <c r="P166" s="25"/>
    </row>
    <row r="167">
      <c r="K167" s="25"/>
      <c r="L167" s="25"/>
      <c r="M167" s="25"/>
      <c r="N167" s="25"/>
      <c r="O167" s="25"/>
      <c r="P167" s="25"/>
    </row>
    <row r="168">
      <c r="K168" s="25"/>
    </row>
    <row r="169">
      <c r="K169" s="25"/>
      <c r="L169" s="25"/>
      <c r="M169" s="25"/>
      <c r="N169" s="25"/>
      <c r="O169" s="25"/>
      <c r="P169" s="25"/>
    </row>
    <row r="170">
      <c r="K170" s="25"/>
      <c r="L170" s="25"/>
      <c r="M170" s="25"/>
      <c r="N170" s="25"/>
      <c r="O170" s="25"/>
      <c r="P170" s="25"/>
    </row>
    <row r="171">
      <c r="K171" s="25"/>
      <c r="L171" s="25"/>
      <c r="M171" s="25"/>
      <c r="N171" s="25"/>
      <c r="O171" s="25"/>
      <c r="P171" s="25"/>
    </row>
    <row r="172">
      <c r="K172" s="25"/>
      <c r="L172" s="25"/>
      <c r="M172" s="25"/>
      <c r="N172" s="25"/>
      <c r="O172" s="25"/>
      <c r="P172" s="25"/>
    </row>
    <row r="173">
      <c r="K173" s="25"/>
      <c r="L173" s="25"/>
      <c r="M173" s="25"/>
      <c r="N173" s="25"/>
      <c r="O173" s="25"/>
      <c r="P173" s="25"/>
    </row>
    <row r="174">
      <c r="K174" s="25"/>
      <c r="L174" s="25"/>
      <c r="M174" s="25"/>
      <c r="N174" s="25"/>
      <c r="O174" s="25"/>
      <c r="P174" s="25"/>
    </row>
    <row r="175">
      <c r="K175" s="25"/>
      <c r="L175" s="25"/>
      <c r="M175" s="25"/>
      <c r="N175" s="25"/>
      <c r="O175" s="25"/>
      <c r="P175" s="25"/>
    </row>
    <row r="176">
      <c r="K176" s="25"/>
      <c r="L176" s="25"/>
      <c r="M176" s="25"/>
      <c r="N176" s="25"/>
      <c r="O176" s="25"/>
      <c r="P176" s="25"/>
    </row>
    <row r="177">
      <c r="K177" s="25"/>
      <c r="L177" s="25"/>
      <c r="M177" s="25"/>
      <c r="N177" s="25"/>
      <c r="O177" s="25"/>
      <c r="P177" s="25"/>
    </row>
    <row r="178">
      <c r="K178" s="25"/>
      <c r="L178" s="25"/>
      <c r="M178" s="25"/>
      <c r="N178" s="25"/>
      <c r="O178" s="25"/>
      <c r="P178" s="25"/>
    </row>
    <row r="179">
      <c r="K179" s="25"/>
      <c r="L179" s="25"/>
      <c r="M179" s="25"/>
      <c r="N179" s="25"/>
      <c r="O179" s="25"/>
      <c r="P179" s="25"/>
    </row>
    <row r="180">
      <c r="K180" s="25"/>
      <c r="L180" s="25"/>
      <c r="M180" s="25"/>
      <c r="N180" s="25"/>
      <c r="O180" s="25"/>
      <c r="P180" s="25"/>
    </row>
    <row r="181">
      <c r="K181" s="25" t="s">
        <v>160</v>
      </c>
    </row>
    <row r="182">
      <c r="K182" s="25"/>
      <c r="L182" s="25"/>
      <c r="M182" s="25"/>
      <c r="N182" s="25"/>
      <c r="O182" s="25"/>
      <c r="P182" s="25"/>
    </row>
    <row r="183">
      <c r="K183" s="116" t="s">
        <v>176</v>
      </c>
    </row>
    <row r="184">
      <c r="K184" s="25"/>
      <c r="L184" s="25"/>
      <c r="M184" s="25"/>
      <c r="N184" s="25"/>
      <c r="O184" s="25"/>
      <c r="P184" s="25"/>
    </row>
    <row r="185">
      <c r="K185" s="25"/>
      <c r="L185" s="25"/>
      <c r="M185" s="25"/>
      <c r="N185" s="25"/>
      <c r="O185" s="25"/>
      <c r="P185" s="25"/>
    </row>
    <row r="186">
      <c r="K186" s="25"/>
      <c r="L186" s="25"/>
      <c r="M186" s="25"/>
      <c r="N186" s="25"/>
      <c r="O186" s="25"/>
      <c r="P186" s="25"/>
    </row>
    <row r="187">
      <c r="K187" s="25"/>
      <c r="L187" s="25"/>
      <c r="M187" s="25"/>
      <c r="N187" s="25"/>
      <c r="O187" s="25"/>
      <c r="P187" s="25"/>
    </row>
    <row r="188">
      <c r="K188" s="25"/>
      <c r="L188" s="25"/>
      <c r="M188" s="25"/>
      <c r="N188" s="25"/>
      <c r="O188" s="25"/>
      <c r="P188" s="25"/>
    </row>
    <row r="189">
      <c r="K189" s="25"/>
      <c r="L189" s="25"/>
      <c r="M189" s="25"/>
      <c r="N189" s="25"/>
      <c r="O189" s="25"/>
      <c r="P189" s="25"/>
    </row>
    <row r="190">
      <c r="K190" s="25"/>
      <c r="L190" s="25"/>
      <c r="M190" s="25"/>
      <c r="N190" s="25"/>
      <c r="O190" s="25"/>
      <c r="P190" s="25"/>
    </row>
    <row r="191">
      <c r="K191" s="25"/>
      <c r="L191" s="25"/>
      <c r="M191" s="25"/>
      <c r="N191" s="25"/>
      <c r="O191" s="25"/>
      <c r="P191" s="25"/>
    </row>
    <row r="192">
      <c r="K192" s="25"/>
      <c r="L192" s="25"/>
      <c r="M192" s="25"/>
      <c r="N192" s="25"/>
      <c r="O192" s="25"/>
      <c r="P192" s="25"/>
    </row>
    <row r="193">
      <c r="K193" s="25"/>
      <c r="L193" s="25"/>
      <c r="M193" s="25"/>
      <c r="N193" s="25"/>
      <c r="O193" s="25"/>
      <c r="P193" s="25"/>
    </row>
    <row r="194">
      <c r="K194" s="25"/>
      <c r="L194" s="25"/>
      <c r="M194" s="25"/>
      <c r="N194" s="25"/>
      <c r="O194" s="25"/>
      <c r="P194" s="25"/>
    </row>
    <row r="195">
      <c r="K195" s="25"/>
      <c r="L195" s="25"/>
      <c r="M195" s="25"/>
      <c r="N195" s="25"/>
      <c r="O195" s="25"/>
      <c r="P195" s="25"/>
    </row>
    <row r="196">
      <c r="K196" s="25"/>
      <c r="L196" s="25"/>
      <c r="M196" s="25"/>
      <c r="N196" s="25"/>
      <c r="O196" s="25"/>
      <c r="P196" s="25"/>
    </row>
    <row r="197">
      <c r="K197" s="25"/>
      <c r="L197" s="25"/>
      <c r="M197" s="25"/>
      <c r="N197" s="25"/>
      <c r="O197" s="25"/>
      <c r="P197" s="25"/>
    </row>
    <row r="198">
      <c r="K198" s="25"/>
      <c r="L198" s="25"/>
      <c r="M198" s="25"/>
      <c r="N198" s="25"/>
      <c r="O198" s="25"/>
      <c r="P198" s="25"/>
    </row>
    <row r="199">
      <c r="K199" s="25"/>
      <c r="L199" s="25"/>
      <c r="M199" s="25"/>
      <c r="N199" s="25"/>
      <c r="O199" s="25"/>
      <c r="P199" s="25"/>
    </row>
    <row r="200">
      <c r="K200" s="25"/>
      <c r="L200" s="25"/>
      <c r="M200" s="25"/>
      <c r="N200" s="25"/>
      <c r="O200" s="25"/>
      <c r="P200" s="25"/>
    </row>
    <row r="201">
      <c r="K201" s="25"/>
      <c r="L201" s="25"/>
      <c r="M201" s="25"/>
      <c r="N201" s="25"/>
      <c r="O201" s="25"/>
      <c r="P201" s="25"/>
    </row>
    <row r="202">
      <c r="K202" s="25"/>
      <c r="L202" s="25"/>
      <c r="M202" s="25"/>
      <c r="N202" s="25"/>
      <c r="O202" s="25"/>
      <c r="P202" s="25"/>
    </row>
    <row r="203">
      <c r="K203" s="124" t="s">
        <v>180</v>
      </c>
      <c r="L203" s="5"/>
      <c r="M203" s="5"/>
      <c r="N203" s="5"/>
      <c r="O203" s="126"/>
      <c r="P203" s="25"/>
    </row>
    <row r="206">
      <c r="A206" s="143" t="s">
        <v>214</v>
      </c>
      <c r="B206" s="5"/>
      <c r="C206" s="5"/>
      <c r="D206" s="5"/>
      <c r="E206" s="5"/>
      <c r="F206" s="5"/>
      <c r="G206" s="5"/>
      <c r="H206" s="6"/>
    </row>
    <row r="207">
      <c r="A207" s="144" t="s">
        <v>154</v>
      </c>
      <c r="B207" s="144" t="s">
        <v>14</v>
      </c>
      <c r="C207" s="144" t="s">
        <v>157</v>
      </c>
      <c r="D207" s="144" t="s">
        <v>158</v>
      </c>
      <c r="E207" s="144" t="s">
        <v>160</v>
      </c>
      <c r="F207" s="146" t="s">
        <v>161</v>
      </c>
      <c r="G207" s="5"/>
      <c r="H207" s="6"/>
    </row>
    <row r="208">
      <c r="A208" s="26"/>
      <c r="B208" s="26"/>
      <c r="C208" s="26"/>
      <c r="D208" s="26"/>
      <c r="E208" s="26"/>
      <c r="F208" s="19" t="s">
        <v>122</v>
      </c>
      <c r="G208" s="19" t="s">
        <v>123</v>
      </c>
      <c r="H208" s="20" t="s">
        <v>124</v>
      </c>
    </row>
    <row r="209">
      <c r="A209" s="19" t="str">
        <f>QDF!B10</f>
        <v>T7</v>
      </c>
      <c r="B209" s="148" t="str">
        <f>QDF!C10</f>
        <v>RASPA</v>
      </c>
      <c r="C209" s="150">
        <f>DISJUNTORES!E10</f>
        <v>10</v>
      </c>
      <c r="D209" s="168" t="s">
        <v>172</v>
      </c>
      <c r="E209" s="19">
        <v>5.0</v>
      </c>
      <c r="F209" s="19">
        <f>'QDF-BALANÇO TOTAL'!E11</f>
        <v>1200</v>
      </c>
      <c r="G209" s="19" t="str">
        <f>'QDF-BALANÇO TOTAL'!F11</f>
        <v>-</v>
      </c>
      <c r="H209" s="19" t="str">
        <f>'QDF-BALANÇO TOTAL'!G11</f>
        <v>-</v>
      </c>
    </row>
    <row r="210">
      <c r="A210" s="19" t="str">
        <f>QDF!B11</f>
        <v>T8</v>
      </c>
      <c r="B210" s="26"/>
      <c r="C210" s="150">
        <f>DISJUNTORES!E11</f>
        <v>10</v>
      </c>
      <c r="D210" s="151" t="s">
        <v>172</v>
      </c>
      <c r="E210" s="19">
        <v>5.0</v>
      </c>
      <c r="F210" s="19">
        <f>'QDF-BALANÇO TOTAL'!E12</f>
        <v>333.3333333</v>
      </c>
      <c r="G210" s="19">
        <f>'QDF-BALANÇO TOTAL'!F12</f>
        <v>333.3333333</v>
      </c>
      <c r="H210" s="19">
        <f>'QDF-BALANÇO TOTAL'!G12</f>
        <v>333.3333333</v>
      </c>
    </row>
    <row r="214">
      <c r="A214" s="146" t="s">
        <v>220</v>
      </c>
      <c r="B214" s="5"/>
      <c r="C214" s="5"/>
      <c r="D214" s="5"/>
      <c r="E214" s="5"/>
      <c r="F214" s="5"/>
      <c r="G214" s="5"/>
      <c r="H214" s="6"/>
    </row>
    <row r="215">
      <c r="A215" s="144" t="s">
        <v>154</v>
      </c>
      <c r="B215" s="144" t="s">
        <v>13</v>
      </c>
      <c r="C215" s="144" t="s">
        <v>157</v>
      </c>
      <c r="D215" s="144" t="s">
        <v>158</v>
      </c>
      <c r="E215" s="144" t="s">
        <v>160</v>
      </c>
      <c r="F215" s="146" t="s">
        <v>161</v>
      </c>
      <c r="G215" s="5"/>
      <c r="H215" s="6"/>
    </row>
    <row r="216">
      <c r="A216" s="204" t="s">
        <v>225</v>
      </c>
      <c r="B216" s="204" t="s">
        <v>225</v>
      </c>
      <c r="C216" s="204" t="s">
        <v>225</v>
      </c>
      <c r="D216" s="204" t="s">
        <v>225</v>
      </c>
      <c r="E216" s="204" t="s">
        <v>225</v>
      </c>
      <c r="F216" s="19" t="s">
        <v>122</v>
      </c>
      <c r="G216" s="19" t="s">
        <v>123</v>
      </c>
      <c r="H216" s="20" t="s">
        <v>124</v>
      </c>
    </row>
    <row r="217">
      <c r="A217" s="19" t="str">
        <f>QDF!B15</f>
        <v>T12</v>
      </c>
      <c r="B217" s="148" t="str">
        <f>QDF!C15</f>
        <v>ESCRITÓRIO</v>
      </c>
      <c r="C217" s="150">
        <f>DISJUNTORES!E15</f>
        <v>10</v>
      </c>
      <c r="D217" s="151" t="s">
        <v>172</v>
      </c>
      <c r="E217" s="19">
        <v>5.0</v>
      </c>
      <c r="F217" s="19" t="str">
        <f>'QDF-BALANÇO TOTAL'!E16</f>
        <v>-</v>
      </c>
      <c r="G217" s="20">
        <f>'QDF-BALANÇO TOTAL'!F16</f>
        <v>1000</v>
      </c>
      <c r="H217" s="19" t="str">
        <f>'QDF-BALANÇO TOTAL'!G16</f>
        <v>-</v>
      </c>
    </row>
    <row r="218">
      <c r="A218" s="19" t="str">
        <f>QDF!B16</f>
        <v>T13</v>
      </c>
      <c r="B218" s="148" t="str">
        <f>QDF!C16</f>
        <v>ESCRITÓRIO</v>
      </c>
      <c r="C218" s="150">
        <f>DISJUNTORES!E16</f>
        <v>10</v>
      </c>
      <c r="D218" s="151" t="s">
        <v>172</v>
      </c>
      <c r="E218" s="19">
        <v>5.0</v>
      </c>
      <c r="F218" s="19">
        <f>'QDF-BALANÇO TOTAL'!E17</f>
        <v>1500</v>
      </c>
      <c r="G218" s="19" t="str">
        <f>'QDF-BALANÇO TOTAL'!F17</f>
        <v>-</v>
      </c>
      <c r="H218" s="19" t="str">
        <f>'QDF-BALANÇO TOTAL'!G17</f>
        <v>-</v>
      </c>
    </row>
    <row r="219">
      <c r="A219" s="19" t="str">
        <f>QDF!B17</f>
        <v>T14</v>
      </c>
      <c r="B219" s="148" t="str">
        <f>QDF!C17</f>
        <v>SAIDA DE PRODUTOS</v>
      </c>
      <c r="C219" s="150">
        <f>DISJUNTORES!E17</f>
        <v>10</v>
      </c>
      <c r="D219" s="151" t="s">
        <v>172</v>
      </c>
      <c r="E219" s="19">
        <v>5.0</v>
      </c>
      <c r="F219" s="19">
        <f>'QDF-BALANÇO TOTAL'!E18</f>
        <v>1600</v>
      </c>
      <c r="G219" s="19" t="str">
        <f>'QDF-BALANÇO TOTAL'!F18</f>
        <v>-</v>
      </c>
      <c r="H219" s="19" t="str">
        <f>'QDF-BALANÇO TOTAL'!G18</f>
        <v>-</v>
      </c>
    </row>
    <row r="220">
      <c r="A220" s="25"/>
      <c r="B220" s="25"/>
      <c r="C220" s="25"/>
      <c r="D220" s="25"/>
      <c r="E220" s="25"/>
      <c r="F220" s="25"/>
      <c r="G220" s="25"/>
      <c r="H220" s="25"/>
    </row>
    <row r="221">
      <c r="A221" s="146" t="s">
        <v>227</v>
      </c>
      <c r="B221" s="5"/>
      <c r="C221" s="5"/>
      <c r="D221" s="5"/>
      <c r="E221" s="5"/>
      <c r="F221" s="5"/>
      <c r="G221" s="5"/>
      <c r="H221" s="6"/>
    </row>
    <row r="222">
      <c r="A222" s="144" t="s">
        <v>154</v>
      </c>
      <c r="B222" s="144" t="s">
        <v>13</v>
      </c>
      <c r="C222" s="144" t="s">
        <v>157</v>
      </c>
      <c r="D222" s="144" t="s">
        <v>158</v>
      </c>
      <c r="E222" s="144" t="s">
        <v>160</v>
      </c>
      <c r="F222" s="146" t="s">
        <v>161</v>
      </c>
      <c r="G222" s="5"/>
      <c r="H222" s="6"/>
    </row>
    <row r="223">
      <c r="A223" s="204" t="s">
        <v>225</v>
      </c>
      <c r="B223" s="204" t="s">
        <v>225</v>
      </c>
      <c r="C223" s="204" t="s">
        <v>225</v>
      </c>
      <c r="D223" s="204" t="s">
        <v>225</v>
      </c>
      <c r="E223" s="204" t="s">
        <v>225</v>
      </c>
      <c r="F223" s="19" t="s">
        <v>122</v>
      </c>
      <c r="G223" s="19" t="s">
        <v>123</v>
      </c>
      <c r="H223" s="20" t="s">
        <v>124</v>
      </c>
    </row>
    <row r="224">
      <c r="A224" s="19" t="str">
        <f>QDF!B18</f>
        <v>T15</v>
      </c>
      <c r="B224" s="148" t="str">
        <f>QDF!C18</f>
        <v>CONTROLE DE QUALIDADE</v>
      </c>
      <c r="C224" s="150">
        <f>DISJUNTORES!E18</f>
        <v>10</v>
      </c>
      <c r="D224" s="151" t="s">
        <v>172</v>
      </c>
      <c r="E224" s="19">
        <v>5.0</v>
      </c>
      <c r="F224" s="19" t="str">
        <f>'QDF-BALANÇO TOTAL'!E19</f>
        <v>-</v>
      </c>
      <c r="G224" s="19">
        <f>'QDF-BALANÇO TOTAL'!F19</f>
        <v>1600</v>
      </c>
      <c r="H224" s="19" t="str">
        <f>'QDF-BALANÇO TOTAL'!G19</f>
        <v>-</v>
      </c>
    </row>
    <row r="225">
      <c r="A225" s="19" t="str">
        <f>QDF!B19</f>
        <v>T16</v>
      </c>
      <c r="B225" s="148" t="str">
        <f>QDF!C19</f>
        <v>SAIDA DE PRODUTOS</v>
      </c>
      <c r="C225" s="150">
        <f>DISJUNTORES!E19</f>
        <v>10</v>
      </c>
      <c r="D225" s="151" t="s">
        <v>172</v>
      </c>
      <c r="E225" s="19">
        <v>5.0</v>
      </c>
      <c r="F225" s="19" t="str">
        <f>'QDF-BALANÇO TOTAL'!E20</f>
        <v>-</v>
      </c>
      <c r="G225" s="19">
        <f>'QDF-BALANÇO TOTAL'!F20</f>
        <v>1500</v>
      </c>
      <c r="H225" s="19" t="str">
        <f>'QDF-BALANÇO TOTAL'!G20</f>
        <v>-</v>
      </c>
    </row>
    <row r="226">
      <c r="A226" s="19" t="str">
        <f>QDF!B20</f>
        <v>T17</v>
      </c>
      <c r="B226" s="148" t="str">
        <f>QDF!C20</f>
        <v>CONTROLE DE QUALIDADE</v>
      </c>
      <c r="C226" s="150">
        <f>DISJUNTORES!E20</f>
        <v>10</v>
      </c>
      <c r="D226" s="151" t="s">
        <v>172</v>
      </c>
      <c r="E226" s="19">
        <v>5.0</v>
      </c>
      <c r="F226" s="19" t="str">
        <f>'QDF-BALANÇO TOTAL'!E21</f>
        <v>-</v>
      </c>
      <c r="G226" s="19">
        <f>'QDF-BALANÇO TOTAL'!F21</f>
        <v>1500</v>
      </c>
      <c r="H226" s="19" t="str">
        <f>'QDF-BALANÇO TOTAL'!G21</f>
        <v>-</v>
      </c>
    </row>
    <row r="227">
      <c r="A227" s="19" t="str">
        <f>QDF!B21</f>
        <v>T18</v>
      </c>
      <c r="B227" s="148" t="str">
        <f>QDF!C21</f>
        <v>BANHEIRO (VESTUARIO)</v>
      </c>
      <c r="C227" s="150">
        <f>DISJUNTORES!E21</f>
        <v>10</v>
      </c>
      <c r="D227" s="151" t="s">
        <v>172</v>
      </c>
      <c r="E227" s="19">
        <v>5.0</v>
      </c>
      <c r="F227" s="19">
        <f>'QDF-BALANÇO TOTAL'!E22</f>
        <v>600</v>
      </c>
      <c r="G227" s="19" t="str">
        <f>'QDF-BALANÇO TOTAL'!F22</f>
        <v>-</v>
      </c>
      <c r="H227" s="19" t="str">
        <f>'QDF-BALANÇO TOTAL'!G22</f>
        <v>-</v>
      </c>
    </row>
    <row r="228">
      <c r="A228" s="25"/>
      <c r="B228" s="25"/>
      <c r="C228" s="25"/>
      <c r="D228" s="25"/>
      <c r="E228" s="25"/>
      <c r="F228" s="25"/>
      <c r="G228" s="25"/>
      <c r="H228" s="25"/>
    </row>
    <row r="229">
      <c r="A229" s="146" t="s">
        <v>238</v>
      </c>
      <c r="B229" s="5"/>
      <c r="C229" s="5"/>
      <c r="D229" s="5"/>
      <c r="E229" s="5"/>
      <c r="F229" s="5"/>
      <c r="G229" s="5"/>
      <c r="H229" s="6"/>
    </row>
    <row r="230">
      <c r="A230" s="144" t="s">
        <v>154</v>
      </c>
      <c r="B230" s="144" t="s">
        <v>13</v>
      </c>
      <c r="C230" s="144" t="s">
        <v>157</v>
      </c>
      <c r="D230" s="144" t="s">
        <v>158</v>
      </c>
      <c r="E230" s="144" t="s">
        <v>160</v>
      </c>
      <c r="F230" s="146" t="s">
        <v>161</v>
      </c>
      <c r="G230" s="5"/>
      <c r="H230" s="6"/>
    </row>
    <row r="231">
      <c r="A231" s="204" t="s">
        <v>225</v>
      </c>
      <c r="B231" s="204" t="s">
        <v>225</v>
      </c>
      <c r="C231" s="204" t="s">
        <v>225</v>
      </c>
      <c r="D231" s="204" t="s">
        <v>225</v>
      </c>
      <c r="E231" s="204" t="s">
        <v>225</v>
      </c>
      <c r="F231" s="19" t="s">
        <v>122</v>
      </c>
      <c r="G231" s="19" t="s">
        <v>123</v>
      </c>
      <c r="H231" s="20" t="s">
        <v>124</v>
      </c>
    </row>
    <row r="232">
      <c r="A232" s="19" t="str">
        <f>QDF!B22</f>
        <v>T19</v>
      </c>
      <c r="B232" s="148" t="str">
        <f>QDF!C22</f>
        <v>BANHEIRO (VESTUARIO)</v>
      </c>
      <c r="C232" s="150">
        <f>DISJUNTORES!E22</f>
        <v>50</v>
      </c>
      <c r="D232" s="151" t="s">
        <v>172</v>
      </c>
      <c r="E232" s="19">
        <v>5.0</v>
      </c>
      <c r="F232" s="19" t="str">
        <f>'QDF-BALANÇO TOTAL'!E23</f>
        <v>-</v>
      </c>
      <c r="G232" s="19" t="str">
        <f>'QDF-BALANÇO TOTAL'!F23</f>
        <v>-</v>
      </c>
      <c r="H232" s="19">
        <f>'QDF-BALANÇO TOTAL'!G23</f>
        <v>9000</v>
      </c>
    </row>
    <row r="233">
      <c r="A233" s="19" t="str">
        <f>QDF!B23</f>
        <v>T20</v>
      </c>
      <c r="B233" s="148" t="str">
        <f>QDF!C23</f>
        <v>RESERVA</v>
      </c>
      <c r="C233" s="150" t="str">
        <f>DISJUNTORES!E23</f>
        <v/>
      </c>
      <c r="D233" s="151" t="s">
        <v>239</v>
      </c>
      <c r="E233" s="19">
        <v>5.0</v>
      </c>
      <c r="F233" s="19" t="str">
        <f>'QDF-BALANÇO TOTAL'!E24</f>
        <v>-</v>
      </c>
      <c r="G233" s="19" t="str">
        <f>'QDF-BALANÇO TOTAL'!F24</f>
        <v/>
      </c>
      <c r="H233" s="19" t="str">
        <f>'QDF-BALANÇO TOTAL'!G24</f>
        <v>-</v>
      </c>
    </row>
  </sheetData>
  <mergeCells count="57">
    <mergeCell ref="E207:E208"/>
    <mergeCell ref="F207:H207"/>
    <mergeCell ref="L161:P161"/>
    <mergeCell ref="K181:P181"/>
    <mergeCell ref="K183:P183"/>
    <mergeCell ref="K203:O203"/>
    <mergeCell ref="A206:H206"/>
    <mergeCell ref="A207:A208"/>
    <mergeCell ref="B207:B208"/>
    <mergeCell ref="A1:H1"/>
    <mergeCell ref="B2:B3"/>
    <mergeCell ref="C2:C3"/>
    <mergeCell ref="D2:D3"/>
    <mergeCell ref="E2:E3"/>
    <mergeCell ref="F2:H2"/>
    <mergeCell ref="A7:H7"/>
    <mergeCell ref="F8:H8"/>
    <mergeCell ref="A2:A3"/>
    <mergeCell ref="A8:A9"/>
    <mergeCell ref="B8:B9"/>
    <mergeCell ref="C8:C9"/>
    <mergeCell ref="D8:D9"/>
    <mergeCell ref="E8:E9"/>
    <mergeCell ref="B10:B11"/>
    <mergeCell ref="C74:C75"/>
    <mergeCell ref="D74:D75"/>
    <mergeCell ref="B76:B77"/>
    <mergeCell ref="K26:O26"/>
    <mergeCell ref="J46:O46"/>
    <mergeCell ref="J48:O48"/>
    <mergeCell ref="J68:N68"/>
    <mergeCell ref="A73:H73"/>
    <mergeCell ref="A74:A75"/>
    <mergeCell ref="B74:B75"/>
    <mergeCell ref="E74:E75"/>
    <mergeCell ref="F74:H74"/>
    <mergeCell ref="K94:O94"/>
    <mergeCell ref="J114:O114"/>
    <mergeCell ref="J116:O116"/>
    <mergeCell ref="J136:N136"/>
    <mergeCell ref="A139:H139"/>
    <mergeCell ref="A140:A141"/>
    <mergeCell ref="B140:B141"/>
    <mergeCell ref="C140:C141"/>
    <mergeCell ref="D140:D141"/>
    <mergeCell ref="E140:E141"/>
    <mergeCell ref="F140:H140"/>
    <mergeCell ref="B142:B143"/>
    <mergeCell ref="A229:H229"/>
    <mergeCell ref="F230:H230"/>
    <mergeCell ref="C207:C208"/>
    <mergeCell ref="D207:D208"/>
    <mergeCell ref="B209:B210"/>
    <mergeCell ref="A214:H214"/>
    <mergeCell ref="F215:H215"/>
    <mergeCell ref="A221:H221"/>
    <mergeCell ref="F222:H22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13"/>
    <col customWidth="1" min="4" max="4" width="16.88"/>
    <col customWidth="1" min="5" max="5" width="16.75"/>
  </cols>
  <sheetData>
    <row r="1">
      <c r="A1" s="164"/>
      <c r="B1" s="164"/>
      <c r="C1" s="164"/>
      <c r="D1" s="164"/>
      <c r="E1" s="25"/>
      <c r="F1" s="25"/>
      <c r="G1" s="25"/>
      <c r="H1" s="25"/>
      <c r="I1" s="25"/>
      <c r="J1" s="25"/>
      <c r="K1" s="25"/>
    </row>
    <row r="2">
      <c r="A2" s="7" t="s">
        <v>12</v>
      </c>
      <c r="B2" s="7" t="s">
        <v>13</v>
      </c>
      <c r="C2" s="7" t="s">
        <v>14</v>
      </c>
      <c r="D2" s="39" t="s">
        <v>121</v>
      </c>
      <c r="E2" s="165"/>
      <c r="F2" s="25"/>
      <c r="G2" s="25"/>
      <c r="H2" s="25"/>
      <c r="I2" s="25"/>
      <c r="J2" s="25"/>
      <c r="K2" s="25"/>
    </row>
    <row r="3">
      <c r="A3" s="8" t="s">
        <v>26</v>
      </c>
      <c r="B3" s="14" t="s">
        <v>29</v>
      </c>
      <c r="C3" s="15" t="s">
        <v>32</v>
      </c>
      <c r="D3" s="32">
        <f>QDF!K3</f>
        <v>800</v>
      </c>
      <c r="E3" s="166"/>
      <c r="F3" s="25"/>
      <c r="G3" s="25"/>
      <c r="H3" s="25"/>
      <c r="I3" s="25"/>
      <c r="J3" s="25"/>
      <c r="K3" s="25"/>
    </row>
    <row r="4">
      <c r="A4" s="21" t="s">
        <v>38</v>
      </c>
      <c r="B4" s="14" t="s">
        <v>40</v>
      </c>
      <c r="C4" s="22" t="s">
        <v>11</v>
      </c>
      <c r="D4" s="32">
        <f>QDF!K4</f>
        <v>800</v>
      </c>
      <c r="E4" s="166"/>
      <c r="F4" s="25"/>
      <c r="G4" s="25"/>
      <c r="H4" s="25"/>
      <c r="I4" s="25"/>
      <c r="J4" s="25"/>
      <c r="K4" s="25"/>
    </row>
    <row r="5">
      <c r="A5" s="26"/>
      <c r="B5" s="14" t="s">
        <v>47</v>
      </c>
      <c r="C5" s="26"/>
      <c r="D5" s="32">
        <f>QDF!K5</f>
        <v>1000</v>
      </c>
      <c r="E5" s="166"/>
      <c r="F5" s="25"/>
      <c r="G5" s="25"/>
      <c r="H5" s="25"/>
      <c r="I5" s="25"/>
      <c r="J5" s="25"/>
      <c r="K5" s="25"/>
    </row>
    <row r="6">
      <c r="A6" s="21" t="s">
        <v>54</v>
      </c>
      <c r="B6" s="14" t="s">
        <v>56</v>
      </c>
      <c r="C6" s="22" t="s">
        <v>31</v>
      </c>
      <c r="D6" s="32">
        <f>QDF!K6</f>
        <v>400</v>
      </c>
      <c r="E6" s="166"/>
      <c r="F6" s="25"/>
      <c r="G6" s="25"/>
      <c r="H6" s="25"/>
      <c r="I6" s="25"/>
      <c r="J6" s="25"/>
      <c r="K6" s="25"/>
    </row>
    <row r="7" ht="27.0" customHeight="1">
      <c r="A7" s="26"/>
      <c r="B7" s="14" t="s">
        <v>57</v>
      </c>
      <c r="C7" s="26"/>
      <c r="D7" s="32">
        <f>QDF!K7</f>
        <v>1000</v>
      </c>
      <c r="E7" s="166"/>
      <c r="F7" s="25"/>
      <c r="G7" s="25"/>
      <c r="H7" s="25"/>
      <c r="I7" s="25"/>
      <c r="J7" s="25"/>
      <c r="K7" s="25"/>
    </row>
    <row r="8">
      <c r="A8" s="21" t="s">
        <v>58</v>
      </c>
      <c r="B8" s="14" t="s">
        <v>59</v>
      </c>
      <c r="C8" s="28" t="s">
        <v>60</v>
      </c>
      <c r="D8" s="32">
        <f>QDF!K8</f>
        <v>800</v>
      </c>
      <c r="E8" s="166"/>
      <c r="F8" s="25"/>
      <c r="G8" s="25"/>
      <c r="H8" s="25"/>
      <c r="I8" s="25"/>
      <c r="J8" s="25"/>
      <c r="K8" s="25"/>
    </row>
    <row r="9">
      <c r="A9" s="26"/>
      <c r="B9" s="14" t="s">
        <v>62</v>
      </c>
      <c r="C9" s="26"/>
      <c r="D9" s="32">
        <f>QDF!K9</f>
        <v>1000</v>
      </c>
      <c r="E9" s="25"/>
      <c r="F9" s="25"/>
      <c r="G9" s="25"/>
      <c r="H9" s="25"/>
      <c r="I9" s="25"/>
      <c r="J9" s="25"/>
      <c r="K9" s="25"/>
    </row>
    <row r="10">
      <c r="A10" s="21" t="s">
        <v>63</v>
      </c>
      <c r="B10" s="14" t="s">
        <v>64</v>
      </c>
      <c r="C10" s="22" t="s">
        <v>37</v>
      </c>
      <c r="D10" s="32">
        <f>QDF!K10</f>
        <v>1200</v>
      </c>
      <c r="E10" s="25"/>
      <c r="F10" s="25"/>
      <c r="G10" s="25"/>
      <c r="H10" s="25"/>
      <c r="I10" s="25"/>
      <c r="J10" s="25"/>
      <c r="K10" s="25"/>
    </row>
    <row r="11">
      <c r="A11" s="30"/>
      <c r="B11" s="14" t="s">
        <v>65</v>
      </c>
      <c r="C11" s="26"/>
      <c r="D11" s="32">
        <f>QDF!K11</f>
        <v>1000</v>
      </c>
      <c r="E11" s="25"/>
      <c r="F11" s="25"/>
      <c r="G11" s="25"/>
      <c r="H11" s="25"/>
      <c r="I11" s="25"/>
      <c r="J11" s="25"/>
      <c r="K11" s="25"/>
    </row>
    <row r="12">
      <c r="A12" s="30"/>
      <c r="B12" s="16" t="s">
        <v>67</v>
      </c>
      <c r="C12" s="23"/>
      <c r="D12" s="50">
        <v>0.0</v>
      </c>
      <c r="E12" s="25"/>
      <c r="F12" s="25"/>
      <c r="G12" s="25"/>
      <c r="H12" s="25"/>
      <c r="I12" s="25"/>
      <c r="J12" s="25"/>
      <c r="K12" s="25"/>
    </row>
    <row r="13">
      <c r="A13" s="26"/>
      <c r="B13" s="16" t="s">
        <v>69</v>
      </c>
      <c r="C13" s="32"/>
      <c r="D13" s="50">
        <v>0.0</v>
      </c>
      <c r="E13" s="25"/>
      <c r="F13" s="25"/>
      <c r="G13" s="25"/>
      <c r="H13" s="25"/>
      <c r="I13" s="25"/>
      <c r="J13" s="25"/>
      <c r="K13" s="25"/>
    </row>
    <row r="14">
      <c r="A14" s="34" t="s">
        <v>70</v>
      </c>
      <c r="B14" s="37" t="s">
        <v>71</v>
      </c>
      <c r="C14" s="23" t="s">
        <v>53</v>
      </c>
      <c r="D14" s="60">
        <f>QDF!K14</f>
        <v>1200</v>
      </c>
      <c r="E14" s="25"/>
      <c r="F14" s="25"/>
      <c r="G14" s="25"/>
      <c r="H14" s="25"/>
      <c r="I14" s="25"/>
      <c r="J14" s="25"/>
      <c r="K14" s="25"/>
    </row>
    <row r="15">
      <c r="A15" s="30"/>
      <c r="B15" s="37" t="s">
        <v>73</v>
      </c>
      <c r="C15" s="32" t="s">
        <v>53</v>
      </c>
      <c r="D15" s="60">
        <f>QDF!K15</f>
        <v>1000</v>
      </c>
      <c r="E15" s="25"/>
      <c r="F15" s="25"/>
      <c r="G15" s="25"/>
      <c r="H15" s="25"/>
      <c r="I15" s="25"/>
      <c r="J15" s="25"/>
      <c r="K15" s="25"/>
    </row>
    <row r="16">
      <c r="A16" s="30"/>
      <c r="B16" s="37" t="s">
        <v>75</v>
      </c>
      <c r="C16" s="32" t="s">
        <v>53</v>
      </c>
      <c r="D16" s="32">
        <f>QDF!K16</f>
        <v>1500</v>
      </c>
      <c r="E16" s="25"/>
      <c r="F16" s="25"/>
      <c r="G16" s="25"/>
      <c r="H16" s="25"/>
      <c r="I16" s="25"/>
      <c r="J16" s="25"/>
      <c r="K16" s="25"/>
    </row>
    <row r="17">
      <c r="A17" s="26"/>
      <c r="B17" s="37" t="s">
        <v>76</v>
      </c>
      <c r="C17" s="23" t="s">
        <v>53</v>
      </c>
      <c r="D17" s="32">
        <f>QDF!K17</f>
        <v>1600</v>
      </c>
      <c r="E17" s="25"/>
      <c r="F17" s="25"/>
      <c r="G17" s="25"/>
      <c r="H17" s="25"/>
      <c r="I17" s="25"/>
      <c r="J17" s="25"/>
      <c r="K17" s="25"/>
    </row>
    <row r="18">
      <c r="A18" s="34" t="s">
        <v>74</v>
      </c>
      <c r="B18" s="23" t="s">
        <v>78</v>
      </c>
      <c r="C18" s="23" t="s">
        <v>46</v>
      </c>
      <c r="D18" s="32">
        <f>QDF!K18</f>
        <v>1600</v>
      </c>
      <c r="E18" s="25"/>
      <c r="F18" s="25"/>
      <c r="G18" s="25"/>
      <c r="H18" s="25"/>
      <c r="I18" s="25"/>
      <c r="J18" s="25"/>
      <c r="K18" s="25"/>
    </row>
    <row r="19">
      <c r="A19" s="30"/>
      <c r="B19" s="23" t="s">
        <v>80</v>
      </c>
      <c r="C19" s="23" t="s">
        <v>77</v>
      </c>
      <c r="D19" s="32">
        <f>QDF!K19</f>
        <v>1500</v>
      </c>
      <c r="E19" s="25"/>
      <c r="F19" s="25"/>
      <c r="G19" s="25"/>
      <c r="H19" s="25"/>
      <c r="I19" s="25"/>
      <c r="J19" s="25"/>
      <c r="K19" s="25"/>
    </row>
    <row r="20">
      <c r="A20" s="30"/>
      <c r="B20" s="23" t="s">
        <v>82</v>
      </c>
      <c r="C20" s="23" t="s">
        <v>46</v>
      </c>
      <c r="D20" s="32">
        <f>QDF!K20</f>
        <v>1500</v>
      </c>
      <c r="E20" s="25"/>
      <c r="F20" s="25"/>
      <c r="G20" s="25"/>
      <c r="H20" s="25"/>
      <c r="I20" s="25"/>
      <c r="J20" s="25"/>
      <c r="K20" s="25"/>
    </row>
    <row r="21">
      <c r="A21" s="26"/>
      <c r="B21" s="23" t="s">
        <v>85</v>
      </c>
      <c r="C21" s="32" t="s">
        <v>86</v>
      </c>
      <c r="D21" s="32">
        <f>QDF!K21</f>
        <v>600</v>
      </c>
      <c r="E21" s="166"/>
      <c r="F21" s="25"/>
      <c r="G21" s="25"/>
      <c r="H21" s="25"/>
      <c r="I21" s="25"/>
      <c r="J21" s="25"/>
      <c r="K21" s="25"/>
    </row>
    <row r="22">
      <c r="A22" s="34" t="s">
        <v>81</v>
      </c>
      <c r="B22" s="23" t="s">
        <v>91</v>
      </c>
      <c r="C22" s="32" t="s">
        <v>86</v>
      </c>
      <c r="D22" s="32">
        <f>QDF!K22</f>
        <v>9000</v>
      </c>
      <c r="E22" s="166"/>
      <c r="F22" s="25"/>
      <c r="G22" s="25"/>
      <c r="H22" s="25"/>
      <c r="I22" s="25"/>
      <c r="J22" s="25"/>
      <c r="K22" s="25"/>
    </row>
    <row r="23">
      <c r="A23" s="26"/>
      <c r="B23" s="32" t="s">
        <v>95</v>
      </c>
      <c r="C23" s="32" t="s">
        <v>96</v>
      </c>
      <c r="D23" s="32">
        <v>0.0</v>
      </c>
      <c r="E23" s="166"/>
      <c r="F23" s="25"/>
      <c r="G23" s="25"/>
      <c r="H23" s="25"/>
      <c r="I23" s="25"/>
      <c r="J23" s="25"/>
      <c r="K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>
      <c r="A26" s="175" t="s">
        <v>154</v>
      </c>
      <c r="B26" s="175" t="s">
        <v>158</v>
      </c>
      <c r="C26" s="175" t="s">
        <v>190</v>
      </c>
      <c r="D26" s="175" t="s">
        <v>191</v>
      </c>
      <c r="E26" s="25"/>
      <c r="F26" s="25"/>
      <c r="G26" s="25"/>
      <c r="H26" s="25"/>
      <c r="I26" s="25"/>
      <c r="J26" s="25"/>
      <c r="K26" s="25"/>
    </row>
    <row r="27">
      <c r="A27" s="128"/>
      <c r="B27" s="128"/>
      <c r="C27" s="128"/>
      <c r="D27" s="128"/>
      <c r="E27" s="25"/>
      <c r="F27" s="25"/>
      <c r="G27" s="25"/>
      <c r="H27" s="25"/>
      <c r="I27" s="25"/>
      <c r="J27" s="25"/>
      <c r="K27" s="25"/>
    </row>
    <row r="28">
      <c r="A28" s="176" t="s">
        <v>192</v>
      </c>
      <c r="B28" s="177"/>
      <c r="C28" s="178"/>
      <c r="D28" s="179">
        <f>QDF!K3</f>
        <v>800</v>
      </c>
      <c r="E28" s="25"/>
      <c r="F28" s="25"/>
      <c r="G28" s="25"/>
      <c r="H28" s="25"/>
      <c r="I28" s="25"/>
      <c r="J28" s="25"/>
      <c r="K28" s="25"/>
    </row>
    <row r="29">
      <c r="A29" s="176" t="s">
        <v>194</v>
      </c>
      <c r="B29" s="31" t="s">
        <v>172</v>
      </c>
      <c r="C29" s="180">
        <v>10.0</v>
      </c>
      <c r="D29" s="179">
        <f>SUM(D4:D5)</f>
        <v>1800</v>
      </c>
      <c r="E29" s="25"/>
      <c r="F29" s="25"/>
      <c r="G29" s="25"/>
      <c r="H29" s="25"/>
      <c r="I29" s="25"/>
      <c r="J29" s="25"/>
      <c r="K29" s="25"/>
    </row>
    <row r="30">
      <c r="A30" s="176" t="s">
        <v>196</v>
      </c>
      <c r="B30" s="31" t="s">
        <v>172</v>
      </c>
      <c r="C30" s="180">
        <v>10.0</v>
      </c>
      <c r="D30" s="179">
        <f>SUM(D6:D7)</f>
        <v>1400</v>
      </c>
      <c r="E30" s="25"/>
      <c r="F30" s="25" t="s">
        <v>197</v>
      </c>
      <c r="G30" s="25"/>
      <c r="H30" s="83"/>
      <c r="I30" s="25"/>
      <c r="J30" s="25"/>
      <c r="K30" s="25"/>
    </row>
    <row r="31">
      <c r="A31" s="176" t="s">
        <v>198</v>
      </c>
      <c r="B31" s="25" t="s">
        <v>197</v>
      </c>
      <c r="C31" s="181">
        <v>16.0</v>
      </c>
      <c r="D31" s="179">
        <f>SUM(D8:D9)</f>
        <v>1800</v>
      </c>
      <c r="E31" s="25"/>
      <c r="F31" s="25"/>
      <c r="G31" s="25"/>
      <c r="H31" s="25"/>
      <c r="I31" s="25"/>
      <c r="J31" s="25"/>
      <c r="K31" s="25"/>
    </row>
    <row r="32">
      <c r="A32" s="176" t="s">
        <v>199</v>
      </c>
      <c r="B32" s="182" t="s">
        <v>126</v>
      </c>
      <c r="C32" s="125"/>
      <c r="D32" s="179"/>
      <c r="E32" s="25"/>
      <c r="F32" s="25"/>
      <c r="G32" s="25"/>
      <c r="H32" s="25"/>
      <c r="I32" s="25"/>
      <c r="J32" s="25"/>
      <c r="K32" s="25"/>
    </row>
    <row r="33">
      <c r="A33" s="183" t="s">
        <v>200</v>
      </c>
      <c r="B33" s="125" t="s">
        <v>201</v>
      </c>
      <c r="C33" s="181">
        <v>16.0</v>
      </c>
      <c r="D33" s="181">
        <v>2700.0</v>
      </c>
      <c r="E33" s="25"/>
      <c r="F33" s="25"/>
      <c r="G33" s="25"/>
      <c r="H33" s="25"/>
      <c r="I33" s="25"/>
      <c r="J33" s="25"/>
      <c r="K33" s="25"/>
    </row>
    <row r="34">
      <c r="A34" s="183" t="s">
        <v>202</v>
      </c>
      <c r="B34" s="125" t="s">
        <v>201</v>
      </c>
      <c r="C34" s="181">
        <v>16.0</v>
      </c>
      <c r="D34" s="181">
        <v>3100.0</v>
      </c>
      <c r="E34" s="25"/>
      <c r="F34" s="25"/>
      <c r="G34" s="25"/>
      <c r="H34" s="25"/>
      <c r="I34" s="25"/>
      <c r="J34" s="25"/>
      <c r="K34" s="25"/>
    </row>
    <row r="35">
      <c r="A35" s="183" t="s">
        <v>203</v>
      </c>
      <c r="B35" s="125" t="s">
        <v>204</v>
      </c>
      <c r="C35" s="181">
        <v>50.0</v>
      </c>
      <c r="D35" s="181">
        <v>9000.0</v>
      </c>
      <c r="E35" s="25"/>
      <c r="F35" s="25"/>
      <c r="G35" s="25"/>
      <c r="H35" s="25"/>
      <c r="I35" s="25"/>
      <c r="J35" s="25"/>
      <c r="K35" s="25"/>
    </row>
    <row r="36">
      <c r="A36" s="184" t="s">
        <v>205</v>
      </c>
      <c r="B36" s="94"/>
      <c r="C36" s="185"/>
      <c r="D36" s="186">
        <f>SUM(D28:D35)</f>
        <v>20600</v>
      </c>
      <c r="E36" s="25"/>
      <c r="F36" s="25"/>
      <c r="G36" s="25"/>
      <c r="H36" s="25"/>
      <c r="I36" s="25"/>
      <c r="J36" s="25"/>
      <c r="K36" s="25"/>
    </row>
    <row r="37">
      <c r="A37" s="187" t="s">
        <v>206</v>
      </c>
      <c r="B37" s="25"/>
      <c r="C37" s="25"/>
      <c r="D37" s="188">
        <f>'QDF-BALANÇO TOTAL'!E29</f>
        <v>8900</v>
      </c>
      <c r="E37" s="31" t="s">
        <v>207</v>
      </c>
      <c r="F37" s="25"/>
      <c r="G37" s="25"/>
      <c r="H37" s="25"/>
      <c r="I37" s="25"/>
      <c r="J37" s="25"/>
      <c r="K37" s="25"/>
    </row>
    <row r="38">
      <c r="A38" s="187" t="s">
        <v>208</v>
      </c>
      <c r="B38" s="25"/>
      <c r="C38" s="25"/>
      <c r="D38" s="188">
        <f>D37</f>
        <v>8900</v>
      </c>
      <c r="E38" s="25"/>
      <c r="F38" s="25"/>
      <c r="G38" s="25"/>
      <c r="H38" s="25"/>
      <c r="I38" s="25"/>
      <c r="J38" s="25"/>
      <c r="K38" s="25"/>
    </row>
    <row r="39">
      <c r="A39" s="187" t="s">
        <v>209</v>
      </c>
      <c r="B39" s="25"/>
      <c r="C39" s="25"/>
      <c r="D39" s="188">
        <f>D37</f>
        <v>8900</v>
      </c>
      <c r="E39" s="25"/>
      <c r="F39" s="25"/>
      <c r="G39" s="25"/>
      <c r="H39" s="25"/>
      <c r="I39" s="25"/>
      <c r="J39" s="25"/>
      <c r="K39" s="25"/>
    </row>
    <row r="40">
      <c r="A40" s="189" t="s">
        <v>205</v>
      </c>
      <c r="B40" s="5"/>
      <c r="C40" s="6"/>
      <c r="D40" s="19">
        <f>SUM(D36:D39)</f>
        <v>47300</v>
      </c>
      <c r="E40" s="25"/>
      <c r="F40" s="25"/>
      <c r="G40" s="25"/>
      <c r="H40" s="25"/>
      <c r="I40" s="25"/>
      <c r="J40" s="25"/>
      <c r="K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>
      <c r="A43" s="190" t="s">
        <v>12</v>
      </c>
      <c r="B43" s="190" t="s">
        <v>17</v>
      </c>
      <c r="C43" s="190" t="s">
        <v>210</v>
      </c>
      <c r="D43" s="190" t="s">
        <v>211</v>
      </c>
      <c r="E43" s="190" t="s">
        <v>212</v>
      </c>
      <c r="F43" s="191"/>
      <c r="G43" s="25"/>
      <c r="H43" s="25"/>
      <c r="I43" s="25"/>
      <c r="J43" s="25"/>
      <c r="K43" s="25"/>
    </row>
    <row r="44">
      <c r="A44" s="176" t="s">
        <v>192</v>
      </c>
      <c r="B44" s="192">
        <v>380.0</v>
      </c>
      <c r="C44" s="193">
        <f t="shared" ref="C44:C51" si="1">D28/B44</f>
        <v>2.105263158</v>
      </c>
      <c r="D44" s="194">
        <v>13.0</v>
      </c>
      <c r="E44" s="192" t="s">
        <v>72</v>
      </c>
      <c r="F44" s="191"/>
      <c r="G44" s="25"/>
      <c r="H44" s="25"/>
      <c r="I44" s="25"/>
      <c r="J44" s="25"/>
      <c r="K44" s="25"/>
    </row>
    <row r="45">
      <c r="A45" s="176" t="s">
        <v>194</v>
      </c>
      <c r="B45" s="192">
        <v>380.0</v>
      </c>
      <c r="C45" s="195">
        <f t="shared" si="1"/>
        <v>4.736842105</v>
      </c>
      <c r="D45" s="196">
        <v>13.0</v>
      </c>
      <c r="E45" s="197" t="s">
        <v>72</v>
      </c>
      <c r="F45" s="191"/>
      <c r="G45" s="25"/>
      <c r="H45" s="25"/>
      <c r="I45" s="25"/>
      <c r="J45" s="25"/>
      <c r="K45" s="25"/>
    </row>
    <row r="46">
      <c r="A46" s="176" t="s">
        <v>196</v>
      </c>
      <c r="B46" s="192">
        <v>380.0</v>
      </c>
      <c r="C46" s="193">
        <f t="shared" si="1"/>
        <v>3.684210526</v>
      </c>
      <c r="D46" s="194">
        <v>13.0</v>
      </c>
      <c r="E46" s="197" t="s">
        <v>72</v>
      </c>
      <c r="F46" s="191"/>
      <c r="G46" s="25"/>
      <c r="H46" s="25"/>
      <c r="I46" s="25"/>
      <c r="J46" s="25"/>
      <c r="K46" s="25"/>
    </row>
    <row r="47">
      <c r="A47" s="176" t="s">
        <v>198</v>
      </c>
      <c r="B47" s="192">
        <v>380.0</v>
      </c>
      <c r="C47" s="195">
        <f t="shared" si="1"/>
        <v>4.736842105</v>
      </c>
      <c r="D47" s="196">
        <v>13.0</v>
      </c>
      <c r="E47" s="197" t="s">
        <v>72</v>
      </c>
      <c r="F47" s="191"/>
      <c r="G47" s="25"/>
      <c r="H47" s="25"/>
      <c r="I47" s="25"/>
      <c r="J47" s="25"/>
      <c r="K47" s="25"/>
    </row>
    <row r="48">
      <c r="A48" s="176" t="s">
        <v>199</v>
      </c>
      <c r="B48" s="192">
        <v>380.0</v>
      </c>
      <c r="C48" s="193">
        <f t="shared" si="1"/>
        <v>0</v>
      </c>
      <c r="D48" s="194">
        <v>13.0</v>
      </c>
      <c r="E48" s="197" t="s">
        <v>72</v>
      </c>
      <c r="F48" s="191"/>
      <c r="G48" s="25"/>
      <c r="H48" s="25"/>
      <c r="I48" s="25"/>
      <c r="J48" s="25"/>
      <c r="K48" s="25"/>
    </row>
    <row r="49">
      <c r="A49" s="176" t="s">
        <v>200</v>
      </c>
      <c r="B49" s="192">
        <v>380.0</v>
      </c>
      <c r="C49" s="193">
        <f t="shared" si="1"/>
        <v>7.105263158</v>
      </c>
      <c r="D49" s="197">
        <v>3.0</v>
      </c>
      <c r="E49" s="197" t="s">
        <v>72</v>
      </c>
      <c r="F49" s="191"/>
      <c r="G49" s="25"/>
      <c r="H49" s="25"/>
      <c r="I49" s="25"/>
      <c r="J49" s="25"/>
      <c r="K49" s="25"/>
    </row>
    <row r="50">
      <c r="A50" s="176" t="s">
        <v>202</v>
      </c>
      <c r="B50" s="192">
        <v>380.0</v>
      </c>
      <c r="C50" s="195">
        <f t="shared" si="1"/>
        <v>8.157894737</v>
      </c>
      <c r="D50" s="192">
        <v>3.0</v>
      </c>
      <c r="E50" s="197" t="s">
        <v>72</v>
      </c>
      <c r="F50" s="191"/>
      <c r="G50" s="25"/>
      <c r="H50" s="25"/>
      <c r="I50" s="25"/>
      <c r="J50" s="25"/>
      <c r="K50" s="25"/>
    </row>
    <row r="51">
      <c r="A51" s="176" t="s">
        <v>203</v>
      </c>
      <c r="B51" s="192">
        <v>380.0</v>
      </c>
      <c r="C51" s="193">
        <f t="shared" si="1"/>
        <v>23.68421053</v>
      </c>
      <c r="D51" s="197">
        <v>3.0</v>
      </c>
      <c r="E51" s="197" t="s">
        <v>72</v>
      </c>
      <c r="F51" s="198"/>
      <c r="G51" s="25"/>
      <c r="H51" s="25"/>
      <c r="I51" s="25"/>
      <c r="J51" s="25"/>
      <c r="K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</row>
    <row r="55">
      <c r="A55" s="25" t="s">
        <v>216</v>
      </c>
      <c r="G55" s="25"/>
      <c r="H55" s="25"/>
      <c r="I55" s="25"/>
      <c r="J55" s="25"/>
      <c r="K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</row>
    <row r="57">
      <c r="A57" s="199" t="s">
        <v>217</v>
      </c>
      <c r="B57" s="199" t="s">
        <v>218</v>
      </c>
      <c r="C57" s="200"/>
      <c r="D57" s="200"/>
      <c r="E57" s="199" t="s">
        <v>219</v>
      </c>
      <c r="F57" s="199" t="s">
        <v>140</v>
      </c>
      <c r="G57" s="199" t="s">
        <v>141</v>
      </c>
      <c r="H57" s="199" t="s">
        <v>24</v>
      </c>
      <c r="I57" s="201" t="s">
        <v>221</v>
      </c>
      <c r="J57" s="201" t="s">
        <v>222</v>
      </c>
      <c r="K57" s="201" t="s">
        <v>223</v>
      </c>
    </row>
    <row r="58">
      <c r="A58" s="202" t="s">
        <v>224</v>
      </c>
      <c r="B58" s="203" t="str">
        <f>A43</f>
        <v>Quadro</v>
      </c>
      <c r="C58" s="205"/>
      <c r="D58" s="205"/>
      <c r="E58" s="206">
        <v>127.0</v>
      </c>
      <c r="F58" s="202">
        <f>14.8137*10^-3</f>
        <v>0.0148137</v>
      </c>
      <c r="G58" s="202">
        <f>0.1378*10^-3</f>
        <v>0.0001378</v>
      </c>
      <c r="H58" s="202">
        <v>0.92</v>
      </c>
      <c r="I58" s="202" t="str">
        <f>2*B58*E58*(F58*H58+G58*SIN(ACOS(H58)))</f>
        <v>#VALUE!</v>
      </c>
      <c r="J58" s="207" t="str">
        <f>I58/380</f>
        <v>#VALUE!</v>
      </c>
      <c r="K58" s="207" t="str">
        <f>J58</f>
        <v>#VALUE!</v>
      </c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</row>
    <row r="62">
      <c r="A62" s="208" t="s">
        <v>12</v>
      </c>
      <c r="B62" s="209" t="s">
        <v>98</v>
      </c>
      <c r="C62" s="210"/>
      <c r="D62" s="210"/>
      <c r="E62" s="211" t="s">
        <v>226</v>
      </c>
      <c r="F62" s="211" t="s">
        <v>100</v>
      </c>
      <c r="G62" s="211" t="s">
        <v>89</v>
      </c>
      <c r="H62" s="212" t="s">
        <v>101</v>
      </c>
      <c r="I62" s="213" t="s">
        <v>102</v>
      </c>
      <c r="J62" s="211" t="s">
        <v>103</v>
      </c>
      <c r="K62" s="213" t="s">
        <v>228</v>
      </c>
    </row>
    <row r="63">
      <c r="A63" s="214" t="s">
        <v>229</v>
      </c>
      <c r="B63" s="215">
        <v>1.0</v>
      </c>
      <c r="C63" s="210"/>
      <c r="D63" s="210"/>
      <c r="E63" s="32" t="str">
        <f t="array" ref="E63">INDEX('Dados de Entrada'!$A$10:$C$11,2,MATCH(G63,'Dados de Entrada'!$A$10:$C$10,0))</f>
        <v>#REF!</v>
      </c>
      <c r="F63" s="32">
        <v>1.05</v>
      </c>
      <c r="G63" s="32" t="s">
        <v>106</v>
      </c>
      <c r="H63" s="60" t="str">
        <f>A68</f>
        <v>#REF!</v>
      </c>
      <c r="I63" s="20" t="str">
        <f>(H63*F63)/(E63*B63)</f>
        <v>#REF!</v>
      </c>
      <c r="J63" s="217">
        <v>144.0</v>
      </c>
      <c r="K63" s="188" t="str">
        <f>J63*E63*B63</f>
        <v>#REF!</v>
      </c>
    </row>
    <row r="64">
      <c r="A64" s="125"/>
      <c r="B64" s="125"/>
      <c r="C64" s="125"/>
      <c r="D64" s="125"/>
      <c r="E64" s="125"/>
      <c r="F64" s="125"/>
      <c r="G64" s="25"/>
      <c r="H64" s="25"/>
      <c r="I64" s="25"/>
      <c r="J64" s="25"/>
      <c r="K64" s="125"/>
    </row>
    <row r="65">
      <c r="A65" s="125"/>
      <c r="B65" s="125"/>
      <c r="C65" s="125"/>
      <c r="D65" s="125"/>
      <c r="E65" s="125"/>
      <c r="F65" s="125"/>
      <c r="G65" s="25"/>
      <c r="H65" s="25"/>
      <c r="I65" s="25"/>
      <c r="J65" s="25"/>
      <c r="K65" s="125"/>
    </row>
    <row r="66">
      <c r="A66" s="181" t="str">
        <f>'BALANÇO TOTAL'!E63</f>
        <v>#REF!</v>
      </c>
      <c r="B66" s="218" t="s">
        <v>233</v>
      </c>
      <c r="C66" s="219"/>
      <c r="D66" s="220"/>
      <c r="E66" s="125"/>
      <c r="F66" s="125"/>
      <c r="G66" s="25"/>
      <c r="H66" s="25"/>
      <c r="I66" s="25"/>
      <c r="J66" s="25"/>
      <c r="K66" s="125"/>
    </row>
    <row r="67">
      <c r="A67" s="181">
        <f>380*SQRT(3)</f>
        <v>658.1793069</v>
      </c>
      <c r="B67" s="125"/>
      <c r="C67" s="125"/>
      <c r="D67" s="125"/>
      <c r="E67" s="125"/>
      <c r="F67" s="125"/>
      <c r="G67" s="25"/>
      <c r="H67" s="25"/>
      <c r="I67" s="25"/>
      <c r="J67" s="25"/>
      <c r="K67" s="125"/>
    </row>
    <row r="68">
      <c r="A68" s="221" t="str">
        <f>A66/A67</f>
        <v>#REF!</v>
      </c>
      <c r="B68" s="125"/>
      <c r="C68" s="174"/>
      <c r="D68" s="174"/>
      <c r="E68" s="25"/>
      <c r="F68" s="187" t="s">
        <v>235</v>
      </c>
      <c r="G68" s="25"/>
      <c r="H68" s="25"/>
      <c r="I68" s="25"/>
      <c r="J68" s="25"/>
      <c r="K68" s="125"/>
    </row>
  </sheetData>
  <mergeCells count="19">
    <mergeCell ref="A4:A5"/>
    <mergeCell ref="C4:C5"/>
    <mergeCell ref="A6:A7"/>
    <mergeCell ref="C6:C7"/>
    <mergeCell ref="A8:A9"/>
    <mergeCell ref="C8:C9"/>
    <mergeCell ref="C10:C11"/>
    <mergeCell ref="C26:C27"/>
    <mergeCell ref="A36:C36"/>
    <mergeCell ref="A40:C40"/>
    <mergeCell ref="A55:F55"/>
    <mergeCell ref="B66:D66"/>
    <mergeCell ref="A10:A13"/>
    <mergeCell ref="A14:A17"/>
    <mergeCell ref="A18:A21"/>
    <mergeCell ref="A22:A23"/>
    <mergeCell ref="A26:A27"/>
    <mergeCell ref="B26:B27"/>
    <mergeCell ref="D26:D27"/>
  </mergeCells>
  <dataValidations>
    <dataValidation type="list" allowBlank="1" showErrorMessage="1" sqref="G63">
      <formula1>"EPR ou XLPE,PVC"</formula1>
    </dataValidation>
  </dataValidations>
  <drawing r:id="rId1"/>
  <tableParts count="2">
    <tablePart r:id="rId4"/>
    <tablePart r:id="rId5"/>
  </tableParts>
</worksheet>
</file>