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DOS" sheetId="1" state="visible" r:id="rId1"/>
    <sheet xmlns:r="http://schemas.openxmlformats.org/officeDocument/2006/relationships" name="LUM-SALA CALD" sheetId="2" state="visible" r:id="rId2"/>
    <sheet xmlns:r="http://schemas.openxmlformats.org/officeDocument/2006/relationships" name="RECAPAGEM" sheetId="3" state="visible" r:id="rId3"/>
    <sheet xmlns:r="http://schemas.openxmlformats.org/officeDocument/2006/relationships" name="SUBESTAÇÃO" sheetId="4" state="visible" r:id="rId4"/>
    <sheet xmlns:r="http://schemas.openxmlformats.org/officeDocument/2006/relationships" name="LUM-LUCAS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d.m"/>
    <numFmt numFmtId="166" formatCode="0.0"/>
  </numFmts>
  <fonts count="18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z val="12"/>
      <scheme val="minor"/>
    </font>
    <font>
      <name val="Arial"/>
      <color theme="1"/>
    </font>
    <font>
      <name val="Arial"/>
      <color theme="1"/>
      <scheme val="minor"/>
    </font>
    <font>
      <name val="Arial"/>
      <b val="1"/>
      <color theme="1"/>
      <scheme val="minor"/>
    </font>
    <font/>
    <font>
      <color rgb="FF0000FF"/>
      <u val="single"/>
    </font>
    <font>
      <name val="&quot;Google Sans Text&quot;"/>
      <color rgb="FF1F1F1F"/>
    </font>
    <font>
      <name val="Arial"/>
      <color theme="1"/>
      <sz val="10"/>
    </font>
    <font>
      <name val="&quot;Google Sans Text&quot;"/>
      <b val="1"/>
      <color rgb="FF1F1F1F"/>
    </font>
    <font>
      <name val="Arial"/>
      <b val="1"/>
      <color rgb="00FFFFFF"/>
      <sz val="14"/>
    </font>
    <font>
      <name val="Arial"/>
      <b val="1"/>
      <color rgb="001F4E78"/>
      <sz val="16"/>
    </font>
    <font>
      <name val="Arial"/>
      <sz val="9"/>
    </font>
    <font>
      <name val="Arial"/>
      <sz val="10"/>
    </font>
    <font>
      <name val="Arial"/>
      <b val="1"/>
      <color rgb="001F4E78"/>
      <sz val="9"/>
    </font>
    <font>
      <name val="Arial"/>
      <b val="1"/>
      <sz val="9"/>
    </font>
    <font>
      <name val="Arial"/>
      <b val="1"/>
    </font>
  </fonts>
  <fills count="13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top style="thin">
        <color rgb="00B7C9D6"/>
      </top>
    </border>
    <border>
      <right style="thin">
        <color rgb="00B7C9D6"/>
      </right>
      <top style="thin">
        <color rgb="00B7C9D6"/>
      </top>
    </border>
    <border>
      <top style="thin">
        <color rgb="00B7C9D6"/>
      </top>
      <bottom style="thin">
        <color rgb="00B7C9D6"/>
      </bottom>
    </border>
    <border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5" fillId="3" borderId="0" pivotButton="0" quotePrefix="0" xfId="0"/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2" borderId="0" pivotButton="0" quotePrefix="0" xfId="0"/>
    <xf numFmtId="0" fontId="3" fillId="0" borderId="1" applyAlignment="1" pivotButton="0" quotePrefix="0" xfId="0">
      <alignment horizontal="center" wrapText="1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9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/>
    </xf>
    <xf numFmtId="0" fontId="6" fillId="0" borderId="3" pivotButton="0" quotePrefix="0" xfId="0"/>
    <xf numFmtId="2" fontId="3" fillId="0" borderId="1" applyAlignment="1" pivotButton="0" quotePrefix="0" xfId="0">
      <alignment horizontal="center" wrapText="1"/>
    </xf>
    <xf numFmtId="0" fontId="6" fillId="0" borderId="4" pivotButton="0" quotePrefix="0" xfId="0"/>
    <xf numFmtId="0" fontId="4" fillId="0" borderId="5" applyAlignment="1" pivotButton="0" quotePrefix="0" xfId="0">
      <alignment horizontal="center"/>
    </xf>
    <xf numFmtId="0" fontId="6" fillId="0" borderId="6" pivotButton="0" quotePrefix="0" xfId="0"/>
    <xf numFmtId="0" fontId="4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bottom"/>
    </xf>
    <xf numFmtId="9" fontId="4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4" borderId="7" pivotButton="0" quotePrefix="0" xfId="0"/>
    <xf numFmtId="0" fontId="4" fillId="0" borderId="8" pivotButton="0" quotePrefix="0" xfId="0"/>
    <xf numFmtId="0" fontId="4" fillId="4" borderId="9" pivotButton="0" quotePrefix="0" xfId="0"/>
    <xf numFmtId="0" fontId="4" fillId="0" borderId="10" pivotButton="0" quotePrefix="0" xfId="0"/>
    <xf numFmtId="0" fontId="7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4" fillId="5" borderId="0" pivotButton="0" quotePrefix="0" xfId="0"/>
    <xf numFmtId="9" fontId="4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9" fontId="3" fillId="5" borderId="2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/>
    </xf>
    <xf numFmtId="0" fontId="8" fillId="0" borderId="0" pivotButton="0" quotePrefix="0" xfId="0"/>
    <xf numFmtId="2" fontId="9" fillId="0" borderId="0" applyAlignment="1" pivotButton="0" quotePrefix="0" xfId="0">
      <alignment horizontal="center" vertical="center"/>
    </xf>
    <xf numFmtId="164" fontId="4" fillId="0" borderId="0" pivotButton="0" quotePrefix="0" xfId="0"/>
    <xf numFmtId="0" fontId="3" fillId="0" borderId="1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5" fontId="10" fillId="0" borderId="0" pivotButton="0" quotePrefix="0" xfId="0"/>
    <xf numFmtId="0" fontId="3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 wrapText="1"/>
    </xf>
    <xf numFmtId="0" fontId="10" fillId="0" borderId="0" pivotButton="0" quotePrefix="0" xfId="0"/>
    <xf numFmtId="2" fontId="3" fillId="0" borderId="0" applyAlignment="1" pivotButton="0" quotePrefix="0" xfId="0">
      <alignment horizontal="center" vertical="bottom"/>
    </xf>
    <xf numFmtId="2" fontId="4" fillId="0" borderId="0" pivotButton="0" quotePrefix="0" xfId="0"/>
    <xf numFmtId="0" fontId="1" fillId="5" borderId="2" applyAlignment="1" pivotButton="0" quotePrefix="0" xfId="0">
      <alignment horizontal="center"/>
    </xf>
    <xf numFmtId="2" fontId="1" fillId="5" borderId="5" applyAlignment="1" pivotButton="0" quotePrefix="0" xfId="0">
      <alignment horizontal="center"/>
    </xf>
    <xf numFmtId="0" fontId="6" fillId="0" borderId="12" pivotButton="0" quotePrefix="0" xfId="0"/>
    <xf numFmtId="2" fontId="4" fillId="0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bottom"/>
    </xf>
    <xf numFmtId="2" fontId="1" fillId="5" borderId="1" applyAlignment="1" pivotButton="0" quotePrefix="0" xfId="0">
      <alignment horizontal="center" vertical="bottom"/>
    </xf>
    <xf numFmtId="164" fontId="1" fillId="5" borderId="1" applyAlignment="1" pivotButton="0" quotePrefix="0" xfId="0">
      <alignment horizontal="center" vertical="bottom"/>
    </xf>
    <xf numFmtId="0" fontId="3" fillId="5" borderId="1" applyAlignment="1" pivotButton="0" quotePrefix="0" xfId="0">
      <alignment horizontal="center" vertical="bottom"/>
    </xf>
    <xf numFmtId="2" fontId="3" fillId="5" borderId="1" applyAlignment="1" pivotButton="0" quotePrefix="0" xfId="0">
      <alignment horizontal="center" vertical="bottom"/>
    </xf>
    <xf numFmtId="164" fontId="3" fillId="5" borderId="1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6" pivotButton="0" quotePrefix="0" xfId="0"/>
    <xf numFmtId="0" fontId="0" fillId="0" borderId="4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9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/>
    </xf>
    <xf numFmtId="2" fontId="1" fillId="5" borderId="1" applyAlignment="1" pivotButton="0" quotePrefix="0" xfId="0">
      <alignment horizontal="center"/>
    </xf>
    <xf numFmtId="0" fontId="0" fillId="0" borderId="12" pivotButton="0" quotePrefix="0" xfId="0"/>
    <xf numFmtId="0" fontId="11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7" borderId="0" applyAlignment="1" pivotButton="0" quotePrefix="0" xfId="0">
      <alignment wrapText="1"/>
    </xf>
    <xf numFmtId="0" fontId="11" fillId="6" borderId="0" applyAlignment="1" pivotButton="0" quotePrefix="0" xfId="0">
      <alignment horizontal="center"/>
    </xf>
    <xf numFmtId="0" fontId="14" fillId="0" borderId="14" pivotButton="0" quotePrefix="0" xfId="0"/>
    <xf numFmtId="0" fontId="14" fillId="8" borderId="14" applyAlignment="1" pivotButton="0" quotePrefix="0" xfId="0">
      <alignment wrapText="1"/>
    </xf>
    <xf numFmtId="0" fontId="13" fillId="7" borderId="14" applyAlignment="1" pivotButton="0" quotePrefix="0" xfId="0">
      <alignment wrapText="1"/>
    </xf>
    <xf numFmtId="1" fontId="14" fillId="8" borderId="14" applyAlignment="1" pivotButton="0" quotePrefix="0" xfId="0">
      <alignment wrapText="1"/>
    </xf>
    <xf numFmtId="166" fontId="14" fillId="8" borderId="14" applyAlignment="1" pivotButton="0" quotePrefix="0" xfId="0">
      <alignment wrapText="1"/>
    </xf>
    <xf numFmtId="2" fontId="14" fillId="8" borderId="14" applyAlignment="1" pivotButton="0" quotePrefix="0" xfId="0">
      <alignment wrapText="1"/>
    </xf>
    <xf numFmtId="0" fontId="15" fillId="9" borderId="14" applyAlignment="1" pivotButton="0" quotePrefix="0" xfId="0">
      <alignment horizontal="center" vertical="center" wrapText="1"/>
    </xf>
    <xf numFmtId="0" fontId="14" fillId="10" borderId="14" applyAlignment="1" pivotButton="0" quotePrefix="0" xfId="0">
      <alignment vertical="center" wrapText="1"/>
    </xf>
    <xf numFmtId="2" fontId="14" fillId="10" borderId="14" applyAlignment="1" pivotButton="0" quotePrefix="0" xfId="0">
      <alignment vertical="center" wrapText="1"/>
    </xf>
    <xf numFmtId="164" fontId="14" fillId="10" borderId="14" applyAlignment="1" pivotButton="0" quotePrefix="0" xfId="0">
      <alignment vertical="center" wrapText="1"/>
    </xf>
    <xf numFmtId="2" fontId="14" fillId="8" borderId="14" applyAlignment="1" pivotButton="0" quotePrefix="0" xfId="0">
      <alignment vertical="center" wrapText="1"/>
    </xf>
    <xf numFmtId="164" fontId="14" fillId="11" borderId="14" applyAlignment="1" pivotButton="0" quotePrefix="0" xfId="0">
      <alignment vertical="center" wrapText="1"/>
    </xf>
    <xf numFmtId="2" fontId="14" fillId="11" borderId="14" applyAlignment="1" pivotButton="0" quotePrefix="0" xfId="0">
      <alignment vertical="center" wrapText="1"/>
    </xf>
    <xf numFmtId="1" fontId="14" fillId="11" borderId="14" applyAlignment="1" pivotButton="0" quotePrefix="0" xfId="0">
      <alignment vertical="center" wrapText="1"/>
    </xf>
    <xf numFmtId="0" fontId="14" fillId="11" borderId="14" applyAlignment="1" pivotButton="0" quotePrefix="0" xfId="0">
      <alignment vertical="center" wrapText="1"/>
    </xf>
    <xf numFmtId="0" fontId="14" fillId="7" borderId="14" applyAlignment="1" pivotButton="0" quotePrefix="0" xfId="0">
      <alignment vertical="center" wrapText="1"/>
    </xf>
    <xf numFmtId="0" fontId="16" fillId="9" borderId="14" applyAlignment="1" pivotButton="0" quotePrefix="0" xfId="0">
      <alignment horizontal="center" wrapText="1"/>
    </xf>
    <xf numFmtId="0" fontId="13" fillId="0" borderId="0" pivotButton="0" quotePrefix="0" xfId="0"/>
    <xf numFmtId="2" fontId="13" fillId="7" borderId="14" applyAlignment="1" pivotButton="0" quotePrefix="0" xfId="0">
      <alignment horizontal="center"/>
    </xf>
    <xf numFmtId="0" fontId="13" fillId="7" borderId="14" applyAlignment="1" pivotButton="0" quotePrefix="0" xfId="0">
      <alignment vertical="center" wrapText="1"/>
    </xf>
    <xf numFmtId="0" fontId="17" fillId="12" borderId="14" pivotButton="0" quotePrefix="0" xfId="0"/>
    <xf numFmtId="2" fontId="17" fillId="12" borderId="14" pivotButton="0" quotePrefix="0" xfId="0"/>
    <xf numFmtId="0" fontId="0" fillId="0" borderId="17" pivotButton="0" quotePrefix="0" xfId="0"/>
    <xf numFmtId="0" fontId="0" fillId="0" borderId="18" pivotButton="0" quotePrefix="0" xfId="0"/>
    <xf numFmtId="0" fontId="15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_rels/drawing2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Relationship Type="http://schemas.openxmlformats.org/officeDocument/2006/relationships/image" Target="/xl/media/image21.png" Id="rId5"/><Relationship Type="http://schemas.openxmlformats.org/officeDocument/2006/relationships/image" Target="/xl/media/image22.png" Id="rId6"/><Relationship Type="http://schemas.openxmlformats.org/officeDocument/2006/relationships/image" Target="/xl/media/image23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24.png" Id="rId1"/><Relationship Type="http://schemas.openxmlformats.org/officeDocument/2006/relationships/image" Target="/xl/media/image25.png" Id="rId2"/><Relationship Type="http://schemas.openxmlformats.org/officeDocument/2006/relationships/image" Target="/xl/media/image26.png" Id="rId3"/></Relationships>
</file>

<file path=xl/drawings/drawing1.xml><?xml version="1.0" encoding="utf-8"?>
<wsDr xmlns="http://schemas.openxmlformats.org/drawingml/2006/spreadsheetDrawing">
  <oneCellAnchor>
    <from>
      <col>4</col>
      <colOff>809625</colOff>
      <row>18</row>
      <rowOff>123825</rowOff>
    </from>
    <ext cx="5105400" cy="4867275"/>
    <pic>
      <nvPicPr>
        <cNvPr id="0" name="image12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819150</colOff>
      <row>11</row>
      <rowOff>133350</rowOff>
    </from>
    <ext cx="5076825" cy="1209675"/>
    <pic>
      <nvPicPr>
        <cNvPr id="0" name="image16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923925</colOff>
      <row>45</row>
      <rowOff>-28575</rowOff>
    </from>
    <ext cx="3638550" cy="4867275"/>
    <pic>
      <nvPicPr>
        <cNvPr id="0" name="image2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95250</colOff>
      <row>73</row>
      <rowOff>57150</rowOff>
    </from>
    <ext cx="2066925" cy="2352675"/>
    <pic>
      <nvPicPr>
        <cNvPr id="0" name="image8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238125</colOff>
      <row>90</row>
      <rowOff>9525</rowOff>
    </from>
    <ext cx="990600" cy="2981325"/>
    <pic>
      <nvPicPr>
        <cNvPr id="0" name="image7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504825</colOff>
      <row>92</row>
      <rowOff>57150</rowOff>
    </from>
    <ext cx="2905125" cy="2095500"/>
    <pic>
      <nvPicPr>
        <cNvPr id="0" name="image9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180975</colOff>
      <row>109</row>
      <rowOff>28575</rowOff>
    </from>
    <ext cx="3914775" cy="1800225"/>
    <pic>
      <nvPicPr>
        <cNvPr id="0" name="image17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962025</colOff>
      <row>118</row>
      <rowOff>200025</rowOff>
    </from>
    <ext cx="5619750" cy="3352800"/>
    <pic>
      <nvPicPr>
        <cNvPr id="0" name="image25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171450</colOff>
      <row>125</row>
      <rowOff>190500</rowOff>
    </from>
    <ext cx="2724150" cy="666750"/>
    <pic>
      <nvPicPr>
        <cNvPr id="0" name="image26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171450</colOff>
      <row>130</row>
      <rowOff>104775</rowOff>
    </from>
    <ext cx="6934200" cy="2181225"/>
    <pic>
      <nvPicPr>
        <cNvPr id="0" name="image1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352425</colOff>
      <row>146</row>
      <rowOff>104775</rowOff>
    </from>
    <ext cx="4876800" cy="3743325"/>
    <pic>
      <nvPicPr>
        <cNvPr id="0" name="image19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171450</colOff>
      <row>164</row>
      <rowOff>200025</rowOff>
    </from>
    <ext cx="4876800" cy="6496050"/>
    <pic>
      <nvPicPr>
        <cNvPr id="0" name="image24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1600200</colOff>
      <row>157</row>
      <rowOff>9525</rowOff>
    </from>
    <ext cx="3829050" cy="3009900"/>
    <pic>
      <nvPicPr>
        <cNvPr id="0" name="image20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485775</colOff>
      <row>201</row>
      <rowOff>161925</rowOff>
    </from>
    <ext cx="4857750" cy="2333625"/>
    <pic>
      <nvPicPr>
        <cNvPr id="0" name="image3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0</colOff>
      <row>216</row>
      <rowOff>0</rowOff>
    </from>
    <ext cx="6143625" cy="14001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0</colOff>
      <row>225</row>
      <rowOff>0</rowOff>
    </from>
    <ext cx="4876800" cy="3324225"/>
    <pic>
      <nvPicPr>
        <cNvPr id="0" name="image2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1076325</colOff>
      <row>6</row>
      <rowOff>152400</rowOff>
    </from>
    <ext cx="4876800" cy="4343400"/>
    <pic>
      <nvPicPr>
        <cNvPr id="0" name="image18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400050</colOff>
      <row>76</row>
      <rowOff>114300</rowOff>
    </from>
    <ext cx="4876800" cy="2828925"/>
    <pic>
      <nvPicPr>
        <cNvPr id="0" name="image13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266700</colOff>
      <row>79</row>
      <rowOff>152400</rowOff>
    </from>
    <ext cx="1704975" cy="876300"/>
    <pic>
      <nvPicPr>
        <cNvPr id="0" name="image22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37</row>
      <rowOff>38100</rowOff>
    </from>
    <ext cx="8372475" cy="609600"/>
    <pic>
      <nvPicPr>
        <cNvPr id="0" name="image4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40</row>
      <rowOff>38100</rowOff>
    </from>
    <ext cx="8372475" cy="2028825"/>
    <pic>
      <nvPicPr>
        <cNvPr id="0" name="image15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800100</colOff>
      <row>68</row>
      <rowOff>114300</rowOff>
    </from>
    <ext cx="4476750" cy="5248275"/>
    <pic>
      <nvPicPr>
        <cNvPr id="0" name="image23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561975</colOff>
      <row>137</row>
      <rowOff>114300</rowOff>
    </from>
    <ext cx="4876800" cy="3829050"/>
    <pic>
      <nvPicPr>
        <cNvPr id="0" name="image6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13</col>
      <colOff>438150</colOff>
      <row>7</row>
      <rowOff>47625</rowOff>
    </from>
    <ext cx="3067050" cy="3390900"/>
    <pic>
      <nvPicPr>
        <cNvPr id="0" name="image10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847725</colOff>
      <row>15</row>
      <rowOff>47625</rowOff>
    </from>
    <ext cx="4410075" cy="1571625"/>
    <pic>
      <nvPicPr>
        <cNvPr id="0" name="image5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9525</colOff>
      <row>13</row>
      <rowOff>200025</rowOff>
    </from>
    <ext cx="5772150" cy="2981325"/>
    <pic>
      <nvPicPr>
        <cNvPr id="0" name="image14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comercialex.com.br/produtos/iluminacao/luminaria-convencional/luminaria-a-prova-de-explosao-arandela/" TargetMode="External" Id="rId1"/><Relationship Type="http://schemas.openxmlformats.org/officeDocument/2006/relationships/drawing" Target="/xl/drawings/drawing3.xm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K15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78" min="1" max="1"/>
    <col width="37.13" customWidth="1" style="78" min="2" max="2"/>
    <col width="13.88" customWidth="1" style="78" min="4" max="4"/>
    <col width="18.38" customWidth="1" style="78" min="5" max="5"/>
    <col width="14" customWidth="1" style="78" min="8" max="8"/>
    <col width="14" customWidth="1" style="78" min="10" max="10"/>
  </cols>
  <sheetData>
    <row r="2">
      <c r="A2" s="3" t="inlineStr">
        <is>
          <t>RESPONSÁVEL</t>
        </is>
      </c>
      <c r="B2" s="3" t="inlineStr">
        <is>
          <t>LOCAL</t>
        </is>
      </c>
      <c r="C2" s="3" t="inlineStr">
        <is>
          <t>ALTURA DE MANUSEIO TRABALHO Hpp (m)</t>
        </is>
      </c>
      <c r="D2" s="2" t="inlineStr">
        <is>
          <t>LARGURA L (m)</t>
        </is>
      </c>
      <c r="E2" s="2" t="inlineStr">
        <is>
          <t>COMPRIMENTO C (m)</t>
        </is>
      </c>
      <c r="F2" s="3" t="inlineStr">
        <is>
          <t>ÁREA (m²)</t>
        </is>
      </c>
      <c r="G2" s="3" t="inlineStr">
        <is>
          <t>PERÍMETRO (m)</t>
        </is>
      </c>
      <c r="H2" s="3" t="inlineStr">
        <is>
          <t>TETO</t>
        </is>
      </c>
      <c r="I2" s="3" t="inlineStr">
        <is>
          <t>PAREDE</t>
        </is>
      </c>
      <c r="J2" s="3" t="inlineStr">
        <is>
          <t>PISO</t>
        </is>
      </c>
      <c r="K2" s="3" t="inlineStr">
        <is>
          <t>ALTURA TOTAL/PÉ-DIREITO Htp (m)</t>
        </is>
      </c>
    </row>
    <row r="3">
      <c r="A3" s="7" t="inlineStr">
        <is>
          <t>DANTE</t>
        </is>
      </c>
      <c r="B3" s="7" t="inlineStr">
        <is>
          <t>SALA DE CALDEIRAS</t>
        </is>
      </c>
      <c r="C3" s="7" t="n">
        <v>0.8</v>
      </c>
      <c r="D3" s="7" t="n">
        <v>15.92</v>
      </c>
      <c r="E3" s="7" t="n">
        <v>9.6</v>
      </c>
      <c r="F3" s="13">
        <f>E3*D3</f>
        <v/>
      </c>
      <c r="G3" s="13">
        <f>(2*E3)+(2*D3)</f>
        <v/>
      </c>
      <c r="H3" s="7" t="inlineStr">
        <is>
          <t>ZINCO</t>
        </is>
      </c>
      <c r="I3" s="7" t="inlineStr">
        <is>
          <t>CLARA</t>
        </is>
      </c>
      <c r="J3" s="7" t="inlineStr">
        <is>
          <t>CONCRETO</t>
        </is>
      </c>
      <c r="K3" s="7" t="n">
        <v>7</v>
      </c>
    </row>
    <row r="4">
      <c r="A4" s="7" t="inlineStr">
        <is>
          <t>DANTE</t>
        </is>
      </c>
      <c r="B4" s="7" t="inlineStr">
        <is>
          <t>COMPRESSOR (BOMBAS E PRENSA)</t>
        </is>
      </c>
      <c r="C4" s="7" t="n">
        <v>0.8</v>
      </c>
      <c r="D4" s="7" t="n">
        <v>9.279999999999999</v>
      </c>
      <c r="E4" s="7" t="n">
        <v>9.6</v>
      </c>
      <c r="F4" s="13">
        <f>E4*D4</f>
        <v/>
      </c>
      <c r="G4" s="13">
        <f>(2*E4)+(2*D4)</f>
        <v/>
      </c>
      <c r="H4" s="7" t="inlineStr">
        <is>
          <t>ZINCO</t>
        </is>
      </c>
      <c r="I4" s="7" t="inlineStr">
        <is>
          <t>CLARA</t>
        </is>
      </c>
      <c r="J4" s="7" t="inlineStr">
        <is>
          <t>CONCRETO</t>
        </is>
      </c>
      <c r="K4" s="7" t="n">
        <v>7</v>
      </c>
    </row>
    <row r="5">
      <c r="A5" s="7" t="inlineStr">
        <is>
          <t>DANTE</t>
        </is>
      </c>
      <c r="B5" s="7" t="inlineStr">
        <is>
          <t>DEPÓSITO DE CARCAÇAS 1</t>
        </is>
      </c>
      <c r="C5" s="7" t="n">
        <v>0.8</v>
      </c>
      <c r="D5" s="7" t="n">
        <v>8.119999999999999</v>
      </c>
      <c r="E5" s="7" t="n">
        <v>6</v>
      </c>
      <c r="F5" s="13">
        <f>E5*D5</f>
        <v/>
      </c>
      <c r="G5" s="13">
        <f>2*E5+2*D5</f>
        <v/>
      </c>
      <c r="H5" s="7" t="inlineStr">
        <is>
          <t>ZINCO</t>
        </is>
      </c>
      <c r="I5" s="7" t="inlineStr">
        <is>
          <t>CLARA</t>
        </is>
      </c>
      <c r="J5" s="7" t="inlineStr">
        <is>
          <t>CONCRETO</t>
        </is>
      </c>
      <c r="K5" s="7" t="n">
        <v>7</v>
      </c>
    </row>
    <row r="6">
      <c r="A6" s="7" t="inlineStr">
        <is>
          <t>DANTE</t>
        </is>
      </c>
      <c r="B6" s="7" t="inlineStr">
        <is>
          <t>DEPÓSITO DE CARCAÇAS 2</t>
        </is>
      </c>
      <c r="C6" s="7" t="n">
        <v>0.8</v>
      </c>
      <c r="D6" s="7" t="n">
        <v>11.18</v>
      </c>
      <c r="E6" s="7" t="n">
        <v>9.6</v>
      </c>
      <c r="F6" s="13">
        <f>E6*D6</f>
        <v/>
      </c>
      <c r="G6" s="13">
        <f>2*E6+2*D6</f>
        <v/>
      </c>
      <c r="H6" s="7" t="inlineStr">
        <is>
          <t>ZINCO</t>
        </is>
      </c>
      <c r="I6" s="7" t="inlineStr">
        <is>
          <t>CLARA</t>
        </is>
      </c>
      <c r="J6" s="7" t="inlineStr">
        <is>
          <t>CONCRETO</t>
        </is>
      </c>
      <c r="K6" s="7" t="n">
        <v>7</v>
      </c>
    </row>
    <row r="7">
      <c r="A7" s="7" t="inlineStr">
        <is>
          <t>DANTE</t>
        </is>
      </c>
      <c r="B7" s="7" t="inlineStr">
        <is>
          <t>RASPA</t>
        </is>
      </c>
      <c r="C7" s="7" t="n">
        <v>0.8</v>
      </c>
      <c r="D7" s="7" t="n">
        <v>8.119999999999999</v>
      </c>
      <c r="E7" s="7" t="n">
        <v>30.92</v>
      </c>
      <c r="F7" s="13">
        <f>E7*D7</f>
        <v/>
      </c>
      <c r="G7" s="13">
        <f>(2*E7)+(2*D7)</f>
        <v/>
      </c>
      <c r="H7" s="7" t="inlineStr">
        <is>
          <t>ZINCO</t>
        </is>
      </c>
      <c r="I7" s="7" t="inlineStr">
        <is>
          <t>CLARA</t>
        </is>
      </c>
      <c r="J7" s="7" t="inlineStr">
        <is>
          <t>CONCRETO</t>
        </is>
      </c>
      <c r="K7" s="7" t="n">
        <v>7</v>
      </c>
    </row>
    <row r="8">
      <c r="A8" s="25" t="inlineStr">
        <is>
          <t>PIETRO</t>
        </is>
      </c>
      <c r="B8" s="25" t="inlineStr">
        <is>
          <t>RECAPAGEM 1</t>
        </is>
      </c>
      <c r="C8" s="7" t="n">
        <v>0.8</v>
      </c>
      <c r="D8" s="25" t="n">
        <v>5</v>
      </c>
      <c r="E8" s="25" t="n">
        <v>30.9</v>
      </c>
      <c r="F8" s="13">
        <f>E8*D8</f>
        <v/>
      </c>
      <c r="G8" s="13">
        <f>(2*E8)+(2*D8)</f>
        <v/>
      </c>
      <c r="H8" s="7" t="inlineStr">
        <is>
          <t>ZINCO</t>
        </is>
      </c>
      <c r="I8" s="7" t="inlineStr">
        <is>
          <t>CLARA</t>
        </is>
      </c>
      <c r="J8" s="7" t="inlineStr">
        <is>
          <t>CONCRETO</t>
        </is>
      </c>
      <c r="K8" s="25" t="n">
        <v>7</v>
      </c>
    </row>
    <row r="9">
      <c r="A9" s="25" t="inlineStr">
        <is>
          <t>PIETRO</t>
        </is>
      </c>
      <c r="B9" s="25" t="inlineStr">
        <is>
          <t>RECAPAGEM 2</t>
        </is>
      </c>
      <c r="C9" s="7" t="n">
        <v>0.8</v>
      </c>
      <c r="D9" s="25" t="n">
        <v>5.23</v>
      </c>
      <c r="E9" s="25" t="n">
        <v>39.25</v>
      </c>
      <c r="F9" s="13">
        <f>E9*D9</f>
        <v/>
      </c>
      <c r="G9" s="13">
        <f>(2*E9)+(2*D9)</f>
        <v/>
      </c>
      <c r="H9" s="7" t="inlineStr">
        <is>
          <t>ZINCO</t>
        </is>
      </c>
      <c r="I9" s="7" t="inlineStr">
        <is>
          <t>CLARA</t>
        </is>
      </c>
      <c r="J9" s="7" t="inlineStr">
        <is>
          <t>CONCRETO</t>
        </is>
      </c>
      <c r="K9" s="25" t="n">
        <v>7</v>
      </c>
    </row>
    <row r="10">
      <c r="A10" s="25" t="inlineStr">
        <is>
          <t>PIETRO</t>
        </is>
      </c>
      <c r="B10" s="25" t="inlineStr">
        <is>
          <t>RECAPAGEM 3</t>
        </is>
      </c>
      <c r="C10" s="7" t="n">
        <v>0.8</v>
      </c>
      <c r="D10" s="25" t="n">
        <v>27.95</v>
      </c>
      <c r="E10" s="25" t="n">
        <v>43.37</v>
      </c>
      <c r="F10" s="13">
        <f>E10*D10</f>
        <v/>
      </c>
      <c r="G10" s="13">
        <f>(2*E10)+(2*D10)</f>
        <v/>
      </c>
      <c r="H10" s="7" t="inlineStr">
        <is>
          <t>ZINCO</t>
        </is>
      </c>
      <c r="I10" s="7" t="inlineStr">
        <is>
          <t>CLARA</t>
        </is>
      </c>
      <c r="J10" s="7" t="inlineStr">
        <is>
          <t>CONCRETO</t>
        </is>
      </c>
      <c r="K10" s="25" t="n">
        <v>7</v>
      </c>
    </row>
    <row r="11">
      <c r="A11" s="7" t="inlineStr">
        <is>
          <t>LUCAS</t>
        </is>
      </c>
      <c r="B11" s="7" t="inlineStr">
        <is>
          <t>SAIDA DE PRODUTOS (SALA DE PRODUTOS)</t>
        </is>
      </c>
      <c r="C11" s="7" t="n">
        <v>0.8</v>
      </c>
      <c r="D11" s="7" t="n">
        <v>5</v>
      </c>
      <c r="E11" s="7" t="n">
        <v>6</v>
      </c>
      <c r="F11" s="13">
        <f>E11*D11</f>
        <v/>
      </c>
      <c r="G11" s="13">
        <f>(2*E11)+(2*D11)</f>
        <v/>
      </c>
      <c r="H11" s="7" t="inlineStr">
        <is>
          <t>CLARO</t>
        </is>
      </c>
      <c r="I11" s="7" t="inlineStr">
        <is>
          <t>CLARA</t>
        </is>
      </c>
      <c r="J11" s="7" t="inlineStr">
        <is>
          <t>AZULEJO CINZA</t>
        </is>
      </c>
      <c r="K11" s="7" t="n">
        <v>3</v>
      </c>
    </row>
    <row r="12">
      <c r="A12" s="7" t="inlineStr">
        <is>
          <t>LUCAS</t>
        </is>
      </c>
      <c r="B12" s="7" t="inlineStr">
        <is>
          <t>CONTROLE DE QUALIDADE</t>
        </is>
      </c>
      <c r="C12" s="7" t="n">
        <v>0.8</v>
      </c>
      <c r="D12" s="7" t="n">
        <v>5</v>
      </c>
      <c r="E12" s="7" t="n">
        <v>6</v>
      </c>
      <c r="F12" s="13">
        <f>E12*D12</f>
        <v/>
      </c>
      <c r="G12" s="13">
        <f>(2*E12)+(2*D12)</f>
        <v/>
      </c>
      <c r="H12" s="7" t="inlineStr">
        <is>
          <t>BRANCO</t>
        </is>
      </c>
      <c r="I12" s="7" t="inlineStr">
        <is>
          <t>BRANCA</t>
        </is>
      </c>
      <c r="J12" s="7" t="inlineStr">
        <is>
          <t>AZULEJO CINZA</t>
        </is>
      </c>
      <c r="K12" s="7" t="n">
        <v>3</v>
      </c>
    </row>
    <row r="13">
      <c r="A13" s="7" t="inlineStr">
        <is>
          <t>LUCAS</t>
        </is>
      </c>
      <c r="B13" s="7" t="inlineStr">
        <is>
          <t>BANHEIRO(VESTUARIO)</t>
        </is>
      </c>
      <c r="C13" s="7" t="n">
        <v>0.8</v>
      </c>
      <c r="D13" s="7" t="n">
        <v>5.23</v>
      </c>
      <c r="E13" s="7" t="n">
        <v>3.5</v>
      </c>
      <c r="F13" s="13">
        <f>E13*D13</f>
        <v/>
      </c>
      <c r="G13" s="13">
        <f>(2*E13)+(2*D13)</f>
        <v/>
      </c>
      <c r="H13" s="7" t="inlineStr">
        <is>
          <t>CLARO</t>
        </is>
      </c>
      <c r="I13" s="7" t="inlineStr">
        <is>
          <t>CLARA</t>
        </is>
      </c>
      <c r="J13" s="7" t="inlineStr">
        <is>
          <t>AZULEJO CINZA</t>
        </is>
      </c>
      <c r="K13" s="7" t="n">
        <v>3</v>
      </c>
    </row>
    <row r="14">
      <c r="A14" s="7" t="inlineStr">
        <is>
          <t>LUCAS</t>
        </is>
      </c>
      <c r="B14" s="7" t="inlineStr">
        <is>
          <t>ESCRITÓRIO</t>
        </is>
      </c>
      <c r="C14" s="7" t="n">
        <v>0.8</v>
      </c>
      <c r="D14" s="7" t="n">
        <v>8.119999999999999</v>
      </c>
      <c r="E14" s="7" t="n">
        <v>6</v>
      </c>
      <c r="F14" s="13">
        <f>E14*D14</f>
        <v/>
      </c>
      <c r="G14" s="13">
        <f>(2*E14)+(2*D14)</f>
        <v/>
      </c>
      <c r="H14" s="7" t="inlineStr">
        <is>
          <t>BRANCO</t>
        </is>
      </c>
      <c r="I14" s="7" t="inlineStr">
        <is>
          <t>BEGE</t>
        </is>
      </c>
      <c r="J14" s="7" t="inlineStr">
        <is>
          <t>AZULEJO CINZA</t>
        </is>
      </c>
      <c r="K14" s="7" t="n">
        <v>3</v>
      </c>
    </row>
    <row r="15">
      <c r="A15" s="7" t="inlineStr">
        <is>
          <t>JOÃO</t>
        </is>
      </c>
      <c r="B15" s="7" t="inlineStr">
        <is>
          <t>SUBESTAÇÃO</t>
        </is>
      </c>
      <c r="C15" s="7" t="n">
        <v>0.8</v>
      </c>
      <c r="D15" s="7" t="n">
        <v>9.6</v>
      </c>
      <c r="E15" s="7" t="n">
        <v>9.800000000000001</v>
      </c>
      <c r="F15" s="13">
        <f>D15*E15</f>
        <v/>
      </c>
      <c r="G15" s="13">
        <f>(2*D15)+(2*E15)</f>
        <v/>
      </c>
      <c r="H15" s="7" t="inlineStr">
        <is>
          <t>BRANCO</t>
        </is>
      </c>
      <c r="I15" s="7" t="inlineStr">
        <is>
          <t>BRANCA</t>
        </is>
      </c>
      <c r="J15" s="7" t="inlineStr">
        <is>
          <t>CONCRETO</t>
        </is>
      </c>
      <c r="K15" s="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46"/>
  <sheetViews>
    <sheetView workbookViewId="0">
      <selection activeCell="A1" sqref="A1"/>
    </sheetView>
  </sheetViews>
  <sheetFormatPr baseColWidth="8" defaultColWidth="12.63" defaultRowHeight="15.75" customHeight="1"/>
  <cols>
    <col width="54.63" customWidth="1" style="78" min="1" max="1"/>
    <col width="41.25" customWidth="1" style="78" min="2" max="2"/>
    <col width="18.38" customWidth="1" style="78" min="3" max="3"/>
    <col width="18.88" customWidth="1" style="78" min="10" max="10"/>
  </cols>
  <sheetData>
    <row r="1">
      <c r="A1" s="17" t="inlineStr">
        <is>
          <t>DADOS DO LOCAL</t>
        </is>
      </c>
    </row>
    <row r="2">
      <c r="A2" s="23" t="inlineStr">
        <is>
          <t>LOCAL</t>
        </is>
      </c>
      <c r="B2" s="2" t="inlineStr">
        <is>
          <t>LARGURA L (m)</t>
        </is>
      </c>
      <c r="C2" s="2" t="inlineStr">
        <is>
          <t>COMPRIMENTO C (m)</t>
        </is>
      </c>
      <c r="D2" s="3" t="inlineStr">
        <is>
          <t>ALTURA DE MANUSEIO TRABALHO Hpp (m)</t>
        </is>
      </c>
      <c r="E2" s="3" t="inlineStr">
        <is>
          <t>ALTURA TOTAL/PÉ-DIREITO Htp (m)</t>
        </is>
      </c>
      <c r="F2" s="3" t="inlineStr">
        <is>
          <t>ALTURA UTIL/ ALTURA DE TRABALHO Hlp (m)</t>
        </is>
      </c>
      <c r="G2" s="3" t="inlineStr">
        <is>
          <t>TETO</t>
        </is>
      </c>
      <c r="H2" s="3" t="inlineStr">
        <is>
          <t>PAREDE</t>
        </is>
      </c>
      <c r="I2" s="3" t="inlineStr">
        <is>
          <t>PISO</t>
        </is>
      </c>
      <c r="J2" s="21" t="inlineStr">
        <is>
          <t xml:space="preserve"> LAMPADA UTILIZADA</t>
        </is>
      </c>
    </row>
    <row r="3">
      <c r="A3" s="7" t="inlineStr">
        <is>
          <t>SALA DE CALDEIRA</t>
        </is>
      </c>
      <c r="B3" s="23">
        <f>DADOS!D3</f>
        <v/>
      </c>
      <c r="C3" s="23">
        <f>DADOS!E3</f>
        <v/>
      </c>
      <c r="D3" s="23">
        <f>DADOS!C3</f>
        <v/>
      </c>
      <c r="E3" s="23">
        <f>DADOS!K3</f>
        <v/>
      </c>
      <c r="F3" s="23">
        <f>E3-D3</f>
        <v/>
      </c>
      <c r="G3" s="23">
        <f>DADOS!H3</f>
        <v/>
      </c>
      <c r="H3" s="23">
        <f>DADOS!I3</f>
        <v/>
      </c>
      <c r="I3" s="23">
        <f>DADOS!J3</f>
        <v/>
      </c>
      <c r="J3" s="23" t="inlineStr">
        <is>
          <t>VAPOR DE METAL</t>
        </is>
      </c>
    </row>
    <row r="6">
      <c r="A6" s="17" t="inlineStr">
        <is>
          <t>MÉTODO LUMENS</t>
        </is>
      </c>
    </row>
    <row r="10">
      <c r="A10" s="17" t="inlineStr">
        <is>
          <t>ILUMINAMENTO</t>
        </is>
      </c>
    </row>
    <row r="13">
      <c r="A13" s="54" t="inlineStr">
        <is>
          <t>CARACTERÍSTICAS DA TAREFA E DO OBSERVADOR ADOTADOS</t>
        </is>
      </c>
      <c r="B13" s="79" t="n"/>
    </row>
    <row r="14">
      <c r="A14" s="54" t="inlineStr">
        <is>
          <t>PESO</t>
        </is>
      </c>
      <c r="B14" s="54" t="n">
        <v>0</v>
      </c>
    </row>
    <row r="15">
      <c r="A15" s="54" t="inlineStr">
        <is>
          <t>IDADE</t>
        </is>
      </c>
      <c r="B15" s="54" t="n">
        <v>41</v>
      </c>
    </row>
    <row r="16">
      <c r="A16" s="54" t="inlineStr">
        <is>
          <t>VELOCIDADE E PRECISÃO</t>
        </is>
      </c>
      <c r="B16" s="54" t="inlineStr">
        <is>
          <t>IMPORTANTE</t>
        </is>
      </c>
    </row>
    <row r="17">
      <c r="A17" s="54" t="inlineStr">
        <is>
          <t>REFLETANCIA NO FUNDO DA TAREFA</t>
        </is>
      </c>
      <c r="B17" s="36" t="n">
        <v>0.4</v>
      </c>
    </row>
    <row r="21">
      <c r="A21" s="54" t="inlineStr">
        <is>
          <t>FAIXAS, ILUMINANCIAS E TIPO DE ATIVIDADE ADOTADOS</t>
        </is>
      </c>
      <c r="B21" s="79" t="n"/>
    </row>
    <row r="22">
      <c r="A22" s="54" t="inlineStr">
        <is>
          <t xml:space="preserve">ADOTADA A FAIXA B </t>
        </is>
      </c>
      <c r="B22" s="54" t="inlineStr">
        <is>
          <t>TAREFAS COM REQUISITOS VISUAIS LIMITADOS...</t>
        </is>
      </c>
      <c r="C22" s="37" t="n"/>
      <c r="D22" s="37" t="n"/>
    </row>
    <row r="23">
      <c r="A23" s="54" t="inlineStr">
        <is>
          <t>ILUMINÂNCIAS (LUX)</t>
        </is>
      </c>
      <c r="B23" s="54" t="n">
        <v>300</v>
      </c>
      <c r="C23" s="17" t="n"/>
      <c r="D23" s="17" t="n"/>
    </row>
    <row r="26">
      <c r="A26" s="54" t="inlineStr">
        <is>
          <t>ILUMINÂNCIA MINIMA EM LUX, POR TIPO DE ATIVIDADE ADOTADO</t>
        </is>
      </c>
      <c r="B26" s="79" t="n"/>
    </row>
    <row r="27">
      <c r="A27" s="54" t="inlineStr">
        <is>
          <t>TIPO DE AMBIENTE</t>
        </is>
      </c>
      <c r="B27" s="25" t="inlineStr">
        <is>
          <t>LUX</t>
        </is>
      </c>
    </row>
    <row r="28">
      <c r="A28" s="54" t="inlineStr">
        <is>
          <t>INDÚSTRIA QUIMICA</t>
        </is>
      </c>
      <c r="B28" s="80" t="n"/>
    </row>
    <row r="29">
      <c r="A29" s="54" t="inlineStr">
        <is>
          <t>FORNOS, SECADORES</t>
        </is>
      </c>
      <c r="B29" s="54" t="n">
        <v>200</v>
      </c>
    </row>
    <row r="31">
      <c r="A31" s="37" t="inlineStr">
        <is>
          <t>ADOTADO NO FINAL O MAIOR VALOR QUE É 300 lx</t>
        </is>
      </c>
    </row>
    <row r="33">
      <c r="A33" s="54" t="inlineStr">
        <is>
          <t>ILUMINÂNCIAS (LUX)</t>
        </is>
      </c>
      <c r="B33" s="41" t="n">
        <v>300</v>
      </c>
    </row>
    <row r="34">
      <c r="B34" s="23" t="n"/>
    </row>
    <row r="35"/>
    <row r="71">
      <c r="A71" s="17" t="inlineStr">
        <is>
          <t>LUMINÁRIA ADOTADA</t>
        </is>
      </c>
    </row>
    <row r="73">
      <c r="A73" s="37" t="inlineStr">
        <is>
          <t>SALA DE CALDEIRAS POSSUEM ELEVADO PÉ-DIREITO, LUMINÁRIA ADEQUADA PARA ESSE AMBIENTE SÃO TIPO REFLETOR INDUSTRIAL ESTILO CUPULA</t>
        </is>
      </c>
      <c r="D73" s="37" t="n"/>
      <c r="E73" s="37" t="n"/>
      <c r="F73" s="37" t="n"/>
    </row>
    <row r="75">
      <c r="A75" s="54" t="inlineStr">
        <is>
          <t>DADOS LUMINÁRIA</t>
        </is>
      </c>
      <c r="B75" s="79" t="n"/>
    </row>
    <row r="76">
      <c r="A76" s="54" t="inlineStr">
        <is>
          <t>MODELO</t>
        </is>
      </c>
      <c r="B76" s="54" t="inlineStr">
        <is>
          <t>HDK 472</t>
        </is>
      </c>
    </row>
    <row r="77">
      <c r="A77" s="37" t="inlineStr">
        <is>
          <t>FABRICANTE</t>
        </is>
      </c>
      <c r="B77" s="37" t="inlineStr">
        <is>
          <t>Philips</t>
        </is>
      </c>
    </row>
    <row r="83">
      <c r="A83" s="47" t="n"/>
    </row>
    <row r="88">
      <c r="A88" s="17" t="inlineStr">
        <is>
          <t>LAMPADA E REATOR ADOTADOS</t>
        </is>
      </c>
    </row>
    <row r="89">
      <c r="A89" s="37" t="inlineStr">
        <is>
          <t>Podendo ser adotados lampadas de até 400 W, conforme a luminária adotada</t>
        </is>
      </c>
    </row>
    <row r="91">
      <c r="A91" s="54" t="inlineStr">
        <is>
          <t>DADOS DA LAMPADA</t>
        </is>
      </c>
      <c r="B91" s="79" t="n"/>
    </row>
    <row r="92">
      <c r="A92" s="54" t="inlineStr">
        <is>
          <t>MODELO</t>
        </is>
      </c>
      <c r="B92" s="54" t="inlineStr">
        <is>
          <t>MASTER HPI-T Plus 400W/645 E40 1SL/12</t>
        </is>
      </c>
    </row>
    <row r="93">
      <c r="A93" s="54" t="inlineStr">
        <is>
          <t>FABRICANTE</t>
        </is>
      </c>
      <c r="B93" s="54" t="inlineStr">
        <is>
          <t>Philips</t>
        </is>
      </c>
    </row>
    <row r="94">
      <c r="A94" s="54" t="inlineStr">
        <is>
          <t>TIPO DE LAMPADA</t>
        </is>
      </c>
      <c r="B94" s="54" t="inlineStr">
        <is>
          <t>VAPOR METALICO</t>
        </is>
      </c>
    </row>
    <row r="95">
      <c r="A95" s="54" t="inlineStr">
        <is>
          <t>POTÊNCIA (W)</t>
        </is>
      </c>
      <c r="B95" s="54" t="n">
        <v>400</v>
      </c>
    </row>
    <row r="96">
      <c r="A96" s="54" t="inlineStr">
        <is>
          <t>FLUXO LUMINOSO (lumens)</t>
        </is>
      </c>
      <c r="B96" s="54" t="n">
        <v>33200</v>
      </c>
    </row>
    <row r="97">
      <c r="A97" s="54" t="inlineStr">
        <is>
          <t>NUMERO DE LAMPADAS POR LUMINARIA</t>
        </is>
      </c>
      <c r="B97" s="54" t="n">
        <v>1</v>
      </c>
    </row>
    <row r="100">
      <c r="A100" s="54" t="inlineStr">
        <is>
          <t>DADOS DO REATOR</t>
        </is>
      </c>
      <c r="B100" s="79" t="n"/>
    </row>
    <row r="101">
      <c r="A101" s="54" t="inlineStr">
        <is>
          <t>MODELO</t>
        </is>
      </c>
      <c r="B101" s="54" t="inlineStr">
        <is>
          <t>BHLE 400L 200TS</t>
        </is>
      </c>
    </row>
    <row r="102">
      <c r="A102" s="54" t="inlineStr">
        <is>
          <t>FABRICANTE</t>
        </is>
      </c>
      <c r="B102" s="54" t="inlineStr">
        <is>
          <t>Philips</t>
        </is>
      </c>
    </row>
    <row r="103">
      <c r="A103" s="54" t="inlineStr">
        <is>
          <t>PERDAS (W)</t>
        </is>
      </c>
      <c r="B103" s="54" t="n">
        <v>27.5</v>
      </c>
    </row>
    <row r="104">
      <c r="A104" s="54" t="inlineStr">
        <is>
          <t>FATOR DE POTENCIA</t>
        </is>
      </c>
      <c r="B104" s="54" t="n">
        <v>0.85</v>
      </c>
    </row>
    <row r="106">
      <c r="A106" s="37" t="inlineStr">
        <is>
          <t>De forma a calcular o fluxo luminoso se deve calcular o FATOR DE UTILIZAÇÃO e FATOR DE DEPRECIAÇÃO</t>
        </is>
      </c>
    </row>
    <row r="108">
      <c r="A108" s="6" t="inlineStr">
        <is>
          <t>FATOR DE UTILIZAÇÃO Fu</t>
        </is>
      </c>
    </row>
    <row r="109">
      <c r="A109" s="37" t="inlineStr">
        <is>
          <t>DEVE-SE SEGUIR A FORMULA ABAIXO</t>
        </is>
      </c>
    </row>
    <row r="112">
      <c r="A112" s="54" t="inlineStr">
        <is>
          <t>K</t>
        </is>
      </c>
      <c r="B112" s="53">
        <f>(C3*B3)/(F3*(C3+B3))</f>
        <v/>
      </c>
    </row>
    <row r="115">
      <c r="A115" s="37" t="inlineStr">
        <is>
          <t>VERIFICA NO LIVRO DO MAMEDE AS REFLETANCIAS</t>
        </is>
      </c>
    </row>
    <row r="117">
      <c r="A117" s="37" t="inlineStr">
        <is>
          <t xml:space="preserve">POR MEIO DO VALOR DE K, USA A TABELA PARA ACHAR CONHECENDO AS REFLENTACIAS MÉDIAS DO TETO Pte, DAs PAREDES Ppa, do PISO Ppi, VAI NA TABELA E PEGA OS VALORES </t>
        </is>
      </c>
    </row>
    <row r="119">
      <c r="A119" s="54" t="inlineStr">
        <is>
          <t>TETO</t>
        </is>
      </c>
      <c r="B119" s="54">
        <f>G3</f>
        <v/>
      </c>
    </row>
    <row r="120">
      <c r="A120" s="54" t="inlineStr">
        <is>
          <t>PAREDE</t>
        </is>
      </c>
      <c r="B120" s="54">
        <f>H3</f>
        <v/>
      </c>
    </row>
    <row r="121">
      <c r="A121" s="54" t="inlineStr">
        <is>
          <t>PISO</t>
        </is>
      </c>
      <c r="B121" s="54">
        <f>I3</f>
        <v/>
      </c>
    </row>
    <row r="122">
      <c r="A122" s="54" t="inlineStr">
        <is>
          <t>Pte</t>
        </is>
      </c>
      <c r="B122" s="54" t="n">
        <v>0.7</v>
      </c>
    </row>
    <row r="123">
      <c r="A123" s="54" t="inlineStr">
        <is>
          <t>Ppa</t>
        </is>
      </c>
      <c r="B123" s="54" t="n">
        <v>0.5</v>
      </c>
    </row>
    <row r="124">
      <c r="A124" s="54" t="inlineStr">
        <is>
          <t>Ppi</t>
        </is>
      </c>
      <c r="B124" s="54" t="n">
        <v>0.1</v>
      </c>
    </row>
    <row r="125">
      <c r="A125" s="54" t="inlineStr">
        <is>
          <t>Fu</t>
        </is>
      </c>
      <c r="B125" s="54" t="n">
        <v>0.62</v>
      </c>
    </row>
    <row r="146">
      <c r="A146" s="6" t="inlineStr">
        <is>
          <t>FATOR DE DEPRECIAÇÃO Fdl</t>
        </is>
      </c>
    </row>
    <row r="148">
      <c r="A148" s="37" t="inlineStr">
        <is>
          <t>PRECISA VERIFICAR A CATEGORIA DA MANUTENÇÃO, CONSIDERA UM AMBIENTE SUJO</t>
        </is>
      </c>
    </row>
    <row r="150">
      <c r="A150" s="54" t="inlineStr">
        <is>
          <t>CATEGORIA DE MANUTENÇÃO LUMINÁRIAS</t>
        </is>
      </c>
      <c r="B150" s="54" t="inlineStr">
        <is>
          <t>I</t>
        </is>
      </c>
    </row>
    <row r="151">
      <c r="A151" s="54" t="inlineStr">
        <is>
          <t>CATEGORIA DO LOCAL</t>
        </is>
      </c>
      <c r="B151" s="54" t="inlineStr">
        <is>
          <t>SUJO</t>
        </is>
      </c>
    </row>
    <row r="152">
      <c r="A152" s="17" t="inlineStr">
        <is>
          <t>VIDA MÉDIA LAMPADAS (h)</t>
        </is>
      </c>
      <c r="B152" s="37" t="n">
        <v>24000</v>
      </c>
    </row>
    <row r="153">
      <c r="A153" s="37" t="inlineStr">
        <is>
          <t>TEMPO DE MANUTENÇÃO (meses)</t>
        </is>
      </c>
      <c r="B153" s="59">
        <f>(B152/2)/(14*30)</f>
        <v/>
      </c>
    </row>
    <row r="154">
      <c r="A154" s="60" t="inlineStr">
        <is>
          <t>Precisa calcular o tempo de manutenção das lampadas considera metade do tempo de vida média, 14 horas ligadas e por 30 dias</t>
        </is>
      </c>
      <c r="B154" s="35" t="n"/>
    </row>
    <row r="156">
      <c r="A156" s="37" t="inlineStr">
        <is>
          <t>A PARTIR DO TEMPO DE MANUTENÇÃO SE USA O GRAFICO DE CATEGORIA I, com S de sujo</t>
        </is>
      </c>
    </row>
    <row r="158">
      <c r="A158" s="61" t="n"/>
      <c r="B158" s="63" t="n"/>
    </row>
    <row r="159">
      <c r="A159" s="64" t="n"/>
      <c r="B159" s="63" t="n"/>
    </row>
    <row r="160">
      <c r="A160" s="61" t="n"/>
      <c r="B160" s="66" t="n"/>
    </row>
    <row r="161">
      <c r="A161" s="61" t="n"/>
      <c r="B161" s="63" t="n"/>
    </row>
    <row r="174">
      <c r="A174" s="54" t="inlineStr">
        <is>
          <t>FATOR DE DEPRECIAÇÃO Fdl</t>
        </is>
      </c>
      <c r="B174" s="54" t="n">
        <v>0.76</v>
      </c>
    </row>
    <row r="201">
      <c r="A201" s="6" t="inlineStr">
        <is>
          <t>FLUXO TOTAL LUMINOSO</t>
        </is>
      </c>
    </row>
    <row r="202">
      <c r="A202" s="37" t="inlineStr">
        <is>
          <t>Wt (lm)</t>
        </is>
      </c>
      <c r="B202" s="67">
        <f>(B23*(B3*C3))/(B125*B174)</f>
        <v/>
      </c>
    </row>
    <row r="215">
      <c r="A215" s="6" t="inlineStr">
        <is>
          <t>NUMERO DE LUMINARIAS</t>
        </is>
      </c>
    </row>
    <row r="217">
      <c r="A217" s="54" t="inlineStr">
        <is>
          <t>Nlu</t>
        </is>
      </c>
      <c r="B217" s="71">
        <f>B202/(B97*B96)</f>
        <v/>
      </c>
    </row>
    <row r="218">
      <c r="A218" s="54" t="inlineStr">
        <is>
          <t>Sempre arredonda Nlu para valor inteiro e acima</t>
        </is>
      </c>
      <c r="B218" s="79" t="n"/>
    </row>
    <row r="219">
      <c r="A219" s="54" t="inlineStr">
        <is>
          <t>Nlu&gt;=</t>
        </is>
      </c>
      <c r="B219" s="54" t="n">
        <v>3</v>
      </c>
    </row>
    <row r="244">
      <c r="C244" s="37" t="inlineStr">
        <is>
          <t>Usa o valor de catalogo de rendimento luminoso</t>
        </is>
      </c>
    </row>
    <row r="246">
      <c r="A246" s="6" t="inlineStr">
        <is>
          <t>DISTRIBUIÇÃO/DISPOSIÇÃO DE LUMINÁRIAS</t>
        </is>
      </c>
    </row>
  </sheetData>
  <mergeCells count="23">
    <mergeCell ref="B27:B28"/>
    <mergeCell ref="A201:H201"/>
    <mergeCell ref="A10:J10"/>
    <mergeCell ref="A146:H146"/>
    <mergeCell ref="A71:F71"/>
    <mergeCell ref="A218:B218"/>
    <mergeCell ref="A75:B75"/>
    <mergeCell ref="A108:H108"/>
    <mergeCell ref="A89:B89"/>
    <mergeCell ref="B34:B35"/>
    <mergeCell ref="A246:H246"/>
    <mergeCell ref="A1:J1"/>
    <mergeCell ref="A21:B21"/>
    <mergeCell ref="A26:B26"/>
    <mergeCell ref="A6:J6"/>
    <mergeCell ref="A88:D88"/>
    <mergeCell ref="A117:F117"/>
    <mergeCell ref="A73:C73"/>
    <mergeCell ref="A91:B91"/>
    <mergeCell ref="A100:B100"/>
    <mergeCell ref="A215:H215"/>
    <mergeCell ref="A13:B13"/>
    <mergeCell ref="A31:B3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O108"/>
  <sheetViews>
    <sheetView workbookViewId="0">
      <selection activeCell="A1" sqref="A1"/>
    </sheetView>
  </sheetViews>
  <sheetFormatPr baseColWidth="8" defaultColWidth="12.63" defaultRowHeight="15.75" customHeight="1"/>
  <cols>
    <col width="15.75" customWidth="1" style="78" min="1" max="1"/>
    <col width="13.38" customWidth="1" style="78" min="3" max="3"/>
    <col width="18.25" customWidth="1" style="78" min="4" max="4"/>
    <col width="19" customWidth="1" style="78" min="5" max="5"/>
  </cols>
  <sheetData>
    <row r="1">
      <c r="A1" s="4" t="inlineStr">
        <is>
          <t>DADOS DO LOCAL</t>
        </is>
      </c>
      <c r="I1" s="6" t="n"/>
      <c r="Q1" s="6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3">
      <c r="B3" s="16" t="inlineStr">
        <is>
          <t>LOCAL</t>
        </is>
      </c>
      <c r="C3" s="7" t="inlineStr">
        <is>
          <t>LARGURA L (m)</t>
        </is>
      </c>
      <c r="D3" s="7" t="inlineStr">
        <is>
          <t>COMPRIMENTO C (m)</t>
        </is>
      </c>
      <c r="E3" s="16" t="inlineStr">
        <is>
          <t>ÁREA (m²)</t>
        </is>
      </c>
      <c r="F3" s="16" t="inlineStr">
        <is>
          <t>PERÍMETRO (m)</t>
        </is>
      </c>
      <c r="G3" s="16" t="inlineStr">
        <is>
          <t>ALTURA DE MANUSEIO TRABALHO Hpp (m)</t>
        </is>
      </c>
      <c r="H3" s="16" t="inlineStr">
        <is>
          <t>TETO</t>
        </is>
      </c>
      <c r="I3" s="16" t="inlineStr">
        <is>
          <t>PAREDE</t>
        </is>
      </c>
      <c r="J3" s="16" t="inlineStr">
        <is>
          <t>PISO</t>
        </is>
      </c>
      <c r="K3" s="16" t="inlineStr">
        <is>
          <t>ALTURA TOTAL/PÉ-DIREITO Htp (m)</t>
        </is>
      </c>
      <c r="L3" s="16" t="inlineStr">
        <is>
          <t>VELOCIDADE E PRECISÃO</t>
        </is>
      </c>
      <c r="M3" s="16" t="inlineStr">
        <is>
          <t>REFLETANCIA DO FUNDO DA TAREFA</t>
        </is>
      </c>
      <c r="N3" s="16" t="inlineStr">
        <is>
          <t>IDADE MÉDIA DOS TRABALHADORES</t>
        </is>
      </c>
      <c r="O3" s="16" t="inlineStr">
        <is>
          <t>ALTURA MÍNIIMA</t>
        </is>
      </c>
      <c r="P3" s="16" t="inlineStr">
        <is>
          <t>TIRANTE</t>
        </is>
      </c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</row>
    <row r="4">
      <c r="B4" s="14" t="inlineStr">
        <is>
          <t>RECAPAGEM 1</t>
        </is>
      </c>
      <c r="C4" s="14" t="n">
        <v>5</v>
      </c>
      <c r="D4" s="14" t="n">
        <v>30.9</v>
      </c>
      <c r="E4" s="22">
        <f>D4*C4</f>
        <v/>
      </c>
      <c r="F4" s="22">
        <f>(2*D4)+(2*C4)</f>
        <v/>
      </c>
      <c r="G4" s="16" t="n">
        <v>0.8</v>
      </c>
      <c r="H4" s="16" t="inlineStr">
        <is>
          <t>ZINCO</t>
        </is>
      </c>
      <c r="I4" s="16" t="inlineStr">
        <is>
          <t>CLARA</t>
        </is>
      </c>
      <c r="J4" s="16" t="inlineStr">
        <is>
          <t>CONCRETO</t>
        </is>
      </c>
      <c r="K4" s="16" t="n">
        <v>7</v>
      </c>
      <c r="L4" s="16" t="inlineStr">
        <is>
          <t>IMPORTANTE</t>
        </is>
      </c>
      <c r="M4" s="81" t="n">
        <v>0.4</v>
      </c>
      <c r="N4" s="16" t="inlineStr">
        <is>
          <t>41 ANOS</t>
        </is>
      </c>
      <c r="O4" s="16" t="n">
        <v>4</v>
      </c>
      <c r="P4" s="16" t="n">
        <v>1</v>
      </c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</row>
    <row r="5">
      <c r="B5" s="14" t="inlineStr">
        <is>
          <t>RECAPAGEM 2</t>
        </is>
      </c>
      <c r="C5" s="14" t="n">
        <v>5.23</v>
      </c>
      <c r="D5" s="14" t="n">
        <v>39.25</v>
      </c>
      <c r="E5" s="22">
        <f>D5*C5</f>
        <v/>
      </c>
      <c r="F5" s="22">
        <f>(2*D5)+(2*C5)</f>
        <v/>
      </c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  <c r="AO5" s="28" t="n"/>
    </row>
    <row r="6">
      <c r="B6" s="14" t="inlineStr">
        <is>
          <t>RECAPAGEM 3</t>
        </is>
      </c>
      <c r="C6" s="14" t="n">
        <v>27.95</v>
      </c>
      <c r="D6" s="14" t="n">
        <v>43.37</v>
      </c>
      <c r="E6" s="22">
        <f>D6*C6</f>
        <v/>
      </c>
      <c r="F6" s="22">
        <f>(2*D6)+(2*C6)</f>
        <v/>
      </c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</row>
    <row r="35">
      <c r="A35" s="4" t="inlineStr">
        <is>
          <t>LUMINÁRIA</t>
        </is>
      </c>
      <c r="I35" s="6" t="n"/>
      <c r="Q35" s="6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40">
      <c r="J40" s="37" t="inlineStr">
        <is>
          <t xml:space="preserve"> </t>
        </is>
      </c>
    </row>
    <row r="43">
      <c r="J43" s="42" t="inlineStr">
        <is>
          <t>MODELO</t>
        </is>
      </c>
      <c r="K43" s="43" t="inlineStr">
        <is>
          <t>HDK 472</t>
        </is>
      </c>
    </row>
    <row r="44">
      <c r="J44" s="44" t="inlineStr">
        <is>
          <t>FABRICANTE</t>
        </is>
      </c>
      <c r="K44" s="45" t="inlineStr">
        <is>
          <t>PHILLIPS</t>
        </is>
      </c>
    </row>
    <row r="54">
      <c r="A54" s="4" t="inlineStr">
        <is>
          <t>LÂMPADA+REATOR</t>
        </is>
      </c>
      <c r="I54" s="6" t="n"/>
      <c r="Q54" s="6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7">
      <c r="D57" s="42" t="inlineStr">
        <is>
          <t>MODELO</t>
        </is>
      </c>
      <c r="E57" s="43" t="n"/>
      <c r="G57" s="42" t="inlineStr">
        <is>
          <t>MODELO</t>
        </is>
      </c>
      <c r="H57" s="43" t="n"/>
    </row>
    <row r="58">
      <c r="D58" s="44" t="inlineStr">
        <is>
          <t>FABRICANTE</t>
        </is>
      </c>
      <c r="E58" s="45" t="n"/>
      <c r="G58" s="44" t="inlineStr">
        <is>
          <t>FABRICANTE</t>
        </is>
      </c>
      <c r="H58" s="45" t="n"/>
    </row>
    <row r="68">
      <c r="A68" s="4" t="inlineStr">
        <is>
          <t>CAVIDADES</t>
        </is>
      </c>
      <c r="I68" s="6" t="n"/>
      <c r="Q68" s="6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</row>
    <row r="70">
      <c r="I70" s="37" t="inlineStr">
        <is>
          <t>refletâncias</t>
        </is>
      </c>
      <c r="L70" s="37" t="inlineStr">
        <is>
          <t>Refletâncias Efetivas tab 2.11 – Mamede</t>
        </is>
      </c>
    </row>
    <row r="71">
      <c r="B71" s="48" t="inlineStr">
        <is>
          <t>relação de cavidade</t>
        </is>
      </c>
      <c r="F71" s="37" t="inlineStr">
        <is>
          <t>recinto</t>
        </is>
      </c>
      <c r="G71" s="37" t="inlineStr">
        <is>
          <t>teto</t>
        </is>
      </c>
      <c r="H71" s="37" t="inlineStr">
        <is>
          <t>piso</t>
        </is>
      </c>
      <c r="I71" s="49" t="inlineStr">
        <is>
          <t>teto</t>
        </is>
      </c>
      <c r="J71" s="37" t="inlineStr">
        <is>
          <t>piso</t>
        </is>
      </c>
      <c r="K71" s="37" t="inlineStr">
        <is>
          <t>parede</t>
        </is>
      </c>
      <c r="M71" s="50" t="n">
        <v>0.1</v>
      </c>
    </row>
    <row r="72" ht="41.25" customHeight="1" s="78">
      <c r="B72" s="16" t="inlineStr">
        <is>
          <t>K</t>
        </is>
      </c>
      <c r="C72" s="16" t="inlineStr">
        <is>
          <t>Hlp</t>
        </is>
      </c>
      <c r="D72" s="16" t="inlineStr">
        <is>
          <t>Htl</t>
        </is>
      </c>
      <c r="E72" s="16" t="inlineStr">
        <is>
          <t>Hpp</t>
        </is>
      </c>
      <c r="F72" s="16" t="inlineStr">
        <is>
          <t>Rcr</t>
        </is>
      </c>
      <c r="G72" s="16" t="inlineStr">
        <is>
          <t>Rct</t>
        </is>
      </c>
      <c r="H72" s="16" t="inlineStr">
        <is>
          <t>Rcp</t>
        </is>
      </c>
      <c r="I72" s="51" t="inlineStr">
        <is>
          <t>ρte</t>
        </is>
      </c>
      <c r="J72" s="16" t="inlineStr">
        <is>
          <t>ρpi</t>
        </is>
      </c>
      <c r="K72" s="16" t="inlineStr">
        <is>
          <t>ρpa</t>
        </is>
      </c>
      <c r="L72" s="16" t="inlineStr">
        <is>
          <t>ρcp</t>
        </is>
      </c>
      <c r="M72" s="51" t="inlineStr">
        <is>
          <t>ρct(1)</t>
        </is>
      </c>
      <c r="N72" s="37" t="inlineStr">
        <is>
          <t>para teto de 50%</t>
        </is>
      </c>
      <c r="O72" s="37" t="inlineStr">
        <is>
          <t>para teto de 70%</t>
        </is>
      </c>
      <c r="P72" s="52" t="n"/>
      <c r="Q72" s="52" t="n"/>
      <c r="R72" s="52" t="n"/>
      <c r="S72" s="52" t="n"/>
      <c r="T72" s="52" t="n"/>
      <c r="U72" s="52" t="n"/>
    </row>
    <row r="73">
      <c r="B73" s="22">
        <f>(5*(D4+C4))/(D4*C4)</f>
        <v/>
      </c>
      <c r="C73" s="22">
        <f>K4-P4-G4</f>
        <v/>
      </c>
      <c r="D73" s="22">
        <f>P4</f>
        <v/>
      </c>
      <c r="E73" s="22">
        <f>G4</f>
        <v/>
      </c>
      <c r="F73" s="22">
        <f>B73*C73</f>
        <v/>
      </c>
      <c r="G73" s="22">
        <f>B73*D73</f>
        <v/>
      </c>
      <c r="H73" s="22">
        <f>B73*E73</f>
        <v/>
      </c>
      <c r="I73" s="83" t="n">
        <v>0.1</v>
      </c>
      <c r="J73" s="81" t="n">
        <v>0.1</v>
      </c>
      <c r="K73" s="81" t="n">
        <v>0.5</v>
      </c>
      <c r="L73" s="22" t="n">
        <v>11</v>
      </c>
      <c r="M73" s="56" t="n">
        <v>11</v>
      </c>
      <c r="N73" s="37" t="n">
        <v>43</v>
      </c>
      <c r="O73" s="37" t="n">
        <v>59</v>
      </c>
      <c r="P73" s="57" t="n"/>
      <c r="Q73" s="57" t="n"/>
      <c r="R73" s="58" t="n"/>
      <c r="S73" s="57" t="n"/>
      <c r="T73" s="57" t="n"/>
      <c r="U73" s="57" t="n"/>
    </row>
    <row r="74">
      <c r="B74" s="22">
        <f>(5*(D5+C5))/(D5*C5)</f>
        <v/>
      </c>
      <c r="C74" s="22">
        <f>K4-P4-G4</f>
        <v/>
      </c>
      <c r="D74" s="22">
        <f>P4</f>
        <v/>
      </c>
      <c r="E74" s="22">
        <f>G4</f>
        <v/>
      </c>
      <c r="F74" s="22">
        <f>B74*C74</f>
        <v/>
      </c>
      <c r="G74" s="22">
        <f>B74*D74</f>
        <v/>
      </c>
      <c r="H74" s="22">
        <f>B74*E74</f>
        <v/>
      </c>
      <c r="I74" s="82" t="n"/>
      <c r="J74" s="82" t="n"/>
      <c r="K74" s="82" t="n"/>
      <c r="L74" s="22" t="n">
        <v>11</v>
      </c>
      <c r="M74" s="56" t="n">
        <v>11</v>
      </c>
      <c r="N74" s="37" t="n">
        <v>43</v>
      </c>
      <c r="O74" s="37" t="n">
        <v>59</v>
      </c>
      <c r="P74" s="57" t="n"/>
      <c r="Q74" s="57" t="n"/>
      <c r="R74" s="57" t="n"/>
      <c r="S74" s="57" t="n"/>
      <c r="T74" s="57" t="n"/>
      <c r="U74" s="57" t="n"/>
    </row>
    <row r="75">
      <c r="B75" s="22">
        <f>(5*(D6+C6))/(D6*C6)</f>
        <v/>
      </c>
      <c r="C75" s="22">
        <f>K4-P4-G4</f>
        <v/>
      </c>
      <c r="D75" s="22">
        <f>P4</f>
        <v/>
      </c>
      <c r="E75" s="22">
        <f>G4</f>
        <v/>
      </c>
      <c r="F75" s="22">
        <f>B75*C75</f>
        <v/>
      </c>
      <c r="G75" s="22">
        <f>B75*D75</f>
        <v/>
      </c>
      <c r="H75" s="22">
        <f>B75*E75</f>
        <v/>
      </c>
      <c r="I75" s="80" t="n"/>
      <c r="J75" s="80" t="n"/>
      <c r="K75" s="80" t="n"/>
      <c r="L75" s="22" t="n">
        <v>10</v>
      </c>
      <c r="M75" s="56" t="n">
        <v>10</v>
      </c>
      <c r="N75" s="37" t="n">
        <v>48</v>
      </c>
      <c r="O75" s="37" t="n">
        <v>67</v>
      </c>
      <c r="P75" s="57" t="n"/>
      <c r="Q75" s="57" t="n"/>
      <c r="R75" s="57" t="n"/>
      <c r="S75" s="57" t="n"/>
      <c r="T75" s="57" t="n"/>
      <c r="U75" s="57" t="n"/>
    </row>
    <row r="76">
      <c r="O76" s="62" t="n"/>
      <c r="P76" s="57" t="n"/>
      <c r="Q76" s="57" t="n"/>
      <c r="R76" s="57" t="n"/>
      <c r="S76" s="57" t="n"/>
      <c r="T76" s="57" t="n"/>
      <c r="U76" s="57" t="n"/>
    </row>
    <row r="77">
      <c r="O77" s="65" t="n"/>
      <c r="P77" s="57" t="n"/>
      <c r="Q77" s="57" t="n"/>
      <c r="R77" s="57" t="n"/>
      <c r="S77" s="57" t="n"/>
      <c r="T77" s="57" t="n"/>
      <c r="U77" s="57" t="n"/>
    </row>
    <row r="78">
      <c r="O78" s="62" t="n"/>
      <c r="P78" s="57" t="n"/>
      <c r="Q78" s="57" t="n"/>
      <c r="R78" s="57" t="n"/>
      <c r="S78" s="57" t="n"/>
      <c r="T78" s="57" t="n"/>
      <c r="U78" s="57" t="n"/>
    </row>
    <row r="79">
      <c r="O79" s="65" t="n"/>
      <c r="P79" s="57" t="n"/>
      <c r="Q79" s="57" t="n"/>
      <c r="R79" s="57" t="n"/>
      <c r="S79" s="57" t="n"/>
      <c r="T79" s="57" t="n"/>
      <c r="U79" s="57" t="n"/>
    </row>
    <row r="80">
      <c r="O80" s="62" t="n"/>
      <c r="P80" s="57" t="n"/>
      <c r="Q80" s="57" t="n"/>
      <c r="R80" s="57" t="n"/>
      <c r="S80" s="57" t="n"/>
      <c r="T80" s="57" t="n"/>
      <c r="U80" s="57" t="n"/>
    </row>
    <row r="81">
      <c r="O81" s="65" t="n"/>
      <c r="P81" s="57" t="n"/>
      <c r="Q81" s="57" t="n"/>
      <c r="R81" s="57" t="n"/>
      <c r="S81" s="57" t="n"/>
      <c r="T81" s="57" t="n"/>
      <c r="U81" s="57" t="n"/>
    </row>
    <row r="95">
      <c r="A95" s="4" t="inlineStr">
        <is>
          <t xml:space="preserve">FATOR DE UTILIZAÇÃO </t>
        </is>
      </c>
      <c r="I95" s="6" t="n"/>
      <c r="Q95" s="6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>
      <c r="H96" s="37" t="inlineStr">
        <is>
          <t>tab 2.12 – Mamede</t>
        </is>
      </c>
    </row>
    <row r="98">
      <c r="A98" s="84" t="inlineStr">
        <is>
          <t>Dados de Entrada</t>
        </is>
      </c>
      <c r="B98" s="85" t="inlineStr">
        <is>
          <t>RECAPAGEM 1</t>
        </is>
      </c>
      <c r="C98" s="86" t="n"/>
      <c r="D98" s="79" t="n"/>
      <c r="E98" s="85" t="inlineStr">
        <is>
          <t>RECAPAGEM 2</t>
        </is>
      </c>
      <c r="F98" s="86" t="n"/>
      <c r="G98" s="79" t="n"/>
      <c r="H98" s="85" t="inlineStr">
        <is>
          <t>RECAPAGEM 3</t>
        </is>
      </c>
      <c r="I98" s="86" t="n"/>
      <c r="J98" s="79" t="n"/>
    </row>
    <row r="99">
      <c r="A99" s="80" t="n"/>
      <c r="B99" s="72" t="inlineStr">
        <is>
          <t>Rcr=6</t>
        </is>
      </c>
      <c r="C99" s="73" t="inlineStr">
        <is>
          <t>Rcr=7</t>
        </is>
      </c>
      <c r="D99" s="73">
        <f>F73</f>
        <v/>
      </c>
      <c r="E99" s="72" t="inlineStr">
        <is>
          <t>Rcr=5</t>
        </is>
      </c>
      <c r="F99" s="72" t="inlineStr">
        <is>
          <t>Rcr=6</t>
        </is>
      </c>
      <c r="G99" s="74">
        <f>F74</f>
        <v/>
      </c>
      <c r="H99" s="72" t="inlineStr">
        <is>
          <t>Rcr=1</t>
        </is>
      </c>
      <c r="I99" s="72" t="inlineStr">
        <is>
          <t>Rcr=2</t>
        </is>
      </c>
      <c r="J99" s="74">
        <f>F75</f>
        <v/>
      </c>
    </row>
    <row r="100">
      <c r="A100" s="75" t="inlineStr">
        <is>
          <t>k 1</t>
        </is>
      </c>
      <c r="B100" s="75" t="n">
        <v>10</v>
      </c>
      <c r="C100" s="75" t="n">
        <v>10</v>
      </c>
      <c r="D100" s="76" t="n">
        <v>7</v>
      </c>
      <c r="E100" s="75" t="n">
        <v>10</v>
      </c>
      <c r="F100" s="75" t="n">
        <v>10</v>
      </c>
      <c r="G100" s="75" t="n">
        <v>6</v>
      </c>
      <c r="H100" s="75" t="n">
        <v>10</v>
      </c>
      <c r="I100" s="75" t="n">
        <v>10</v>
      </c>
      <c r="J100" s="75" t="n">
        <v>2</v>
      </c>
    </row>
    <row r="101">
      <c r="A101" s="75" t="inlineStr">
        <is>
          <t>k 2</t>
        </is>
      </c>
      <c r="B101" s="75" t="n">
        <v>50</v>
      </c>
      <c r="C101" s="75" t="n">
        <v>50</v>
      </c>
      <c r="D101" s="76" t="n">
        <v>6</v>
      </c>
      <c r="E101" s="75" t="n">
        <v>50</v>
      </c>
      <c r="F101" s="75" t="n">
        <v>50</v>
      </c>
      <c r="G101" s="75" t="n">
        <v>5</v>
      </c>
      <c r="H101" s="75" t="n">
        <v>50</v>
      </c>
      <c r="I101" s="75" t="n">
        <v>50</v>
      </c>
      <c r="J101" s="75" t="n">
        <v>1</v>
      </c>
    </row>
    <row r="102">
      <c r="A102" s="75" t="inlineStr">
        <is>
          <t>Fu 1</t>
        </is>
      </c>
      <c r="B102" s="76" t="n">
        <v>0.44</v>
      </c>
      <c r="C102" s="76" t="n">
        <v>0.41</v>
      </c>
      <c r="D102" s="77">
        <f>B108</f>
        <v/>
      </c>
      <c r="E102" s="76" t="n">
        <v>0.47</v>
      </c>
      <c r="F102" s="76" t="n">
        <v>0.44</v>
      </c>
      <c r="G102" s="76">
        <f>E108</f>
        <v/>
      </c>
      <c r="H102" s="76" t="n">
        <v>0.67</v>
      </c>
      <c r="I102" s="76" t="n">
        <v>0.61</v>
      </c>
      <c r="J102" s="77">
        <f>H108</f>
        <v/>
      </c>
    </row>
    <row r="103">
      <c r="A103" s="75" t="inlineStr">
        <is>
          <t>Fu 2</t>
        </is>
      </c>
      <c r="B103" s="76" t="n">
        <v>0.46</v>
      </c>
      <c r="C103" s="76" t="n">
        <v>0.43</v>
      </c>
      <c r="D103" s="77">
        <f>C108</f>
        <v/>
      </c>
      <c r="E103" s="76" t="n">
        <v>0.5</v>
      </c>
      <c r="F103" s="76" t="n">
        <v>0.46</v>
      </c>
      <c r="G103" s="76">
        <f>F108</f>
        <v/>
      </c>
      <c r="H103" s="76" t="n">
        <v>0.72</v>
      </c>
      <c r="I103" s="76" t="n">
        <v>0.65</v>
      </c>
      <c r="J103" s="77">
        <f>I108</f>
        <v/>
      </c>
    </row>
    <row r="104">
      <c r="A104" s="75" t="inlineStr">
        <is>
          <t>k encontrado</t>
        </is>
      </c>
      <c r="B104" s="77">
        <f>M73</f>
        <v/>
      </c>
      <c r="C104" s="77">
        <f>B104</f>
        <v/>
      </c>
      <c r="D104" s="77">
        <f>D99</f>
        <v/>
      </c>
      <c r="E104" s="77">
        <f>M74</f>
        <v/>
      </c>
      <c r="F104" s="77">
        <f>E104</f>
        <v/>
      </c>
      <c r="G104" s="77">
        <f>G99</f>
        <v/>
      </c>
      <c r="H104" s="77">
        <f>M73</f>
        <v/>
      </c>
      <c r="I104" s="77">
        <f>H104</f>
        <v/>
      </c>
      <c r="J104" s="77">
        <f>J99</f>
        <v/>
      </c>
    </row>
    <row r="105">
      <c r="A105" s="75" t="inlineStr">
        <is>
          <t>denominador 1</t>
        </is>
      </c>
      <c r="B105" s="77">
        <f>B101-B100</f>
        <v/>
      </c>
      <c r="C105" s="77">
        <f>C101-C100</f>
        <v/>
      </c>
      <c r="D105" s="77">
        <f>D101-D100</f>
        <v/>
      </c>
      <c r="E105" s="77">
        <f>E101-E100</f>
        <v/>
      </c>
      <c r="F105" s="77">
        <f>F101-F100</f>
        <v/>
      </c>
      <c r="G105" s="77">
        <f>G101-G100</f>
        <v/>
      </c>
      <c r="H105" s="77">
        <f>H101-H100</f>
        <v/>
      </c>
      <c r="I105" s="77">
        <f>I101-I100</f>
        <v/>
      </c>
      <c r="J105" s="77">
        <f>J101-J100</f>
        <v/>
      </c>
    </row>
    <row r="106">
      <c r="A106" s="75" t="inlineStr">
        <is>
          <t>denominador 2</t>
        </is>
      </c>
      <c r="B106" s="77">
        <f>B104-B100</f>
        <v/>
      </c>
      <c r="C106" s="77">
        <f>C104-C100</f>
        <v/>
      </c>
      <c r="D106" s="77">
        <f>D101-D104</f>
        <v/>
      </c>
      <c r="E106" s="77">
        <f>E101-E104</f>
        <v/>
      </c>
      <c r="F106" s="77">
        <f>F101-F104</f>
        <v/>
      </c>
      <c r="G106" s="77">
        <f>G101-G104</f>
        <v/>
      </c>
      <c r="H106" s="77">
        <f>H101-H104</f>
        <v/>
      </c>
      <c r="I106" s="77">
        <f>I101-I104</f>
        <v/>
      </c>
      <c r="J106" s="77">
        <f>J101-J104</f>
        <v/>
      </c>
    </row>
    <row r="107">
      <c r="A107" s="75" t="inlineStr">
        <is>
          <t>numerador 1</t>
        </is>
      </c>
      <c r="B107" s="77">
        <f>B103-B102</f>
        <v/>
      </c>
      <c r="C107" s="77">
        <f>C103-C102</f>
        <v/>
      </c>
      <c r="D107" s="77">
        <f>D102-D103</f>
        <v/>
      </c>
      <c r="E107" s="77">
        <f>E103-E102</f>
        <v/>
      </c>
      <c r="F107" s="77">
        <f>F103-F102</f>
        <v/>
      </c>
      <c r="G107" s="77">
        <f>G102-G103</f>
        <v/>
      </c>
      <c r="H107" s="77">
        <f>H103-H102</f>
        <v/>
      </c>
      <c r="I107" s="77">
        <f>I103-I102</f>
        <v/>
      </c>
      <c r="J107" s="77">
        <f>J102-J103</f>
        <v/>
      </c>
    </row>
    <row r="108">
      <c r="A108" s="75" t="inlineStr">
        <is>
          <t>FU calculado</t>
        </is>
      </c>
      <c r="B108" s="77">
        <f>((B103*B105)-(B107*B106))/(B105)</f>
        <v/>
      </c>
      <c r="C108" s="77">
        <f>((C103*C105)-(C107*C106))/(C105)</f>
        <v/>
      </c>
      <c r="D108" s="77">
        <f>((D103*D105)-(D107*D106))/(D105)</f>
        <v/>
      </c>
      <c r="E108" s="77">
        <f>((E103*E105)-(E107*E106))/(E105)</f>
        <v/>
      </c>
      <c r="F108" s="77">
        <f>((F103*F105)-(F107*F106))/(F105)</f>
        <v/>
      </c>
      <c r="G108" s="77">
        <f>((G103*G105)-(G107*G106))/(G105)</f>
        <v/>
      </c>
      <c r="H108" s="77">
        <f>((H103*H105)-(H107*H106))/(H105)</f>
        <v/>
      </c>
      <c r="I108" s="77">
        <f>((I103*I105)-(I107*I106))/(I105)</f>
        <v/>
      </c>
      <c r="J108" s="77">
        <f>((J103*J105)-(J107*J106))/(J105)</f>
        <v/>
      </c>
    </row>
  </sheetData>
  <mergeCells count="33">
    <mergeCell ref="J4:J6"/>
    <mergeCell ref="L4:L6"/>
    <mergeCell ref="B98:D98"/>
    <mergeCell ref="H98:J98"/>
    <mergeCell ref="I73:I75"/>
    <mergeCell ref="I4:I6"/>
    <mergeCell ref="K73:K75"/>
    <mergeCell ref="Q68:X68"/>
    <mergeCell ref="I95:P95"/>
    <mergeCell ref="A1:H1"/>
    <mergeCell ref="G4:G6"/>
    <mergeCell ref="Q54:X54"/>
    <mergeCell ref="K4:K6"/>
    <mergeCell ref="M4:M6"/>
    <mergeCell ref="I54:P54"/>
    <mergeCell ref="A54:H54"/>
    <mergeCell ref="Q35:X35"/>
    <mergeCell ref="H4:H6"/>
    <mergeCell ref="N4:N6"/>
    <mergeCell ref="J73:J75"/>
    <mergeCell ref="P4:P6"/>
    <mergeCell ref="Q1:X1"/>
    <mergeCell ref="A95:H95"/>
    <mergeCell ref="I68:P68"/>
    <mergeCell ref="I1:P1"/>
    <mergeCell ref="I35:P35"/>
    <mergeCell ref="O4:O6"/>
    <mergeCell ref="A35:H35"/>
    <mergeCell ref="E98:G98"/>
    <mergeCell ref="Q95:X95"/>
    <mergeCell ref="A68:H68"/>
    <mergeCell ref="A98:A99"/>
    <mergeCell ref="L70:M7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4"/>
  <sheetViews>
    <sheetView workbookViewId="0">
      <selection activeCell="A1" sqref="A1"/>
    </sheetView>
  </sheetViews>
  <sheetFormatPr baseColWidth="8" defaultColWidth="12.63" defaultRowHeight="15.75" customHeight="1"/>
  <cols>
    <col width="15.75" customWidth="1" style="78" min="1" max="1"/>
    <col width="16.63" customWidth="1" style="78" min="4" max="4"/>
    <col width="19" customWidth="1" style="78" min="5" max="5"/>
  </cols>
  <sheetData>
    <row r="1">
      <c r="A1" s="4" t="inlineStr">
        <is>
          <t>DADOS DO LOCAL</t>
        </is>
      </c>
      <c r="I1" s="6" t="n"/>
      <c r="Q1" s="6" t="n"/>
      <c r="Y1" s="8" t="n"/>
      <c r="Z1" s="8" t="n"/>
    </row>
    <row r="3">
      <c r="A3" s="12" t="inlineStr">
        <is>
          <t>LOCAL</t>
        </is>
      </c>
      <c r="B3" s="12" t="inlineStr">
        <is>
          <t>ALTURA DE MANUSEIO TRABALHO Hpp (m)</t>
        </is>
      </c>
      <c r="C3" s="14" t="inlineStr">
        <is>
          <t>LARGURA L (m)</t>
        </is>
      </c>
      <c r="D3" s="14" t="inlineStr">
        <is>
          <t>COMPRIMENTO C (m)</t>
        </is>
      </c>
      <c r="E3" s="12" t="inlineStr">
        <is>
          <t>ÁREA (m²)</t>
        </is>
      </c>
      <c r="F3" s="12" t="inlineStr">
        <is>
          <t>PERÍMETRO (m)</t>
        </is>
      </c>
      <c r="G3" s="12" t="inlineStr">
        <is>
          <t>TETO</t>
        </is>
      </c>
      <c r="H3" s="12" t="inlineStr">
        <is>
          <t>PAREDE</t>
        </is>
      </c>
      <c r="I3" s="12" t="inlineStr">
        <is>
          <t>PISO</t>
        </is>
      </c>
      <c r="J3" s="12" t="inlineStr">
        <is>
          <t>ALTURA TOTAL/PÉ-DIREITO Htp (m)</t>
        </is>
      </c>
      <c r="K3" s="12" t="inlineStr">
        <is>
          <t>ALTURA DE INSTALAÇÃO</t>
        </is>
      </c>
      <c r="L3" s="12" t="inlineStr">
        <is>
          <t>ALTURA ÚTIL</t>
        </is>
      </c>
      <c r="M3" s="12" t="inlineStr">
        <is>
          <t>VELOCIDADE E PRECISÃO</t>
        </is>
      </c>
      <c r="N3" s="12" t="inlineStr">
        <is>
          <t>REFLETANCIA DO FUNDO DA TAREFA</t>
        </is>
      </c>
      <c r="O3" s="12" t="inlineStr">
        <is>
          <t>IDADE MÉDIA DOS TRABALHADORES</t>
        </is>
      </c>
      <c r="P3" s="12" t="inlineStr">
        <is>
          <t>IDADE MÉDIA DOS TRABALHADORES</t>
        </is>
      </c>
    </row>
    <row r="4">
      <c r="A4" s="14" t="inlineStr">
        <is>
          <t>Subestação</t>
        </is>
      </c>
      <c r="B4" s="14" t="n">
        <v>0.8</v>
      </c>
      <c r="C4" s="14" t="n">
        <v>9.6</v>
      </c>
      <c r="D4" s="14" t="n">
        <v>9.800000000000001</v>
      </c>
      <c r="E4" s="22">
        <f>C4*D4</f>
        <v/>
      </c>
      <c r="F4" s="22">
        <f>(2*D4)+(2*C4)</f>
        <v/>
      </c>
      <c r="G4" s="14" t="inlineStr">
        <is>
          <t>BRANCO</t>
        </is>
      </c>
      <c r="H4" s="14" t="inlineStr">
        <is>
          <t>BRANCA</t>
        </is>
      </c>
      <c r="I4" s="14" t="inlineStr">
        <is>
          <t>CONCRETO</t>
        </is>
      </c>
      <c r="J4" s="14" t="n">
        <v>7</v>
      </c>
      <c r="K4" s="14" t="n">
        <v>6</v>
      </c>
      <c r="L4" s="14">
        <f>K4-B4</f>
        <v/>
      </c>
      <c r="M4" s="16" t="inlineStr">
        <is>
          <t>IMPORTANTE</t>
        </is>
      </c>
      <c r="N4" s="81" t="n">
        <v>0.4</v>
      </c>
      <c r="O4" s="16" t="inlineStr">
        <is>
          <t>41 ANOS</t>
        </is>
      </c>
      <c r="P4" s="16" t="inlineStr">
        <is>
          <t>41 ANOS</t>
        </is>
      </c>
    </row>
    <row r="5">
      <c r="A5" s="14" t="n"/>
      <c r="B5" s="14" t="n"/>
      <c r="C5" s="14" t="n"/>
      <c r="D5" s="14" t="n"/>
      <c r="E5" s="22" t="n"/>
      <c r="F5" s="22" t="n"/>
      <c r="G5" s="14" t="n"/>
      <c r="H5" s="14" t="n"/>
      <c r="I5" s="14" t="n"/>
      <c r="J5" s="14" t="n"/>
      <c r="K5" s="14" t="n"/>
      <c r="L5" s="14" t="n"/>
      <c r="M5" s="82" t="n"/>
      <c r="N5" s="82" t="n"/>
      <c r="O5" s="82" t="n"/>
      <c r="P5" s="82" t="n"/>
    </row>
    <row r="6">
      <c r="A6" s="12" t="inlineStr">
        <is>
          <t>ILUMINÂNCIA(Lux)</t>
        </is>
      </c>
      <c r="B6" s="12" t="inlineStr">
        <is>
          <t>Fluxo Luminária</t>
        </is>
      </c>
      <c r="C6" s="12" t="inlineStr">
        <is>
          <t>Fator de utilização (u)</t>
        </is>
      </c>
      <c r="D6" s="12" t="inlineStr">
        <is>
          <t>Fator de depreciação (d)</t>
        </is>
      </c>
      <c r="E6" s="30" t="n"/>
      <c r="F6" s="30" t="n"/>
      <c r="G6" s="12" t="inlineStr">
        <is>
          <t>Refletância do teto</t>
        </is>
      </c>
      <c r="H6" s="12" t="inlineStr">
        <is>
          <t>Refletância da parede</t>
        </is>
      </c>
      <c r="I6" s="12" t="inlineStr">
        <is>
          <t>Refletância do piso</t>
        </is>
      </c>
      <c r="J6" s="12" t="n"/>
      <c r="K6" s="12" t="n"/>
      <c r="L6" s="12" t="n"/>
      <c r="M6" s="80" t="n"/>
      <c r="N6" s="80" t="n"/>
      <c r="O6" s="80" t="n"/>
      <c r="P6" s="80" t="n"/>
    </row>
    <row r="7">
      <c r="A7" s="14" t="n">
        <v>150</v>
      </c>
      <c r="B7" s="14" t="n"/>
      <c r="C7" s="14" t="n"/>
      <c r="D7" s="14" t="n"/>
      <c r="E7" s="22" t="n"/>
      <c r="F7" s="22" t="n"/>
      <c r="G7" s="14" t="n">
        <v>80</v>
      </c>
      <c r="H7" s="14" t="n">
        <v>80</v>
      </c>
      <c r="I7" s="14" t="n">
        <v>45</v>
      </c>
      <c r="J7" s="14" t="n"/>
      <c r="K7" s="14" t="n"/>
      <c r="L7" s="14" t="n"/>
    </row>
    <row r="9">
      <c r="A9" s="35" t="inlineStr">
        <is>
          <t>Cálculo do ìndice do recinto (K)</t>
        </is>
      </c>
      <c r="B9" s="35" t="n"/>
      <c r="D9" s="35" t="inlineStr">
        <is>
          <t>Cálculo do fluxo luminoso total</t>
        </is>
      </c>
      <c r="E9" s="35" t="n"/>
      <c r="F9" s="35" t="inlineStr">
        <is>
          <t>Nº de luminárias</t>
        </is>
      </c>
    </row>
    <row r="10">
      <c r="A10" s="35" t="inlineStr">
        <is>
          <t>K</t>
        </is>
      </c>
      <c r="B10" s="38">
        <f>D4*C4/(L4*(D4+C4))</f>
        <v/>
      </c>
      <c r="D10" s="35" t="inlineStr">
        <is>
          <t>Fluxo</t>
        </is>
      </c>
      <c r="E10" s="63">
        <f>(A7*E4)/(C7*D7)</f>
        <v/>
      </c>
      <c r="F10" s="63">
        <f>E10/B7</f>
        <v/>
      </c>
    </row>
    <row r="13">
      <c r="A13" s="37" t="inlineStr">
        <is>
          <t>Luminária utilizada</t>
        </is>
      </c>
    </row>
    <row r="14">
      <c r="A14" s="46" t="inlineStr">
        <is>
          <t>https://comercialex.com.br/produtos/iluminacao/luminaria-convencional/luminaria-a-prova-de-explosao-arandela/</t>
        </is>
      </c>
    </row>
  </sheetData>
  <mergeCells count="7">
    <mergeCell ref="N4:N6"/>
    <mergeCell ref="P4:P6"/>
    <mergeCell ref="O4:O6"/>
    <mergeCell ref="Q1:X1"/>
    <mergeCell ref="M4:M6"/>
    <mergeCell ref="A1:H1"/>
    <mergeCell ref="I1:P1"/>
  </mergeCells>
  <hyperlinks>
    <hyperlink xmlns:r="http://schemas.openxmlformats.org/officeDocument/2006/relationships" ref="A14" r:id="rId1"/>
  </hyperlinks>
  <pageMargins left="0.75" right="0.75" top="1" bottom="1" header="0.5" footer="0.5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H49"/>
  <sheetViews>
    <sheetView showGridLines="0" workbookViewId="0">
      <selection pane="bottomLeft" activeCell="A1" sqref="A1"/>
    </sheetView>
  </sheetViews>
  <sheetFormatPr baseColWidth="8" defaultRowHeight="15"/>
  <cols>
    <col width="31" customWidth="1" style="78" min="1" max="1"/>
    <col width="11" customWidth="1" style="78" min="2" max="2"/>
    <col width="12" customWidth="1" style="78" min="3" max="3"/>
    <col width="11" customWidth="1" style="78" min="4" max="4"/>
    <col width="11" customWidth="1" style="78" min="5" max="5"/>
    <col width="11" customWidth="1" style="78" min="6" max="6"/>
    <col width="11" customWidth="1" style="78" min="7" max="7"/>
    <col width="10" customWidth="1" style="78" min="8" max="8"/>
    <col width="9" customWidth="1" style="78" min="9" max="9"/>
    <col width="9" customWidth="1" style="78" min="10" max="10"/>
    <col width="10" customWidth="1" style="78" min="11" max="11"/>
    <col width="9" customWidth="1" style="78" min="12" max="12"/>
    <col width="12" customWidth="1" style="78" min="13" max="13"/>
    <col width="9" customWidth="1" style="78" min="14" max="14"/>
    <col width="9" customWidth="1" style="78" min="15" max="15"/>
    <col width="13" customWidth="1" style="78" min="16" max="16"/>
    <col width="12" customWidth="1" style="78" min="17" max="17"/>
    <col width="10" customWidth="1" style="78" min="18" max="18"/>
    <col width="11" customWidth="1" style="78" min="19" max="19"/>
    <col width="12" customWidth="1" style="78" min="20" max="20"/>
    <col width="10" customWidth="1" style="78" min="21" max="21"/>
    <col width="11" customWidth="1" style="78" min="22" max="22"/>
    <col width="11" customWidth="1" style="78" min="23" max="23"/>
    <col width="8" customWidth="1" style="78" min="24" max="24"/>
    <col width="12" customWidth="1" style="78" min="25" max="25"/>
    <col width="11" customWidth="1" style="78" min="26" max="26"/>
    <col width="12" customWidth="1" style="78" min="27" max="27"/>
    <col width="12" customWidth="1" style="78" min="28" max="28"/>
    <col width="8" customWidth="1" style="78" min="29" max="29"/>
    <col width="8" customWidth="1" style="78" min="30" max="30"/>
    <col width="8" customWidth="1" style="78" min="31" max="31"/>
    <col hidden="1" width="13" customWidth="1" style="78" min="32" max="32"/>
    <col hidden="1" width="13" customWidth="1" style="78" min="33" max="33"/>
    <col hidden="1" width="13" customWidth="1" style="78" min="34" max="34"/>
  </cols>
  <sheetData>
    <row r="1" ht="25" customHeight="1" s="78">
      <c r="A1" s="87" t="inlineStr">
        <is>
          <t>T1 - LUMINOTECNICO | MEMORIAL DE CALCULO - LUCAS</t>
        </is>
      </c>
    </row>
    <row r="2">
      <c r="A2" s="88" t="inlineStr">
        <is>
          <t>Metodo dos Lumens | Areas vinculadas a DADOS!11:14 | Luminaria principal: TMS 426 fluorescente</t>
        </is>
      </c>
    </row>
    <row r="3" ht="28" customHeight="1" s="78">
      <c r="A3" s="89" t="inlineStr">
        <is>
          <t>As dimensoes e o pe-direito sao lidos da aba DADOS. Os valores amarelos sao premissas editaveis; os verdes sao resultados calculados.</t>
        </is>
      </c>
    </row>
    <row r="5">
      <c r="A5" s="90" t="inlineStr">
        <is>
          <t>PARAMETROS DA LUMINARIA</t>
        </is>
      </c>
      <c r="H5" s="90" t="inlineStr">
        <is>
          <t>CRITERIOS ADOTADOS</t>
        </is>
      </c>
    </row>
    <row r="6">
      <c r="A6" s="91" t="inlineStr">
        <is>
          <t>Luminaria principal</t>
        </is>
      </c>
      <c r="B6" s="113" t="n"/>
      <c r="C6" s="114" t="n"/>
      <c r="D6" s="92" t="inlineStr">
        <is>
          <t>TMS 426 - 2 lampadas fluorescentes de 40 W</t>
        </is>
      </c>
      <c r="E6" s="113" t="n"/>
      <c r="F6" s="114" t="n"/>
      <c r="H6" s="91" t="inlineStr">
        <is>
          <t>Plano de trabalho</t>
        </is>
      </c>
      <c r="I6" s="114" t="n"/>
      <c r="J6" s="93" t="inlineStr">
        <is>
          <t>0,80 m acima do piso</t>
        </is>
      </c>
      <c r="K6" s="113" t="n"/>
      <c r="L6" s="113" t="n"/>
      <c r="M6" s="114" t="n"/>
    </row>
    <row r="7">
      <c r="A7" s="91" t="inlineStr">
        <is>
          <t>Lampadas por luminaria</t>
        </is>
      </c>
      <c r="B7" s="113" t="n"/>
      <c r="C7" s="114" t="n"/>
      <c r="D7" s="92" t="n">
        <v>2</v>
      </c>
      <c r="E7" s="113" t="n"/>
      <c r="F7" s="114" t="n"/>
      <c r="H7" s="91" t="inlineStr">
        <is>
          <t>Altura util Hlp</t>
        </is>
      </c>
      <c r="I7" s="114" t="n"/>
      <c r="J7" s="93" t="inlineStr">
        <is>
          <t>Pe-direito - plano de trabalho</t>
        </is>
      </c>
      <c r="K7" s="113" t="n"/>
      <c r="L7" s="113" t="n"/>
      <c r="M7" s="114" t="n"/>
    </row>
    <row r="8">
      <c r="A8" s="91" t="inlineStr">
        <is>
          <t>Fluxo por lampada [lm]</t>
        </is>
      </c>
      <c r="B8" s="113" t="n"/>
      <c r="C8" s="114" t="n"/>
      <c r="D8" s="94" t="n">
        <v>3000</v>
      </c>
      <c r="E8" s="113" t="n"/>
      <c r="F8" s="114" t="n"/>
      <c r="H8" s="91" t="inlineStr">
        <is>
          <t>Metodo</t>
        </is>
      </c>
      <c r="I8" s="114" t="n"/>
      <c r="J8" s="93" t="inlineStr">
        <is>
          <t>Metodo dos Lumens</t>
        </is>
      </c>
      <c r="K8" s="113" t="n"/>
      <c r="L8" s="113" t="n"/>
      <c r="M8" s="114" t="n"/>
    </row>
    <row r="9">
      <c r="A9" s="91" t="inlineStr">
        <is>
          <t>Potencia por lampada [W]</t>
        </is>
      </c>
      <c r="B9" s="113" t="n"/>
      <c r="C9" s="114" t="n"/>
      <c r="D9" s="95" t="n">
        <v>40</v>
      </c>
      <c r="E9" s="113" t="n"/>
      <c r="F9" s="114" t="n"/>
      <c r="H9" s="91" t="inlineStr">
        <is>
          <t>Teto claro/branco</t>
        </is>
      </c>
      <c r="I9" s="114" t="n"/>
      <c r="J9" s="93" t="inlineStr">
        <is>
          <t>70% na tabela 2.9 (limite tabelado)</t>
        </is>
      </c>
      <c r="K9" s="113" t="n"/>
      <c r="L9" s="113" t="n"/>
      <c r="M9" s="114" t="n"/>
    </row>
    <row r="10">
      <c r="A10" s="91" t="inlineStr">
        <is>
          <t>Perdas do reator por luminaria [W]</t>
        </is>
      </c>
      <c r="B10" s="113" t="n"/>
      <c r="C10" s="114" t="n"/>
      <c r="D10" s="95" t="n">
        <v>24.1</v>
      </c>
      <c r="E10" s="113" t="n"/>
      <c r="F10" s="114" t="n"/>
      <c r="H10" s="91" t="inlineStr">
        <is>
          <t>Parede clara/branca</t>
        </is>
      </c>
      <c r="I10" s="114" t="n"/>
      <c r="J10" s="93" t="inlineStr">
        <is>
          <t>50% na tabela 2.9</t>
        </is>
      </c>
      <c r="K10" s="113" t="n"/>
      <c r="L10" s="113" t="n"/>
      <c r="M10" s="114" t="n"/>
    </row>
    <row r="11">
      <c r="A11" s="91" t="inlineStr">
        <is>
          <t>Fator de potencia</t>
        </is>
      </c>
      <c r="B11" s="113" t="n"/>
      <c r="C11" s="114" t="n"/>
      <c r="D11" s="96" t="n">
        <v>0.9</v>
      </c>
      <c r="E11" s="113" t="n"/>
      <c r="F11" s="114" t="n"/>
      <c r="H11" s="91" t="inlineStr">
        <is>
          <t>Parede bege</t>
        </is>
      </c>
      <c r="I11" s="114" t="n"/>
      <c r="J11" s="93" t="inlineStr">
        <is>
          <t>45%, interpolacao entre 50% e 30%</t>
        </is>
      </c>
      <c r="K11" s="113" t="n"/>
      <c r="L11" s="113" t="n"/>
      <c r="M11" s="114" t="n"/>
    </row>
    <row r="12">
      <c r="A12" s="91" t="inlineStr">
        <is>
          <t>Fator de depreciacao Fdl</t>
        </is>
      </c>
      <c r="B12" s="113" t="n"/>
      <c r="C12" s="114" t="n"/>
      <c r="D12" s="96" t="n">
        <v>0.75</v>
      </c>
      <c r="E12" s="113" t="n"/>
      <c r="F12" s="114" t="n"/>
      <c r="H12" s="91" t="inlineStr">
        <is>
          <t>Piso azulejo cinza</t>
        </is>
      </c>
      <c r="I12" s="114" t="n"/>
      <c r="J12" s="93" t="inlineStr">
        <is>
          <t>Tabela 2.9 fornecida usa piso de 10%</t>
        </is>
      </c>
      <c r="K12" s="113" t="n"/>
      <c r="L12" s="113" t="n"/>
      <c r="M12" s="114" t="n"/>
    </row>
    <row r="13">
      <c r="A13" s="91" t="inlineStr">
        <is>
          <t>Tensao de alimentacao [V]</t>
        </is>
      </c>
      <c r="B13" s="113" t="n"/>
      <c r="C13" s="114" t="n"/>
      <c r="D13" s="94" t="n">
        <v>220</v>
      </c>
      <c r="E13" s="113" t="n"/>
      <c r="F13" s="114" t="n"/>
      <c r="H13" s="91" t="inlineStr">
        <is>
          <t>Circuitos</t>
        </is>
      </c>
      <c r="I13" s="114" t="n"/>
      <c r="J13" s="93" t="inlineStr">
        <is>
          <t>QDL5, QDL6 e QDL7 conforme a area</t>
        </is>
      </c>
      <c r="K13" s="113" t="n"/>
      <c r="L13" s="113" t="n"/>
      <c r="M13" s="114" t="n"/>
    </row>
    <row r="15" ht="24" customHeight="1" s="78">
      <c r="A15" s="90" t="inlineStr">
        <is>
          <t>CALCULO INDIVIDUAL - METODO DOS LUMENS</t>
        </is>
      </c>
    </row>
    <row r="16" ht="38" customHeight="1" s="78">
      <c r="A16" s="97" t="inlineStr">
        <is>
          <t>Ambiente</t>
        </is>
      </c>
      <c r="B16" s="97" t="inlineStr">
        <is>
          <t>Largura
[m]</t>
        </is>
      </c>
      <c r="C16" s="97" t="inlineStr">
        <is>
          <t>Comprimento
[m]</t>
        </is>
      </c>
      <c r="D16" s="97" t="inlineStr">
        <is>
          <t>Area
[m2]</t>
        </is>
      </c>
      <c r="E16" s="97" t="inlineStr">
        <is>
          <t>Perimetro
[m]</t>
        </is>
      </c>
      <c r="F16" s="97" t="inlineStr">
        <is>
          <t>Plano trab.
[m]</t>
        </is>
      </c>
      <c r="G16" s="97" t="inlineStr">
        <is>
          <t>Pe-direito
[m]</t>
        </is>
      </c>
      <c r="H16" s="97" t="inlineStr">
        <is>
          <t>Hlp
[m]</t>
        </is>
      </c>
      <c r="I16" s="97" t="inlineStr">
        <is>
          <t>K
[-]</t>
        </is>
      </c>
      <c r="J16" s="97" t="inlineStr">
        <is>
          <t>Teto
[%]</t>
        </is>
      </c>
      <c r="K16" s="97" t="inlineStr">
        <is>
          <t>Parede
[%]</t>
        </is>
      </c>
      <c r="L16" s="97" t="inlineStr">
        <is>
          <t>Piso
[%]</t>
        </is>
      </c>
      <c r="M16" s="97" t="inlineStr">
        <is>
          <t>E requerida
[lux]</t>
        </is>
      </c>
      <c r="N16" s="97" t="inlineStr">
        <is>
          <t>Fu
[-]</t>
        </is>
      </c>
      <c r="O16" s="97" t="inlineStr">
        <is>
          <t>Fdl
[-]</t>
        </is>
      </c>
      <c r="P16" s="97" t="inlineStr">
        <is>
          <t>Fluxo total
[lm]</t>
        </is>
      </c>
      <c r="Q16" s="97" t="inlineStr">
        <is>
          <t>Fluxo/lamp.
[lm]</t>
        </is>
      </c>
      <c r="R16" s="97" t="inlineStr">
        <is>
          <t>Lamp./lum.
[-]</t>
        </is>
      </c>
      <c r="S16" s="97" t="inlineStr">
        <is>
          <t>NLU teorico
[-]</t>
        </is>
      </c>
      <c r="T16" s="97" t="inlineStr">
        <is>
          <t>NLU instalado
[-]</t>
        </is>
      </c>
      <c r="U16" s="97" t="inlineStr">
        <is>
          <t>P lamp.
[W]</t>
        </is>
      </c>
      <c r="V16" s="97" t="inlineStr">
        <is>
          <t>Perdas
[W/lum.]</t>
        </is>
      </c>
      <c r="W16" s="97" t="inlineStr">
        <is>
          <t>P total
[W]</t>
        </is>
      </c>
      <c r="X16" s="97" t="inlineStr">
        <is>
          <t>FP
[-]</t>
        </is>
      </c>
      <c r="Y16" s="97" t="inlineStr">
        <is>
          <t>S total
[VA]</t>
        </is>
      </c>
      <c r="Z16" s="97" t="inlineStr">
        <is>
          <t>I em 220 V
[A]</t>
        </is>
      </c>
      <c r="AA16" s="97" t="inlineStr">
        <is>
          <t>E obtida
[lux]</t>
        </is>
      </c>
      <c r="AB16" s="97" t="inlineStr">
        <is>
          <t>Verificacao</t>
        </is>
      </c>
      <c r="AC16" s="97" t="inlineStr">
        <is>
          <t>QDL</t>
        </is>
      </c>
      <c r="AD16" s="115" t="n"/>
      <c r="AE16" s="115" t="n"/>
    </row>
    <row r="17">
      <c r="A17" s="98">
        <f>DADOS!B11</f>
        <v/>
      </c>
      <c r="B17" s="99">
        <f>DADOS!D11</f>
        <v/>
      </c>
      <c r="C17" s="99">
        <f>DADOS!E11</f>
        <v/>
      </c>
      <c r="D17" s="99">
        <f>DADOS!F11</f>
        <v/>
      </c>
      <c r="E17" s="99">
        <f>DADOS!G11</f>
        <v/>
      </c>
      <c r="F17" s="99">
        <f>DADOS!C11</f>
        <v/>
      </c>
      <c r="G17" s="99">
        <f>DADOS!K11</f>
        <v/>
      </c>
      <c r="H17" s="99">
        <f>G17-F17</f>
        <v/>
      </c>
      <c r="I17" s="100">
        <f>D17/(H17*(B17+C17))</f>
        <v/>
      </c>
      <c r="J17" s="99">
        <f>IF(OR(DADOS!H11="BRANCO",DADOS!H11="CLARO"),70,70)</f>
        <v/>
      </c>
      <c r="K17" s="99">
        <f>IF(OR(DADOS!I11="CLARA",DADOS!I11="BRANCA"),50,IF(DADOS!I11="BEGE",45,50))</f>
        <v/>
      </c>
      <c r="L17" s="99">
        <f>10</f>
        <v/>
      </c>
      <c r="M17" s="101">
        <f>200</f>
        <v/>
      </c>
      <c r="N17" s="102">
        <f>IF(K17&gt;=50,AF17,IF(K17&lt;=30,AG17,AG17+(K17-30)*(AF17-AG17)/20))</f>
        <v/>
      </c>
      <c r="O17" s="102">
        <f>$D$12</f>
        <v/>
      </c>
      <c r="P17" s="103">
        <f>(M17*D17)/(N17*O17)</f>
        <v/>
      </c>
      <c r="Q17" s="103">
        <f>$D$8</f>
        <v/>
      </c>
      <c r="R17" s="103">
        <f>$D$7</f>
        <v/>
      </c>
      <c r="S17" s="103">
        <f>P17/(Q17*R17)</f>
        <v/>
      </c>
      <c r="T17" s="104">
        <f>ROUNDUP(S17,0)</f>
        <v/>
      </c>
      <c r="U17" s="103">
        <f>$D$9</f>
        <v/>
      </c>
      <c r="V17" s="103">
        <f>$D$10</f>
        <v/>
      </c>
      <c r="W17" s="103">
        <f>T17*(R17*U17+V17)</f>
        <v/>
      </c>
      <c r="X17" s="102">
        <f>$D$11</f>
        <v/>
      </c>
      <c r="Y17" s="103">
        <f>W17/X17</f>
        <v/>
      </c>
      <c r="Z17" s="103">
        <f>Y17/$D$13</f>
        <v/>
      </c>
      <c r="AA17" s="103">
        <f>(T17*R17*Q17*N17*O17)/D17</f>
        <v/>
      </c>
      <c r="AB17" s="105">
        <f>IF(AA17&gt;=M17,"OK","REVISAR")</f>
        <v/>
      </c>
      <c r="AC17" s="106">
        <f>"QDL6"</f>
        <v/>
      </c>
      <c r="AD17" s="116" t="n"/>
      <c r="AE17" s="116" t="n"/>
      <c r="AF17" s="0">
        <f>IF(I17&lt;=$A$31,$B$31,IF(I17&gt;=$A$40,$B$40,INDEX($B$31:$B$40,MATCH(I17,$A$31:$A$40,1))+(I17-INDEX($A$31:$A$40,MATCH(I17,$A$31:$A$40,1)))*(INDEX($B$31:$B$40,MATCH(I17,$A$31:$A$40,1)+1)-INDEX($B$31:$B$40,MATCH(I17,$A$31:$A$40,1)))/(INDEX($A$31:$A$40,MATCH(I17,$A$31:$A$40,1)+1)-INDEX($A$31:$A$40,MATCH(I17,$A$31:$A$40,1)))))</f>
        <v/>
      </c>
      <c r="AG17" s="0">
        <f>IF(I17&lt;=$A$31,$C$31,IF(I17&gt;=$A$40,$C$40,INDEX($C$31:$C$40,MATCH(I17,$A$31:$A$40,1))+(I17-INDEX($A$31:$A$40,MATCH(I17,$A$31:$A$40,1)))*(INDEX($C$31:$C$40,MATCH(I17,$A$31:$A$40,1)+1)-INDEX($C$31:$C$40,MATCH(I17,$A$31:$A$40,1)))/(INDEX($A$31:$A$40,MATCH(I17,$A$31:$A$40,1)+1)-INDEX($A$31:$A$40,MATCH(I17,$A$31:$A$40,1)))))</f>
        <v/>
      </c>
      <c r="AH17" s="0">
        <f>MATCH(I17,$A$31:$A$40,1)</f>
        <v/>
      </c>
    </row>
    <row r="18">
      <c r="A18" s="98">
        <f>DADOS!B12</f>
        <v/>
      </c>
      <c r="B18" s="99">
        <f>DADOS!D12</f>
        <v/>
      </c>
      <c r="C18" s="99">
        <f>DADOS!E12</f>
        <v/>
      </c>
      <c r="D18" s="99">
        <f>DADOS!F12</f>
        <v/>
      </c>
      <c r="E18" s="99">
        <f>DADOS!G12</f>
        <v/>
      </c>
      <c r="F18" s="99">
        <f>DADOS!C12</f>
        <v/>
      </c>
      <c r="G18" s="99">
        <f>DADOS!K12</f>
        <v/>
      </c>
      <c r="H18" s="99">
        <f>G18-F18</f>
        <v/>
      </c>
      <c r="I18" s="100">
        <f>D18/(H18*(B18+C18))</f>
        <v/>
      </c>
      <c r="J18" s="99">
        <f>IF(OR(DADOS!H12="BRANCO",DADOS!H12="CLARO"),70,70)</f>
        <v/>
      </c>
      <c r="K18" s="99">
        <f>IF(OR(DADOS!I12="CLARA",DADOS!I12="BRANCA"),50,IF(DADOS!I12="BEGE",45,50))</f>
        <v/>
      </c>
      <c r="L18" s="99">
        <f>10</f>
        <v/>
      </c>
      <c r="M18" s="101">
        <f>500</f>
        <v/>
      </c>
      <c r="N18" s="102">
        <f>IF(K18&gt;=50,AF18,IF(K18&lt;=30,AG18,AG18+(K18-30)*(AF18-AG18)/20))</f>
        <v/>
      </c>
      <c r="O18" s="102">
        <f>$D$12</f>
        <v/>
      </c>
      <c r="P18" s="103">
        <f>(M18*D18)/(N18*O18)</f>
        <v/>
      </c>
      <c r="Q18" s="103">
        <f>$D$8</f>
        <v/>
      </c>
      <c r="R18" s="103">
        <f>$D$7</f>
        <v/>
      </c>
      <c r="S18" s="103">
        <f>P18/(Q18*R18)</f>
        <v/>
      </c>
      <c r="T18" s="104">
        <f>ROUNDUP(S18,0)</f>
        <v/>
      </c>
      <c r="U18" s="103">
        <f>$D$9</f>
        <v/>
      </c>
      <c r="V18" s="103">
        <f>$D$10</f>
        <v/>
      </c>
      <c r="W18" s="103">
        <f>T18*(R18*U18+V18)</f>
        <v/>
      </c>
      <c r="X18" s="102">
        <f>$D$11</f>
        <v/>
      </c>
      <c r="Y18" s="103">
        <f>W18/X18</f>
        <v/>
      </c>
      <c r="Z18" s="103">
        <f>Y18/$D$13</f>
        <v/>
      </c>
      <c r="AA18" s="103">
        <f>(T18*R18*Q18*N18*O18)/D18</f>
        <v/>
      </c>
      <c r="AB18" s="105">
        <f>IF(AA18&gt;=M18,"OK","REVISAR")</f>
        <v/>
      </c>
      <c r="AC18" s="106">
        <f>"QDL6"</f>
        <v/>
      </c>
      <c r="AD18" s="116" t="n"/>
      <c r="AE18" s="116" t="n"/>
      <c r="AF18" s="0">
        <f>IF(I18&lt;=$A$31,$B$31,IF(I18&gt;=$A$40,$B$40,INDEX($B$31:$B$40,MATCH(I18,$A$31:$A$40,1))+(I18-INDEX($A$31:$A$40,MATCH(I18,$A$31:$A$40,1)))*(INDEX($B$31:$B$40,MATCH(I18,$A$31:$A$40,1)+1)-INDEX($B$31:$B$40,MATCH(I18,$A$31:$A$40,1)))/(INDEX($A$31:$A$40,MATCH(I18,$A$31:$A$40,1)+1)-INDEX($A$31:$A$40,MATCH(I18,$A$31:$A$40,1)))))</f>
        <v/>
      </c>
      <c r="AG18" s="0">
        <f>IF(I18&lt;=$A$31,$C$31,IF(I18&gt;=$A$40,$C$40,INDEX($C$31:$C$40,MATCH(I18,$A$31:$A$40,1))+(I18-INDEX($A$31:$A$40,MATCH(I18,$A$31:$A$40,1)))*(INDEX($C$31:$C$40,MATCH(I18,$A$31:$A$40,1)+1)-INDEX($C$31:$C$40,MATCH(I18,$A$31:$A$40,1)))/(INDEX($A$31:$A$40,MATCH(I18,$A$31:$A$40,1)+1)-INDEX($A$31:$A$40,MATCH(I18,$A$31:$A$40,1)))))</f>
        <v/>
      </c>
      <c r="AH18" s="0">
        <f>MATCH(I18,$A$31:$A$40,1)</f>
        <v/>
      </c>
    </row>
    <row r="19">
      <c r="A19" s="98">
        <f>DADOS!B13</f>
        <v/>
      </c>
      <c r="B19" s="99">
        <f>DADOS!D13</f>
        <v/>
      </c>
      <c r="C19" s="99">
        <f>DADOS!E13</f>
        <v/>
      </c>
      <c r="D19" s="99">
        <f>DADOS!F13</f>
        <v/>
      </c>
      <c r="E19" s="99">
        <f>DADOS!G13</f>
        <v/>
      </c>
      <c r="F19" s="99">
        <f>DADOS!C13</f>
        <v/>
      </c>
      <c r="G19" s="99">
        <f>DADOS!K13</f>
        <v/>
      </c>
      <c r="H19" s="99">
        <f>G19-F19</f>
        <v/>
      </c>
      <c r="I19" s="100">
        <f>D19/(H19*(B19+C19))</f>
        <v/>
      </c>
      <c r="J19" s="99">
        <f>IF(OR(DADOS!H13="BRANCO",DADOS!H13="CLARO"),70,70)</f>
        <v/>
      </c>
      <c r="K19" s="99">
        <f>IF(OR(DADOS!I13="CLARA",DADOS!I13="BRANCA"),50,IF(DADOS!I13="BEGE",45,50))</f>
        <v/>
      </c>
      <c r="L19" s="99">
        <f>10</f>
        <v/>
      </c>
      <c r="M19" s="101">
        <f>200</f>
        <v/>
      </c>
      <c r="N19" s="102">
        <f>IF(K19&gt;=50,AF19,IF(K19&lt;=30,AG19,AG19+(K19-30)*(AF19-AG19)/20))</f>
        <v/>
      </c>
      <c r="O19" s="102">
        <f>$D$12</f>
        <v/>
      </c>
      <c r="P19" s="103">
        <f>(M19*D19)/(N19*O19)</f>
        <v/>
      </c>
      <c r="Q19" s="103">
        <f>$D$8</f>
        <v/>
      </c>
      <c r="R19" s="103">
        <f>$D$7</f>
        <v/>
      </c>
      <c r="S19" s="103">
        <f>P19/(Q19*R19)</f>
        <v/>
      </c>
      <c r="T19" s="104">
        <f>ROUNDUP(S19,0)</f>
        <v/>
      </c>
      <c r="U19" s="103">
        <f>$D$9</f>
        <v/>
      </c>
      <c r="V19" s="103">
        <f>$D$10</f>
        <v/>
      </c>
      <c r="W19" s="103">
        <f>T19*(R19*U19+V19)</f>
        <v/>
      </c>
      <c r="X19" s="102">
        <f>$D$11</f>
        <v/>
      </c>
      <c r="Y19" s="103">
        <f>W19/X19</f>
        <v/>
      </c>
      <c r="Z19" s="103">
        <f>Y19/$D$13</f>
        <v/>
      </c>
      <c r="AA19" s="103">
        <f>(T19*R19*Q19*N19*O19)/D19</f>
        <v/>
      </c>
      <c r="AB19" s="105">
        <f>IF(AA19&gt;=M19,"OK","REVISAR")</f>
        <v/>
      </c>
      <c r="AC19" s="106">
        <f>"QDL7"</f>
        <v/>
      </c>
      <c r="AD19" s="116" t="n"/>
      <c r="AE19" s="116" t="n"/>
      <c r="AF19" s="0">
        <f>IF(I19&lt;=$A$31,$B$31,IF(I19&gt;=$A$40,$B$40,INDEX($B$31:$B$40,MATCH(I19,$A$31:$A$40,1))+(I19-INDEX($A$31:$A$40,MATCH(I19,$A$31:$A$40,1)))*(INDEX($B$31:$B$40,MATCH(I19,$A$31:$A$40,1)+1)-INDEX($B$31:$B$40,MATCH(I19,$A$31:$A$40,1)))/(INDEX($A$31:$A$40,MATCH(I19,$A$31:$A$40,1)+1)-INDEX($A$31:$A$40,MATCH(I19,$A$31:$A$40,1)))))</f>
        <v/>
      </c>
      <c r="AG19" s="0">
        <f>IF(I19&lt;=$A$31,$C$31,IF(I19&gt;=$A$40,$C$40,INDEX($C$31:$C$40,MATCH(I19,$A$31:$A$40,1))+(I19-INDEX($A$31:$A$40,MATCH(I19,$A$31:$A$40,1)))*(INDEX($C$31:$C$40,MATCH(I19,$A$31:$A$40,1)+1)-INDEX($C$31:$C$40,MATCH(I19,$A$31:$A$40,1)))/(INDEX($A$31:$A$40,MATCH(I19,$A$31:$A$40,1)+1)-INDEX($A$31:$A$40,MATCH(I19,$A$31:$A$40,1)))))</f>
        <v/>
      </c>
      <c r="AH19" s="0">
        <f>MATCH(I19,$A$31:$A$40,1)</f>
        <v/>
      </c>
    </row>
    <row r="20">
      <c r="A20" s="98">
        <f>DADOS!B14</f>
        <v/>
      </c>
      <c r="B20" s="99">
        <f>DADOS!D14</f>
        <v/>
      </c>
      <c r="C20" s="99">
        <f>DADOS!E14</f>
        <v/>
      </c>
      <c r="D20" s="99">
        <f>DADOS!F14</f>
        <v/>
      </c>
      <c r="E20" s="99">
        <f>DADOS!G14</f>
        <v/>
      </c>
      <c r="F20" s="99">
        <f>DADOS!C14</f>
        <v/>
      </c>
      <c r="G20" s="99">
        <f>DADOS!K14</f>
        <v/>
      </c>
      <c r="H20" s="99">
        <f>G20-F20</f>
        <v/>
      </c>
      <c r="I20" s="100">
        <f>D20/(H20*(B20+C20))</f>
        <v/>
      </c>
      <c r="J20" s="99">
        <f>IF(OR(DADOS!H14="BRANCO",DADOS!H14="CLARO"),70,70)</f>
        <v/>
      </c>
      <c r="K20" s="99">
        <f>IF(OR(DADOS!I14="CLARA",DADOS!I14="BRANCA"),50,IF(DADOS!I14="BEGE",45,50))</f>
        <v/>
      </c>
      <c r="L20" s="99">
        <f>10</f>
        <v/>
      </c>
      <c r="M20" s="101">
        <f>250</f>
        <v/>
      </c>
      <c r="N20" s="102">
        <f>IF(K20&gt;=50,AF20,IF(K20&lt;=30,AG20,AG20+(K20-30)*(AF20-AG20)/20))</f>
        <v/>
      </c>
      <c r="O20" s="102">
        <f>$D$12</f>
        <v/>
      </c>
      <c r="P20" s="103">
        <f>(M20*D20)/(N20*O20)</f>
        <v/>
      </c>
      <c r="Q20" s="103">
        <f>$D$8</f>
        <v/>
      </c>
      <c r="R20" s="103">
        <f>$D$7</f>
        <v/>
      </c>
      <c r="S20" s="103">
        <f>P20/(Q20*R20)</f>
        <v/>
      </c>
      <c r="T20" s="104">
        <f>ROUNDUP(S20,0)</f>
        <v/>
      </c>
      <c r="U20" s="103">
        <f>$D$9</f>
        <v/>
      </c>
      <c r="V20" s="103">
        <f>$D$10</f>
        <v/>
      </c>
      <c r="W20" s="103">
        <f>T20*(R20*U20+V20)</f>
        <v/>
      </c>
      <c r="X20" s="102">
        <f>$D$11</f>
        <v/>
      </c>
      <c r="Y20" s="103">
        <f>W20/X20</f>
        <v/>
      </c>
      <c r="Z20" s="103">
        <f>Y20/$D$13</f>
        <v/>
      </c>
      <c r="AA20" s="103">
        <f>(T20*R20*Q20*N20*O20)/D20</f>
        <v/>
      </c>
      <c r="AB20" s="105">
        <f>IF(AA20&gt;=M20,"OK","REVISAR")</f>
        <v/>
      </c>
      <c r="AC20" s="106">
        <f>"QDL5"</f>
        <v/>
      </c>
      <c r="AD20" s="116" t="n"/>
      <c r="AE20" s="116" t="n"/>
      <c r="AF20" s="0">
        <f>IF(I20&lt;=$A$31,$B$31,IF(I20&gt;=$A$40,$B$40,INDEX($B$31:$B$40,MATCH(I20,$A$31:$A$40,1))+(I20-INDEX($A$31:$A$40,MATCH(I20,$A$31:$A$40,1)))*(INDEX($B$31:$B$40,MATCH(I20,$A$31:$A$40,1)+1)-INDEX($B$31:$B$40,MATCH(I20,$A$31:$A$40,1)))/(INDEX($A$31:$A$40,MATCH(I20,$A$31:$A$40,1)+1)-INDEX($A$31:$A$40,MATCH(I20,$A$31:$A$40,1)))))</f>
        <v/>
      </c>
      <c r="AG20" s="0">
        <f>IF(I20&lt;=$A$31,$C$31,IF(I20&gt;=$A$40,$C$40,INDEX($C$31:$C$40,MATCH(I20,$A$31:$A$40,1))+(I20-INDEX($A$31:$A$40,MATCH(I20,$A$31:$A$40,1)))*(INDEX($C$31:$C$40,MATCH(I20,$A$31:$A$40,1)+1)-INDEX($C$31:$C$40,MATCH(I20,$A$31:$A$40,1)))/(INDEX($A$31:$A$40,MATCH(I20,$A$31:$A$40,1)+1)-INDEX($A$31:$A$40,MATCH(I20,$A$31:$A$40,1)))))</f>
        <v/>
      </c>
      <c r="AH20" s="0">
        <f>MATCH(I20,$A$31:$A$40,1)</f>
        <v/>
      </c>
    </row>
    <row r="29">
      <c r="A29" s="90" t="inlineStr">
        <is>
          <t>TABELA 2.9 - TMS 426 | FATOR DE UTILIZACAO Fu</t>
        </is>
      </c>
    </row>
    <row r="30">
      <c r="A30" s="107" t="inlineStr">
        <is>
          <t>K</t>
        </is>
      </c>
      <c r="B30" s="107" t="inlineStr">
        <is>
          <t>Fu teto 70% / parede 50%</t>
        </is>
      </c>
      <c r="C30" s="107" t="inlineStr">
        <is>
          <t>Fu teto 70% / parede 30%</t>
        </is>
      </c>
      <c r="AF30" s="108" t="inlineStr">
        <is>
          <t>Fu 70/50 inferior</t>
        </is>
      </c>
      <c r="AG30" s="108" t="inlineStr">
        <is>
          <t>Fu 70/30 inferior</t>
        </is>
      </c>
      <c r="AH30" s="108" t="inlineStr">
        <is>
          <t>Indice tabela</t>
        </is>
      </c>
    </row>
    <row r="31">
      <c r="A31" s="109" t="n">
        <v>0.6</v>
      </c>
      <c r="B31" s="109" t="n">
        <v>0.35</v>
      </c>
      <c r="C31" s="109" t="n">
        <v>0.28</v>
      </c>
    </row>
    <row r="32">
      <c r="A32" s="109" t="n">
        <v>0.8</v>
      </c>
      <c r="B32" s="109" t="n">
        <v>0.43</v>
      </c>
      <c r="C32" s="109" t="n">
        <v>0.36</v>
      </c>
    </row>
    <row r="33">
      <c r="A33" s="109" t="n">
        <v>1</v>
      </c>
      <c r="B33" s="109" t="n">
        <v>0.5</v>
      </c>
      <c r="C33" s="109" t="n">
        <v>0.42</v>
      </c>
    </row>
    <row r="34">
      <c r="A34" s="109" t="n">
        <v>1.25</v>
      </c>
      <c r="B34" s="109" t="n">
        <v>0.5600000000000001</v>
      </c>
      <c r="C34" s="109" t="n">
        <v>0.49</v>
      </c>
    </row>
    <row r="35">
      <c r="A35" s="109" t="n">
        <v>1.5</v>
      </c>
      <c r="B35" s="109" t="n">
        <v>0.61</v>
      </c>
      <c r="C35" s="109" t="n">
        <v>0.54</v>
      </c>
    </row>
    <row r="36">
      <c r="A36" s="109" t="n">
        <v>2</v>
      </c>
      <c r="B36" s="109" t="n">
        <v>0.68</v>
      </c>
      <c r="C36" s="109" t="n">
        <v>0.61</v>
      </c>
    </row>
    <row r="37">
      <c r="A37" s="109" t="n">
        <v>2.5</v>
      </c>
      <c r="B37" s="109" t="n">
        <v>0.72</v>
      </c>
      <c r="C37" s="109" t="n">
        <v>0.67</v>
      </c>
    </row>
    <row r="38">
      <c r="A38" s="109" t="n">
        <v>3</v>
      </c>
      <c r="B38" s="109" t="n">
        <v>0.76</v>
      </c>
      <c r="C38" s="109" t="n">
        <v>0.71</v>
      </c>
    </row>
    <row r="39">
      <c r="A39" s="109" t="n">
        <v>4</v>
      </c>
      <c r="B39" s="109" t="n">
        <v>0.8</v>
      </c>
      <c r="C39" s="109" t="n">
        <v>0.76</v>
      </c>
    </row>
    <row r="40">
      <c r="A40" s="109" t="n">
        <v>5</v>
      </c>
      <c r="B40" s="109" t="n">
        <v>0.83</v>
      </c>
      <c r="C40" s="109" t="n">
        <v>0.8</v>
      </c>
    </row>
    <row r="43" ht="24" customHeight="1" s="78">
      <c r="A43" s="90" t="inlineStr">
        <is>
          <t>RESUMO DE CARGAS DE ILUMINACAO</t>
        </is>
      </c>
      <c r="J43" s="117" t="n"/>
    </row>
    <row r="44" ht="27" customHeight="1" s="78">
      <c r="A44" s="107" t="inlineStr">
        <is>
          <t>QDL</t>
        </is>
      </c>
      <c r="B44" s="107" t="inlineStr">
        <is>
          <t>Ambientes</t>
        </is>
      </c>
      <c r="C44" s="107" t="inlineStr">
        <is>
          <t>Luminarias</t>
        </is>
      </c>
      <c r="D44" s="107" t="inlineStr">
        <is>
          <t>Potencia total [W]</t>
        </is>
      </c>
      <c r="E44" s="107" t="inlineStr">
        <is>
          <t>Potencia aparente [VA]</t>
        </is>
      </c>
      <c r="F44" s="107" t="inlineStr">
        <is>
          <t>Corrente [A]</t>
        </is>
      </c>
      <c r="G44" s="107" t="inlineStr">
        <is>
          <t>Area total [m2]</t>
        </is>
      </c>
      <c r="H44" s="118" t="n"/>
      <c r="J44" s="119" t="n"/>
    </row>
    <row r="45" ht="27" customHeight="1" s="78">
      <c r="A45" s="106">
        <f>"QDL5"</f>
        <v/>
      </c>
      <c r="B45" s="106">
        <f>"Escritorio"</f>
        <v/>
      </c>
      <c r="C45" s="103">
        <f>SUMIF($AC$17:$AC$20,A45,$T$17:$T$20)</f>
        <v/>
      </c>
      <c r="D45" s="103">
        <f>SUMIF($AC$17:$AC$20,A45,$W$17:$W$20)</f>
        <v/>
      </c>
      <c r="E45" s="103">
        <f>SUMIF($AC$17:$AC$20,A45,$Y$17:$Y$20)</f>
        <v/>
      </c>
      <c r="F45" s="103">
        <f>SUMIF($AC$17:$AC$20,A45,$Z$17:$Z$20)</f>
        <v/>
      </c>
      <c r="G45" s="103">
        <f>SUMIF($AC$17:$AC$20,A45,$D$17:$D$20)</f>
        <v/>
      </c>
      <c r="H45" s="116" t="n"/>
      <c r="J45" s="119" t="n"/>
    </row>
    <row r="46" ht="27" customHeight="1" s="78">
      <c r="A46" s="106">
        <f>"QDL6"</f>
        <v/>
      </c>
      <c r="B46" s="106">
        <f>"Sala de Produtos + Controle de Qualidade"</f>
        <v/>
      </c>
      <c r="C46" s="103">
        <f>SUMIF($AC$17:$AC$20,A46,$T$17:$T$20)</f>
        <v/>
      </c>
      <c r="D46" s="103">
        <f>SUMIF($AC$17:$AC$20,A46,$W$17:$W$20)</f>
        <v/>
      </c>
      <c r="E46" s="103">
        <f>SUMIF($AC$17:$AC$20,A46,$Y$17:$Y$20)</f>
        <v/>
      </c>
      <c r="F46" s="103">
        <f>SUMIF($AC$17:$AC$20,A46,$Z$17:$Z$20)</f>
        <v/>
      </c>
      <c r="G46" s="103">
        <f>SUMIF($AC$17:$AC$20,A46,$D$17:$D$20)</f>
        <v/>
      </c>
      <c r="H46" s="116" t="n"/>
      <c r="J46" s="119" t="n"/>
    </row>
    <row r="47" ht="27" customHeight="1" s="78">
      <c r="A47" s="106">
        <f>"QDL7"</f>
        <v/>
      </c>
      <c r="B47" s="106">
        <f>"Banheiro / Vestiario"</f>
        <v/>
      </c>
      <c r="C47" s="103">
        <f>SUMIF($AC$17:$AC$20,A47,$T$17:$T$20)</f>
        <v/>
      </c>
      <c r="D47" s="103">
        <f>SUMIF($AC$17:$AC$20,A47,$W$17:$W$20)</f>
        <v/>
      </c>
      <c r="E47" s="103">
        <f>SUMIF($AC$17:$AC$20,A47,$Y$17:$Y$20)</f>
        <v/>
      </c>
      <c r="F47" s="103">
        <f>SUMIF($AC$17:$AC$20,A47,$Z$17:$Z$20)</f>
        <v/>
      </c>
      <c r="G47" s="103">
        <f>SUMIF($AC$17:$AC$20,A47,$D$17:$D$20)</f>
        <v/>
      </c>
      <c r="H47" s="116" t="n"/>
      <c r="J47" s="119" t="n"/>
    </row>
    <row r="48" ht="27" customHeight="1" s="78">
      <c r="A48" s="111" t="inlineStr">
        <is>
          <t>TOTAL</t>
        </is>
      </c>
      <c r="C48" s="112">
        <f>SUM(C45:C47)</f>
        <v/>
      </c>
      <c r="D48" s="112">
        <f>SUM(D45:D47)</f>
        <v/>
      </c>
      <c r="E48" s="112">
        <f>SUM(E45:E47)</f>
        <v/>
      </c>
      <c r="F48" s="112">
        <f>SUM(F45:F47)</f>
        <v/>
      </c>
      <c r="G48" s="112">
        <f>SUM(G45:G47)</f>
        <v/>
      </c>
      <c r="J48" s="119" t="n"/>
    </row>
    <row r="49" ht="27" customHeight="1" s="78">
      <c r="J49" s="119" t="n"/>
    </row>
  </sheetData>
  <mergeCells count="40">
    <mergeCell ref="D13:F13"/>
    <mergeCell ref="D11:F11"/>
    <mergeCell ref="H10:I10"/>
    <mergeCell ref="J12:M12"/>
    <mergeCell ref="A15:AC15"/>
    <mergeCell ref="A12:C12"/>
    <mergeCell ref="A43:G43"/>
    <mergeCell ref="D7:F7"/>
    <mergeCell ref="H9:I9"/>
    <mergeCell ref="A1:AC1"/>
    <mergeCell ref="H6:I6"/>
    <mergeCell ref="A5:F5"/>
    <mergeCell ref="A8:C8"/>
    <mergeCell ref="J8:M8"/>
    <mergeCell ref="D12:F12"/>
    <mergeCell ref="D9:F9"/>
    <mergeCell ref="A29:C29"/>
    <mergeCell ref="D8:F8"/>
    <mergeCell ref="A10:C10"/>
    <mergeCell ref="J10:M10"/>
    <mergeCell ref="H11:I11"/>
    <mergeCell ref="A13:C13"/>
    <mergeCell ref="J13:M13"/>
    <mergeCell ref="H5:M5"/>
    <mergeCell ref="J9:M9"/>
    <mergeCell ref="H7:I7"/>
    <mergeCell ref="A9:C9"/>
    <mergeCell ref="A3:AC3"/>
    <mergeCell ref="J6:M6"/>
    <mergeCell ref="H13:I13"/>
    <mergeCell ref="A2:AC2"/>
    <mergeCell ref="J7:M7"/>
    <mergeCell ref="D10:F10"/>
    <mergeCell ref="H12:I12"/>
    <mergeCell ref="A11:C11"/>
    <mergeCell ref="A6:C6"/>
    <mergeCell ref="J11:M11"/>
    <mergeCell ref="H8:I8"/>
    <mergeCell ref="A7:C7"/>
    <mergeCell ref="D6:F6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2026-08-22T23:14:06Z</dcterms:created>
  <dcterms:modified xmlns:dcterms="http://purl.org/dc/terms/" xmlns:xsi="http://www.w3.org/2001/XMLSchema-instance" xsi:type="dcterms:W3CDTF">2026-08-27T02:13:38Z</dcterms:modified>
</cp:coreProperties>
</file>