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LUM-LUCAS" sheetId="2" r:id="rId6"/>
    <sheet state="visible" name="LUM-SALA CALD" sheetId="3" r:id="rId7"/>
    <sheet state="visible" name="LUM-COM(B,P)" sheetId="4" r:id="rId8"/>
    <sheet state="visible" name="LUM-DEP CAR1" sheetId="5" r:id="rId9"/>
    <sheet state="visible" name="LUM-DEP CAR2" sheetId="6" r:id="rId10"/>
    <sheet state="visible" name="LUM-RASPA" sheetId="7" r:id="rId11"/>
    <sheet state="visible" name="RECAPAGEM" sheetId="8" r:id="rId12"/>
    <sheet state="visible" name="SUBESTAÇÃO" sheetId="9" r:id="rId13"/>
  </sheets>
  <definedNames/>
  <calcPr/>
</workbook>
</file>

<file path=xl/sharedStrings.xml><?xml version="1.0" encoding="utf-8"?>
<sst xmlns="http://schemas.openxmlformats.org/spreadsheetml/2006/main" count="936" uniqueCount="281">
  <si>
    <t>T1 - LUMINOTECNICO | MEMORIAL DE CALCULO - LUCAS</t>
  </si>
  <si>
    <t>RESPONSÁVEL</t>
  </si>
  <si>
    <t>LOCAL</t>
  </si>
  <si>
    <t>ALTURA DE MANUSEIO TRABALHO Hpp (m)</t>
  </si>
  <si>
    <t>LARGURA L (m)</t>
  </si>
  <si>
    <t>Metodo dos Lumens | Areas vinculadas a DADOS!11:14 | Luminaria principal: TMS 426 fluorescente</t>
  </si>
  <si>
    <t>COMPRIMENTO C (m)</t>
  </si>
  <si>
    <t>ÁREA (m²)</t>
  </si>
  <si>
    <t>As dimensoes e o pe-direito sao lidos da aba DADOS. Os valores amarelos sao premissas editaveis; os verdes sao resultados calculados.</t>
  </si>
  <si>
    <t>PERÍMETRO (m)</t>
  </si>
  <si>
    <t>TETO</t>
  </si>
  <si>
    <t>PAREDE</t>
  </si>
  <si>
    <t>PISO</t>
  </si>
  <si>
    <t>ALTURA TOTAL/PÉ-DIREITO Htp (m)</t>
  </si>
  <si>
    <t>DANTE</t>
  </si>
  <si>
    <t>SALA DE CALDEIRAS</t>
  </si>
  <si>
    <t>PARAMETROS DA LUMINARIA</t>
  </si>
  <si>
    <t>DADOS DO LOCAL</t>
  </si>
  <si>
    <t>CRITERIOS ADOTADOS</t>
  </si>
  <si>
    <t>Luminaria principal</t>
  </si>
  <si>
    <t>ZINCO</t>
  </si>
  <si>
    <t>CLARA</t>
  </si>
  <si>
    <t>CONCRETO</t>
  </si>
  <si>
    <t>COMPRESSOR (BOMBAS E PRENSA)</t>
  </si>
  <si>
    <t>ALTURA UTIL/ ALTURA DE TRABALHO Hlp (m)</t>
  </si>
  <si>
    <t>TMS 426 - 2 lampadas fluorescentes de 40 W</t>
  </si>
  <si>
    <t xml:space="preserve"> LAMPADA UTILIZADA</t>
  </si>
  <si>
    <t>DEPÓSITO DE CARCAÇAS 1</t>
  </si>
  <si>
    <t>Plano de trabalho</t>
  </si>
  <si>
    <t>0,80 m acima do piso</t>
  </si>
  <si>
    <t>SALA DE CALDEIRA</t>
  </si>
  <si>
    <t>DEPÓSITO DE CARCAÇAS 2</t>
  </si>
  <si>
    <t>RASPA</t>
  </si>
  <si>
    <t>Lampadas por luminaria</t>
  </si>
  <si>
    <t>PIETRO</t>
  </si>
  <si>
    <t>RECAPAGEM 1</t>
  </si>
  <si>
    <t>Altura util Hlp</t>
  </si>
  <si>
    <t>Pe-direito - plano de trabalho</t>
  </si>
  <si>
    <t>RECAPAGEM 2</t>
  </si>
  <si>
    <t>RECAPAGEM 3</t>
  </si>
  <si>
    <t>VAPOR DE METAL</t>
  </si>
  <si>
    <t>MÉTODO LUMENS</t>
  </si>
  <si>
    <t>Fluxo por lampada [lm]</t>
  </si>
  <si>
    <t>LUCAS</t>
  </si>
  <si>
    <t>SAIDA DE PRODUTOS (SALA DE PRODUTOS)</t>
  </si>
  <si>
    <t>CLARO</t>
  </si>
  <si>
    <t>AZULEJO CINZA</t>
  </si>
  <si>
    <t>CONTROLE DE QUALIDADE</t>
  </si>
  <si>
    <t>ILUMINAMENTO</t>
  </si>
  <si>
    <t>Metodo</t>
  </si>
  <si>
    <t>BRANCO</t>
  </si>
  <si>
    <t>CARACTERÍSTICAS DA TAREFA E DO OBSERVADOR ADOTADOS</t>
  </si>
  <si>
    <t>Metodo dos Lumens</t>
  </si>
  <si>
    <t>BRANCA</t>
  </si>
  <si>
    <t>BANHEIRO(VESTUARIO)</t>
  </si>
  <si>
    <t>IDADE</t>
  </si>
  <si>
    <t>ESCRITÓRIO</t>
  </si>
  <si>
    <t>Potencia por lampada [W]</t>
  </si>
  <si>
    <t>VELOCIDADE E PRECISÃO</t>
  </si>
  <si>
    <t>IMPORTANTE</t>
  </si>
  <si>
    <t>REFLETANCIA NO FUNDO DA TAREFA</t>
  </si>
  <si>
    <t>BEGE</t>
  </si>
  <si>
    <t>JOÃO</t>
  </si>
  <si>
    <t>SUBESTAÇÃO</t>
  </si>
  <si>
    <t>CALCULO DE PESO</t>
  </si>
  <si>
    <t>FAIXAS, ILUMINANCIAS E TIPO DE ATIVIDADE ADOTADOS</t>
  </si>
  <si>
    <t>Teto claro/branco</t>
  </si>
  <si>
    <t>70% na tabela 2.9 (limite tabelado)</t>
  </si>
  <si>
    <t xml:space="preserve">ADOTADA A FAIXA B </t>
  </si>
  <si>
    <t>TAREFAS COM REQUISITOS VISUAIS NORMAIS...</t>
  </si>
  <si>
    <t>TAREFAS COM REQUISITOS VISUAIS LIMITADOS...</t>
  </si>
  <si>
    <t>ILUMINÂNCIAS (LUX)</t>
  </si>
  <si>
    <t>ILUMINÂNCIA MINIMA EM LUX, POR TIPO DE ATIVIDADE ADOTADO</t>
  </si>
  <si>
    <t>Perdas do reator por luminaria [W]</t>
  </si>
  <si>
    <t>TIPO DE AMBIENTE</t>
  </si>
  <si>
    <t>LUX</t>
  </si>
  <si>
    <t>INDÚSTRIA QUIMICA</t>
  </si>
  <si>
    <t>FORNOS, SECADORES</t>
  </si>
  <si>
    <t>Parede clara/branca</t>
  </si>
  <si>
    <t>50% na tabela 2.9</t>
  </si>
  <si>
    <t>ADOTADO NO FINAL O MAIOR VALOR QUE É 300 lx</t>
  </si>
  <si>
    <t>Fator de potencia</t>
  </si>
  <si>
    <t>LUMINÁRIA ADOTADA</t>
  </si>
  <si>
    <t>COMPRESSOR(B,P) POSSUEM ELEVADO PÉ-DIREITO, LUMINÁRIA ADEQUADA PARA ESSE AMBIENTE SÃO TIPO REFLETOR INDUSTRIAL ESTILO CUPULA</t>
  </si>
  <si>
    <t>DADOS LUMINÁRIA</t>
  </si>
  <si>
    <t>MODELO</t>
  </si>
  <si>
    <t>Parede bege</t>
  </si>
  <si>
    <t>HDK 472+GDK 474 PG</t>
  </si>
  <si>
    <t>FABRICANTE</t>
  </si>
  <si>
    <t>Philips</t>
  </si>
  <si>
    <t>45%, interpolacao entre 50% e 30%</t>
  </si>
  <si>
    <t>SALA DE CALDEIRAS POSSUEM ELEVADO PÉ-DIREITO, LUMINÁRIA ADEQUADA PARA ESSE AMBIENTE SÃO TIPO REFLETOR INDUSTRIAL ESTILO CUPULA</t>
  </si>
  <si>
    <t>LAMPADA E REATOR ADOTADOS</t>
  </si>
  <si>
    <t>Fator de depreciacao Fdl</t>
  </si>
  <si>
    <t>Podendo ser adotados lampadas de até 400 W, conforme a luminária adotada</t>
  </si>
  <si>
    <t>DADOS DA LAMPADA</t>
  </si>
  <si>
    <t>Piso azulejo cinza</t>
  </si>
  <si>
    <t>Tabela 2.9 fornecida usa piso de 10%</t>
  </si>
  <si>
    <t>MASTER HPI-T Plus 400W/645 E40 1SL/12</t>
  </si>
  <si>
    <t>TIPO DE LAMPADA</t>
  </si>
  <si>
    <t>VAPOR METALICO</t>
  </si>
  <si>
    <t>Tensao de alimentacao [V]</t>
  </si>
  <si>
    <t>POTÊNCIA (W)</t>
  </si>
  <si>
    <t>FLUXO LUMINOSO (lumens)</t>
  </si>
  <si>
    <t>NUMERO DE LAMPADAS POR LUMINARIA</t>
  </si>
  <si>
    <t>Circuitos</t>
  </si>
  <si>
    <t>DADOS DO REATOR</t>
  </si>
  <si>
    <t>QDL5, QDL6 e QDL7 conforme a area</t>
  </si>
  <si>
    <t>BHLE 400L 200TS</t>
  </si>
  <si>
    <t>PERDAS (W)</t>
  </si>
  <si>
    <t>FATOR DE POTENCIA</t>
  </si>
  <si>
    <t>De forma a calcular o fluxo luminoso se deve calcular o FATOR DE UTILIZAÇÃO e FATOR DE DEPRECIAÇÃO</t>
  </si>
  <si>
    <t>FATOR DE UTILIZAÇÃO Fu</t>
  </si>
  <si>
    <t>CALCULO INDIVIDUAL - METODO DOS LUMENS</t>
  </si>
  <si>
    <t>DEVE-SE SEGUIR A FORMULA ABAIXO</t>
  </si>
  <si>
    <t>Ambiente</t>
  </si>
  <si>
    <t>K</t>
  </si>
  <si>
    <t>Largura
[m]</t>
  </si>
  <si>
    <t>Comprimento
[m]</t>
  </si>
  <si>
    <t>Area
[m2]</t>
  </si>
  <si>
    <t>Perimetro
[m]</t>
  </si>
  <si>
    <t>Plano trab.
[m]</t>
  </si>
  <si>
    <t>Pe-direito
[m]</t>
  </si>
  <si>
    <t>Hlp
[m]</t>
  </si>
  <si>
    <t>K
[-]</t>
  </si>
  <si>
    <t>Teto
[%]</t>
  </si>
  <si>
    <t>Parede
[%]</t>
  </si>
  <si>
    <t>Piso
[%]</t>
  </si>
  <si>
    <t>E requerida
[lux]</t>
  </si>
  <si>
    <t>Fu
[-]</t>
  </si>
  <si>
    <t>Fdl
[-]</t>
  </si>
  <si>
    <t>Fluxo total
[lm]</t>
  </si>
  <si>
    <t>Fluxo/lamp.
[lm]</t>
  </si>
  <si>
    <t>Lamp./lum.
[-]</t>
  </si>
  <si>
    <t>NLU teorico
[-]</t>
  </si>
  <si>
    <t>NLU instalado
[-]</t>
  </si>
  <si>
    <t>P lamp.
[W]</t>
  </si>
  <si>
    <t>Perdas
[W/lum.]</t>
  </si>
  <si>
    <t>P total
[W]</t>
  </si>
  <si>
    <t>FP
[-]</t>
  </si>
  <si>
    <t>S total
[VA]</t>
  </si>
  <si>
    <t>I em 220 V
[A]</t>
  </si>
  <si>
    <t>E obtida
[lux]</t>
  </si>
  <si>
    <t>Verificacao</t>
  </si>
  <si>
    <t>QDL</t>
  </si>
  <si>
    <t>VERIFICA NO LIVRO DO MAMEDE AS REFLETANCIAS</t>
  </si>
  <si>
    <t xml:space="preserve">POR MEIO DO VALOR DE K, USA A TABELA PARA ACHAR CONHECENDO AS REFLENTACIAS MÉDIAS DO TETO Pte, DAs PAREDES Ppa, do PISO Ppi, VAI NA TABELA E PEGA OS VALORES </t>
  </si>
  <si>
    <t>Pte</t>
  </si>
  <si>
    <t>Ppa</t>
  </si>
  <si>
    <t>Ppi</t>
  </si>
  <si>
    <t>Fu</t>
  </si>
  <si>
    <t>FATOR DE DEPRECIAÇÃO Fdl</t>
  </si>
  <si>
    <t>PRECISA VERIFICAR A CATEGORIA DA MANUTENÇÃO, CONSIDERA UM AMBIENTE SUJO</t>
  </si>
  <si>
    <t>CATEGORIA DE MANUTENÇÃO LUMINÁRIAS</t>
  </si>
  <si>
    <t>I</t>
  </si>
  <si>
    <t>CATEGORIA DO LOCAL</t>
  </si>
  <si>
    <t>SUJO</t>
  </si>
  <si>
    <t>VIDA MÉDIA LAMPADAS (h)</t>
  </si>
  <si>
    <t>TEMPO DE MANUTENÇÃO (meses)</t>
  </si>
  <si>
    <t>Precisa calcular o tempo de manutenção das lampadas considera metade do tempo de vida média, 14 horas ligadas e por 30 dias</t>
  </si>
  <si>
    <t>A PARTIR DO TEMPO DE MANUTENÇÃO SE USA O GRAFICO DE CATEGORIA I, com S de sujo</t>
  </si>
  <si>
    <t>FLUXO TOTAL LUMINOSO</t>
  </si>
  <si>
    <t>Wt (lm)</t>
  </si>
  <si>
    <t>NUMERO DE LUMINARIAS</t>
  </si>
  <si>
    <t>Nlu</t>
  </si>
  <si>
    <t>Sempre arredonda Nlu para valor inteiro e acima</t>
  </si>
  <si>
    <t>Nlu&gt;=</t>
  </si>
  <si>
    <t>MELHOR ADOTAR O VALOR DE NLU DE 6 PARA MELHOR DISTRIBUIÇÃO</t>
  </si>
  <si>
    <t>Usa o valor de catalogo de rendimento luminoso</t>
  </si>
  <si>
    <t>DISTRIBUIÇÃO/DISPOSIÇÃO DE LUMINÁRIAS</t>
  </si>
  <si>
    <t>POSICIONAR NO ESPAÇO ESSAS 6 LUMINARIAS</t>
  </si>
  <si>
    <t>LUMINARIAS POSICIONADAS EIXO X</t>
  </si>
  <si>
    <t>LUMINARIAS POSICIONADAS EIXO Y</t>
  </si>
  <si>
    <t>Verificação</t>
  </si>
  <si>
    <t>COMPRIMENTO DO COMODO</t>
  </si>
  <si>
    <t>MELHOR ADOTAR O VALOR DE NLU DE 4 PARA MELHOR DISTRIBUIÇÃO</t>
  </si>
  <si>
    <t>LARGURA DO COMODO</t>
  </si>
  <si>
    <t>X1</t>
  </si>
  <si>
    <t>ADOTA O NUMERO DE LUMINARIAS CALCULADO ANTERIORMENTE, POR SER UM NUMERO IMPAR 3, PODE ADOTAR UM NUMERO PAR COMO 4 PARA MELHOR DISTRIBUIÇÃO</t>
  </si>
  <si>
    <t>POSICIONAR NO ESPAÇO ESSAS 4 LUMINARIAS</t>
  </si>
  <si>
    <t>Y1</t>
  </si>
  <si>
    <t>1,5xHpl</t>
  </si>
  <si>
    <t>DISTANCIA ENTRE LUMINARIAS  EIXO X, X</t>
  </si>
  <si>
    <t>A DISTANCIA DE X1 É MUITA COISA, USA COMO X</t>
  </si>
  <si>
    <t>DISTANCIA ENTRE LUMINARIAS E EIXO X,  X1</t>
  </si>
  <si>
    <t>DISTANCIA ENTRE LUMINARIAS  EIXO Y, Y</t>
  </si>
  <si>
    <t>A DISTANCIA DE Y1 É MUITA COISA, USA COMO Y</t>
  </si>
  <si>
    <t>DISTANCIA ENTRE LUMINARIAS E EIXO Y,  Y1</t>
  </si>
  <si>
    <t>ARRUMAR O X1</t>
  </si>
  <si>
    <t>por ter duas bordas de eixo Y entre luminarias pode dividir por 2</t>
  </si>
  <si>
    <t>DISTANCIA ENTRE LUMINARIAS E EIXO X,  X</t>
  </si>
  <si>
    <t xml:space="preserve"> NÃO TEM LUMINARIA AO LADO, PEGA O VALOR DE X1</t>
  </si>
  <si>
    <t>DISTANCIA ENTRE LUMINARIAS  EIXO X, X1</t>
  </si>
  <si>
    <t>POTENCIA PONTO DE ILUMINAÇÃO</t>
  </si>
  <si>
    <t>TENSÃO DE ALIMENTAÇÃO (V)</t>
  </si>
  <si>
    <t>POTENCIA TOTAL DE ILUMINAÇÃO (VA)</t>
  </si>
  <si>
    <t>POTÊNCIA ADOTADO DO PONTO (VA)</t>
  </si>
  <si>
    <t>ADOTADO VALOR DE 440 VA PARA TER MAIS MARGEM DE SEGURANÇA</t>
  </si>
  <si>
    <t>POTENCIA DE ARRANJO (VA)</t>
  </si>
  <si>
    <t>CORRENTE DE PROJETO (A)</t>
  </si>
  <si>
    <t>LOCAIS DE ARMAZENAMENTO</t>
  </si>
  <si>
    <t>GRANDES VOLUMES</t>
  </si>
  <si>
    <t>TABELA 2.9 - TMS 426 | FATOR DE UTILIZACAO Fu</t>
  </si>
  <si>
    <t>Fu teto 70% / parede 50%</t>
  </si>
  <si>
    <t>Fu teto 70% / parede 30%</t>
  </si>
  <si>
    <t>Fu 70/50 inferior</t>
  </si>
  <si>
    <t>Fu 70/30 inferior</t>
  </si>
  <si>
    <t>Indice tabela</t>
  </si>
  <si>
    <t>NÃO PRECISA CALCULAR O FATOR DE UTILIZAÇÃO Fu</t>
  </si>
  <si>
    <t>RESUMO DE CARGAS DE ILUMINACAO</t>
  </si>
  <si>
    <t>Ambientes</t>
  </si>
  <si>
    <t>Luminarias</t>
  </si>
  <si>
    <t>Potencia total [W]</t>
  </si>
  <si>
    <t>Potencia aparente [VA]</t>
  </si>
  <si>
    <t>Corrente [A]</t>
  </si>
  <si>
    <t>Area total [m2]</t>
  </si>
  <si>
    <t>POSICIONAR NO ESPAÇO ESSAS 2 LUMINARIAS</t>
  </si>
  <si>
    <t>TOTAL</t>
  </si>
  <si>
    <t>A DISTANCIA DE X1 É MUITA COISA, MESMO NÃO ULTRAPASSANDO O LIMITE, DIVIDE POR 2</t>
  </si>
  <si>
    <t>POSICIONAR NO ESPAÇO ESSAS 12 LUMINARIAS</t>
  </si>
  <si>
    <t>NÃO PRECISA CORRIGIR NADA</t>
  </si>
  <si>
    <t>REFLETANCIA DO FUNDO DA TAREFA</t>
  </si>
  <si>
    <t>IDADE MÉDIA DOS TRABALHADORES</t>
  </si>
  <si>
    <t>ALTURA MÍNIIMA</t>
  </si>
  <si>
    <t>TIRANTE</t>
  </si>
  <si>
    <t>41 ANOS</t>
  </si>
  <si>
    <t>LUMINÁRIA</t>
  </si>
  <si>
    <t xml:space="preserve"> </t>
  </si>
  <si>
    <t>HDK 472</t>
  </si>
  <si>
    <t>PHILLIPS</t>
  </si>
  <si>
    <t>LÂMPADA+REATOR</t>
  </si>
  <si>
    <t>CAVIDADES</t>
  </si>
  <si>
    <t>refletâncias</t>
  </si>
  <si>
    <t>Refletâncias Efetivas tab 2.11 – Mamede</t>
  </si>
  <si>
    <t>relação de cavidade</t>
  </si>
  <si>
    <t>recinto</t>
  </si>
  <si>
    <t>teto</t>
  </si>
  <si>
    <t>piso</t>
  </si>
  <si>
    <t>parede</t>
  </si>
  <si>
    <t>Hlp</t>
  </si>
  <si>
    <t>Htl</t>
  </si>
  <si>
    <t>Hpp</t>
  </si>
  <si>
    <t>Rcr</t>
  </si>
  <si>
    <t>Rct</t>
  </si>
  <si>
    <t>Rcp</t>
  </si>
  <si>
    <t>ρte</t>
  </si>
  <si>
    <t>ρpi</t>
  </si>
  <si>
    <t>ρpa</t>
  </si>
  <si>
    <t>ρcp</t>
  </si>
  <si>
    <t>ρct(1)</t>
  </si>
  <si>
    <t>para teto de 50%</t>
  </si>
  <si>
    <t>para teto de 70%</t>
  </si>
  <si>
    <t>MISTA</t>
  </si>
  <si>
    <t>TAREFAS COM REQUISITOS VISUAIS LIMITADOS</t>
  </si>
  <si>
    <t>SUBESTAÇÃO NÃO PODE TER LUMINÁRIAS NO TETO, APENAS NAS PAREDES E FORA DAS CABINES DE TRANSFORMADORES - NECESSÁRIO QUE FOSSE ARANDELA ANTI-EXPLOSÃO</t>
  </si>
  <si>
    <t>FLW 17/3-MI5500</t>
  </si>
  <si>
    <t>Comercial EX</t>
  </si>
  <si>
    <t>PEGO DOS PDFs disponibilizados</t>
  </si>
  <si>
    <t>https://www.eletricasantaefigenia.com.br/lampada-mista-500w-/prod-10645297/</t>
  </si>
  <si>
    <t>DADOS DO REATOR (não possui reator)</t>
  </si>
  <si>
    <t xml:space="preserve">FATOR DE UTILIZAÇÃO </t>
  </si>
  <si>
    <t>tab 2.12 – Mamede</t>
  </si>
  <si>
    <t>Dados de Entrada</t>
  </si>
  <si>
    <t>Como o fator K está muito próximo de 0,80, será considerado 0,19 de Fu</t>
  </si>
  <si>
    <t>V</t>
  </si>
  <si>
    <t>Rcr=6</t>
  </si>
  <si>
    <t>Rcr=7</t>
  </si>
  <si>
    <t>Rcr=5</t>
  </si>
  <si>
    <t>MELHOR ADOTAR O VALOR DE NLU DE 5 PARA MELHOR DISTRIBUIÇÃO</t>
  </si>
  <si>
    <t>Rcr=1</t>
  </si>
  <si>
    <t>Rcr=2</t>
  </si>
  <si>
    <t>POSICIONAR NO ESPAÇO ESSAS 5 LUMINARIAS</t>
  </si>
  <si>
    <t>k 1</t>
  </si>
  <si>
    <t>k 2</t>
  </si>
  <si>
    <t>Fu 1</t>
  </si>
  <si>
    <t>Fu 2</t>
  </si>
  <si>
    <t>k encontrado</t>
  </si>
  <si>
    <t>denominador 1</t>
  </si>
  <si>
    <t>denominador 2</t>
  </si>
  <si>
    <t>numerador 1</t>
  </si>
  <si>
    <t>FU calculado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</si>
</sst>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d.m"/>
  </numFmts>
  <fonts count="16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color theme="1"/>
      <name val="Arial"/>
    </font>
    <font>
      <b/>
      <sz val="16.0"/>
      <color rgb="FF1F4E78"/>
      <name val="Arial"/>
    </font>
    <font>
      <sz val="9.0"/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9.0"/>
      <color rgb="FF1F4E78"/>
      <name val="Arial"/>
    </font>
    <font>
      <b/>
      <sz val="9.0"/>
      <color theme="1"/>
      <name val="Arial"/>
    </font>
    <font>
      <b/>
      <sz val="12.0"/>
      <color theme="1"/>
      <name val="Arial"/>
      <scheme val="minor"/>
    </font>
    <font>
      <color rgb="FF1F1F1F"/>
      <name val="&quot;Google Sans Text&quot;"/>
    </font>
    <font>
      <sz val="10.0"/>
      <color theme="1"/>
      <name val="Arial"/>
    </font>
    <font>
      <u/>
      <color rgb="FF0000FF"/>
    </font>
    <font>
      <b/>
      <color rgb="FF1F1F1F"/>
      <name val="&quot;Google Sans Text&quot;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shrinkToFit="0" vertical="bottom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/>
    </xf>
    <xf borderId="1" fillId="0" fontId="3" numFmtId="2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bottom"/>
    </xf>
    <xf borderId="3" fillId="0" fontId="7" numFmtId="0" xfId="0" applyBorder="1" applyFont="1"/>
    <xf borderId="4" fillId="0" fontId="7" numFmtId="0" xfId="0" applyBorder="1" applyFont="1"/>
    <xf borderId="2" fillId="4" fontId="3" numFmtId="0" xfId="0" applyAlignment="1" applyBorder="1" applyFill="1" applyFont="1">
      <alignment shrinkToFit="0" vertical="bottom" wrapText="1"/>
    </xf>
    <xf borderId="1" fillId="0" fontId="8" numFmtId="0" xfId="0" applyAlignment="1" applyBorder="1" applyFont="1">
      <alignment horizontal="center" readingOrder="0" vertical="center"/>
    </xf>
    <xf borderId="2" fillId="3" fontId="5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right" shrinkToFit="0" vertical="bottom" wrapText="1"/>
    </xf>
    <xf borderId="1" fillId="0" fontId="6" numFmtId="0" xfId="0" applyAlignment="1" applyBorder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2" fillId="4" fontId="3" numFmtId="1" xfId="0" applyAlignment="1" applyBorder="1" applyFill="1" applyFont="1" applyNumberFormat="1">
      <alignment horizontal="right" shrinkToFit="0" vertical="bottom" wrapText="1"/>
    </xf>
    <xf borderId="5" fillId="0" fontId="6" numFmtId="0" xfId="0" applyAlignment="1" applyBorder="1" applyFont="1">
      <alignment horizontal="center" readingOrder="0"/>
    </xf>
    <xf borderId="6" fillId="0" fontId="7" numFmtId="0" xfId="0" applyBorder="1" applyFont="1"/>
    <xf borderId="1" fillId="0" fontId="6" numFmtId="9" xfId="0" applyAlignment="1" applyBorder="1" applyFont="1" applyNumberFormat="1">
      <alignment horizontal="center" readingOrder="0"/>
    </xf>
    <xf borderId="2" fillId="4" fontId="3" numFmtId="164" xfId="0" applyAlignment="1" applyBorder="1" applyFill="1" applyFont="1" applyNumberFormat="1">
      <alignment horizontal="right" shrinkToFit="0" vertical="bottom" wrapText="1"/>
    </xf>
    <xf borderId="0" fillId="0" fontId="6" numFmtId="0" xfId="0" applyAlignment="1" applyFont="1">
      <alignment readingOrder="0"/>
    </xf>
    <xf borderId="7" fillId="0" fontId="6" numFmtId="0" xfId="0" applyAlignment="1" applyBorder="1" applyFont="1">
      <alignment horizontal="center" readingOrder="0" vertical="center"/>
    </xf>
    <xf borderId="8" fillId="0" fontId="7" numFmtId="0" xfId="0" applyBorder="1" applyFont="1"/>
    <xf borderId="7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2" fillId="4" fontId="3" numFmtId="2" xfId="0" applyAlignment="1" applyBorder="1" applyFill="1" applyFont="1" applyNumberFormat="1">
      <alignment horizontal="right" shrinkToFit="0" vertical="bottom" wrapText="1"/>
    </xf>
    <xf borderId="0" fillId="0" fontId="8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9" fillId="7" fontId="9" numFmtId="0" xfId="0" applyAlignment="1" applyBorder="1" applyFill="1" applyFont="1">
      <alignment horizontal="center" shrinkToFit="0" wrapText="1"/>
    </xf>
    <xf borderId="1" fillId="0" fontId="6" numFmtId="2" xfId="0" applyAlignment="1" applyBorder="1" applyFont="1" applyNumberFormat="1">
      <alignment horizontal="center"/>
    </xf>
    <xf borderId="0" fillId="0" fontId="3" numFmtId="0" xfId="0" applyFont="1"/>
    <xf borderId="9" fillId="8" fontId="3" numFmtId="0" xfId="0" applyAlignment="1" applyBorder="1" applyFill="1" applyFont="1">
      <alignment shrinkToFit="0" wrapText="1"/>
    </xf>
    <xf borderId="1" fillId="9" fontId="6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center"/>
    </xf>
    <xf borderId="9" fillId="8" fontId="3" numFmtId="2" xfId="0" applyAlignment="1" applyBorder="1" applyFill="1" applyFont="1" applyNumberFormat="1">
      <alignment horizontal="right" shrinkToFit="0" wrapText="1"/>
    </xf>
    <xf borderId="0" fillId="9" fontId="6" numFmtId="0" xfId="0" applyFill="1" applyFont="1"/>
    <xf borderId="1" fillId="0" fontId="6" numFmtId="165" xfId="0" applyAlignment="1" applyBorder="1" applyFont="1" applyNumberFormat="1">
      <alignment horizontal="center"/>
    </xf>
    <xf borderId="10" fillId="0" fontId="3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9" fillId="8" fontId="3" numFmtId="165" xfId="0" applyAlignment="1" applyBorder="1" applyFill="1" applyFont="1" applyNumberFormat="1">
      <alignment horizontal="right" shrinkToFit="0" wrapText="1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9" fillId="4" fontId="3" numFmtId="2" xfId="0" applyAlignment="1" applyBorder="1" applyFill="1" applyFont="1" applyNumberFormat="1">
      <alignment horizontal="right" shrinkToFit="0" wrapText="1"/>
    </xf>
    <xf borderId="9" fillId="10" fontId="3" numFmtId="165" xfId="0" applyAlignment="1" applyBorder="1" applyFill="1" applyFont="1" applyNumberFormat="1">
      <alignment horizontal="right" shrinkToFit="0" wrapText="1"/>
    </xf>
    <xf borderId="9" fillId="10" fontId="3" numFmtId="2" xfId="0" applyAlignment="1" applyBorder="1" applyFill="1" applyFont="1" applyNumberFormat="1">
      <alignment horizontal="right" shrinkToFit="0" wrapText="1"/>
    </xf>
    <xf borderId="9" fillId="10" fontId="3" numFmtId="1" xfId="0" applyAlignment="1" applyBorder="1" applyFill="1" applyFont="1" applyNumberFormat="1">
      <alignment horizontal="right" shrinkToFit="0" wrapText="1"/>
    </xf>
    <xf borderId="9" fillId="10" fontId="3" numFmtId="0" xfId="0" applyAlignment="1" applyBorder="1" applyFill="1" applyFont="1">
      <alignment shrinkToFit="0" wrapText="1"/>
    </xf>
    <xf borderId="0" fillId="0" fontId="6" numFmtId="0" xfId="0" applyFont="1"/>
    <xf borderId="9" fillId="3" fontId="3" numFmtId="0" xfId="0" applyAlignment="1" applyBorder="1" applyFill="1" applyFont="1">
      <alignment shrinkToFit="0" wrapText="1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11" fillId="0" fontId="7" numFmtId="0" xfId="0" applyBorder="1" applyFont="1"/>
    <xf borderId="5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 vertical="bottom"/>
    </xf>
    <xf borderId="1" fillId="0" fontId="3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/>
    </xf>
    <xf borderId="9" fillId="7" fontId="10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9" fillId="3" fontId="5" numFmtId="2" xfId="0" applyAlignment="1" applyBorder="1" applyFill="1" applyFont="1" applyNumberFormat="1">
      <alignment horizontal="center" vertical="bottom"/>
    </xf>
    <xf borderId="0" fillId="9" fontId="6" numFmtId="0" xfId="0" applyAlignment="1" applyFill="1" applyFont="1">
      <alignment readingOrder="0"/>
    </xf>
    <xf borderId="9" fillId="11" fontId="2" numFmtId="0" xfId="0" applyAlignment="1" applyBorder="1" applyFill="1" applyFont="1">
      <alignment vertical="bottom"/>
    </xf>
    <xf borderId="9" fillId="11" fontId="2" numFmtId="2" xfId="0" applyAlignment="1" applyBorder="1" applyFill="1" applyFont="1" applyNumberFormat="1">
      <alignment horizontal="right" vertical="bottom"/>
    </xf>
    <xf borderId="1" fillId="0" fontId="6" numFmtId="2" xfId="0" applyAlignment="1" applyBorder="1" applyFont="1" applyNumberFormat="1">
      <alignment horizontal="center" readingOrder="0"/>
    </xf>
    <xf borderId="0" fillId="6" fontId="11" numFmtId="0" xfId="0" applyAlignment="1" applyFill="1" applyFont="1">
      <alignment horizontal="center" readingOrder="0"/>
    </xf>
    <xf borderId="0" fillId="6" fontId="8" numFmtId="0" xfId="0" applyFill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2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 shrinkToFit="0" vertical="center" wrapText="1"/>
    </xf>
    <xf borderId="7" fillId="0" fontId="3" numFmtId="9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3" numFmtId="2" xfId="0" applyAlignment="1" applyFont="1" applyNumberFormat="1">
      <alignment horizontal="center"/>
    </xf>
    <xf borderId="12" fillId="0" fontId="7" numFmtId="0" xfId="0" applyBorder="1" applyFont="1"/>
    <xf borderId="13" fillId="5" fontId="6" numFmtId="0" xfId="0" applyAlignment="1" applyBorder="1" applyFill="1" applyFont="1">
      <alignment readingOrder="0"/>
    </xf>
    <xf borderId="14" fillId="0" fontId="6" numFmtId="0" xfId="0" applyAlignment="1" applyBorder="1" applyFont="1">
      <alignment readingOrder="0"/>
    </xf>
    <xf borderId="15" fillId="5" fontId="6" numFmtId="0" xfId="0" applyAlignment="1" applyBorder="1" applyFill="1" applyFont="1">
      <alignment readingOrder="0"/>
    </xf>
    <xf borderId="16" fillId="0" fontId="6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0" fillId="12" fontId="6" numFmtId="0" xfId="0" applyAlignment="1" applyFill="1" applyFont="1">
      <alignment readingOrder="0"/>
    </xf>
    <xf borderId="0" fillId="0" fontId="6" numFmtId="9" xfId="0" applyAlignment="1" applyFont="1" applyNumberFormat="1">
      <alignment readingOrder="0"/>
    </xf>
    <xf borderId="1" fillId="12" fontId="3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wrapText="1"/>
    </xf>
    <xf borderId="1" fillId="0" fontId="3" numFmtId="2" xfId="0" applyAlignment="1" applyBorder="1" applyFont="1" applyNumberFormat="1">
      <alignment horizontal="center" readingOrder="0"/>
    </xf>
    <xf borderId="7" fillId="12" fontId="3" numFmtId="9" xfId="0" applyAlignment="1" applyBorder="1" applyFill="1" applyFont="1" applyNumberFormat="1">
      <alignment horizontal="center" readingOrder="0" shrinkToFit="0" vertical="center" wrapText="1"/>
    </xf>
    <xf borderId="1" fillId="12" fontId="3" numFmtId="2" xfId="0" applyAlignment="1" applyBorder="1" applyFill="1" applyFont="1" applyNumberFormat="1">
      <alignment horizontal="center" readingOrder="0"/>
    </xf>
    <xf borderId="0" fillId="0" fontId="12" numFmtId="0" xfId="0" applyAlignment="1" applyFont="1">
      <alignment readingOrder="0"/>
    </xf>
    <xf borderId="0" fillId="0" fontId="13" numFmtId="2" xfId="0" applyAlignment="1" applyFont="1" applyNumberFormat="1">
      <alignment horizontal="center" vertical="center"/>
    </xf>
    <xf borderId="0" fillId="0" fontId="14" numFmtId="0" xfId="0" applyAlignment="1" applyFont="1">
      <alignment readingOrder="0"/>
    </xf>
    <xf borderId="0" fillId="0" fontId="15" numFmtId="166" xfId="0" applyAlignment="1" applyFont="1" applyNumberFormat="1">
      <alignment readingOrder="0"/>
    </xf>
    <xf borderId="0" fillId="0" fontId="15" numFmtId="0" xfId="0" applyAlignment="1" applyFont="1">
      <alignment readingOrder="0"/>
    </xf>
    <xf borderId="7" fillId="12" fontId="2" numFmtId="0" xfId="0" applyAlignment="1" applyBorder="1" applyFill="1" applyFont="1">
      <alignment horizontal="center"/>
    </xf>
    <xf borderId="5" fillId="12" fontId="2" numFmtId="2" xfId="0" applyAlignment="1" applyBorder="1" applyFill="1" applyFont="1" applyNumberFormat="1">
      <alignment horizontal="center" readingOrder="0"/>
    </xf>
    <xf borderId="1" fillId="12" fontId="2" numFmtId="0" xfId="0" applyAlignment="1" applyBorder="1" applyFill="1" applyFont="1">
      <alignment horizontal="center" vertical="bottom"/>
    </xf>
    <xf borderId="1" fillId="12" fontId="2" numFmtId="2" xfId="0" applyAlignment="1" applyBorder="1" applyFill="1" applyFont="1" applyNumberFormat="1">
      <alignment horizontal="center" vertical="bottom"/>
    </xf>
    <xf borderId="1" fillId="12" fontId="2" numFmtId="165" xfId="0" applyAlignment="1" applyBorder="1" applyFill="1" applyFont="1" applyNumberFormat="1">
      <alignment horizontal="center" vertical="bottom"/>
    </xf>
    <xf borderId="1" fillId="12" fontId="3" numFmtId="0" xfId="0" applyAlignment="1" applyBorder="1" applyFill="1" applyFont="1">
      <alignment horizontal="center" vertical="bottom"/>
    </xf>
    <xf borderId="1" fillId="12" fontId="3" numFmtId="2" xfId="0" applyAlignment="1" applyBorder="1" applyFill="1" applyFont="1" applyNumberFormat="1">
      <alignment horizontal="center" vertical="bottom"/>
    </xf>
    <xf borderId="1" fillId="12" fontId="3" numFmtId="165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30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5" Type="http://schemas.openxmlformats.org/officeDocument/2006/relationships/image" Target="../media/image14.png"/><Relationship Id="rId14" Type="http://schemas.openxmlformats.org/officeDocument/2006/relationships/image" Target="../media/image9.png"/><Relationship Id="rId17" Type="http://schemas.openxmlformats.org/officeDocument/2006/relationships/image" Target="../media/image21.png"/><Relationship Id="rId16" Type="http://schemas.openxmlformats.org/officeDocument/2006/relationships/image" Target="../media/image2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18" Type="http://schemas.openxmlformats.org/officeDocument/2006/relationships/image" Target="../media/image8.png"/><Relationship Id="rId7" Type="http://schemas.openxmlformats.org/officeDocument/2006/relationships/image" Target="../media/image11.png"/><Relationship Id="rId8" Type="http://schemas.openxmlformats.org/officeDocument/2006/relationships/image" Target="../media/image18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30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5" Type="http://schemas.openxmlformats.org/officeDocument/2006/relationships/image" Target="../media/image2.png"/><Relationship Id="rId14" Type="http://schemas.openxmlformats.org/officeDocument/2006/relationships/image" Target="../media/image9.png"/><Relationship Id="rId17" Type="http://schemas.openxmlformats.org/officeDocument/2006/relationships/image" Target="../media/image28.png"/><Relationship Id="rId16" Type="http://schemas.openxmlformats.org/officeDocument/2006/relationships/image" Target="../media/image4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18" Type="http://schemas.openxmlformats.org/officeDocument/2006/relationships/image" Target="../media/image17.png"/><Relationship Id="rId7" Type="http://schemas.openxmlformats.org/officeDocument/2006/relationships/image" Target="../media/image11.png"/><Relationship Id="rId8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30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5" Type="http://schemas.openxmlformats.org/officeDocument/2006/relationships/image" Target="../media/image2.png"/><Relationship Id="rId14" Type="http://schemas.openxmlformats.org/officeDocument/2006/relationships/image" Target="../media/image9.png"/><Relationship Id="rId17" Type="http://schemas.openxmlformats.org/officeDocument/2006/relationships/image" Target="../media/image19.png"/><Relationship Id="rId16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7" Type="http://schemas.openxmlformats.org/officeDocument/2006/relationships/image" Target="../media/image11.png"/><Relationship Id="rId8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30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5" Type="http://schemas.openxmlformats.org/officeDocument/2006/relationships/image" Target="../media/image2.png"/><Relationship Id="rId14" Type="http://schemas.openxmlformats.org/officeDocument/2006/relationships/image" Target="../media/image9.png"/><Relationship Id="rId17" Type="http://schemas.openxmlformats.org/officeDocument/2006/relationships/image" Target="../media/image33.png"/><Relationship Id="rId16" Type="http://schemas.openxmlformats.org/officeDocument/2006/relationships/image" Target="../media/image22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18" Type="http://schemas.openxmlformats.org/officeDocument/2006/relationships/image" Target="../media/image42.png"/><Relationship Id="rId7" Type="http://schemas.openxmlformats.org/officeDocument/2006/relationships/image" Target="../media/image11.png"/><Relationship Id="rId8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30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25.png"/><Relationship Id="rId4" Type="http://schemas.openxmlformats.org/officeDocument/2006/relationships/image" Target="../media/image7.png"/><Relationship Id="rId9" Type="http://schemas.openxmlformats.org/officeDocument/2006/relationships/image" Target="../media/image13.png"/><Relationship Id="rId15" Type="http://schemas.openxmlformats.org/officeDocument/2006/relationships/image" Target="../media/image2.png"/><Relationship Id="rId14" Type="http://schemas.openxmlformats.org/officeDocument/2006/relationships/image" Target="../media/image9.png"/><Relationship Id="rId17" Type="http://schemas.openxmlformats.org/officeDocument/2006/relationships/image" Target="../media/image24.png"/><Relationship Id="rId16" Type="http://schemas.openxmlformats.org/officeDocument/2006/relationships/image" Target="../media/image34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18" Type="http://schemas.openxmlformats.org/officeDocument/2006/relationships/image" Target="../media/image27.png"/><Relationship Id="rId7" Type="http://schemas.openxmlformats.org/officeDocument/2006/relationships/image" Target="../media/image11.png"/><Relationship Id="rId8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Relationship Id="rId3" Type="http://schemas.openxmlformats.org/officeDocument/2006/relationships/image" Target="../media/image40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43.png"/><Relationship Id="rId7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23.png"/><Relationship Id="rId10" Type="http://schemas.openxmlformats.org/officeDocument/2006/relationships/image" Target="../media/image36.png"/><Relationship Id="rId13" Type="http://schemas.openxmlformats.org/officeDocument/2006/relationships/image" Target="../media/image20.png"/><Relationship Id="rId12" Type="http://schemas.openxmlformats.org/officeDocument/2006/relationships/image" Target="../media/image44.png"/><Relationship Id="rId1" Type="http://schemas.openxmlformats.org/officeDocument/2006/relationships/image" Target="../media/image16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Relationship Id="rId4" Type="http://schemas.openxmlformats.org/officeDocument/2006/relationships/image" Target="../media/image18.png"/><Relationship Id="rId9" Type="http://schemas.openxmlformats.org/officeDocument/2006/relationships/image" Target="../media/image2.png"/><Relationship Id="rId15" Type="http://schemas.openxmlformats.org/officeDocument/2006/relationships/image" Target="../media/image32.png"/><Relationship Id="rId14" Type="http://schemas.openxmlformats.org/officeDocument/2006/relationships/image" Target="../media/image29.png"/><Relationship Id="rId17" Type="http://schemas.openxmlformats.org/officeDocument/2006/relationships/image" Target="../media/image39.png"/><Relationship Id="rId16" Type="http://schemas.openxmlformats.org/officeDocument/2006/relationships/image" Target="../media/image41.png"/><Relationship Id="rId5" Type="http://schemas.openxmlformats.org/officeDocument/2006/relationships/image" Target="../media/image30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45</xdr:row>
      <xdr:rowOff>-28575</xdr:rowOff>
    </xdr:from>
    <xdr:ext cx="3638550" cy="4867275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264</xdr:row>
      <xdr:rowOff>161925</xdr:rowOff>
    </xdr:from>
    <xdr:ext cx="2352675" cy="3324225"/>
    <xdr:pic>
      <xdr:nvPicPr>
        <xdr:cNvPr id="0" name="image14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125</xdr:row>
      <xdr:rowOff>171450</xdr:rowOff>
    </xdr:from>
    <xdr:ext cx="2428875" cy="533400"/>
    <xdr:pic>
      <xdr:nvPicPr>
        <xdr:cNvPr id="0" name="image21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200025</xdr:rowOff>
    </xdr:from>
    <xdr:ext cx="8829675" cy="2771775"/>
    <xdr:pic>
      <xdr:nvPicPr>
        <xdr:cNvPr id="0" name="image8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264</xdr:row>
      <xdr:rowOff>57150</xdr:rowOff>
    </xdr:from>
    <xdr:ext cx="3971925" cy="3590925"/>
    <xdr:pic>
      <xdr:nvPicPr>
        <xdr:cNvPr id="0" name="image4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125</xdr:row>
      <xdr:rowOff>171450</xdr:rowOff>
    </xdr:from>
    <xdr:ext cx="2266950" cy="628650"/>
    <xdr:pic>
      <xdr:nvPicPr>
        <xdr:cNvPr id="0" name="image28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131</xdr:row>
      <xdr:rowOff>9525</xdr:rowOff>
    </xdr:from>
    <xdr:ext cx="7705725" cy="2428875"/>
    <xdr:pic>
      <xdr:nvPicPr>
        <xdr:cNvPr id="0" name="image17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264</xdr:row>
      <xdr:rowOff>200025</xdr:rowOff>
    </xdr:from>
    <xdr:ext cx="2419350" cy="3581400"/>
    <xdr:pic>
      <xdr:nvPicPr>
        <xdr:cNvPr id="0" name="image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130</xdr:row>
      <xdr:rowOff>19050</xdr:rowOff>
    </xdr:from>
    <xdr:ext cx="7972425" cy="2524125"/>
    <xdr:pic>
      <xdr:nvPicPr>
        <xdr:cNvPr id="0" name="image1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18</xdr:row>
      <xdr:rowOff>57150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11</xdr:row>
      <xdr:rowOff>180975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44</xdr:row>
      <xdr:rowOff>-209550</xdr:rowOff>
    </xdr:from>
    <xdr:ext cx="5905500" cy="7896225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262</xdr:row>
      <xdr:rowOff>57150</xdr:rowOff>
    </xdr:from>
    <xdr:ext cx="3752850" cy="4067175"/>
    <xdr:pic>
      <xdr:nvPicPr>
        <xdr:cNvPr id="0" name="image2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132</xdr:row>
      <xdr:rowOff>171450</xdr:rowOff>
    </xdr:from>
    <xdr:ext cx="6848475" cy="2162175"/>
    <xdr:pic>
      <xdr:nvPicPr>
        <xdr:cNvPr id="0" name="image33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126</xdr:row>
      <xdr:rowOff>95250</xdr:rowOff>
    </xdr:from>
    <xdr:ext cx="2000250" cy="485775"/>
    <xdr:pic>
      <xdr:nvPicPr>
        <xdr:cNvPr id="0" name="image42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11</xdr:row>
      <xdr:rowOff>133350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44</xdr:row>
      <xdr:rowOff>171450</xdr:rowOff>
    </xdr:from>
    <xdr:ext cx="5153025" cy="6886575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73</xdr:row>
      <xdr:rowOff>57150</xdr:rowOff>
    </xdr:from>
    <xdr:ext cx="2066925" cy="23526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90</xdr:row>
      <xdr:rowOff>9525</xdr:rowOff>
    </xdr:from>
    <xdr:ext cx="990600" cy="29813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92</xdr:row>
      <xdr:rowOff>57150</xdr:rowOff>
    </xdr:from>
    <xdr:ext cx="2905125" cy="2095500"/>
    <xdr:pic>
      <xdr:nvPicPr>
        <xdr:cNvPr id="0" name="image1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109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</xdr:row>
      <xdr:rowOff>200025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146</xdr:row>
      <xdr:rowOff>104775</xdr:rowOff>
    </xdr:from>
    <xdr:ext cx="4876800" cy="37433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164</xdr:row>
      <xdr:rowOff>200025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157</xdr:row>
      <xdr:rowOff>9525</xdr:rowOff>
    </xdr:from>
    <xdr:ext cx="3829050" cy="300990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201</xdr:row>
      <xdr:rowOff>161925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819150</xdr:colOff>
      <xdr:row>215</xdr:row>
      <xdr:rowOff>161925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247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19050</xdr:rowOff>
    </xdr:from>
    <xdr:ext cx="8486775" cy="2705100"/>
    <xdr:pic>
      <xdr:nvPicPr>
        <xdr:cNvPr id="0" name="image34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270</xdr:row>
      <xdr:rowOff>19050</xdr:rowOff>
    </xdr:from>
    <xdr:ext cx="5934075" cy="2333625"/>
    <xdr:pic>
      <xdr:nvPicPr>
        <xdr:cNvPr id="0" name="image24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2085975" cy="438150"/>
    <xdr:pic>
      <xdr:nvPicPr>
        <xdr:cNvPr id="0" name="image27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6</xdr:row>
      <xdr:rowOff>152400</xdr:rowOff>
    </xdr:from>
    <xdr:ext cx="4876800" cy="4343400"/>
    <xdr:pic>
      <xdr:nvPicPr>
        <xdr:cNvPr id="0" name="image3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76</xdr:row>
      <xdr:rowOff>114300</xdr:rowOff>
    </xdr:from>
    <xdr:ext cx="4876800" cy="2828925"/>
    <xdr:pic>
      <xdr:nvPicPr>
        <xdr:cNvPr id="0" name="image3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79</xdr:row>
      <xdr:rowOff>152400</xdr:rowOff>
    </xdr:from>
    <xdr:ext cx="1704975" cy="876300"/>
    <xdr:pic>
      <xdr:nvPicPr>
        <xdr:cNvPr id="0" name="image4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38100</xdr:rowOff>
    </xdr:from>
    <xdr:ext cx="8372475" cy="609600"/>
    <xdr:pic>
      <xdr:nvPicPr>
        <xdr:cNvPr id="0" name="image3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38100</xdr:rowOff>
    </xdr:from>
    <xdr:ext cx="8372475" cy="2028825"/>
    <xdr:pic>
      <xdr:nvPicPr>
        <xdr:cNvPr id="0" name="image3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800100</xdr:colOff>
      <xdr:row>68</xdr:row>
      <xdr:rowOff>114300</xdr:rowOff>
    </xdr:from>
    <xdr:ext cx="4476750" cy="5248275"/>
    <xdr:pic>
      <xdr:nvPicPr>
        <xdr:cNvPr id="0" name="image4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137</xdr:row>
      <xdr:rowOff>114300</xdr:rowOff>
    </xdr:from>
    <xdr:ext cx="4876800" cy="3829050"/>
    <xdr:pic>
      <xdr:nvPicPr>
        <xdr:cNvPr id="0" name="image2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19</xdr:row>
      <xdr:rowOff>47625</xdr:rowOff>
    </xdr:from>
    <xdr:ext cx="5105400" cy="48672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9</xdr:row>
      <xdr:rowOff>85725</xdr:rowOff>
    </xdr:from>
    <xdr:ext cx="5076825" cy="1209675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89</xdr:row>
      <xdr:rowOff>28575</xdr:rowOff>
    </xdr:from>
    <xdr:ext cx="3914775" cy="1800225"/>
    <xdr:pic>
      <xdr:nvPicPr>
        <xdr:cNvPr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99</xdr:row>
      <xdr:rowOff>28575</xdr:rowOff>
    </xdr:from>
    <xdr:ext cx="5619750" cy="3352800"/>
    <xdr:pic>
      <xdr:nvPicPr>
        <xdr:cNvPr id="0" name="image1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126</xdr:row>
      <xdr:rowOff>38100</xdr:rowOff>
    </xdr:from>
    <xdr:ext cx="4876800" cy="6496050"/>
    <xdr:pic>
      <xdr:nvPicPr>
        <xdr:cNvPr id="0" name="image3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156</xdr:row>
      <xdr:rowOff>57150</xdr:rowOff>
    </xdr:from>
    <xdr:ext cx="4857750" cy="2333625"/>
    <xdr:pic>
      <xdr:nvPicPr>
        <xdr:cNvPr id="0" name="image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171</xdr:row>
      <xdr:rowOff>161925</xdr:rowOff>
    </xdr:from>
    <xdr:ext cx="6143625" cy="1400175"/>
    <xdr:pic>
      <xdr:nvPicPr>
        <xdr:cNvPr id="0" name="image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180</xdr:row>
      <xdr:rowOff>142875</xdr:rowOff>
    </xdr:from>
    <xdr:ext cx="4876800" cy="3324225"/>
    <xdr:pic>
      <xdr:nvPicPr>
        <xdr:cNvPr id="0" name="image9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202</xdr:row>
      <xdr:rowOff>200025</xdr:rowOff>
    </xdr:from>
    <xdr:ext cx="3971925" cy="3143250"/>
    <xdr:pic>
      <xdr:nvPicPr>
        <xdr:cNvPr id="0" name="image2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54</xdr:row>
      <xdr:rowOff>38100</xdr:rowOff>
    </xdr:from>
    <xdr:ext cx="5772150" cy="3171825"/>
    <xdr:pic>
      <xdr:nvPicPr>
        <xdr:cNvPr id="0" name="image3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52</xdr:row>
      <xdr:rowOff>200025</xdr:rowOff>
    </xdr:from>
    <xdr:ext cx="5772150" cy="238125"/>
    <xdr:pic>
      <xdr:nvPicPr>
        <xdr:cNvPr id="0" name="image2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3143250</xdr:colOff>
      <xdr:row>72</xdr:row>
      <xdr:rowOff>9525</xdr:rowOff>
    </xdr:from>
    <xdr:ext cx="1590675" cy="2695575"/>
    <xdr:pic>
      <xdr:nvPicPr>
        <xdr:cNvPr id="0" name="image44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74</xdr:row>
      <xdr:rowOff>28575</xdr:rowOff>
    </xdr:from>
    <xdr:ext cx="2495550" cy="2276475"/>
    <xdr:pic>
      <xdr:nvPicPr>
        <xdr:cNvPr id="0" name="image20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108</xdr:row>
      <xdr:rowOff>142875</xdr:rowOff>
    </xdr:from>
    <xdr:ext cx="5286375" cy="2876550"/>
    <xdr:pic>
      <xdr:nvPicPr>
        <xdr:cNvPr id="0" name="image29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771525</xdr:colOff>
      <xdr:row>125</xdr:row>
      <xdr:rowOff>209550</xdr:rowOff>
    </xdr:from>
    <xdr:ext cx="4867275" cy="3743325"/>
    <xdr:pic>
      <xdr:nvPicPr>
        <xdr:cNvPr id="0" name="image32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136</xdr:row>
      <xdr:rowOff>142875</xdr:rowOff>
    </xdr:from>
    <xdr:ext cx="2657475" cy="2257425"/>
    <xdr:pic>
      <xdr:nvPicPr>
        <xdr:cNvPr id="0" name="image41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15</xdr:row>
      <xdr:rowOff>180975</xdr:rowOff>
    </xdr:from>
    <xdr:ext cx="3762375" cy="6743700"/>
    <xdr:pic>
      <xdr:nvPicPr>
        <xdr:cNvPr id="0" name="image3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etricasantaefigenia.com.br/lampada-mista-500w-/prod-10645297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7.13"/>
    <col customWidth="1" min="4" max="4" width="13.88"/>
    <col customWidth="1" min="5" max="5" width="18.38"/>
    <col customWidth="1" min="8" max="8" width="14.0"/>
    <col customWidth="1" min="10" max="10" width="14.0"/>
  </cols>
  <sheetData>
    <row r="2">
      <c r="A2" s="2" t="s">
        <v>1</v>
      </c>
      <c r="B2" s="2" t="s">
        <v>2</v>
      </c>
      <c r="C2" s="2" t="s">
        <v>3</v>
      </c>
      <c r="D2" s="4" t="s">
        <v>4</v>
      </c>
      <c r="E2" s="4" t="s">
        <v>6</v>
      </c>
      <c r="F2" s="6" t="s">
        <v>7</v>
      </c>
      <c r="G2" s="6" t="s">
        <v>9</v>
      </c>
      <c r="H2" s="6" t="s">
        <v>10</v>
      </c>
      <c r="I2" s="6" t="s">
        <v>11</v>
      </c>
      <c r="J2" s="6" t="s">
        <v>12</v>
      </c>
      <c r="K2" s="2" t="s">
        <v>13</v>
      </c>
    </row>
    <row r="3">
      <c r="A3" s="8" t="s">
        <v>14</v>
      </c>
      <c r="B3" s="8" t="s">
        <v>15</v>
      </c>
      <c r="C3" s="9">
        <v>0.8</v>
      </c>
      <c r="D3" s="9">
        <v>15.92</v>
      </c>
      <c r="E3" s="9">
        <v>9.6</v>
      </c>
      <c r="F3" s="12">
        <f t="shared" ref="F3:F14" si="1">E3*D3</f>
        <v>152.832</v>
      </c>
      <c r="G3" s="12">
        <f t="shared" ref="G3:G4" si="2">(2*E3)+(2*D3)</f>
        <v>51.04</v>
      </c>
      <c r="H3" s="9" t="s">
        <v>20</v>
      </c>
      <c r="I3" s="9" t="s">
        <v>21</v>
      </c>
      <c r="J3" s="9" t="s">
        <v>22</v>
      </c>
      <c r="K3" s="9">
        <v>7.0</v>
      </c>
    </row>
    <row r="4">
      <c r="A4" s="8" t="s">
        <v>14</v>
      </c>
      <c r="B4" s="8" t="s">
        <v>23</v>
      </c>
      <c r="C4" s="9">
        <v>0.8</v>
      </c>
      <c r="D4" s="9">
        <v>9.28</v>
      </c>
      <c r="E4" s="9">
        <v>9.6</v>
      </c>
      <c r="F4" s="12">
        <f t="shared" si="1"/>
        <v>89.088</v>
      </c>
      <c r="G4" s="12">
        <f t="shared" si="2"/>
        <v>37.76</v>
      </c>
      <c r="H4" s="9" t="s">
        <v>20</v>
      </c>
      <c r="I4" s="9" t="s">
        <v>21</v>
      </c>
      <c r="J4" s="9" t="s">
        <v>22</v>
      </c>
      <c r="K4" s="9">
        <v>7.0</v>
      </c>
    </row>
    <row r="5">
      <c r="A5" s="8" t="s">
        <v>14</v>
      </c>
      <c r="B5" s="8" t="s">
        <v>27</v>
      </c>
      <c r="C5" s="9">
        <v>0.8</v>
      </c>
      <c r="D5" s="9">
        <v>8.12</v>
      </c>
      <c r="E5" s="9">
        <v>6.0</v>
      </c>
      <c r="F5" s="12">
        <f t="shared" si="1"/>
        <v>48.72</v>
      </c>
      <c r="G5" s="12">
        <f t="shared" ref="G5:G6" si="3">2*E5+2*D5</f>
        <v>28.24</v>
      </c>
      <c r="H5" s="9" t="s">
        <v>20</v>
      </c>
      <c r="I5" s="9" t="s">
        <v>21</v>
      </c>
      <c r="J5" s="9" t="s">
        <v>22</v>
      </c>
      <c r="K5" s="9">
        <v>7.0</v>
      </c>
    </row>
    <row r="6">
      <c r="A6" s="8" t="s">
        <v>14</v>
      </c>
      <c r="B6" s="8" t="s">
        <v>31</v>
      </c>
      <c r="C6" s="9">
        <v>0.8</v>
      </c>
      <c r="D6" s="9">
        <v>11.18</v>
      </c>
      <c r="E6" s="9">
        <v>9.6</v>
      </c>
      <c r="F6" s="12">
        <f t="shared" si="1"/>
        <v>107.328</v>
      </c>
      <c r="G6" s="12">
        <f t="shared" si="3"/>
        <v>41.56</v>
      </c>
      <c r="H6" s="9" t="s">
        <v>20</v>
      </c>
      <c r="I6" s="9" t="s">
        <v>21</v>
      </c>
      <c r="J6" s="9" t="s">
        <v>22</v>
      </c>
      <c r="K6" s="9">
        <v>7.0</v>
      </c>
    </row>
    <row r="7">
      <c r="A7" s="8" t="s">
        <v>14</v>
      </c>
      <c r="B7" s="9" t="s">
        <v>32</v>
      </c>
      <c r="C7" s="9">
        <v>0.8</v>
      </c>
      <c r="D7" s="9">
        <v>8.12</v>
      </c>
      <c r="E7" s="9">
        <v>30.92</v>
      </c>
      <c r="F7" s="12">
        <f t="shared" si="1"/>
        <v>251.0704</v>
      </c>
      <c r="G7" s="12">
        <f t="shared" ref="G7:G14" si="4">(2*E7)+(2*D7)</f>
        <v>78.08</v>
      </c>
      <c r="H7" s="9" t="s">
        <v>20</v>
      </c>
      <c r="I7" s="9" t="s">
        <v>21</v>
      </c>
      <c r="J7" s="9" t="s">
        <v>22</v>
      </c>
      <c r="K7" s="9">
        <v>7.0</v>
      </c>
    </row>
    <row r="8">
      <c r="A8" s="13" t="s">
        <v>34</v>
      </c>
      <c r="B8" s="13" t="s">
        <v>35</v>
      </c>
      <c r="C8" s="9">
        <v>0.8</v>
      </c>
      <c r="D8" s="13">
        <v>5.0</v>
      </c>
      <c r="E8" s="13">
        <v>30.9</v>
      </c>
      <c r="F8" s="12">
        <f t="shared" si="1"/>
        <v>154.5</v>
      </c>
      <c r="G8" s="12">
        <f t="shared" si="4"/>
        <v>71.8</v>
      </c>
      <c r="H8" s="9" t="s">
        <v>20</v>
      </c>
      <c r="I8" s="9" t="s">
        <v>21</v>
      </c>
      <c r="J8" s="9" t="s">
        <v>22</v>
      </c>
      <c r="K8" s="13">
        <v>7.0</v>
      </c>
    </row>
    <row r="9">
      <c r="A9" s="13" t="s">
        <v>34</v>
      </c>
      <c r="B9" s="13" t="s">
        <v>38</v>
      </c>
      <c r="C9" s="9">
        <v>0.8</v>
      </c>
      <c r="D9" s="13">
        <v>5.23</v>
      </c>
      <c r="E9" s="13">
        <v>39.25</v>
      </c>
      <c r="F9" s="12">
        <f t="shared" si="1"/>
        <v>205.2775</v>
      </c>
      <c r="G9" s="12">
        <f t="shared" si="4"/>
        <v>88.96</v>
      </c>
      <c r="H9" s="9" t="s">
        <v>20</v>
      </c>
      <c r="I9" s="9" t="s">
        <v>21</v>
      </c>
      <c r="J9" s="9" t="s">
        <v>22</v>
      </c>
      <c r="K9" s="13">
        <v>7.0</v>
      </c>
    </row>
    <row r="10">
      <c r="A10" s="13" t="s">
        <v>34</v>
      </c>
      <c r="B10" s="13" t="s">
        <v>39</v>
      </c>
      <c r="C10" s="9">
        <v>0.8</v>
      </c>
      <c r="D10" s="13">
        <v>27.95</v>
      </c>
      <c r="E10" s="13">
        <v>43.37</v>
      </c>
      <c r="F10" s="12">
        <f t="shared" si="1"/>
        <v>1212.1915</v>
      </c>
      <c r="G10" s="12">
        <f t="shared" si="4"/>
        <v>142.64</v>
      </c>
      <c r="H10" s="9" t="s">
        <v>20</v>
      </c>
      <c r="I10" s="9" t="s">
        <v>21</v>
      </c>
      <c r="J10" s="9" t="s">
        <v>22</v>
      </c>
      <c r="K10" s="13">
        <v>7.0</v>
      </c>
    </row>
    <row r="11">
      <c r="A11" s="8" t="s">
        <v>43</v>
      </c>
      <c r="B11" s="8" t="s">
        <v>44</v>
      </c>
      <c r="C11" s="9">
        <v>0.8</v>
      </c>
      <c r="D11" s="9">
        <v>5.0</v>
      </c>
      <c r="E11" s="9">
        <v>6.0</v>
      </c>
      <c r="F11" s="12">
        <f t="shared" si="1"/>
        <v>30</v>
      </c>
      <c r="G11" s="12">
        <f t="shared" si="4"/>
        <v>22</v>
      </c>
      <c r="H11" s="9" t="s">
        <v>45</v>
      </c>
      <c r="I11" s="9" t="s">
        <v>21</v>
      </c>
      <c r="J11" s="9" t="s">
        <v>46</v>
      </c>
      <c r="K11" s="9">
        <v>3.0</v>
      </c>
    </row>
    <row r="12">
      <c r="A12" s="8" t="s">
        <v>43</v>
      </c>
      <c r="B12" s="9" t="s">
        <v>47</v>
      </c>
      <c r="C12" s="9">
        <v>0.8</v>
      </c>
      <c r="D12" s="9">
        <v>5.0</v>
      </c>
      <c r="E12" s="9">
        <v>6.0</v>
      </c>
      <c r="F12" s="12">
        <f t="shared" si="1"/>
        <v>30</v>
      </c>
      <c r="G12" s="12">
        <f t="shared" si="4"/>
        <v>22</v>
      </c>
      <c r="H12" s="9" t="s">
        <v>50</v>
      </c>
      <c r="I12" s="9" t="s">
        <v>53</v>
      </c>
      <c r="J12" s="9" t="s">
        <v>46</v>
      </c>
      <c r="K12" s="9">
        <v>3.0</v>
      </c>
    </row>
    <row r="13">
      <c r="A13" s="8" t="s">
        <v>43</v>
      </c>
      <c r="B13" s="8" t="s">
        <v>54</v>
      </c>
      <c r="C13" s="9">
        <v>0.8</v>
      </c>
      <c r="D13" s="8">
        <v>5.23</v>
      </c>
      <c r="E13" s="9">
        <v>3.5</v>
      </c>
      <c r="F13" s="12">
        <f t="shared" si="1"/>
        <v>18.305</v>
      </c>
      <c r="G13" s="12">
        <f t="shared" si="4"/>
        <v>17.46</v>
      </c>
      <c r="H13" s="8" t="s">
        <v>45</v>
      </c>
      <c r="I13" s="8" t="s">
        <v>21</v>
      </c>
      <c r="J13" s="9" t="s">
        <v>46</v>
      </c>
      <c r="K13" s="9">
        <v>3.0</v>
      </c>
    </row>
    <row r="14">
      <c r="A14" s="8" t="s">
        <v>43</v>
      </c>
      <c r="B14" s="9" t="s">
        <v>56</v>
      </c>
      <c r="C14" s="9">
        <v>0.8</v>
      </c>
      <c r="D14" s="9">
        <v>8.12</v>
      </c>
      <c r="E14" s="9">
        <v>6.0</v>
      </c>
      <c r="F14" s="12">
        <f t="shared" si="1"/>
        <v>48.72</v>
      </c>
      <c r="G14" s="12">
        <f t="shared" si="4"/>
        <v>28.24</v>
      </c>
      <c r="H14" s="8" t="s">
        <v>50</v>
      </c>
      <c r="I14" s="8" t="s">
        <v>61</v>
      </c>
      <c r="J14" s="9" t="s">
        <v>46</v>
      </c>
      <c r="K14" s="9">
        <v>3.0</v>
      </c>
    </row>
    <row r="15">
      <c r="A15" s="8" t="s">
        <v>62</v>
      </c>
      <c r="B15" s="9" t="s">
        <v>63</v>
      </c>
      <c r="C15" s="9">
        <v>0.8</v>
      </c>
      <c r="D15" s="9">
        <v>9.6</v>
      </c>
      <c r="E15" s="9">
        <v>9.8</v>
      </c>
      <c r="F15" s="12">
        <f>D15*E15</f>
        <v>94.08</v>
      </c>
      <c r="G15" s="12">
        <f>(2*D15)+(2*E15)</f>
        <v>38.8</v>
      </c>
      <c r="H15" s="8" t="s">
        <v>50</v>
      </c>
      <c r="I15" s="8" t="s">
        <v>53</v>
      </c>
      <c r="J15" s="8" t="s">
        <v>22</v>
      </c>
      <c r="K15" s="9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AD1" s="3"/>
      <c r="AE1" s="3"/>
      <c r="AF1" s="3"/>
      <c r="AG1" s="3"/>
      <c r="AH1" s="3"/>
    </row>
    <row r="2">
      <c r="A2" s="5" t="s">
        <v>5</v>
      </c>
      <c r="AD2" s="3"/>
      <c r="AE2" s="3"/>
      <c r="AF2" s="3"/>
      <c r="AG2" s="3"/>
      <c r="AH2" s="3"/>
    </row>
    <row r="3">
      <c r="A3" s="7" t="s">
        <v>8</v>
      </c>
      <c r="AD3" s="3"/>
      <c r="AE3" s="3"/>
      <c r="AF3" s="3"/>
      <c r="AG3" s="3"/>
      <c r="AH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10" t="s">
        <v>16</v>
      </c>
      <c r="G5" s="3"/>
      <c r="H5" s="10" t="s">
        <v>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14" t="s">
        <v>19</v>
      </c>
      <c r="B6" s="15"/>
      <c r="C6" s="16"/>
      <c r="D6" s="17" t="s">
        <v>25</v>
      </c>
      <c r="E6" s="15"/>
      <c r="F6" s="16"/>
      <c r="G6" s="3"/>
      <c r="H6" s="14" t="s">
        <v>28</v>
      </c>
      <c r="I6" s="16"/>
      <c r="J6" s="19" t="s">
        <v>29</v>
      </c>
      <c r="K6" s="15"/>
      <c r="L6" s="15"/>
      <c r="M6" s="1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14" t="s">
        <v>33</v>
      </c>
      <c r="B7" s="15"/>
      <c r="C7" s="16"/>
      <c r="D7" s="22">
        <v>2.0</v>
      </c>
      <c r="E7" s="15"/>
      <c r="F7" s="16"/>
      <c r="G7" s="3"/>
      <c r="H7" s="14" t="s">
        <v>36</v>
      </c>
      <c r="I7" s="16"/>
      <c r="J7" s="19" t="s">
        <v>37</v>
      </c>
      <c r="K7" s="15"/>
      <c r="L7" s="15"/>
      <c r="M7" s="1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14" t="s">
        <v>42</v>
      </c>
      <c r="B8" s="15"/>
      <c r="C8" s="16"/>
      <c r="D8" s="25">
        <v>3000.0</v>
      </c>
      <c r="E8" s="15"/>
      <c r="F8" s="16"/>
      <c r="G8" s="3"/>
      <c r="H8" s="14" t="s">
        <v>49</v>
      </c>
      <c r="I8" s="16"/>
      <c r="J8" s="19" t="s">
        <v>52</v>
      </c>
      <c r="K8" s="15"/>
      <c r="L8" s="15"/>
      <c r="M8" s="1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14" t="s">
        <v>57</v>
      </c>
      <c r="B9" s="15"/>
      <c r="C9" s="16"/>
      <c r="D9" s="29">
        <v>40.0</v>
      </c>
      <c r="E9" s="15"/>
      <c r="F9" s="16"/>
      <c r="G9" s="3"/>
      <c r="H9" s="14" t="s">
        <v>66</v>
      </c>
      <c r="I9" s="16"/>
      <c r="J9" s="19" t="s">
        <v>67</v>
      </c>
      <c r="K9" s="15"/>
      <c r="L9" s="15"/>
      <c r="M9" s="1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14" t="s">
        <v>73</v>
      </c>
      <c r="B10" s="15"/>
      <c r="C10" s="16"/>
      <c r="D10" s="29">
        <v>24.1</v>
      </c>
      <c r="E10" s="15"/>
      <c r="F10" s="16"/>
      <c r="G10" s="3"/>
      <c r="H10" s="14" t="s">
        <v>78</v>
      </c>
      <c r="I10" s="16"/>
      <c r="J10" s="19" t="s">
        <v>79</v>
      </c>
      <c r="K10" s="15"/>
      <c r="L10" s="15"/>
      <c r="M10" s="1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14" t="s">
        <v>81</v>
      </c>
      <c r="B11" s="15"/>
      <c r="C11" s="16"/>
      <c r="D11" s="35">
        <v>0.9</v>
      </c>
      <c r="E11" s="15"/>
      <c r="F11" s="16"/>
      <c r="G11" s="3"/>
      <c r="H11" s="14" t="s">
        <v>86</v>
      </c>
      <c r="I11" s="16"/>
      <c r="J11" s="19" t="s">
        <v>90</v>
      </c>
      <c r="K11" s="15"/>
      <c r="L11" s="15"/>
      <c r="M11" s="1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14" t="s">
        <v>93</v>
      </c>
      <c r="B12" s="15"/>
      <c r="C12" s="16"/>
      <c r="D12" s="35">
        <v>0.75</v>
      </c>
      <c r="E12" s="15"/>
      <c r="F12" s="16"/>
      <c r="G12" s="3"/>
      <c r="H12" s="14" t="s">
        <v>96</v>
      </c>
      <c r="I12" s="16"/>
      <c r="J12" s="19" t="s">
        <v>97</v>
      </c>
      <c r="K12" s="15"/>
      <c r="L12" s="15"/>
      <c r="M12" s="1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14" t="s">
        <v>101</v>
      </c>
      <c r="B13" s="15"/>
      <c r="C13" s="16"/>
      <c r="D13" s="25">
        <v>220.0</v>
      </c>
      <c r="E13" s="15"/>
      <c r="F13" s="16"/>
      <c r="G13" s="3"/>
      <c r="H13" s="14" t="s">
        <v>105</v>
      </c>
      <c r="I13" s="16"/>
      <c r="J13" s="19" t="s">
        <v>107</v>
      </c>
      <c r="K13" s="15"/>
      <c r="L13" s="15"/>
      <c r="M13" s="1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10" t="s">
        <v>113</v>
      </c>
      <c r="AD15" s="3"/>
      <c r="AE15" s="3"/>
      <c r="AF15" s="3"/>
      <c r="AG15" s="3"/>
      <c r="AH15" s="3"/>
    </row>
    <row r="16">
      <c r="A16" s="38" t="s">
        <v>115</v>
      </c>
      <c r="B16" s="38" t="s">
        <v>117</v>
      </c>
      <c r="C16" s="38" t="s">
        <v>118</v>
      </c>
      <c r="D16" s="38" t="s">
        <v>119</v>
      </c>
      <c r="E16" s="38" t="s">
        <v>120</v>
      </c>
      <c r="F16" s="38" t="s">
        <v>121</v>
      </c>
      <c r="G16" s="38" t="s">
        <v>122</v>
      </c>
      <c r="H16" s="38" t="s">
        <v>123</v>
      </c>
      <c r="I16" s="38" t="s">
        <v>124</v>
      </c>
      <c r="J16" s="38" t="s">
        <v>125</v>
      </c>
      <c r="K16" s="38" t="s">
        <v>126</v>
      </c>
      <c r="L16" s="38" t="s">
        <v>127</v>
      </c>
      <c r="M16" s="38" t="s">
        <v>128</v>
      </c>
      <c r="N16" s="38" t="s">
        <v>129</v>
      </c>
      <c r="O16" s="38" t="s">
        <v>130</v>
      </c>
      <c r="P16" s="38" t="s">
        <v>131</v>
      </c>
      <c r="Q16" s="38" t="s">
        <v>132</v>
      </c>
      <c r="R16" s="38" t="s">
        <v>133</v>
      </c>
      <c r="S16" s="38" t="s">
        <v>134</v>
      </c>
      <c r="T16" s="38" t="s">
        <v>135</v>
      </c>
      <c r="U16" s="38" t="s">
        <v>136</v>
      </c>
      <c r="V16" s="38" t="s">
        <v>137</v>
      </c>
      <c r="W16" s="38" t="s">
        <v>138</v>
      </c>
      <c r="X16" s="38" t="s">
        <v>139</v>
      </c>
      <c r="Y16" s="38" t="s">
        <v>140</v>
      </c>
      <c r="Z16" s="38" t="s">
        <v>141</v>
      </c>
      <c r="AA16" s="38" t="s">
        <v>142</v>
      </c>
      <c r="AB16" s="38" t="s">
        <v>143</v>
      </c>
      <c r="AC16" s="38" t="s">
        <v>144</v>
      </c>
      <c r="AD16" s="40"/>
      <c r="AE16" s="40"/>
      <c r="AF16" s="3"/>
      <c r="AG16" s="3"/>
      <c r="AH16" s="3"/>
    </row>
    <row r="17">
      <c r="A17" s="41" t="str">
        <f>DADOS!B11</f>
        <v>SAIDA DE PRODUTOS (SALA DE PRODUTOS)</v>
      </c>
      <c r="B17" s="44">
        <f>DADOS!D11</f>
        <v>5</v>
      </c>
      <c r="C17" s="44">
        <f>DADOS!E11</f>
        <v>6</v>
      </c>
      <c r="D17" s="44">
        <f>DADOS!F11</f>
        <v>30</v>
      </c>
      <c r="E17" s="44">
        <f>DADOS!G11</f>
        <v>22</v>
      </c>
      <c r="F17" s="44">
        <f>DADOS!C11</f>
        <v>0.8</v>
      </c>
      <c r="G17" s="44">
        <f>DADOS!K11</f>
        <v>3</v>
      </c>
      <c r="H17" s="44">
        <f t="shared" ref="H17:H20" si="1">G17-F17</f>
        <v>2.2</v>
      </c>
      <c r="I17" s="49">
        <f t="shared" ref="I17:I20" si="2">D17/(H17*(B17+C17))</f>
        <v>1.239669421</v>
      </c>
      <c r="J17" s="44">
        <f>IF(OR(DADOS!H11="BRANCO",DADOS!H11="CLARO"),70,70)</f>
        <v>70</v>
      </c>
      <c r="K17" s="44">
        <f>IF(OR(DADOS!I11="CLARA",DADOS!I11="BRANCA"),50,IF(DADOS!I11="BEGE",45,50))</f>
        <v>50</v>
      </c>
      <c r="L17" s="44">
        <f t="shared" ref="L17:L20" si="3">10</f>
        <v>10</v>
      </c>
      <c r="M17" s="54">
        <f>200</f>
        <v>200</v>
      </c>
      <c r="N17" s="55">
        <f t="shared" ref="N17:N20" si="4">IF(K17&gt;=50,AF17,IF(K17&lt;=30,AG17,AG17+(K17-30)*(AF17-AG17)/20))</f>
        <v>0.5575206612</v>
      </c>
      <c r="O17" s="55">
        <f t="shared" ref="O17:O20" si="5">$D$12</f>
        <v>0.75</v>
      </c>
      <c r="P17" s="56">
        <f t="shared" ref="P17:P20" si="6">(M17*D17)/(N17*O17)</f>
        <v>14349.244</v>
      </c>
      <c r="Q17" s="56">
        <f t="shared" ref="Q17:Q20" si="7">$D$8</f>
        <v>3000</v>
      </c>
      <c r="R17" s="56">
        <f t="shared" ref="R17:R20" si="8">$D$7</f>
        <v>2</v>
      </c>
      <c r="S17" s="56">
        <f t="shared" ref="S17:S20" si="9">P17/(Q17*R17)</f>
        <v>2.391540666</v>
      </c>
      <c r="T17" s="57">
        <f t="shared" ref="T17:T20" si="10">ROUNDUP(S17,0)</f>
        <v>3</v>
      </c>
      <c r="U17" s="56">
        <f t="shared" ref="U17:U20" si="11">$D$9</f>
        <v>40</v>
      </c>
      <c r="V17" s="56">
        <f t="shared" ref="V17:V20" si="12">$D$10</f>
        <v>24.1</v>
      </c>
      <c r="W17" s="56">
        <f t="shared" ref="W17:W20" si="13">T17*(R17*U17+V17)</f>
        <v>312.3</v>
      </c>
      <c r="X17" s="55">
        <f t="shared" ref="X17:X20" si="14">$D$11</f>
        <v>0.9</v>
      </c>
      <c r="Y17" s="56">
        <f t="shared" ref="Y17:Y20" si="15">W17/X17</f>
        <v>347</v>
      </c>
      <c r="Z17" s="56">
        <f t="shared" ref="Z17:Z20" si="16">Y17/$D$13</f>
        <v>1.577272727</v>
      </c>
      <c r="AA17" s="56">
        <f t="shared" ref="AA17:AA20" si="17">(T17*R17*Q17*N17*O17)/D17</f>
        <v>250.8842975</v>
      </c>
      <c r="AB17" s="58" t="str">
        <f t="shared" ref="AB17:AB20" si="18">IF(AA17&gt;=M17,"OK","REVISAR")</f>
        <v>OK</v>
      </c>
      <c r="AC17" s="60" t="str">
        <f t="shared" ref="AC17:AC18" si="19">"QDL6"</f>
        <v>QDL6</v>
      </c>
      <c r="AD17" s="40"/>
      <c r="AE17" s="40"/>
      <c r="AF17" s="61">
        <f t="shared" ref="AF17:AF20" si="20">IF(I17&lt;=$A$25,$B$25,IF(I17&gt;=$A$34,$B$34,INDEX($B$25:$B$34,MATCH(I17,$A$25:$A$34,1))+(I17-INDEX($A$25:$A$34,MATCH(I17,$A$25:$A$34,1)))*(INDEX($B$25:$B$34,MATCH(I17,$A$25:$A$34,1)+1)-INDEX($B$25:$B$34,MATCH(I17,$A$25:$A$34,1)))/(INDEX($A$25:$A$34,MATCH(I17,$A$25:$A$34,1)+1)-INDEX($A$25:$A$34,MATCH(I17,$A$25:$A$34,1)))))</f>
        <v>0.5575206612</v>
      </c>
      <c r="AG17" s="61">
        <f t="shared" ref="AG17:AG20" si="21">IF(I17&lt;=$A$25,$C$25,IF(I17&gt;=$A$34,$C$34,INDEX($C$25:$C$34,MATCH(I17,$A$25:$A$34,1))+(I17-INDEX($A$25:$A$34,MATCH(I17,$A$25:$A$34,1)))*(INDEX($C$25:$C$34,MATCH(I17,$A$25:$A$34,1)+1)-INDEX($C$25:$C$34,MATCH(I17,$A$25:$A$34,1)))/(INDEX($A$25:$A$34,MATCH(I17,$A$25:$A$34,1)+1)-INDEX($A$25:$A$34,MATCH(I17,$A$25:$A$34,1)))))</f>
        <v>0.487107438</v>
      </c>
      <c r="AH17" s="62">
        <f t="shared" ref="AH17:AH20" si="22">MATCH(I17,$A$25:$A$34,1)</f>
        <v>3</v>
      </c>
    </row>
    <row r="18">
      <c r="A18" s="41" t="str">
        <f>DADOS!B12</f>
        <v>CONTROLE DE QUALIDADE</v>
      </c>
      <c r="B18" s="44">
        <f>DADOS!D12</f>
        <v>5</v>
      </c>
      <c r="C18" s="44">
        <f>DADOS!E12</f>
        <v>6</v>
      </c>
      <c r="D18" s="44">
        <f>DADOS!F12</f>
        <v>30</v>
      </c>
      <c r="E18" s="44">
        <f>DADOS!G12</f>
        <v>22</v>
      </c>
      <c r="F18" s="44">
        <f>DADOS!C12</f>
        <v>0.8</v>
      </c>
      <c r="G18" s="44">
        <f>DADOS!K12</f>
        <v>3</v>
      </c>
      <c r="H18" s="44">
        <f t="shared" si="1"/>
        <v>2.2</v>
      </c>
      <c r="I18" s="49">
        <f t="shared" si="2"/>
        <v>1.239669421</v>
      </c>
      <c r="J18" s="44">
        <f>IF(OR(DADOS!H12="BRANCO",DADOS!H12="CLARO"),70,70)</f>
        <v>70</v>
      </c>
      <c r="K18" s="44">
        <f>IF(OR(DADOS!I12="CLARA",DADOS!I12="BRANCA"),50,IF(DADOS!I12="BEGE",45,50))</f>
        <v>50</v>
      </c>
      <c r="L18" s="44">
        <f t="shared" si="3"/>
        <v>10</v>
      </c>
      <c r="M18" s="54">
        <f>500</f>
        <v>500</v>
      </c>
      <c r="N18" s="55">
        <f t="shared" si="4"/>
        <v>0.5575206612</v>
      </c>
      <c r="O18" s="55">
        <f t="shared" si="5"/>
        <v>0.75</v>
      </c>
      <c r="P18" s="56">
        <f t="shared" si="6"/>
        <v>35873.10999</v>
      </c>
      <c r="Q18" s="56">
        <f t="shared" si="7"/>
        <v>3000</v>
      </c>
      <c r="R18" s="56">
        <f t="shared" si="8"/>
        <v>2</v>
      </c>
      <c r="S18" s="56">
        <f t="shared" si="9"/>
        <v>5.978851665</v>
      </c>
      <c r="T18" s="57">
        <f t="shared" si="10"/>
        <v>6</v>
      </c>
      <c r="U18" s="56">
        <f t="shared" si="11"/>
        <v>40</v>
      </c>
      <c r="V18" s="56">
        <f t="shared" si="12"/>
        <v>24.1</v>
      </c>
      <c r="W18" s="56">
        <f t="shared" si="13"/>
        <v>624.6</v>
      </c>
      <c r="X18" s="55">
        <f t="shared" si="14"/>
        <v>0.9</v>
      </c>
      <c r="Y18" s="56">
        <f t="shared" si="15"/>
        <v>694</v>
      </c>
      <c r="Z18" s="56">
        <f t="shared" si="16"/>
        <v>3.154545455</v>
      </c>
      <c r="AA18" s="56">
        <f t="shared" si="17"/>
        <v>501.768595</v>
      </c>
      <c r="AB18" s="58" t="str">
        <f t="shared" si="18"/>
        <v>OK</v>
      </c>
      <c r="AC18" s="60" t="str">
        <f t="shared" si="19"/>
        <v>QDL6</v>
      </c>
      <c r="AD18" s="40"/>
      <c r="AE18" s="40"/>
      <c r="AF18" s="61">
        <f t="shared" si="20"/>
        <v>0.5575206612</v>
      </c>
      <c r="AG18" s="61">
        <f t="shared" si="21"/>
        <v>0.487107438</v>
      </c>
      <c r="AH18" s="62">
        <f t="shared" si="22"/>
        <v>3</v>
      </c>
    </row>
    <row r="19">
      <c r="A19" s="41" t="str">
        <f>DADOS!B13</f>
        <v>BANHEIRO(VESTUARIO)</v>
      </c>
      <c r="B19" s="44">
        <f>DADOS!D13</f>
        <v>5.23</v>
      </c>
      <c r="C19" s="44">
        <f>DADOS!E13</f>
        <v>3.5</v>
      </c>
      <c r="D19" s="44">
        <f>DADOS!F13</f>
        <v>18.305</v>
      </c>
      <c r="E19" s="44">
        <f>DADOS!G13</f>
        <v>17.46</v>
      </c>
      <c r="F19" s="44">
        <f>DADOS!C13</f>
        <v>0.8</v>
      </c>
      <c r="G19" s="44">
        <f>DADOS!K13</f>
        <v>3</v>
      </c>
      <c r="H19" s="44">
        <f t="shared" si="1"/>
        <v>2.2</v>
      </c>
      <c r="I19" s="49">
        <f t="shared" si="2"/>
        <v>0.9530875768</v>
      </c>
      <c r="J19" s="44">
        <f>IF(OR(DADOS!H13="BRANCO",DADOS!H13="CLARO"),70,70)</f>
        <v>70</v>
      </c>
      <c r="K19" s="44">
        <f>IF(OR(DADOS!I13="CLARA",DADOS!I13="BRANCA"),50,IF(DADOS!I13="BEGE",45,50))</f>
        <v>50</v>
      </c>
      <c r="L19" s="44">
        <f t="shared" si="3"/>
        <v>10</v>
      </c>
      <c r="M19" s="54">
        <f>200</f>
        <v>200</v>
      </c>
      <c r="N19" s="55">
        <f t="shared" si="4"/>
        <v>0.4835806519</v>
      </c>
      <c r="O19" s="55">
        <f t="shared" si="5"/>
        <v>0.75</v>
      </c>
      <c r="P19" s="56">
        <f t="shared" si="6"/>
        <v>10094.14524</v>
      </c>
      <c r="Q19" s="56">
        <f t="shared" si="7"/>
        <v>3000</v>
      </c>
      <c r="R19" s="56">
        <f t="shared" si="8"/>
        <v>2</v>
      </c>
      <c r="S19" s="56">
        <f t="shared" si="9"/>
        <v>1.682357539</v>
      </c>
      <c r="T19" s="57">
        <f t="shared" si="10"/>
        <v>2</v>
      </c>
      <c r="U19" s="56">
        <f t="shared" si="11"/>
        <v>40</v>
      </c>
      <c r="V19" s="56">
        <f t="shared" si="12"/>
        <v>24.1</v>
      </c>
      <c r="W19" s="56">
        <f t="shared" si="13"/>
        <v>208.2</v>
      </c>
      <c r="X19" s="55">
        <f t="shared" si="14"/>
        <v>0.9</v>
      </c>
      <c r="Y19" s="56">
        <f t="shared" si="15"/>
        <v>231.3333333</v>
      </c>
      <c r="Z19" s="56">
        <f t="shared" si="16"/>
        <v>1.051515152</v>
      </c>
      <c r="AA19" s="56">
        <f t="shared" si="17"/>
        <v>237.7615879</v>
      </c>
      <c r="AB19" s="58" t="str">
        <f t="shared" si="18"/>
        <v>OK</v>
      </c>
      <c r="AC19" s="60" t="str">
        <f>"QDL7"</f>
        <v>QDL7</v>
      </c>
      <c r="AD19" s="40"/>
      <c r="AE19" s="40"/>
      <c r="AF19" s="61">
        <f t="shared" si="20"/>
        <v>0.4835806519</v>
      </c>
      <c r="AG19" s="61">
        <f t="shared" si="21"/>
        <v>0.405926273</v>
      </c>
      <c r="AH19" s="62">
        <f t="shared" si="22"/>
        <v>2</v>
      </c>
    </row>
    <row r="20">
      <c r="A20" s="41" t="str">
        <f>DADOS!B14</f>
        <v>ESCRITÓRIO</v>
      </c>
      <c r="B20" s="44">
        <f>DADOS!D14</f>
        <v>8.12</v>
      </c>
      <c r="C20" s="44">
        <f>DADOS!E14</f>
        <v>6</v>
      </c>
      <c r="D20" s="44">
        <f>DADOS!F14</f>
        <v>48.72</v>
      </c>
      <c r="E20" s="44">
        <f>DADOS!G14</f>
        <v>28.24</v>
      </c>
      <c r="F20" s="44">
        <f>DADOS!C14</f>
        <v>0.8</v>
      </c>
      <c r="G20" s="44">
        <f>DADOS!K14</f>
        <v>3</v>
      </c>
      <c r="H20" s="44">
        <f t="shared" si="1"/>
        <v>2.2</v>
      </c>
      <c r="I20" s="49">
        <f t="shared" si="2"/>
        <v>1.568374968</v>
      </c>
      <c r="J20" s="44">
        <f>IF(OR(DADOS!H14="BRANCO",DADOS!H14="CLARO"),70,70)</f>
        <v>70</v>
      </c>
      <c r="K20" s="44">
        <f>IF(OR(DADOS!I14="CLARA",DADOS!I14="BRANCA"),50,IF(DADOS!I14="BEGE",45,50))</f>
        <v>45</v>
      </c>
      <c r="L20" s="44">
        <f t="shared" si="3"/>
        <v>10</v>
      </c>
      <c r="M20" s="54">
        <f>250</f>
        <v>250</v>
      </c>
      <c r="N20" s="55">
        <f t="shared" si="4"/>
        <v>0.6020724955</v>
      </c>
      <c r="O20" s="55">
        <f t="shared" si="5"/>
        <v>0.75</v>
      </c>
      <c r="P20" s="56">
        <f t="shared" si="6"/>
        <v>26973.49592</v>
      </c>
      <c r="Q20" s="56">
        <f t="shared" si="7"/>
        <v>3000</v>
      </c>
      <c r="R20" s="56">
        <f t="shared" si="8"/>
        <v>2</v>
      </c>
      <c r="S20" s="56">
        <f t="shared" si="9"/>
        <v>4.495582653</v>
      </c>
      <c r="T20" s="57">
        <f t="shared" si="10"/>
        <v>5</v>
      </c>
      <c r="U20" s="56">
        <f t="shared" si="11"/>
        <v>40</v>
      </c>
      <c r="V20" s="56">
        <f t="shared" si="12"/>
        <v>24.1</v>
      </c>
      <c r="W20" s="56">
        <f t="shared" si="13"/>
        <v>520.5</v>
      </c>
      <c r="X20" s="55">
        <f t="shared" si="14"/>
        <v>0.9</v>
      </c>
      <c r="Y20" s="56">
        <f t="shared" si="15"/>
        <v>578.3333333</v>
      </c>
      <c r="Z20" s="56">
        <f t="shared" si="16"/>
        <v>2.628787879</v>
      </c>
      <c r="AA20" s="56">
        <f t="shared" si="17"/>
        <v>278.0507214</v>
      </c>
      <c r="AB20" s="58" t="str">
        <f t="shared" si="18"/>
        <v>OK</v>
      </c>
      <c r="AC20" s="60" t="str">
        <f>"QDL5"</f>
        <v>QDL5</v>
      </c>
      <c r="AD20" s="40"/>
      <c r="AE20" s="40"/>
      <c r="AF20" s="61">
        <f t="shared" si="20"/>
        <v>0.6195724955</v>
      </c>
      <c r="AG20" s="61">
        <f t="shared" si="21"/>
        <v>0.5495724955</v>
      </c>
      <c r="AH20" s="62">
        <f t="shared" si="22"/>
        <v>5</v>
      </c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10" t="s">
        <v>202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72" t="s">
        <v>116</v>
      </c>
      <c r="B24" s="72" t="s">
        <v>203</v>
      </c>
      <c r="C24" s="72" t="s">
        <v>204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73" t="s">
        <v>205</v>
      </c>
      <c r="AG24" s="73" t="s">
        <v>206</v>
      </c>
      <c r="AH24" s="73" t="s">
        <v>207</v>
      </c>
    </row>
    <row r="25">
      <c r="A25" s="74">
        <v>0.6</v>
      </c>
      <c r="B25" s="74">
        <v>0.35</v>
      </c>
      <c r="C25" s="74">
        <v>0.28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74">
        <v>0.8</v>
      </c>
      <c r="B26" s="74">
        <v>0.43</v>
      </c>
      <c r="C26" s="74">
        <v>0.36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74">
        <v>1.0</v>
      </c>
      <c r="B27" s="74">
        <v>0.5</v>
      </c>
      <c r="C27" s="74">
        <v>0.42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74">
        <v>1.25</v>
      </c>
      <c r="B28" s="74">
        <v>0.56</v>
      </c>
      <c r="C28" s="74">
        <v>0.49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74">
        <v>1.5</v>
      </c>
      <c r="B29" s="74">
        <v>0.61</v>
      </c>
      <c r="C29" s="74">
        <v>0.54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74">
        <v>2.0</v>
      </c>
      <c r="B30" s="74">
        <v>0.68</v>
      </c>
      <c r="C30" s="74">
        <v>0.61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74">
        <v>2.5</v>
      </c>
      <c r="B31" s="74">
        <v>0.72</v>
      </c>
      <c r="C31" s="74">
        <v>0.67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74">
        <v>3.0</v>
      </c>
      <c r="B32" s="74">
        <v>0.76</v>
      </c>
      <c r="C32" s="74">
        <v>0.71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74">
        <v>4.0</v>
      </c>
      <c r="B33" s="74">
        <v>0.8</v>
      </c>
      <c r="C33" s="74">
        <v>0.76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74">
        <v>5.0</v>
      </c>
      <c r="B34" s="74">
        <v>0.83</v>
      </c>
      <c r="C34" s="74">
        <v>0.8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10" t="s">
        <v>209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72" t="s">
        <v>144</v>
      </c>
      <c r="B38" s="72" t="s">
        <v>210</v>
      </c>
      <c r="C38" s="72" t="s">
        <v>211</v>
      </c>
      <c r="D38" s="72" t="s">
        <v>212</v>
      </c>
      <c r="E38" s="72" t="s">
        <v>213</v>
      </c>
      <c r="F38" s="72" t="s">
        <v>214</v>
      </c>
      <c r="G38" s="72" t="s">
        <v>215</v>
      </c>
      <c r="H38" s="3"/>
      <c r="I38" s="3"/>
      <c r="J38" s="4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60" t="str">
        <f>"QDL5"</f>
        <v>QDL5</v>
      </c>
      <c r="B39" s="60" t="str">
        <f>"Escritorio"</f>
        <v>Escritorio</v>
      </c>
      <c r="C39" s="56">
        <f t="shared" ref="C39:C41" si="23">SUMIF($AC$17:$AC$20,A39,$T$17:$T$20)</f>
        <v>5</v>
      </c>
      <c r="D39" s="56">
        <f t="shared" ref="D39:D41" si="24">SUMIF($AC$17:$AC$20,A39,$W$17:$W$20)</f>
        <v>520.5</v>
      </c>
      <c r="E39" s="56">
        <f t="shared" ref="E39:E41" si="25">SUMIF($AC$17:$AC$20,A39,$Y$17:$Y$20)</f>
        <v>578.3333333</v>
      </c>
      <c r="F39" s="56">
        <f t="shared" ref="F39:F41" si="26">SUMIF($AC$17:$AC$20,A39,$Z$17:$Z$20)</f>
        <v>2.628787879</v>
      </c>
      <c r="G39" s="56">
        <f t="shared" ref="G39:G41" si="27">SUMIF($AC$17:$AC$20,A39,$D$17:$D$20)</f>
        <v>48.72</v>
      </c>
      <c r="H39" s="40"/>
      <c r="I39" s="3"/>
      <c r="J39" s="4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60" t="str">
        <f>"QDL6"</f>
        <v>QDL6</v>
      </c>
      <c r="B40" s="60" t="str">
        <f>"Sala de Produtos + Controle de Qualidade"</f>
        <v>Sala de Produtos + Controle de Qualidade</v>
      </c>
      <c r="C40" s="56">
        <f t="shared" si="23"/>
        <v>9</v>
      </c>
      <c r="D40" s="56">
        <f t="shared" si="24"/>
        <v>936.9</v>
      </c>
      <c r="E40" s="56">
        <f t="shared" si="25"/>
        <v>1041</v>
      </c>
      <c r="F40" s="56">
        <f t="shared" si="26"/>
        <v>4.731818182</v>
      </c>
      <c r="G40" s="56">
        <f t="shared" si="27"/>
        <v>60</v>
      </c>
      <c r="H40" s="40"/>
      <c r="I40" s="3"/>
      <c r="J40" s="4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60" t="str">
        <f>"QDL7"</f>
        <v>QDL7</v>
      </c>
      <c r="B41" s="60" t="str">
        <f>"Banheiro / Vestiario"</f>
        <v>Banheiro / Vestiario</v>
      </c>
      <c r="C41" s="56">
        <f t="shared" si="23"/>
        <v>2</v>
      </c>
      <c r="D41" s="56">
        <f t="shared" si="24"/>
        <v>208.2</v>
      </c>
      <c r="E41" s="56">
        <f t="shared" si="25"/>
        <v>231.3333333</v>
      </c>
      <c r="F41" s="56">
        <f t="shared" si="26"/>
        <v>1.051515152</v>
      </c>
      <c r="G41" s="56">
        <f t="shared" si="27"/>
        <v>18.305</v>
      </c>
      <c r="H41" s="40"/>
      <c r="I41" s="3"/>
      <c r="J41" s="4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76" t="s">
        <v>217</v>
      </c>
      <c r="B42" s="3"/>
      <c r="C42" s="77">
        <f t="shared" ref="C42:G42" si="28">SUM(C39:C41)</f>
        <v>16</v>
      </c>
      <c r="D42" s="77">
        <f t="shared" si="28"/>
        <v>1665.6</v>
      </c>
      <c r="E42" s="77">
        <f t="shared" si="28"/>
        <v>1850.666667</v>
      </c>
      <c r="F42" s="77">
        <f t="shared" si="28"/>
        <v>8.412121212</v>
      </c>
      <c r="G42" s="77">
        <f t="shared" si="28"/>
        <v>127.025</v>
      </c>
      <c r="H42" s="3"/>
      <c r="I42" s="3"/>
      <c r="J42" s="4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4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</sheetData>
  <mergeCells count="40">
    <mergeCell ref="A1:AC1"/>
    <mergeCell ref="A2:AC2"/>
    <mergeCell ref="A3:AC3"/>
    <mergeCell ref="A5:F5"/>
    <mergeCell ref="H5:M5"/>
    <mergeCell ref="A6:C6"/>
    <mergeCell ref="D6:F6"/>
    <mergeCell ref="H7:I7"/>
    <mergeCell ref="H8:I8"/>
    <mergeCell ref="H9:I9"/>
    <mergeCell ref="J9:M9"/>
    <mergeCell ref="H10:I10"/>
    <mergeCell ref="J10:M10"/>
    <mergeCell ref="H11:I11"/>
    <mergeCell ref="J11:M11"/>
    <mergeCell ref="H6:I6"/>
    <mergeCell ref="J6:M6"/>
    <mergeCell ref="A7:C7"/>
    <mergeCell ref="D7:F7"/>
    <mergeCell ref="J7:M7"/>
    <mergeCell ref="D8:F8"/>
    <mergeCell ref="J8:M8"/>
    <mergeCell ref="A12:C12"/>
    <mergeCell ref="D12:F12"/>
    <mergeCell ref="H12:I12"/>
    <mergeCell ref="J12:M12"/>
    <mergeCell ref="A13:C13"/>
    <mergeCell ref="D13:F13"/>
    <mergeCell ref="H13:I13"/>
    <mergeCell ref="J13:M13"/>
    <mergeCell ref="A15:AC15"/>
    <mergeCell ref="A23:C23"/>
    <mergeCell ref="A37:G37"/>
    <mergeCell ref="A8:C8"/>
    <mergeCell ref="A9:C9"/>
    <mergeCell ref="D9:F9"/>
    <mergeCell ref="A10:C10"/>
    <mergeCell ref="D10:F10"/>
    <mergeCell ref="A11:C11"/>
    <mergeCell ref="D11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9" t="s">
        <v>30</v>
      </c>
      <c r="B3" s="20">
        <f>DADOS!D3</f>
        <v>15.92</v>
      </c>
      <c r="C3" s="20">
        <f>DADOS!E3</f>
        <v>9.6</v>
      </c>
      <c r="D3" s="20">
        <f>DADOS!C3</f>
        <v>0.8</v>
      </c>
      <c r="E3" s="20">
        <f>DADOS!K3</f>
        <v>7</v>
      </c>
      <c r="F3" s="20">
        <f>E3-D3</f>
        <v>6.2</v>
      </c>
      <c r="G3" s="20" t="str">
        <f>DADOS!H3</f>
        <v>ZINCO</v>
      </c>
      <c r="H3" s="20" t="str">
        <f>DADOS!I3</f>
        <v>CLARA</v>
      </c>
      <c r="I3" s="20" t="str">
        <f>DADOS!J3</f>
        <v>CONCRETO</v>
      </c>
      <c r="J3" s="13" t="s">
        <v>40</v>
      </c>
    </row>
    <row r="6">
      <c r="A6" s="24" t="s">
        <v>41</v>
      </c>
    </row>
    <row r="10">
      <c r="A10" s="24" t="s">
        <v>48</v>
      </c>
    </row>
    <row r="13">
      <c r="A13" s="26" t="s">
        <v>51</v>
      </c>
      <c r="B13" s="27"/>
    </row>
    <row r="14">
      <c r="A14" s="23" t="s">
        <v>55</v>
      </c>
      <c r="B14" s="23">
        <v>41.0</v>
      </c>
    </row>
    <row r="15">
      <c r="A15" s="23" t="s">
        <v>58</v>
      </c>
      <c r="B15" s="23" t="s">
        <v>59</v>
      </c>
    </row>
    <row r="16">
      <c r="A16" s="23" t="s">
        <v>60</v>
      </c>
      <c r="B16" s="28">
        <v>0.4</v>
      </c>
    </row>
    <row r="17">
      <c r="A17" s="23" t="s">
        <v>64</v>
      </c>
      <c r="B17" s="23">
        <v>0.0</v>
      </c>
    </row>
    <row r="21">
      <c r="A21" s="26" t="s">
        <v>65</v>
      </c>
      <c r="B21" s="27"/>
    </row>
    <row r="22">
      <c r="A22" s="23" t="s">
        <v>68</v>
      </c>
      <c r="B22" s="23" t="s">
        <v>70</v>
      </c>
      <c r="C22" s="30"/>
      <c r="D22" s="30"/>
    </row>
    <row r="23">
      <c r="A23" s="23" t="s">
        <v>71</v>
      </c>
      <c r="B23" s="23">
        <v>300.0</v>
      </c>
      <c r="C23" s="11"/>
      <c r="D23" s="11"/>
    </row>
    <row r="26">
      <c r="A26" s="26" t="s">
        <v>72</v>
      </c>
      <c r="B26" s="27"/>
    </row>
    <row r="27">
      <c r="A27" s="23" t="s">
        <v>74</v>
      </c>
      <c r="B27" s="31" t="s">
        <v>75</v>
      </c>
    </row>
    <row r="28">
      <c r="A28" s="23" t="s">
        <v>76</v>
      </c>
      <c r="B28" s="32"/>
    </row>
    <row r="29">
      <c r="A29" s="23" t="s">
        <v>77</v>
      </c>
      <c r="B29" s="23">
        <v>200.0</v>
      </c>
    </row>
    <row r="31">
      <c r="A31" s="30" t="s">
        <v>80</v>
      </c>
    </row>
    <row r="33">
      <c r="A33" s="23" t="s">
        <v>71</v>
      </c>
      <c r="B33" s="33">
        <v>300.0</v>
      </c>
    </row>
    <row r="34">
      <c r="B34" s="34"/>
    </row>
    <row r="71">
      <c r="A71" s="11" t="s">
        <v>82</v>
      </c>
    </row>
    <row r="73">
      <c r="A73" s="30" t="s">
        <v>91</v>
      </c>
      <c r="F73" s="30"/>
    </row>
    <row r="75">
      <c r="A75" s="26" t="s">
        <v>84</v>
      </c>
      <c r="B75" s="27"/>
    </row>
    <row r="76">
      <c r="A76" s="23" t="s">
        <v>85</v>
      </c>
      <c r="B76" s="23" t="s">
        <v>87</v>
      </c>
    </row>
    <row r="77">
      <c r="A77" s="23" t="s">
        <v>88</v>
      </c>
      <c r="B77" s="23" t="s">
        <v>89</v>
      </c>
    </row>
    <row r="83">
      <c r="A83" s="36"/>
    </row>
    <row r="88">
      <c r="A88" s="11" t="s">
        <v>92</v>
      </c>
    </row>
    <row r="89">
      <c r="A89" s="30" t="s">
        <v>94</v>
      </c>
    </row>
    <row r="91">
      <c r="A91" s="26" t="s">
        <v>95</v>
      </c>
      <c r="B91" s="27"/>
    </row>
    <row r="92">
      <c r="A92" s="23" t="s">
        <v>85</v>
      </c>
      <c r="B92" s="23" t="s">
        <v>98</v>
      </c>
    </row>
    <row r="93">
      <c r="A93" s="23" t="s">
        <v>88</v>
      </c>
      <c r="B93" s="23" t="s">
        <v>89</v>
      </c>
    </row>
    <row r="94">
      <c r="A94" s="23" t="s">
        <v>99</v>
      </c>
      <c r="B94" s="23" t="s">
        <v>100</v>
      </c>
    </row>
    <row r="95">
      <c r="A95" s="23" t="s">
        <v>102</v>
      </c>
      <c r="B95" s="23">
        <v>400.0</v>
      </c>
    </row>
    <row r="96">
      <c r="A96" s="23" t="s">
        <v>103</v>
      </c>
      <c r="B96" s="23">
        <v>33200.0</v>
      </c>
    </row>
    <row r="97">
      <c r="A97" s="23" t="s">
        <v>104</v>
      </c>
      <c r="B97" s="23">
        <v>1.0</v>
      </c>
    </row>
    <row r="100">
      <c r="A100" s="26" t="s">
        <v>106</v>
      </c>
      <c r="B100" s="27"/>
    </row>
    <row r="101">
      <c r="A101" s="23" t="s">
        <v>85</v>
      </c>
      <c r="B101" s="23" t="s">
        <v>108</v>
      </c>
    </row>
    <row r="102">
      <c r="A102" s="23" t="s">
        <v>88</v>
      </c>
      <c r="B102" s="23" t="s">
        <v>89</v>
      </c>
    </row>
    <row r="103">
      <c r="A103" s="23" t="s">
        <v>109</v>
      </c>
      <c r="B103" s="23">
        <v>27.5</v>
      </c>
    </row>
    <row r="104">
      <c r="A104" s="23" t="s">
        <v>110</v>
      </c>
      <c r="B104" s="23">
        <v>0.85</v>
      </c>
    </row>
    <row r="106">
      <c r="A106" s="30" t="s">
        <v>111</v>
      </c>
    </row>
    <row r="108">
      <c r="A108" s="37" t="s">
        <v>112</v>
      </c>
    </row>
    <row r="109">
      <c r="A109" s="30" t="s">
        <v>114</v>
      </c>
    </row>
    <row r="112">
      <c r="A112" s="23" t="s">
        <v>116</v>
      </c>
      <c r="B112" s="39">
        <f>(C3*B3)/(F3*(C3+B3))</f>
        <v>0.9659217312</v>
      </c>
    </row>
    <row r="115">
      <c r="A115" s="30" t="s">
        <v>145</v>
      </c>
    </row>
    <row r="117">
      <c r="A117" s="30" t="s">
        <v>146</v>
      </c>
    </row>
    <row r="119">
      <c r="A119" s="23" t="s">
        <v>10</v>
      </c>
      <c r="B119" s="21" t="str">
        <f>G3</f>
        <v>ZINCO</v>
      </c>
    </row>
    <row r="120">
      <c r="A120" s="23" t="s">
        <v>11</v>
      </c>
      <c r="B120" s="21" t="str">
        <f>H3</f>
        <v>CLARA</v>
      </c>
    </row>
    <row r="121">
      <c r="A121" s="23" t="s">
        <v>12</v>
      </c>
      <c r="B121" s="21" t="str">
        <f>I3</f>
        <v>CONCRETO</v>
      </c>
    </row>
    <row r="122">
      <c r="A122" s="23" t="s">
        <v>147</v>
      </c>
      <c r="B122" s="23">
        <v>0.5</v>
      </c>
    </row>
    <row r="123">
      <c r="A123" s="23" t="s">
        <v>148</v>
      </c>
      <c r="B123" s="23">
        <v>0.5</v>
      </c>
    </row>
    <row r="124">
      <c r="A124" s="23" t="s">
        <v>149</v>
      </c>
      <c r="B124" s="23">
        <v>0.1</v>
      </c>
    </row>
    <row r="125">
      <c r="A125" s="23" t="s">
        <v>150</v>
      </c>
      <c r="B125" s="23">
        <v>0.61</v>
      </c>
    </row>
    <row r="146">
      <c r="A146" s="37" t="s">
        <v>151</v>
      </c>
    </row>
    <row r="148">
      <c r="A148" s="30" t="s">
        <v>152</v>
      </c>
    </row>
    <row r="150">
      <c r="A150" s="23" t="s">
        <v>153</v>
      </c>
      <c r="B150" s="23" t="s">
        <v>154</v>
      </c>
    </row>
    <row r="151">
      <c r="A151" s="23" t="s">
        <v>155</v>
      </c>
      <c r="B151" s="23" t="s">
        <v>156</v>
      </c>
    </row>
    <row r="152">
      <c r="A152" s="23" t="s">
        <v>157</v>
      </c>
      <c r="B152" s="23">
        <v>24000.0</v>
      </c>
    </row>
    <row r="153">
      <c r="A153" s="23" t="s">
        <v>158</v>
      </c>
      <c r="B153" s="46">
        <f>(B152/2)/(14*30)</f>
        <v>28.57142857</v>
      </c>
    </row>
    <row r="154">
      <c r="A154" s="47" t="s">
        <v>159</v>
      </c>
      <c r="B154" s="3"/>
    </row>
    <row r="156">
      <c r="A156" s="30" t="s">
        <v>160</v>
      </c>
    </row>
    <row r="158">
      <c r="A158" s="48"/>
      <c r="B158" s="50"/>
    </row>
    <row r="159">
      <c r="A159" s="51"/>
      <c r="B159" s="52"/>
    </row>
    <row r="160">
      <c r="A160" s="48"/>
      <c r="B160" s="53"/>
    </row>
    <row r="161">
      <c r="A161" s="48"/>
      <c r="B161" s="52"/>
    </row>
    <row r="174">
      <c r="A174" s="23" t="s">
        <v>151</v>
      </c>
      <c r="B174" s="23">
        <v>0.76</v>
      </c>
    </row>
    <row r="201">
      <c r="A201" s="37" t="s">
        <v>161</v>
      </c>
    </row>
    <row r="202">
      <c r="A202" s="23" t="s">
        <v>162</v>
      </c>
      <c r="B202" s="39">
        <f>(B23*(B3*C3))/(B125*B174)</f>
        <v>98899.05091</v>
      </c>
    </row>
    <row r="215">
      <c r="A215" s="37" t="s">
        <v>163</v>
      </c>
    </row>
    <row r="217">
      <c r="A217" s="23" t="s">
        <v>164</v>
      </c>
      <c r="B217" s="39">
        <f>B202/(B97*B96)</f>
        <v>2.978887075</v>
      </c>
    </row>
    <row r="218">
      <c r="A218" s="26" t="s">
        <v>165</v>
      </c>
      <c r="B218" s="27"/>
    </row>
    <row r="219">
      <c r="A219" s="23" t="s">
        <v>166</v>
      </c>
      <c r="B219" s="23">
        <v>3.0</v>
      </c>
    </row>
    <row r="220">
      <c r="A220" s="23" t="s">
        <v>166</v>
      </c>
      <c r="B220" s="11">
        <v>4.0</v>
      </c>
    </row>
    <row r="221">
      <c r="A221" s="30" t="s">
        <v>175</v>
      </c>
    </row>
    <row r="244">
      <c r="C244" s="30" t="s">
        <v>168</v>
      </c>
    </row>
    <row r="246">
      <c r="A246" s="37" t="s">
        <v>169</v>
      </c>
    </row>
    <row r="248">
      <c r="A248" s="30" t="s">
        <v>178</v>
      </c>
    </row>
    <row r="250">
      <c r="A250" s="30" t="s">
        <v>179</v>
      </c>
    </row>
    <row r="252">
      <c r="A252" s="23" t="s">
        <v>171</v>
      </c>
      <c r="B252" s="23">
        <v>1.0</v>
      </c>
    </row>
    <row r="253">
      <c r="A253" s="23" t="s">
        <v>172</v>
      </c>
      <c r="B253" s="23">
        <v>4.0</v>
      </c>
    </row>
    <row r="256">
      <c r="A256" s="23" t="s">
        <v>174</v>
      </c>
      <c r="B256" s="23">
        <v>9.6</v>
      </c>
      <c r="C256" s="31" t="s">
        <v>173</v>
      </c>
    </row>
    <row r="257">
      <c r="A257" s="23" t="s">
        <v>176</v>
      </c>
      <c r="B257" s="23">
        <v>15.92</v>
      </c>
      <c r="C257" s="32"/>
    </row>
    <row r="258">
      <c r="A258" s="23" t="s">
        <v>177</v>
      </c>
      <c r="B258" s="21">
        <f>C3/B252</f>
        <v>9.6</v>
      </c>
      <c r="C258" s="21" t="str">
        <f t="shared" ref="C258:C259" si="1">IF(B258&lt;=$B$260,"CERTO","CORRIGIR")</f>
        <v>CORRIGIR</v>
      </c>
    </row>
    <row r="259">
      <c r="A259" s="23" t="s">
        <v>180</v>
      </c>
      <c r="B259" s="21">
        <f>B3/B253</f>
        <v>3.98</v>
      </c>
      <c r="C259" s="21" t="str">
        <f t="shared" si="1"/>
        <v>CERTO</v>
      </c>
    </row>
    <row r="260">
      <c r="A260" s="23" t="s">
        <v>181</v>
      </c>
      <c r="B260" s="21">
        <f>1.5*F3</f>
        <v>9.3</v>
      </c>
      <c r="C260" s="21"/>
    </row>
    <row r="261">
      <c r="A261" s="23" t="s">
        <v>188</v>
      </c>
      <c r="B261" s="21">
        <f>C3/2</f>
        <v>4.8</v>
      </c>
      <c r="C261" s="21" t="str">
        <f>IF(B261&lt;=$B$260,"CERTO","CORRIGIR")</f>
        <v>CERTO</v>
      </c>
    </row>
    <row r="267">
      <c r="A267" s="23" t="s">
        <v>190</v>
      </c>
      <c r="B267" s="23">
        <f>B261</f>
        <v>4.8</v>
      </c>
      <c r="C267" s="26" t="s">
        <v>191</v>
      </c>
      <c r="D267" s="63"/>
      <c r="E267" s="63"/>
      <c r="F267" s="27"/>
    </row>
    <row r="268">
      <c r="A268" s="23" t="s">
        <v>192</v>
      </c>
      <c r="B268" s="23">
        <f>B267</f>
        <v>4.8</v>
      </c>
    </row>
    <row r="269">
      <c r="A269" s="23" t="s">
        <v>185</v>
      </c>
      <c r="B269" s="21">
        <f>B259</f>
        <v>3.98</v>
      </c>
      <c r="C269" s="30" t="s">
        <v>186</v>
      </c>
    </row>
    <row r="270">
      <c r="A270" s="23" t="s">
        <v>187</v>
      </c>
      <c r="B270" s="21">
        <f>B259/2</f>
        <v>1.99</v>
      </c>
      <c r="C270" s="30" t="s">
        <v>189</v>
      </c>
    </row>
    <row r="272">
      <c r="A272" s="21"/>
      <c r="B272" s="21"/>
      <c r="C272" s="23" t="s">
        <v>173</v>
      </c>
    </row>
    <row r="273">
      <c r="A273" s="23" t="s">
        <v>182</v>
      </c>
      <c r="B273" s="23">
        <f t="shared" ref="B273:B276" si="2">B267</f>
        <v>4.8</v>
      </c>
      <c r="C273" s="21" t="str">
        <f t="shared" ref="C273:C276" si="3">IF(B273&lt;=$B$260,"CERTO","CORRIGIR")</f>
        <v>CERTO</v>
      </c>
    </row>
    <row r="274">
      <c r="A274" s="23" t="s">
        <v>184</v>
      </c>
      <c r="B274" s="23">
        <f t="shared" si="2"/>
        <v>4.8</v>
      </c>
      <c r="C274" s="21" t="str">
        <f t="shared" si="3"/>
        <v>CERTO</v>
      </c>
    </row>
    <row r="275">
      <c r="A275" s="23" t="s">
        <v>185</v>
      </c>
      <c r="B275" s="23">
        <f t="shared" si="2"/>
        <v>3.98</v>
      </c>
      <c r="C275" s="21" t="str">
        <f t="shared" si="3"/>
        <v>CERTO</v>
      </c>
    </row>
    <row r="276">
      <c r="A276" s="23" t="s">
        <v>187</v>
      </c>
      <c r="B276" s="23">
        <f t="shared" si="2"/>
        <v>1.99</v>
      </c>
      <c r="C276" s="21" t="str">
        <f t="shared" si="3"/>
        <v>CERTO</v>
      </c>
    </row>
    <row r="284">
      <c r="A284" s="37" t="s">
        <v>193</v>
      </c>
    </row>
    <row r="286">
      <c r="A286" s="64" t="s">
        <v>194</v>
      </c>
      <c r="B286" s="65">
        <v>220.0</v>
      </c>
    </row>
    <row r="287">
      <c r="A287" s="66" t="s">
        <v>195</v>
      </c>
      <c r="B287" s="67">
        <f>((B97)*B95)+B103/B104</f>
        <v>432.3529412</v>
      </c>
    </row>
    <row r="288">
      <c r="A288" s="66" t="s">
        <v>196</v>
      </c>
      <c r="B288" s="68">
        <v>440.0</v>
      </c>
      <c r="C288" s="30" t="s">
        <v>197</v>
      </c>
    </row>
    <row r="289">
      <c r="A289" s="66" t="s">
        <v>198</v>
      </c>
      <c r="B289" s="69">
        <f>B288*B220</f>
        <v>1760</v>
      </c>
    </row>
    <row r="290">
      <c r="A290" s="70" t="s">
        <v>199</v>
      </c>
      <c r="B290" s="67">
        <f>B289/B286</f>
        <v>8</v>
      </c>
    </row>
    <row r="296">
      <c r="A296" s="48"/>
      <c r="B296" s="71"/>
    </row>
    <row r="297">
      <c r="A297" s="48"/>
      <c r="B297" s="53"/>
    </row>
    <row r="298">
      <c r="A298" s="48"/>
      <c r="B298" s="52"/>
    </row>
    <row r="299">
      <c r="A299" s="48"/>
      <c r="B299" s="52"/>
    </row>
    <row r="300">
      <c r="A300" s="48"/>
      <c r="B300" s="53"/>
    </row>
  </sheetData>
  <mergeCells count="29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218:B218"/>
    <mergeCell ref="A246:H246"/>
    <mergeCell ref="A248:F248"/>
    <mergeCell ref="C256:C257"/>
    <mergeCell ref="C267:F267"/>
    <mergeCell ref="C269:E269"/>
    <mergeCell ref="C270:F270"/>
    <mergeCell ref="A284:H284"/>
    <mergeCell ref="A91:B91"/>
    <mergeCell ref="A100:B100"/>
    <mergeCell ref="A108:H108"/>
    <mergeCell ref="A117:F117"/>
    <mergeCell ref="A146:H146"/>
    <mergeCell ref="A201:H201"/>
    <mergeCell ref="A215:H2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8" t="s">
        <v>23</v>
      </c>
      <c r="B3" s="21">
        <f>DADOS!D4</f>
        <v>9.28</v>
      </c>
      <c r="C3" s="21">
        <f>DADOS!E4</f>
        <v>9.6</v>
      </c>
      <c r="D3" s="21">
        <f>DADOS!C4</f>
        <v>0.8</v>
      </c>
      <c r="E3" s="21">
        <f>DADOS!K4</f>
        <v>7</v>
      </c>
      <c r="F3" s="21">
        <f>E3-D3</f>
        <v>6.2</v>
      </c>
      <c r="G3" s="21" t="str">
        <f>DADOS!H4</f>
        <v>ZINCO</v>
      </c>
      <c r="H3" s="21" t="str">
        <f>DADOS!I4</f>
        <v>CLARA</v>
      </c>
      <c r="I3" s="21" t="str">
        <f>DADOS!J4</f>
        <v>CONCRETO</v>
      </c>
      <c r="J3" s="23" t="s">
        <v>40</v>
      </c>
    </row>
    <row r="6">
      <c r="A6" s="11" t="s">
        <v>41</v>
      </c>
    </row>
    <row r="10">
      <c r="A10" s="11" t="s">
        <v>48</v>
      </c>
    </row>
    <row r="13">
      <c r="A13" s="26" t="s">
        <v>51</v>
      </c>
      <c r="B13" s="27"/>
    </row>
    <row r="14">
      <c r="A14" s="23" t="s">
        <v>55</v>
      </c>
      <c r="B14" s="23">
        <v>41.0</v>
      </c>
    </row>
    <row r="15">
      <c r="A15" s="23" t="s">
        <v>58</v>
      </c>
      <c r="B15" s="23" t="s">
        <v>59</v>
      </c>
    </row>
    <row r="16">
      <c r="A16" s="23" t="s">
        <v>60</v>
      </c>
      <c r="B16" s="28">
        <v>0.4</v>
      </c>
    </row>
    <row r="17">
      <c r="A17" s="23" t="s">
        <v>64</v>
      </c>
      <c r="B17" s="23">
        <v>0.0</v>
      </c>
    </row>
    <row r="21">
      <c r="A21" s="26" t="s">
        <v>65</v>
      </c>
      <c r="B21" s="27"/>
    </row>
    <row r="22">
      <c r="A22" s="23" t="s">
        <v>68</v>
      </c>
      <c r="B22" s="23" t="s">
        <v>69</v>
      </c>
      <c r="C22" s="30"/>
      <c r="D22" s="30"/>
    </row>
    <row r="23">
      <c r="A23" s="23" t="s">
        <v>71</v>
      </c>
      <c r="B23" s="23">
        <v>750.0</v>
      </c>
      <c r="C23" s="11"/>
      <c r="D23" s="11"/>
    </row>
    <row r="26">
      <c r="A26" s="26"/>
      <c r="B26" s="27"/>
    </row>
    <row r="27">
      <c r="A27" s="23"/>
      <c r="B27" s="31"/>
    </row>
    <row r="28">
      <c r="A28" s="23"/>
      <c r="B28" s="32"/>
    </row>
    <row r="29">
      <c r="A29" s="23"/>
      <c r="B29" s="23"/>
    </row>
    <row r="33">
      <c r="A33" s="23"/>
      <c r="B33" s="33"/>
    </row>
    <row r="34">
      <c r="B34" s="34"/>
    </row>
    <row r="71">
      <c r="A71" s="11" t="s">
        <v>82</v>
      </c>
    </row>
    <row r="73">
      <c r="A73" s="30" t="s">
        <v>83</v>
      </c>
      <c r="F73" s="30"/>
    </row>
    <row r="75">
      <c r="A75" s="26" t="s">
        <v>84</v>
      </c>
      <c r="B75" s="27"/>
    </row>
    <row r="76">
      <c r="A76" s="23" t="s">
        <v>85</v>
      </c>
      <c r="B76" s="23" t="s">
        <v>87</v>
      </c>
    </row>
    <row r="77">
      <c r="A77" s="23" t="s">
        <v>88</v>
      </c>
      <c r="B77" s="23" t="s">
        <v>89</v>
      </c>
    </row>
    <row r="83">
      <c r="A83" s="36"/>
    </row>
    <row r="88">
      <c r="A88" s="11" t="s">
        <v>92</v>
      </c>
    </row>
    <row r="89">
      <c r="A89" s="30" t="s">
        <v>94</v>
      </c>
    </row>
    <row r="91">
      <c r="A91" s="26" t="s">
        <v>95</v>
      </c>
      <c r="B91" s="27"/>
    </row>
    <row r="92">
      <c r="A92" s="23" t="s">
        <v>85</v>
      </c>
      <c r="B92" s="23" t="s">
        <v>98</v>
      </c>
    </row>
    <row r="93">
      <c r="A93" s="23" t="s">
        <v>88</v>
      </c>
      <c r="B93" s="23" t="s">
        <v>89</v>
      </c>
    </row>
    <row r="94">
      <c r="A94" s="23" t="s">
        <v>99</v>
      </c>
      <c r="B94" s="23" t="s">
        <v>100</v>
      </c>
    </row>
    <row r="95">
      <c r="A95" s="23" t="s">
        <v>102</v>
      </c>
      <c r="B95" s="23">
        <v>400.0</v>
      </c>
    </row>
    <row r="96">
      <c r="A96" s="23" t="s">
        <v>103</v>
      </c>
      <c r="B96" s="23">
        <v>33200.0</v>
      </c>
    </row>
    <row r="97">
      <c r="A97" s="23" t="s">
        <v>104</v>
      </c>
      <c r="B97" s="23">
        <v>1.0</v>
      </c>
    </row>
    <row r="100">
      <c r="A100" s="26" t="s">
        <v>106</v>
      </c>
      <c r="B100" s="27"/>
    </row>
    <row r="101">
      <c r="A101" s="23" t="s">
        <v>85</v>
      </c>
      <c r="B101" s="23" t="s">
        <v>108</v>
      </c>
    </row>
    <row r="102">
      <c r="A102" s="23" t="s">
        <v>88</v>
      </c>
      <c r="B102" s="23" t="s">
        <v>89</v>
      </c>
    </row>
    <row r="103">
      <c r="A103" s="23" t="s">
        <v>109</v>
      </c>
      <c r="B103" s="23">
        <v>27.5</v>
      </c>
    </row>
    <row r="104">
      <c r="A104" s="23" t="s">
        <v>110</v>
      </c>
      <c r="B104" s="23">
        <v>0.85</v>
      </c>
    </row>
    <row r="106">
      <c r="A106" s="30" t="s">
        <v>111</v>
      </c>
    </row>
    <row r="108">
      <c r="A108" s="37" t="s">
        <v>112</v>
      </c>
    </row>
    <row r="109">
      <c r="A109" s="30" t="s">
        <v>114</v>
      </c>
    </row>
    <row r="112">
      <c r="A112" s="23" t="s">
        <v>116</v>
      </c>
      <c r="B112" s="39">
        <f>(C3*B3)/(F3*(C3+B3))</f>
        <v>0.7610716238</v>
      </c>
    </row>
    <row r="115">
      <c r="A115" s="30" t="s">
        <v>145</v>
      </c>
    </row>
    <row r="117">
      <c r="A117" s="30" t="s">
        <v>146</v>
      </c>
    </row>
    <row r="119">
      <c r="A119" s="23" t="s">
        <v>10</v>
      </c>
      <c r="B119" s="21" t="str">
        <f>G3</f>
        <v>ZINCO</v>
      </c>
    </row>
    <row r="120">
      <c r="A120" s="23" t="s">
        <v>11</v>
      </c>
      <c r="B120" s="21" t="str">
        <f>H3</f>
        <v>CLARA</v>
      </c>
    </row>
    <row r="121">
      <c r="A121" s="42" t="s">
        <v>12</v>
      </c>
      <c r="B121" s="43" t="str">
        <f>I3</f>
        <v>CONCRETO</v>
      </c>
    </row>
    <row r="122">
      <c r="A122" s="42" t="s">
        <v>147</v>
      </c>
      <c r="B122" s="42">
        <v>0.5</v>
      </c>
    </row>
    <row r="123">
      <c r="A123" s="42" t="s">
        <v>148</v>
      </c>
      <c r="B123" s="42">
        <v>0.5</v>
      </c>
    </row>
    <row r="124">
      <c r="A124" s="42" t="s">
        <v>149</v>
      </c>
      <c r="B124" s="42">
        <v>0.1</v>
      </c>
    </row>
    <row r="125">
      <c r="A125" s="42" t="s">
        <v>150</v>
      </c>
      <c r="B125" s="42">
        <v>0.56</v>
      </c>
    </row>
    <row r="126">
      <c r="A126" s="45"/>
      <c r="B126" s="45"/>
    </row>
    <row r="127">
      <c r="A127" s="45"/>
      <c r="B127" s="45"/>
    </row>
    <row r="128">
      <c r="A128" s="45"/>
      <c r="B128" s="45"/>
    </row>
    <row r="129">
      <c r="A129" s="45"/>
      <c r="B129" s="45"/>
    </row>
    <row r="130">
      <c r="A130" s="45"/>
      <c r="B130" s="45"/>
    </row>
    <row r="146">
      <c r="A146" s="37" t="s">
        <v>151</v>
      </c>
    </row>
    <row r="148">
      <c r="A148" s="30" t="s">
        <v>152</v>
      </c>
    </row>
    <row r="150">
      <c r="A150" s="23" t="s">
        <v>153</v>
      </c>
      <c r="B150" s="23" t="s">
        <v>154</v>
      </c>
    </row>
    <row r="151">
      <c r="A151" s="23" t="s">
        <v>155</v>
      </c>
      <c r="B151" s="23" t="s">
        <v>156</v>
      </c>
    </row>
    <row r="152">
      <c r="A152" s="23" t="s">
        <v>157</v>
      </c>
      <c r="B152" s="23">
        <v>24000.0</v>
      </c>
    </row>
    <row r="153">
      <c r="A153" s="23" t="s">
        <v>158</v>
      </c>
      <c r="B153" s="46">
        <f>(B152/2)/(14*30)</f>
        <v>28.57142857</v>
      </c>
    </row>
    <row r="154">
      <c r="A154" s="47" t="s">
        <v>159</v>
      </c>
      <c r="B154" s="3"/>
    </row>
    <row r="156">
      <c r="A156" s="30" t="s">
        <v>160</v>
      </c>
    </row>
    <row r="158">
      <c r="A158" s="48"/>
      <c r="B158" s="50"/>
    </row>
    <row r="159">
      <c r="A159" s="51"/>
      <c r="B159" s="52"/>
    </row>
    <row r="160">
      <c r="A160" s="48"/>
      <c r="B160" s="53"/>
    </row>
    <row r="161">
      <c r="A161" s="48"/>
      <c r="B161" s="52"/>
    </row>
    <row r="174">
      <c r="A174" s="23" t="s">
        <v>151</v>
      </c>
      <c r="B174" s="23">
        <v>0.76</v>
      </c>
    </row>
    <row r="201">
      <c r="A201" s="37" t="s">
        <v>161</v>
      </c>
    </row>
    <row r="202">
      <c r="A202" s="23" t="s">
        <v>162</v>
      </c>
      <c r="B202" s="39">
        <f>(B23*(B3*C3))/(B125*B174)</f>
        <v>156992.4812</v>
      </c>
    </row>
    <row r="215">
      <c r="A215" s="37" t="s">
        <v>163</v>
      </c>
    </row>
    <row r="217">
      <c r="A217" s="23" t="s">
        <v>164</v>
      </c>
      <c r="B217" s="39">
        <f>B202/(B97*B96)</f>
        <v>4.728689193</v>
      </c>
    </row>
    <row r="218">
      <c r="A218" s="26" t="s">
        <v>165</v>
      </c>
      <c r="B218" s="27"/>
    </row>
    <row r="219">
      <c r="A219" s="23" t="s">
        <v>166</v>
      </c>
      <c r="B219" s="23">
        <v>5.0</v>
      </c>
    </row>
    <row r="220">
      <c r="A220" s="23" t="s">
        <v>166</v>
      </c>
      <c r="B220" s="11">
        <v>6.0</v>
      </c>
    </row>
    <row r="221">
      <c r="A221" s="30" t="s">
        <v>167</v>
      </c>
    </row>
    <row r="244">
      <c r="C244" s="30" t="s">
        <v>168</v>
      </c>
    </row>
    <row r="246">
      <c r="A246" s="37" t="s">
        <v>169</v>
      </c>
    </row>
    <row r="250">
      <c r="A250" s="30" t="s">
        <v>170</v>
      </c>
    </row>
    <row r="252">
      <c r="A252" s="23" t="s">
        <v>171</v>
      </c>
      <c r="B252" s="23">
        <v>2.0</v>
      </c>
    </row>
    <row r="253">
      <c r="A253" s="23" t="s">
        <v>172</v>
      </c>
      <c r="B253" s="23">
        <v>3.0</v>
      </c>
    </row>
    <row r="255">
      <c r="C255" s="34" t="s">
        <v>173</v>
      </c>
    </row>
    <row r="256">
      <c r="A256" s="23" t="s">
        <v>174</v>
      </c>
      <c r="B256" s="23">
        <v>9.6</v>
      </c>
    </row>
    <row r="257">
      <c r="A257" s="23" t="s">
        <v>176</v>
      </c>
      <c r="B257" s="23">
        <v>9.28</v>
      </c>
    </row>
    <row r="258">
      <c r="A258" s="23" t="s">
        <v>177</v>
      </c>
      <c r="B258" s="21">
        <f>C3/B252</f>
        <v>4.8</v>
      </c>
      <c r="C258" s="59" t="str">
        <f t="shared" ref="C258:C259" si="1">IF(B258&lt;=$B$260,"CERTO","CORRIGIR")</f>
        <v>CERTO</v>
      </c>
    </row>
    <row r="259">
      <c r="A259" s="23" t="s">
        <v>180</v>
      </c>
      <c r="B259" s="39">
        <f>B3/B253</f>
        <v>3.093333333</v>
      </c>
      <c r="C259" s="59" t="str">
        <f t="shared" si="1"/>
        <v>CERTO</v>
      </c>
    </row>
    <row r="260">
      <c r="A260" s="23" t="s">
        <v>181</v>
      </c>
      <c r="B260" s="21">
        <f>1.5*F3</f>
        <v>9.3</v>
      </c>
    </row>
    <row r="267">
      <c r="A267" s="23" t="s">
        <v>182</v>
      </c>
      <c r="B267" s="23">
        <v>4.8</v>
      </c>
      <c r="C267" s="30" t="s">
        <v>183</v>
      </c>
    </row>
    <row r="268">
      <c r="A268" s="23" t="s">
        <v>184</v>
      </c>
      <c r="B268" s="21">
        <f>B267/2</f>
        <v>2.4</v>
      </c>
    </row>
    <row r="269">
      <c r="A269" s="23" t="s">
        <v>185</v>
      </c>
      <c r="B269" s="39">
        <f>B259</f>
        <v>3.093333333</v>
      </c>
      <c r="C269" s="30" t="s">
        <v>186</v>
      </c>
    </row>
    <row r="270">
      <c r="A270" s="23" t="s">
        <v>187</v>
      </c>
      <c r="B270" s="39">
        <f>B259/2</f>
        <v>1.546666667</v>
      </c>
      <c r="C270" s="30" t="s">
        <v>189</v>
      </c>
    </row>
    <row r="273">
      <c r="A273" s="21"/>
      <c r="B273" s="21"/>
      <c r="C273" s="23" t="s">
        <v>173</v>
      </c>
    </row>
    <row r="274">
      <c r="A274" s="23" t="s">
        <v>182</v>
      </c>
      <c r="B274" s="23">
        <f t="shared" ref="B274:B277" si="2">B267</f>
        <v>4.8</v>
      </c>
      <c r="C274" s="21" t="str">
        <f t="shared" ref="C274:C277" si="3">IF(B274&lt;=$B$260,"CERTO","CORRIGIR")</f>
        <v>CERTO</v>
      </c>
    </row>
    <row r="275">
      <c r="A275" s="23" t="s">
        <v>184</v>
      </c>
      <c r="B275" s="21">
        <f t="shared" si="2"/>
        <v>2.4</v>
      </c>
      <c r="C275" s="21" t="str">
        <f t="shared" si="3"/>
        <v>CERTO</v>
      </c>
    </row>
    <row r="276">
      <c r="A276" s="23" t="s">
        <v>185</v>
      </c>
      <c r="B276" s="39">
        <f t="shared" si="2"/>
        <v>3.093333333</v>
      </c>
      <c r="C276" s="21" t="str">
        <f t="shared" si="3"/>
        <v>CERTO</v>
      </c>
    </row>
    <row r="277">
      <c r="A277" s="23" t="s">
        <v>187</v>
      </c>
      <c r="B277" s="39">
        <f t="shared" si="2"/>
        <v>1.546666667</v>
      </c>
      <c r="C277" s="21" t="str">
        <f t="shared" si="3"/>
        <v>CERTO</v>
      </c>
    </row>
    <row r="284">
      <c r="A284" s="37" t="s">
        <v>193</v>
      </c>
    </row>
    <row r="286">
      <c r="A286" s="64" t="s">
        <v>194</v>
      </c>
      <c r="B286" s="65">
        <v>220.0</v>
      </c>
    </row>
    <row r="287">
      <c r="A287" s="66" t="s">
        <v>195</v>
      </c>
      <c r="B287" s="67">
        <f>((B97)*B95)+B103/B104</f>
        <v>432.3529412</v>
      </c>
    </row>
    <row r="288">
      <c r="A288" s="66" t="s">
        <v>196</v>
      </c>
      <c r="B288" s="68">
        <v>440.0</v>
      </c>
      <c r="C288" s="30" t="s">
        <v>197</v>
      </c>
    </row>
    <row r="289">
      <c r="A289" s="66" t="s">
        <v>198</v>
      </c>
      <c r="B289" s="69">
        <f>B288*B220</f>
        <v>2640</v>
      </c>
    </row>
    <row r="290">
      <c r="A290" s="70" t="s">
        <v>199</v>
      </c>
      <c r="B290" s="67">
        <f>B289/B286</f>
        <v>12</v>
      </c>
    </row>
    <row r="296">
      <c r="A296" s="48"/>
      <c r="B296" s="71"/>
    </row>
    <row r="297">
      <c r="A297" s="48"/>
      <c r="B297" s="53"/>
    </row>
    <row r="298">
      <c r="A298" s="48"/>
      <c r="B298" s="52"/>
    </row>
    <row r="299">
      <c r="A299" s="48"/>
      <c r="B299" s="52"/>
    </row>
    <row r="300">
      <c r="A300" s="48"/>
      <c r="B300" s="53"/>
    </row>
  </sheetData>
  <mergeCells count="30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A215:H215"/>
    <mergeCell ref="C270:F270"/>
    <mergeCell ref="A284:H284"/>
    <mergeCell ref="A218:B218"/>
    <mergeCell ref="A221:B221"/>
    <mergeCell ref="A246:H246"/>
    <mergeCell ref="A248:F248"/>
    <mergeCell ref="C255:C257"/>
    <mergeCell ref="C267:E267"/>
    <mergeCell ref="C269:E2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8" t="s">
        <v>27</v>
      </c>
      <c r="B3" s="21">
        <f>DADOS!D5</f>
        <v>8.12</v>
      </c>
      <c r="C3" s="21">
        <f>DADOS!E5</f>
        <v>6</v>
      </c>
      <c r="D3" s="21">
        <f>DADOS!C5</f>
        <v>0.8</v>
      </c>
      <c r="E3" s="21">
        <f>DADOS!K5</f>
        <v>7</v>
      </c>
      <c r="F3" s="21">
        <f>E3-D3</f>
        <v>6.2</v>
      </c>
      <c r="G3" s="21" t="str">
        <f>DADOS!H5</f>
        <v>ZINCO</v>
      </c>
      <c r="H3" s="21" t="str">
        <f>DADOS!I5</f>
        <v>CLARA</v>
      </c>
      <c r="I3" s="21" t="str">
        <f>DADOS!J5</f>
        <v>CONCRETO</v>
      </c>
      <c r="J3" s="23" t="s">
        <v>40</v>
      </c>
    </row>
    <row r="6">
      <c r="A6" s="11" t="s">
        <v>41</v>
      </c>
    </row>
    <row r="10">
      <c r="A10" s="11" t="s">
        <v>48</v>
      </c>
    </row>
    <row r="13">
      <c r="A13" s="26" t="s">
        <v>51</v>
      </c>
      <c r="B13" s="27"/>
    </row>
    <row r="15">
      <c r="A15" s="23" t="s">
        <v>55</v>
      </c>
      <c r="B15" s="23">
        <v>41.0</v>
      </c>
    </row>
    <row r="16">
      <c r="A16" s="23" t="s">
        <v>58</v>
      </c>
      <c r="B16" s="23" t="s">
        <v>59</v>
      </c>
    </row>
    <row r="17">
      <c r="A17" s="23" t="s">
        <v>60</v>
      </c>
      <c r="B17" s="28">
        <v>0.4</v>
      </c>
    </row>
    <row r="18">
      <c r="A18" s="23" t="s">
        <v>64</v>
      </c>
      <c r="B18" s="23">
        <v>0.0</v>
      </c>
    </row>
    <row r="21">
      <c r="A21" s="26" t="s">
        <v>65</v>
      </c>
      <c r="B21" s="27"/>
    </row>
    <row r="22">
      <c r="A22" s="23" t="s">
        <v>68</v>
      </c>
      <c r="B22" s="23" t="s">
        <v>70</v>
      </c>
      <c r="C22" s="30"/>
      <c r="D22" s="30"/>
    </row>
    <row r="23">
      <c r="A23" s="23" t="s">
        <v>71</v>
      </c>
      <c r="B23" s="23">
        <v>300.0</v>
      </c>
      <c r="C23" s="11"/>
      <c r="D23" s="11"/>
    </row>
    <row r="26">
      <c r="A26" s="26" t="s">
        <v>72</v>
      </c>
      <c r="B26" s="27"/>
    </row>
    <row r="27">
      <c r="A27" s="23" t="s">
        <v>74</v>
      </c>
      <c r="B27" s="31" t="s">
        <v>75</v>
      </c>
    </row>
    <row r="28">
      <c r="A28" s="23" t="s">
        <v>200</v>
      </c>
      <c r="B28" s="32"/>
    </row>
    <row r="29">
      <c r="A29" s="23" t="s">
        <v>201</v>
      </c>
      <c r="B29" s="23">
        <v>200.0</v>
      </c>
    </row>
    <row r="31">
      <c r="A31" s="30" t="s">
        <v>80</v>
      </c>
    </row>
    <row r="33">
      <c r="A33" s="23" t="s">
        <v>71</v>
      </c>
      <c r="B33" s="33">
        <v>300.0</v>
      </c>
    </row>
    <row r="34">
      <c r="B34" s="34"/>
    </row>
    <row r="71">
      <c r="A71" s="11" t="s">
        <v>82</v>
      </c>
    </row>
    <row r="73">
      <c r="A73" s="30" t="s">
        <v>83</v>
      </c>
      <c r="F73" s="30"/>
    </row>
    <row r="75">
      <c r="A75" s="26" t="s">
        <v>84</v>
      </c>
      <c r="B75" s="27"/>
    </row>
    <row r="76">
      <c r="A76" s="23" t="s">
        <v>85</v>
      </c>
      <c r="B76" s="23" t="s">
        <v>87</v>
      </c>
    </row>
    <row r="77">
      <c r="A77" s="23" t="s">
        <v>88</v>
      </c>
      <c r="B77" s="23" t="s">
        <v>89</v>
      </c>
    </row>
    <row r="83">
      <c r="A83" s="36"/>
    </row>
    <row r="88">
      <c r="A88" s="11" t="s">
        <v>92</v>
      </c>
    </row>
    <row r="89">
      <c r="A89" s="30" t="s">
        <v>94</v>
      </c>
    </row>
    <row r="91">
      <c r="A91" s="26" t="s">
        <v>95</v>
      </c>
      <c r="B91" s="27"/>
    </row>
    <row r="92">
      <c r="A92" s="23" t="s">
        <v>85</v>
      </c>
      <c r="B92" s="23" t="s">
        <v>98</v>
      </c>
    </row>
    <row r="93">
      <c r="A93" s="23" t="s">
        <v>88</v>
      </c>
      <c r="B93" s="23" t="s">
        <v>89</v>
      </c>
    </row>
    <row r="94">
      <c r="A94" s="23" t="s">
        <v>99</v>
      </c>
      <c r="B94" s="23" t="s">
        <v>100</v>
      </c>
    </row>
    <row r="95">
      <c r="A95" s="23" t="s">
        <v>102</v>
      </c>
      <c r="B95" s="23">
        <v>400.0</v>
      </c>
    </row>
    <row r="96">
      <c r="A96" s="23" t="s">
        <v>103</v>
      </c>
      <c r="B96" s="23">
        <v>33200.0</v>
      </c>
    </row>
    <row r="97">
      <c r="A97" s="23" t="s">
        <v>104</v>
      </c>
      <c r="B97" s="23">
        <v>1.0</v>
      </c>
    </row>
    <row r="100">
      <c r="A100" s="26" t="s">
        <v>106</v>
      </c>
      <c r="B100" s="27"/>
    </row>
    <row r="101">
      <c r="A101" s="23" t="s">
        <v>85</v>
      </c>
      <c r="B101" s="23" t="s">
        <v>108</v>
      </c>
    </row>
    <row r="102">
      <c r="A102" s="23" t="s">
        <v>88</v>
      </c>
      <c r="B102" s="23" t="s">
        <v>89</v>
      </c>
    </row>
    <row r="103">
      <c r="A103" s="23" t="s">
        <v>109</v>
      </c>
      <c r="B103" s="23">
        <v>27.5</v>
      </c>
    </row>
    <row r="104">
      <c r="A104" s="23" t="s">
        <v>110</v>
      </c>
      <c r="B104" s="23">
        <v>0.85</v>
      </c>
    </row>
    <row r="106">
      <c r="A106" s="30" t="s">
        <v>111</v>
      </c>
    </row>
    <row r="108">
      <c r="A108" s="37" t="s">
        <v>112</v>
      </c>
    </row>
    <row r="109">
      <c r="A109" s="30" t="s">
        <v>114</v>
      </c>
    </row>
    <row r="112">
      <c r="A112" s="23" t="s">
        <v>116</v>
      </c>
      <c r="B112" s="39">
        <f>(C3*B3)/(F3*(C3+B3))</f>
        <v>0.5565201499</v>
      </c>
    </row>
    <row r="115">
      <c r="A115" s="30" t="s">
        <v>145</v>
      </c>
    </row>
    <row r="117">
      <c r="A117" s="30" t="s">
        <v>146</v>
      </c>
    </row>
    <row r="119">
      <c r="A119" s="23" t="s">
        <v>10</v>
      </c>
      <c r="B119" s="21" t="str">
        <f>G3</f>
        <v>ZINCO</v>
      </c>
    </row>
    <row r="120">
      <c r="A120" s="23" t="s">
        <v>11</v>
      </c>
      <c r="B120" s="21" t="str">
        <f>H3</f>
        <v>CLARA</v>
      </c>
    </row>
    <row r="121">
      <c r="A121" s="42" t="s">
        <v>12</v>
      </c>
      <c r="B121" s="43" t="str">
        <f>I3</f>
        <v>CONCRETO</v>
      </c>
    </row>
    <row r="122">
      <c r="A122" s="42" t="s">
        <v>147</v>
      </c>
      <c r="B122" s="42">
        <v>0.7</v>
      </c>
    </row>
    <row r="123">
      <c r="A123" s="42" t="s">
        <v>148</v>
      </c>
      <c r="B123" s="42">
        <v>0.5</v>
      </c>
    </row>
    <row r="124">
      <c r="A124" s="42" t="s">
        <v>149</v>
      </c>
      <c r="B124" s="42">
        <v>0.1</v>
      </c>
    </row>
    <row r="125">
      <c r="A125" s="42" t="s">
        <v>150</v>
      </c>
      <c r="B125" s="42">
        <v>0.5</v>
      </c>
    </row>
    <row r="126">
      <c r="A126" s="75" t="s">
        <v>208</v>
      </c>
      <c r="B126" s="45"/>
    </row>
    <row r="127">
      <c r="A127" s="45"/>
      <c r="B127" s="45"/>
    </row>
    <row r="128">
      <c r="A128" s="45"/>
      <c r="B128" s="45"/>
    </row>
    <row r="129">
      <c r="A129" s="45"/>
      <c r="B129" s="45"/>
    </row>
    <row r="130">
      <c r="A130" s="45"/>
      <c r="B130" s="45"/>
    </row>
    <row r="146">
      <c r="A146" s="37" t="s">
        <v>151</v>
      </c>
    </row>
    <row r="148">
      <c r="A148" s="30" t="s">
        <v>152</v>
      </c>
    </row>
    <row r="150">
      <c r="A150" s="23" t="s">
        <v>153</v>
      </c>
      <c r="B150" s="23" t="s">
        <v>154</v>
      </c>
    </row>
    <row r="151">
      <c r="A151" s="23" t="s">
        <v>155</v>
      </c>
      <c r="B151" s="23" t="s">
        <v>156</v>
      </c>
    </row>
    <row r="152">
      <c r="A152" s="23" t="s">
        <v>157</v>
      </c>
      <c r="B152" s="23">
        <v>24000.0</v>
      </c>
    </row>
    <row r="153">
      <c r="A153" s="23" t="s">
        <v>158</v>
      </c>
      <c r="B153" s="46">
        <f>(B152/2)/(14*30)</f>
        <v>28.57142857</v>
      </c>
    </row>
    <row r="154">
      <c r="A154" s="47" t="s">
        <v>159</v>
      </c>
      <c r="B154" s="3"/>
    </row>
    <row r="156">
      <c r="A156" s="30" t="s">
        <v>160</v>
      </c>
    </row>
    <row r="158">
      <c r="A158" s="48"/>
      <c r="B158" s="50"/>
    </row>
    <row r="159">
      <c r="A159" s="51"/>
      <c r="B159" s="52"/>
    </row>
    <row r="160">
      <c r="A160" s="48"/>
      <c r="B160" s="53"/>
    </row>
    <row r="161">
      <c r="A161" s="48"/>
      <c r="B161" s="52"/>
    </row>
    <row r="174">
      <c r="A174" s="23" t="s">
        <v>151</v>
      </c>
      <c r="B174" s="23">
        <v>0.76</v>
      </c>
    </row>
    <row r="201">
      <c r="A201" s="37" t="s">
        <v>161</v>
      </c>
    </row>
    <row r="202">
      <c r="A202" s="23" t="s">
        <v>162</v>
      </c>
      <c r="B202" s="39">
        <f>(B23*(B3*C3))/(B125*B174)</f>
        <v>38463.15789</v>
      </c>
    </row>
    <row r="215">
      <c r="A215" s="37" t="s">
        <v>163</v>
      </c>
    </row>
    <row r="217">
      <c r="A217" s="23" t="s">
        <v>164</v>
      </c>
      <c r="B217" s="39">
        <f>B202/(B97*B96)</f>
        <v>1.158528852</v>
      </c>
    </row>
    <row r="218">
      <c r="A218" s="26" t="s">
        <v>165</v>
      </c>
      <c r="B218" s="27"/>
    </row>
    <row r="219">
      <c r="A219" s="23" t="s">
        <v>166</v>
      </c>
      <c r="B219" s="23">
        <v>2.0</v>
      </c>
    </row>
    <row r="220">
      <c r="A220" s="23" t="s">
        <v>166</v>
      </c>
      <c r="B220" s="23">
        <v>2.0</v>
      </c>
    </row>
    <row r="244">
      <c r="C244" s="30" t="s">
        <v>168</v>
      </c>
    </row>
    <row r="246">
      <c r="A246" s="37" t="s">
        <v>169</v>
      </c>
    </row>
    <row r="250">
      <c r="A250" s="30" t="s">
        <v>216</v>
      </c>
    </row>
    <row r="252">
      <c r="A252" s="23" t="s">
        <v>171</v>
      </c>
      <c r="B252" s="23">
        <v>1.0</v>
      </c>
    </row>
    <row r="253">
      <c r="A253" s="23" t="s">
        <v>172</v>
      </c>
      <c r="B253" s="23">
        <v>2.0</v>
      </c>
    </row>
    <row r="255">
      <c r="C255" s="34" t="s">
        <v>173</v>
      </c>
    </row>
    <row r="256">
      <c r="A256" s="23" t="s">
        <v>174</v>
      </c>
      <c r="B256" s="23">
        <v>6.0</v>
      </c>
    </row>
    <row r="257">
      <c r="A257" s="23" t="s">
        <v>176</v>
      </c>
      <c r="B257" s="23">
        <v>8.12</v>
      </c>
    </row>
    <row r="258">
      <c r="A258" s="23" t="s">
        <v>177</v>
      </c>
      <c r="B258" s="21">
        <f>C3/B252</f>
        <v>6</v>
      </c>
      <c r="C258" s="59" t="str">
        <f t="shared" ref="C258:C259" si="1">IF(B258&lt;=$B$260,"CERTO","CORRIGIR")</f>
        <v>CERTO</v>
      </c>
    </row>
    <row r="259">
      <c r="A259" s="23" t="s">
        <v>180</v>
      </c>
      <c r="B259" s="39">
        <f>B3/B253</f>
        <v>4.06</v>
      </c>
      <c r="C259" s="59" t="str">
        <f t="shared" si="1"/>
        <v>CERTO</v>
      </c>
    </row>
    <row r="260">
      <c r="A260" s="23" t="s">
        <v>181</v>
      </c>
      <c r="B260" s="21">
        <f>1.5*F3</f>
        <v>9.3</v>
      </c>
    </row>
    <row r="267">
      <c r="A267" s="23" t="s">
        <v>182</v>
      </c>
      <c r="B267" s="23">
        <v>3.0</v>
      </c>
      <c r="C267" s="26" t="s">
        <v>191</v>
      </c>
      <c r="D267" s="63"/>
      <c r="E267" s="63"/>
      <c r="F267" s="27"/>
    </row>
    <row r="268">
      <c r="A268" s="23" t="s">
        <v>184</v>
      </c>
      <c r="B268" s="21">
        <f>B258/2</f>
        <v>3</v>
      </c>
      <c r="C268" s="30" t="s">
        <v>218</v>
      </c>
    </row>
    <row r="269">
      <c r="A269" s="23" t="s">
        <v>185</v>
      </c>
      <c r="B269" s="39">
        <f>B259</f>
        <v>4.06</v>
      </c>
      <c r="C269" s="30" t="s">
        <v>186</v>
      </c>
    </row>
    <row r="270">
      <c r="A270" s="23" t="s">
        <v>187</v>
      </c>
      <c r="B270" s="39">
        <f>B259/2</f>
        <v>2.03</v>
      </c>
      <c r="C270" s="30" t="s">
        <v>189</v>
      </c>
    </row>
    <row r="272">
      <c r="C272" s="34" t="s">
        <v>173</v>
      </c>
    </row>
    <row r="275">
      <c r="A275" s="23" t="s">
        <v>182</v>
      </c>
      <c r="B275" s="23">
        <f t="shared" ref="B275:B278" si="2">B267</f>
        <v>3</v>
      </c>
      <c r="C275" s="59" t="str">
        <f t="shared" ref="C275:C278" si="3">IF(B275&lt;=$B$260,"CERTO","CORRIGIR")</f>
        <v>CERTO</v>
      </c>
    </row>
    <row r="276">
      <c r="A276" s="23" t="s">
        <v>184</v>
      </c>
      <c r="B276" s="21">
        <f t="shared" si="2"/>
        <v>3</v>
      </c>
      <c r="C276" s="59" t="str">
        <f t="shared" si="3"/>
        <v>CERTO</v>
      </c>
    </row>
    <row r="277">
      <c r="A277" s="23" t="s">
        <v>185</v>
      </c>
      <c r="B277" s="39">
        <f t="shared" si="2"/>
        <v>4.06</v>
      </c>
      <c r="C277" s="59" t="str">
        <f t="shared" si="3"/>
        <v>CERTO</v>
      </c>
    </row>
    <row r="278">
      <c r="A278" s="23" t="s">
        <v>187</v>
      </c>
      <c r="B278" s="39">
        <f t="shared" si="2"/>
        <v>2.03</v>
      </c>
      <c r="C278" s="59" t="str">
        <f t="shared" si="3"/>
        <v>CERTO</v>
      </c>
    </row>
    <row r="284">
      <c r="A284" s="37" t="s">
        <v>193</v>
      </c>
    </row>
    <row r="286">
      <c r="A286" s="64" t="s">
        <v>194</v>
      </c>
      <c r="B286" s="65">
        <v>220.0</v>
      </c>
    </row>
    <row r="287">
      <c r="A287" s="66" t="s">
        <v>195</v>
      </c>
      <c r="B287" s="67">
        <f>((B97)*B95)+B103/B104</f>
        <v>432.3529412</v>
      </c>
    </row>
    <row r="288">
      <c r="A288" s="66" t="s">
        <v>196</v>
      </c>
      <c r="B288" s="68">
        <v>440.0</v>
      </c>
      <c r="C288" s="30" t="s">
        <v>197</v>
      </c>
    </row>
    <row r="289">
      <c r="A289" s="66" t="s">
        <v>198</v>
      </c>
      <c r="B289" s="69">
        <f>B288*B220</f>
        <v>880</v>
      </c>
    </row>
    <row r="290">
      <c r="A290" s="70" t="s">
        <v>199</v>
      </c>
      <c r="B290" s="67">
        <f>B289/B286</f>
        <v>4</v>
      </c>
    </row>
    <row r="296">
      <c r="A296" s="48"/>
      <c r="B296" s="71"/>
    </row>
    <row r="297">
      <c r="A297" s="48"/>
      <c r="B297" s="53"/>
    </row>
    <row r="298">
      <c r="A298" s="48"/>
      <c r="B298" s="52"/>
    </row>
    <row r="299">
      <c r="A299" s="48"/>
      <c r="B299" s="52"/>
    </row>
    <row r="300">
      <c r="A300" s="48"/>
      <c r="B300" s="53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5.25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8" t="s">
        <v>31</v>
      </c>
      <c r="B3" s="21">
        <f>DADOS!D6</f>
        <v>11.18</v>
      </c>
      <c r="C3" s="21">
        <f>DADOS!E6</f>
        <v>9.6</v>
      </c>
      <c r="D3" s="21">
        <f>DADOS!C6</f>
        <v>0.8</v>
      </c>
      <c r="E3" s="21">
        <f>DADOS!K6</f>
        <v>7</v>
      </c>
      <c r="F3" s="21">
        <f>E3-D3</f>
        <v>6.2</v>
      </c>
      <c r="G3" s="21" t="str">
        <f>DADOS!H6</f>
        <v>ZINCO</v>
      </c>
      <c r="H3" s="21" t="str">
        <f>DADOS!I6</f>
        <v>CLARA</v>
      </c>
      <c r="I3" s="21" t="str">
        <f>DADOS!J6</f>
        <v>CONCRETO</v>
      </c>
      <c r="J3" s="23" t="s">
        <v>40</v>
      </c>
    </row>
    <row r="6">
      <c r="A6" s="11" t="s">
        <v>41</v>
      </c>
    </row>
    <row r="10">
      <c r="A10" s="11" t="s">
        <v>48</v>
      </c>
    </row>
    <row r="13">
      <c r="A13" s="26" t="s">
        <v>51</v>
      </c>
      <c r="B13" s="27"/>
    </row>
    <row r="15">
      <c r="A15" s="23" t="s">
        <v>55</v>
      </c>
      <c r="B15" s="23">
        <v>41.0</v>
      </c>
    </row>
    <row r="16">
      <c r="A16" s="23" t="s">
        <v>58</v>
      </c>
      <c r="B16" s="23" t="s">
        <v>59</v>
      </c>
    </row>
    <row r="17">
      <c r="A17" s="23" t="s">
        <v>60</v>
      </c>
      <c r="B17" s="28">
        <v>0.4</v>
      </c>
    </row>
    <row r="18">
      <c r="A18" s="23" t="s">
        <v>64</v>
      </c>
      <c r="B18" s="23">
        <v>0.0</v>
      </c>
    </row>
    <row r="21">
      <c r="A21" s="26" t="s">
        <v>65</v>
      </c>
      <c r="B21" s="27"/>
    </row>
    <row r="22">
      <c r="A22" s="23" t="s">
        <v>68</v>
      </c>
      <c r="B22" s="23" t="s">
        <v>70</v>
      </c>
      <c r="C22" s="30"/>
      <c r="D22" s="30"/>
    </row>
    <row r="23">
      <c r="A23" s="23" t="s">
        <v>71</v>
      </c>
      <c r="B23" s="23">
        <v>300.0</v>
      </c>
      <c r="C23" s="11"/>
      <c r="D23" s="11"/>
    </row>
    <row r="26">
      <c r="A26" s="26" t="s">
        <v>72</v>
      </c>
      <c r="B26" s="27"/>
    </row>
    <row r="27">
      <c r="A27" s="23" t="s">
        <v>74</v>
      </c>
      <c r="B27" s="31" t="s">
        <v>75</v>
      </c>
    </row>
    <row r="28">
      <c r="A28" s="23" t="s">
        <v>200</v>
      </c>
      <c r="B28" s="32"/>
    </row>
    <row r="29">
      <c r="A29" s="23" t="s">
        <v>201</v>
      </c>
      <c r="B29" s="23">
        <v>200.0</v>
      </c>
    </row>
    <row r="31">
      <c r="A31" s="30" t="s">
        <v>80</v>
      </c>
    </row>
    <row r="33">
      <c r="A33" s="23" t="s">
        <v>71</v>
      </c>
      <c r="B33" s="33">
        <v>300.0</v>
      </c>
    </row>
    <row r="34">
      <c r="B34" s="34"/>
    </row>
    <row r="71">
      <c r="A71" s="11" t="s">
        <v>82</v>
      </c>
    </row>
    <row r="73">
      <c r="A73" s="30" t="s">
        <v>83</v>
      </c>
      <c r="F73" s="30"/>
    </row>
    <row r="75">
      <c r="A75" s="26" t="s">
        <v>84</v>
      </c>
      <c r="B75" s="27"/>
    </row>
    <row r="76">
      <c r="A76" s="23" t="s">
        <v>85</v>
      </c>
      <c r="B76" s="23" t="s">
        <v>87</v>
      </c>
    </row>
    <row r="77">
      <c r="A77" s="23" t="s">
        <v>88</v>
      </c>
      <c r="B77" s="23" t="s">
        <v>89</v>
      </c>
    </row>
    <row r="83">
      <c r="A83" s="36"/>
    </row>
    <row r="88">
      <c r="A88" s="11" t="s">
        <v>92</v>
      </c>
    </row>
    <row r="89">
      <c r="A89" s="30" t="s">
        <v>94</v>
      </c>
    </row>
    <row r="91">
      <c r="A91" s="26" t="s">
        <v>95</v>
      </c>
      <c r="B91" s="27"/>
    </row>
    <row r="92">
      <c r="A92" s="23" t="s">
        <v>85</v>
      </c>
      <c r="B92" s="23" t="s">
        <v>98</v>
      </c>
    </row>
    <row r="93">
      <c r="A93" s="23" t="s">
        <v>88</v>
      </c>
      <c r="B93" s="23" t="s">
        <v>89</v>
      </c>
    </row>
    <row r="94">
      <c r="A94" s="23" t="s">
        <v>99</v>
      </c>
      <c r="B94" s="23" t="s">
        <v>100</v>
      </c>
    </row>
    <row r="95">
      <c r="A95" s="23" t="s">
        <v>102</v>
      </c>
      <c r="B95" s="23">
        <v>400.0</v>
      </c>
    </row>
    <row r="96">
      <c r="A96" s="23" t="s">
        <v>103</v>
      </c>
      <c r="B96" s="23">
        <v>33200.0</v>
      </c>
    </row>
    <row r="97">
      <c r="A97" s="23" t="s">
        <v>104</v>
      </c>
      <c r="B97" s="23">
        <v>1.0</v>
      </c>
    </row>
    <row r="100">
      <c r="A100" s="26" t="s">
        <v>106</v>
      </c>
      <c r="B100" s="27"/>
    </row>
    <row r="101">
      <c r="A101" s="23" t="s">
        <v>85</v>
      </c>
      <c r="B101" s="23" t="s">
        <v>108</v>
      </c>
    </row>
    <row r="102">
      <c r="A102" s="23" t="s">
        <v>88</v>
      </c>
      <c r="B102" s="23" t="s">
        <v>89</v>
      </c>
    </row>
    <row r="103">
      <c r="A103" s="23" t="s">
        <v>109</v>
      </c>
      <c r="B103" s="23">
        <v>27.5</v>
      </c>
    </row>
    <row r="104">
      <c r="A104" s="23" t="s">
        <v>110</v>
      </c>
      <c r="B104" s="23">
        <v>0.85</v>
      </c>
    </row>
    <row r="106">
      <c r="A106" s="30" t="s">
        <v>111</v>
      </c>
    </row>
    <row r="108">
      <c r="A108" s="37" t="s">
        <v>112</v>
      </c>
    </row>
    <row r="109">
      <c r="A109" s="30" t="s">
        <v>114</v>
      </c>
    </row>
    <row r="112">
      <c r="A112" s="23" t="s">
        <v>116</v>
      </c>
      <c r="B112" s="39">
        <f>(C3*B3)/(F3*(C3+B3))</f>
        <v>0.8330590829</v>
      </c>
    </row>
    <row r="115">
      <c r="A115" s="30" t="s">
        <v>145</v>
      </c>
    </row>
    <row r="117">
      <c r="A117" s="30" t="s">
        <v>146</v>
      </c>
    </row>
    <row r="119">
      <c r="A119" s="23" t="s">
        <v>10</v>
      </c>
      <c r="B119" s="21" t="str">
        <f>G3</f>
        <v>ZINCO</v>
      </c>
    </row>
    <row r="120">
      <c r="A120" s="23" t="s">
        <v>11</v>
      </c>
      <c r="B120" s="21" t="str">
        <f>H3</f>
        <v>CLARA</v>
      </c>
    </row>
    <row r="121">
      <c r="A121" s="42" t="s">
        <v>12</v>
      </c>
      <c r="B121" s="43" t="str">
        <f>I3</f>
        <v>CONCRETO</v>
      </c>
    </row>
    <row r="122">
      <c r="A122" s="42" t="s">
        <v>147</v>
      </c>
      <c r="B122" s="42">
        <v>0.7</v>
      </c>
    </row>
    <row r="123">
      <c r="A123" s="42" t="s">
        <v>148</v>
      </c>
      <c r="B123" s="42">
        <v>0.5</v>
      </c>
    </row>
    <row r="124">
      <c r="A124" s="42" t="s">
        <v>149</v>
      </c>
      <c r="B124" s="42">
        <v>0.1</v>
      </c>
    </row>
    <row r="125">
      <c r="A125" s="42" t="s">
        <v>150</v>
      </c>
      <c r="B125" s="42">
        <v>0.58</v>
      </c>
    </row>
    <row r="126">
      <c r="A126" s="75"/>
      <c r="B126" s="45"/>
    </row>
    <row r="127">
      <c r="A127" s="45"/>
      <c r="B127" s="45"/>
    </row>
    <row r="128">
      <c r="A128" s="45"/>
      <c r="B128" s="45"/>
    </row>
    <row r="129">
      <c r="A129" s="45"/>
      <c r="B129" s="45"/>
    </row>
    <row r="130">
      <c r="A130" s="45"/>
      <c r="B130" s="45"/>
    </row>
    <row r="146">
      <c r="A146" s="37" t="s">
        <v>151</v>
      </c>
    </row>
    <row r="148">
      <c r="A148" s="30" t="s">
        <v>152</v>
      </c>
    </row>
    <row r="150">
      <c r="A150" s="23" t="s">
        <v>153</v>
      </c>
      <c r="B150" s="23" t="s">
        <v>154</v>
      </c>
    </row>
    <row r="151">
      <c r="A151" s="23" t="s">
        <v>155</v>
      </c>
      <c r="B151" s="23" t="s">
        <v>156</v>
      </c>
    </row>
    <row r="152">
      <c r="A152" s="23" t="s">
        <v>157</v>
      </c>
      <c r="B152" s="23">
        <v>24000.0</v>
      </c>
    </row>
    <row r="153">
      <c r="A153" s="23" t="s">
        <v>158</v>
      </c>
      <c r="B153" s="46">
        <f>(B152/2)/(14*30)</f>
        <v>28.57142857</v>
      </c>
    </row>
    <row r="154">
      <c r="A154" s="47" t="s">
        <v>159</v>
      </c>
      <c r="B154" s="3"/>
    </row>
    <row r="156">
      <c r="A156" s="30" t="s">
        <v>160</v>
      </c>
    </row>
    <row r="158">
      <c r="A158" s="48"/>
      <c r="B158" s="50"/>
    </row>
    <row r="159">
      <c r="A159" s="51"/>
      <c r="B159" s="52"/>
    </row>
    <row r="160">
      <c r="A160" s="48"/>
      <c r="B160" s="53"/>
    </row>
    <row r="161">
      <c r="A161" s="48"/>
      <c r="B161" s="52"/>
    </row>
    <row r="174">
      <c r="A174" s="23" t="s">
        <v>151</v>
      </c>
      <c r="B174" s="23">
        <v>0.76</v>
      </c>
    </row>
    <row r="201">
      <c r="A201" s="37" t="s">
        <v>161</v>
      </c>
    </row>
    <row r="202">
      <c r="A202" s="23" t="s">
        <v>162</v>
      </c>
      <c r="B202" s="39">
        <f>(B23*(B3*C3))/(B125*B174)</f>
        <v>73045.37205</v>
      </c>
    </row>
    <row r="215">
      <c r="A215" s="37" t="s">
        <v>163</v>
      </c>
    </row>
    <row r="217">
      <c r="A217" s="23" t="s">
        <v>164</v>
      </c>
      <c r="B217" s="39">
        <f>B202/(B97*B96)</f>
        <v>2.200161809</v>
      </c>
    </row>
    <row r="218">
      <c r="A218" s="26" t="s">
        <v>165</v>
      </c>
      <c r="B218" s="27"/>
    </row>
    <row r="219">
      <c r="A219" s="23" t="s">
        <v>166</v>
      </c>
      <c r="B219" s="23">
        <v>3.0</v>
      </c>
    </row>
    <row r="220">
      <c r="A220" s="23" t="s">
        <v>166</v>
      </c>
      <c r="B220" s="23">
        <v>4.0</v>
      </c>
    </row>
    <row r="221">
      <c r="A221" s="30" t="s">
        <v>175</v>
      </c>
    </row>
    <row r="244">
      <c r="C244" s="30" t="s">
        <v>168</v>
      </c>
    </row>
    <row r="246">
      <c r="A246" s="37" t="s">
        <v>169</v>
      </c>
    </row>
    <row r="250">
      <c r="A250" s="30" t="s">
        <v>179</v>
      </c>
    </row>
    <row r="252">
      <c r="A252" s="23" t="s">
        <v>171</v>
      </c>
      <c r="B252" s="23">
        <v>2.0</v>
      </c>
    </row>
    <row r="253">
      <c r="A253" s="23" t="s">
        <v>172</v>
      </c>
      <c r="B253" s="23">
        <v>2.0</v>
      </c>
    </row>
    <row r="255">
      <c r="C255" s="34" t="s">
        <v>173</v>
      </c>
    </row>
    <row r="256">
      <c r="A256" s="23" t="s">
        <v>174</v>
      </c>
      <c r="B256" s="23">
        <v>9.6</v>
      </c>
    </row>
    <row r="257">
      <c r="A257" s="23" t="s">
        <v>176</v>
      </c>
      <c r="B257" s="23">
        <v>11.18</v>
      </c>
    </row>
    <row r="258">
      <c r="A258" s="23" t="s">
        <v>177</v>
      </c>
      <c r="B258" s="21">
        <f>C3/B252</f>
        <v>4.8</v>
      </c>
      <c r="C258" s="59" t="str">
        <f t="shared" ref="C258:C259" si="1">IF(B258&lt;=$B$260,"CERTO","CORRIGIR")</f>
        <v>CERTO</v>
      </c>
    </row>
    <row r="259">
      <c r="A259" s="23" t="s">
        <v>180</v>
      </c>
      <c r="B259" s="39">
        <f>B3/B253</f>
        <v>5.59</v>
      </c>
      <c r="C259" s="59" t="str">
        <f t="shared" si="1"/>
        <v>CERTO</v>
      </c>
    </row>
    <row r="260">
      <c r="A260" s="23" t="s">
        <v>181</v>
      </c>
      <c r="B260" s="21">
        <f>1.5*F3</f>
        <v>9.3</v>
      </c>
    </row>
    <row r="267">
      <c r="A267" s="23" t="s">
        <v>182</v>
      </c>
      <c r="B267" s="78">
        <f>B258</f>
        <v>4.8</v>
      </c>
      <c r="C267" s="30" t="s">
        <v>183</v>
      </c>
    </row>
    <row r="268">
      <c r="A268" s="23" t="s">
        <v>184</v>
      </c>
      <c r="B268" s="39">
        <f>B258/2</f>
        <v>2.4</v>
      </c>
      <c r="C268" s="30" t="s">
        <v>218</v>
      </c>
    </row>
    <row r="269">
      <c r="A269" s="23" t="s">
        <v>185</v>
      </c>
      <c r="B269" s="39">
        <f>B259</f>
        <v>5.59</v>
      </c>
      <c r="C269" s="30" t="s">
        <v>186</v>
      </c>
    </row>
    <row r="270">
      <c r="A270" s="23" t="s">
        <v>187</v>
      </c>
      <c r="B270" s="39">
        <f>B259/2</f>
        <v>2.795</v>
      </c>
      <c r="C270" s="30" t="s">
        <v>189</v>
      </c>
    </row>
    <row r="272">
      <c r="C272" s="34" t="s">
        <v>173</v>
      </c>
    </row>
    <row r="275">
      <c r="A275" s="23" t="s">
        <v>182</v>
      </c>
      <c r="B275" s="78">
        <f t="shared" ref="B275:B278" si="2">B267</f>
        <v>4.8</v>
      </c>
      <c r="C275" s="59" t="str">
        <f t="shared" ref="C275:C278" si="3">IF(B275&lt;=$B$260,"CERTO","CORRIGIR")</f>
        <v>CERTO</v>
      </c>
    </row>
    <row r="276">
      <c r="A276" s="23" t="s">
        <v>184</v>
      </c>
      <c r="B276" s="39">
        <f t="shared" si="2"/>
        <v>2.4</v>
      </c>
      <c r="C276" s="59" t="str">
        <f t="shared" si="3"/>
        <v>CERTO</v>
      </c>
    </row>
    <row r="277">
      <c r="A277" s="23" t="s">
        <v>185</v>
      </c>
      <c r="B277" s="39">
        <f t="shared" si="2"/>
        <v>5.59</v>
      </c>
      <c r="C277" s="59" t="str">
        <f t="shared" si="3"/>
        <v>CERTO</v>
      </c>
    </row>
    <row r="278">
      <c r="A278" s="23" t="s">
        <v>187</v>
      </c>
      <c r="B278" s="39">
        <f t="shared" si="2"/>
        <v>2.795</v>
      </c>
      <c r="C278" s="59" t="str">
        <f t="shared" si="3"/>
        <v>CERTO</v>
      </c>
    </row>
    <row r="284">
      <c r="A284" s="37" t="s">
        <v>193</v>
      </c>
    </row>
    <row r="286">
      <c r="A286" s="64" t="s">
        <v>194</v>
      </c>
      <c r="B286" s="65">
        <v>220.0</v>
      </c>
    </row>
    <row r="287">
      <c r="A287" s="66" t="s">
        <v>195</v>
      </c>
      <c r="B287" s="67">
        <f>((B97)*B95)+B103/B104</f>
        <v>432.3529412</v>
      </c>
    </row>
    <row r="288">
      <c r="A288" s="66" t="s">
        <v>196</v>
      </c>
      <c r="B288" s="68">
        <v>440.0</v>
      </c>
      <c r="C288" s="30" t="s">
        <v>197</v>
      </c>
    </row>
    <row r="289">
      <c r="A289" s="66" t="s">
        <v>198</v>
      </c>
      <c r="B289" s="69">
        <f>B288*B220</f>
        <v>1760</v>
      </c>
    </row>
    <row r="290">
      <c r="A290" s="70" t="s">
        <v>199</v>
      </c>
      <c r="B290" s="67">
        <f>B289/B286</f>
        <v>8</v>
      </c>
    </row>
    <row r="296">
      <c r="A296" s="48"/>
      <c r="B296" s="71"/>
    </row>
    <row r="297">
      <c r="A297" s="48"/>
      <c r="B297" s="53"/>
    </row>
    <row r="298">
      <c r="A298" s="48"/>
      <c r="B298" s="52"/>
    </row>
    <row r="299">
      <c r="A299" s="48"/>
      <c r="B299" s="52"/>
    </row>
    <row r="300">
      <c r="A300" s="48"/>
      <c r="B300" s="53"/>
    </row>
  </sheetData>
  <mergeCells count="32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G117"/>
    <mergeCell ref="A146:H146"/>
    <mergeCell ref="A201:H201"/>
    <mergeCell ref="A215:H215"/>
    <mergeCell ref="C269:E269"/>
    <mergeCell ref="C270:F270"/>
    <mergeCell ref="C272:C274"/>
    <mergeCell ref="A284:H284"/>
    <mergeCell ref="A218:B218"/>
    <mergeCell ref="A221:B221"/>
    <mergeCell ref="A246:H246"/>
    <mergeCell ref="A248:F248"/>
    <mergeCell ref="C255:C257"/>
    <mergeCell ref="C267:F267"/>
    <mergeCell ref="C268:H2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56.13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9" t="s">
        <v>32</v>
      </c>
      <c r="B3" s="20">
        <f>DADOS!D7</f>
        <v>8.12</v>
      </c>
      <c r="C3" s="20">
        <f>DADOS!E7</f>
        <v>30.92</v>
      </c>
      <c r="D3" s="20">
        <f>DADOS!C7</f>
        <v>0.8</v>
      </c>
      <c r="E3" s="20">
        <f>DADOS!K7</f>
        <v>7</v>
      </c>
      <c r="F3" s="20">
        <f>E3-D3</f>
        <v>6.2</v>
      </c>
      <c r="G3" s="20" t="str">
        <f>DADOS!H7</f>
        <v>ZINCO</v>
      </c>
      <c r="H3" s="20" t="str">
        <f>DADOS!I7</f>
        <v>CLARA</v>
      </c>
      <c r="I3" s="20" t="str">
        <f>DADOS!J7</f>
        <v>CONCRETO</v>
      </c>
      <c r="J3" s="13" t="s">
        <v>40</v>
      </c>
    </row>
    <row r="6">
      <c r="A6" s="24" t="s">
        <v>41</v>
      </c>
    </row>
    <row r="10">
      <c r="A10" s="24" t="s">
        <v>48</v>
      </c>
    </row>
    <row r="13">
      <c r="A13" s="26" t="s">
        <v>51</v>
      </c>
      <c r="B13" s="27"/>
    </row>
    <row r="14">
      <c r="A14" s="23" t="s">
        <v>55</v>
      </c>
      <c r="B14" s="23">
        <v>41.0</v>
      </c>
    </row>
    <row r="15">
      <c r="A15" s="23" t="s">
        <v>58</v>
      </c>
      <c r="B15" s="23" t="s">
        <v>59</v>
      </c>
    </row>
    <row r="16">
      <c r="A16" s="23" t="s">
        <v>60</v>
      </c>
      <c r="B16" s="28">
        <v>0.4</v>
      </c>
    </row>
    <row r="17">
      <c r="A17" s="23" t="s">
        <v>64</v>
      </c>
      <c r="B17" s="23">
        <v>0.0</v>
      </c>
    </row>
    <row r="21">
      <c r="A21" s="26" t="s">
        <v>65</v>
      </c>
      <c r="B21" s="27"/>
    </row>
    <row r="22">
      <c r="A22" s="23" t="s">
        <v>68</v>
      </c>
      <c r="B22" s="23" t="s">
        <v>69</v>
      </c>
      <c r="C22" s="30"/>
      <c r="D22" s="30"/>
    </row>
    <row r="23">
      <c r="A23" s="23" t="s">
        <v>71</v>
      </c>
      <c r="B23" s="23">
        <v>750.0</v>
      </c>
      <c r="C23" s="11"/>
      <c r="D23" s="11"/>
    </row>
    <row r="26">
      <c r="A26" s="26"/>
      <c r="B26" s="27"/>
    </row>
    <row r="27">
      <c r="A27" s="23"/>
      <c r="B27" s="31"/>
    </row>
    <row r="28">
      <c r="A28" s="23"/>
      <c r="B28" s="32"/>
    </row>
    <row r="29">
      <c r="A29" s="23"/>
      <c r="B29" s="23"/>
    </row>
    <row r="33">
      <c r="A33" s="23" t="s">
        <v>71</v>
      </c>
      <c r="B33" s="33">
        <v>750.0</v>
      </c>
    </row>
    <row r="34">
      <c r="B34" s="34"/>
    </row>
    <row r="71">
      <c r="A71" s="11" t="s">
        <v>82</v>
      </c>
    </row>
    <row r="73">
      <c r="A73" s="30" t="s">
        <v>91</v>
      </c>
      <c r="F73" s="30"/>
    </row>
    <row r="75">
      <c r="A75" s="26" t="s">
        <v>84</v>
      </c>
      <c r="B75" s="27"/>
    </row>
    <row r="76">
      <c r="A76" s="23" t="s">
        <v>85</v>
      </c>
      <c r="B76" s="23" t="s">
        <v>87</v>
      </c>
    </row>
    <row r="77">
      <c r="A77" s="23" t="s">
        <v>88</v>
      </c>
      <c r="B77" s="23" t="s">
        <v>89</v>
      </c>
    </row>
    <row r="83">
      <c r="A83" s="36"/>
    </row>
    <row r="88">
      <c r="A88" s="11" t="s">
        <v>92</v>
      </c>
    </row>
    <row r="89">
      <c r="A89" s="30" t="s">
        <v>94</v>
      </c>
    </row>
    <row r="91">
      <c r="A91" s="26" t="s">
        <v>95</v>
      </c>
      <c r="B91" s="27"/>
    </row>
    <row r="92">
      <c r="A92" s="23" t="s">
        <v>85</v>
      </c>
      <c r="B92" s="23" t="s">
        <v>98</v>
      </c>
    </row>
    <row r="93">
      <c r="A93" s="23" t="s">
        <v>88</v>
      </c>
      <c r="B93" s="23" t="s">
        <v>89</v>
      </c>
    </row>
    <row r="94">
      <c r="A94" s="23" t="s">
        <v>99</v>
      </c>
      <c r="B94" s="23" t="s">
        <v>100</v>
      </c>
    </row>
    <row r="95">
      <c r="A95" s="23" t="s">
        <v>102</v>
      </c>
      <c r="B95" s="23">
        <v>400.0</v>
      </c>
    </row>
    <row r="96">
      <c r="A96" s="23" t="s">
        <v>103</v>
      </c>
      <c r="B96" s="23">
        <v>33200.0</v>
      </c>
    </row>
    <row r="97">
      <c r="A97" s="23" t="s">
        <v>104</v>
      </c>
      <c r="B97" s="23">
        <v>1.0</v>
      </c>
    </row>
    <row r="100">
      <c r="A100" s="26" t="s">
        <v>106</v>
      </c>
      <c r="B100" s="27"/>
    </row>
    <row r="101">
      <c r="A101" s="23" t="s">
        <v>85</v>
      </c>
      <c r="B101" s="23" t="s">
        <v>108</v>
      </c>
    </row>
    <row r="102">
      <c r="A102" s="23" t="s">
        <v>88</v>
      </c>
      <c r="B102" s="23" t="s">
        <v>89</v>
      </c>
    </row>
    <row r="103">
      <c r="A103" s="23" t="s">
        <v>109</v>
      </c>
      <c r="B103" s="23">
        <v>27.5</v>
      </c>
    </row>
    <row r="104">
      <c r="A104" s="23" t="s">
        <v>110</v>
      </c>
      <c r="B104" s="23">
        <v>0.85</v>
      </c>
    </row>
    <row r="106">
      <c r="A106" s="30" t="s">
        <v>111</v>
      </c>
    </row>
    <row r="108">
      <c r="A108" s="37" t="s">
        <v>112</v>
      </c>
    </row>
    <row r="109">
      <c r="A109" s="30" t="s">
        <v>114</v>
      </c>
    </row>
    <row r="112">
      <c r="A112" s="23" t="s">
        <v>116</v>
      </c>
      <c r="B112" s="39">
        <f>(C3*B3)/(F3*(C3+B3))</f>
        <v>1.037275251</v>
      </c>
    </row>
    <row r="115">
      <c r="A115" s="30" t="s">
        <v>145</v>
      </c>
    </row>
    <row r="117">
      <c r="A117" s="30" t="s">
        <v>146</v>
      </c>
    </row>
    <row r="119">
      <c r="A119" s="23" t="s">
        <v>10</v>
      </c>
      <c r="B119" s="21" t="str">
        <f>G3</f>
        <v>ZINCO</v>
      </c>
    </row>
    <row r="120">
      <c r="A120" s="23" t="s">
        <v>11</v>
      </c>
      <c r="B120" s="21" t="str">
        <f>H3</f>
        <v>CLARA</v>
      </c>
    </row>
    <row r="121">
      <c r="A121" s="23" t="s">
        <v>12</v>
      </c>
      <c r="B121" s="21" t="str">
        <f>I3</f>
        <v>CONCRETO</v>
      </c>
    </row>
    <row r="122">
      <c r="A122" s="23" t="s">
        <v>147</v>
      </c>
      <c r="B122" s="23">
        <v>0.7</v>
      </c>
    </row>
    <row r="123">
      <c r="A123" s="23" t="s">
        <v>148</v>
      </c>
      <c r="B123" s="23">
        <v>0.5</v>
      </c>
    </row>
    <row r="124">
      <c r="A124" s="23" t="s">
        <v>149</v>
      </c>
      <c r="B124" s="23">
        <v>0.1</v>
      </c>
    </row>
    <row r="125">
      <c r="A125" s="23" t="s">
        <v>150</v>
      </c>
      <c r="B125" s="23">
        <v>0.63</v>
      </c>
    </row>
    <row r="146">
      <c r="A146" s="37" t="s">
        <v>151</v>
      </c>
    </row>
    <row r="148">
      <c r="A148" s="30" t="s">
        <v>152</v>
      </c>
    </row>
    <row r="150">
      <c r="A150" s="23" t="s">
        <v>153</v>
      </c>
      <c r="B150" s="23" t="s">
        <v>154</v>
      </c>
    </row>
    <row r="151">
      <c r="A151" s="23" t="s">
        <v>155</v>
      </c>
      <c r="B151" s="23" t="s">
        <v>156</v>
      </c>
    </row>
    <row r="152">
      <c r="A152" s="23" t="s">
        <v>157</v>
      </c>
      <c r="B152" s="23">
        <v>24000.0</v>
      </c>
    </row>
    <row r="153">
      <c r="A153" s="23" t="s">
        <v>158</v>
      </c>
      <c r="B153" s="46">
        <f>(B152/2)/(14*30)</f>
        <v>28.57142857</v>
      </c>
    </row>
    <row r="154">
      <c r="A154" s="47" t="s">
        <v>159</v>
      </c>
      <c r="B154" s="3"/>
    </row>
    <row r="156">
      <c r="A156" s="30" t="s">
        <v>160</v>
      </c>
    </row>
    <row r="158">
      <c r="A158" s="48"/>
      <c r="B158" s="50"/>
    </row>
    <row r="159">
      <c r="A159" s="51"/>
      <c r="B159" s="52"/>
    </row>
    <row r="160">
      <c r="A160" s="48"/>
      <c r="B160" s="53"/>
    </row>
    <row r="161">
      <c r="A161" s="48"/>
      <c r="B161" s="52"/>
    </row>
    <row r="174">
      <c r="A174" s="23" t="s">
        <v>151</v>
      </c>
      <c r="B174" s="23">
        <v>0.76</v>
      </c>
    </row>
    <row r="201">
      <c r="A201" s="37" t="s">
        <v>161</v>
      </c>
    </row>
    <row r="202">
      <c r="A202" s="23" t="s">
        <v>162</v>
      </c>
      <c r="B202" s="39">
        <f>(B23*(B3*C3))/(B125*B174)</f>
        <v>393280.7018</v>
      </c>
    </row>
    <row r="215">
      <c r="A215" s="37" t="s">
        <v>163</v>
      </c>
    </row>
    <row r="217">
      <c r="A217" s="23" t="s">
        <v>164</v>
      </c>
      <c r="B217" s="39">
        <f>B202/(B97*B96)</f>
        <v>11.84580427</v>
      </c>
    </row>
    <row r="218">
      <c r="A218" s="26" t="s">
        <v>165</v>
      </c>
      <c r="B218" s="27"/>
    </row>
    <row r="219">
      <c r="A219" s="23" t="s">
        <v>166</v>
      </c>
      <c r="B219" s="23">
        <v>12.0</v>
      </c>
    </row>
    <row r="220">
      <c r="A220" s="23" t="s">
        <v>166</v>
      </c>
      <c r="B220" s="23">
        <v>12.0</v>
      </c>
    </row>
    <row r="223">
      <c r="B223" s="59">
        <f>389377.17/26000*1</f>
        <v>14.976045</v>
      </c>
    </row>
    <row r="244">
      <c r="C244" s="30" t="s">
        <v>168</v>
      </c>
    </row>
    <row r="246">
      <c r="A246" s="37" t="s">
        <v>169</v>
      </c>
    </row>
    <row r="250">
      <c r="A250" s="30" t="s">
        <v>219</v>
      </c>
    </row>
    <row r="252">
      <c r="A252" s="23" t="s">
        <v>171</v>
      </c>
      <c r="B252" s="23">
        <v>6.0</v>
      </c>
    </row>
    <row r="253">
      <c r="A253" s="23" t="s">
        <v>172</v>
      </c>
      <c r="B253" s="23">
        <v>2.0</v>
      </c>
    </row>
    <row r="256">
      <c r="A256" s="23" t="s">
        <v>174</v>
      </c>
      <c r="B256" s="23">
        <v>30.92</v>
      </c>
      <c r="C256" s="31" t="s">
        <v>173</v>
      </c>
    </row>
    <row r="257">
      <c r="A257" s="23" t="s">
        <v>176</v>
      </c>
      <c r="B257" s="23">
        <v>8.12</v>
      </c>
      <c r="C257" s="32"/>
    </row>
    <row r="258">
      <c r="A258" s="23" t="s">
        <v>177</v>
      </c>
      <c r="B258" s="39">
        <f>C3/B252</f>
        <v>5.153333333</v>
      </c>
      <c r="C258" s="21" t="str">
        <f t="shared" ref="C258:C259" si="1">IF(B258&lt;=$B$260,"CERTO","CORRIGIR")</f>
        <v>CERTO</v>
      </c>
    </row>
    <row r="259">
      <c r="A259" s="23" t="s">
        <v>180</v>
      </c>
      <c r="B259" s="21">
        <f>B3/B253</f>
        <v>4.06</v>
      </c>
      <c r="C259" s="21" t="str">
        <f t="shared" si="1"/>
        <v>CERTO</v>
      </c>
    </row>
    <row r="260">
      <c r="A260" s="23" t="s">
        <v>181</v>
      </c>
      <c r="B260" s="21">
        <f>1.5*F3</f>
        <v>9.3</v>
      </c>
      <c r="C260" s="21"/>
    </row>
    <row r="261">
      <c r="A261" s="23" t="s">
        <v>220</v>
      </c>
      <c r="B261" s="21">
        <f>C3/2</f>
        <v>15.46</v>
      </c>
      <c r="C261" s="21" t="str">
        <f>IF(B261&lt;=$B$260,"CERTO","CORRIGIR")</f>
        <v>CORRIGIR</v>
      </c>
    </row>
    <row r="267">
      <c r="A267" s="23" t="s">
        <v>190</v>
      </c>
      <c r="B267" s="78">
        <f>B258</f>
        <v>5.153333333</v>
      </c>
      <c r="C267" s="30" t="s">
        <v>183</v>
      </c>
    </row>
    <row r="268">
      <c r="A268" s="23" t="s">
        <v>192</v>
      </c>
      <c r="B268" s="78">
        <f>B267/2</f>
        <v>2.576666667</v>
      </c>
      <c r="C268" s="30" t="s">
        <v>218</v>
      </c>
    </row>
    <row r="269">
      <c r="A269" s="23" t="s">
        <v>185</v>
      </c>
      <c r="B269" s="21">
        <f>B259</f>
        <v>4.06</v>
      </c>
      <c r="C269" s="30" t="s">
        <v>186</v>
      </c>
    </row>
    <row r="270">
      <c r="A270" s="23" t="s">
        <v>187</v>
      </c>
      <c r="B270" s="21">
        <f>B259/2</f>
        <v>2.03</v>
      </c>
      <c r="C270" s="30" t="s">
        <v>189</v>
      </c>
    </row>
    <row r="272">
      <c r="A272" s="21"/>
      <c r="B272" s="21"/>
      <c r="C272" s="23" t="s">
        <v>173</v>
      </c>
    </row>
    <row r="273">
      <c r="A273" s="23" t="s">
        <v>182</v>
      </c>
      <c r="B273" s="78">
        <f t="shared" ref="B273:B276" si="2">B267</f>
        <v>5.153333333</v>
      </c>
      <c r="C273" s="21" t="str">
        <f t="shared" ref="C273:C276" si="3">IF(B273&lt;=$B$260,"CERTO","CORRIGIR")</f>
        <v>CERTO</v>
      </c>
    </row>
    <row r="274">
      <c r="A274" s="23" t="s">
        <v>184</v>
      </c>
      <c r="B274" s="78">
        <f t="shared" si="2"/>
        <v>2.576666667</v>
      </c>
      <c r="C274" s="21" t="str">
        <f t="shared" si="3"/>
        <v>CERTO</v>
      </c>
    </row>
    <row r="275">
      <c r="A275" s="23" t="s">
        <v>185</v>
      </c>
      <c r="B275" s="23">
        <f t="shared" si="2"/>
        <v>4.06</v>
      </c>
      <c r="C275" s="21" t="str">
        <f t="shared" si="3"/>
        <v>CERTO</v>
      </c>
    </row>
    <row r="276">
      <c r="A276" s="23" t="s">
        <v>187</v>
      </c>
      <c r="B276" s="23">
        <f t="shared" si="2"/>
        <v>2.03</v>
      </c>
      <c r="C276" s="21" t="str">
        <f t="shared" si="3"/>
        <v>CERTO</v>
      </c>
    </row>
    <row r="284">
      <c r="A284" s="37" t="s">
        <v>193</v>
      </c>
    </row>
    <row r="286">
      <c r="A286" s="64" t="s">
        <v>194</v>
      </c>
      <c r="B286" s="65">
        <v>220.0</v>
      </c>
    </row>
    <row r="287">
      <c r="A287" s="66" t="s">
        <v>195</v>
      </c>
      <c r="B287" s="67">
        <f>((B97)*B95)+B103/B104</f>
        <v>432.3529412</v>
      </c>
    </row>
    <row r="288">
      <c r="A288" s="66" t="s">
        <v>196</v>
      </c>
      <c r="B288" s="68">
        <v>440.0</v>
      </c>
      <c r="C288" s="30" t="s">
        <v>197</v>
      </c>
    </row>
    <row r="289">
      <c r="A289" s="66" t="s">
        <v>198</v>
      </c>
      <c r="B289" s="69">
        <f>B288*B220</f>
        <v>5280</v>
      </c>
    </row>
    <row r="290">
      <c r="A290" s="70" t="s">
        <v>199</v>
      </c>
      <c r="B290" s="67">
        <f>B289/B286</f>
        <v>24</v>
      </c>
    </row>
    <row r="296">
      <c r="A296" s="48"/>
      <c r="B296" s="71"/>
    </row>
    <row r="297">
      <c r="A297" s="48"/>
      <c r="B297" s="53"/>
    </row>
    <row r="298">
      <c r="A298" s="48"/>
      <c r="B298" s="52"/>
    </row>
    <row r="299">
      <c r="A299" s="48"/>
      <c r="B299" s="52"/>
    </row>
    <row r="300">
      <c r="A300" s="48"/>
      <c r="B300" s="53"/>
    </row>
  </sheetData>
  <mergeCells count="30">
    <mergeCell ref="A1:J1"/>
    <mergeCell ref="A6:J6"/>
    <mergeCell ref="A10:J10"/>
    <mergeCell ref="A13:B13"/>
    <mergeCell ref="A21:B21"/>
    <mergeCell ref="A26:B26"/>
    <mergeCell ref="A31:B31"/>
    <mergeCell ref="B27:B28"/>
    <mergeCell ref="B34:B35"/>
    <mergeCell ref="A71:F71"/>
    <mergeCell ref="A73:E73"/>
    <mergeCell ref="A75:B75"/>
    <mergeCell ref="A88:D88"/>
    <mergeCell ref="A89:B89"/>
    <mergeCell ref="A91:B91"/>
    <mergeCell ref="A100:B100"/>
    <mergeCell ref="A108:H108"/>
    <mergeCell ref="A117:F117"/>
    <mergeCell ref="A146:H146"/>
    <mergeCell ref="A201:H201"/>
    <mergeCell ref="A215:H215"/>
    <mergeCell ref="C270:F270"/>
    <mergeCell ref="A284:H284"/>
    <mergeCell ref="A218:B218"/>
    <mergeCell ref="A246:H246"/>
    <mergeCell ref="A248:F248"/>
    <mergeCell ref="C256:C257"/>
    <mergeCell ref="C267:F267"/>
    <mergeCell ref="C268:H268"/>
    <mergeCell ref="C269:E26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3.38"/>
    <col customWidth="1" min="4" max="4" width="18.25"/>
    <col customWidth="1" min="5" max="5" width="19.0"/>
  </cols>
  <sheetData>
    <row r="1">
      <c r="A1" s="79" t="s">
        <v>17</v>
      </c>
      <c r="I1" s="37"/>
      <c r="Q1" s="37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</row>
    <row r="3">
      <c r="B3" s="81" t="s">
        <v>2</v>
      </c>
      <c r="C3" s="9" t="s">
        <v>4</v>
      </c>
      <c r="D3" s="9" t="s">
        <v>6</v>
      </c>
      <c r="E3" s="82" t="s">
        <v>7</v>
      </c>
      <c r="F3" s="82" t="s">
        <v>9</v>
      </c>
      <c r="G3" s="82" t="s">
        <v>3</v>
      </c>
      <c r="H3" s="82" t="s">
        <v>10</v>
      </c>
      <c r="I3" s="82" t="s">
        <v>11</v>
      </c>
      <c r="J3" s="82" t="s">
        <v>12</v>
      </c>
      <c r="K3" s="82" t="s">
        <v>13</v>
      </c>
      <c r="L3" s="82" t="s">
        <v>58</v>
      </c>
      <c r="M3" s="82" t="s">
        <v>221</v>
      </c>
      <c r="N3" s="82" t="s">
        <v>222</v>
      </c>
      <c r="O3" s="81" t="s">
        <v>223</v>
      </c>
      <c r="P3" s="82" t="s">
        <v>224</v>
      </c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</row>
    <row r="4">
      <c r="B4" s="65" t="s">
        <v>35</v>
      </c>
      <c r="C4" s="65">
        <v>5.0</v>
      </c>
      <c r="D4" s="65">
        <v>30.9</v>
      </c>
      <c r="E4" s="84">
        <f t="shared" ref="E4:E6" si="1">D4*C4</f>
        <v>154.5</v>
      </c>
      <c r="F4" s="84">
        <f t="shared" ref="F4:F6" si="2">(2*D4)+(2*C4)</f>
        <v>71.8</v>
      </c>
      <c r="G4" s="85">
        <v>0.8</v>
      </c>
      <c r="H4" s="85" t="s">
        <v>20</v>
      </c>
      <c r="I4" s="85" t="s">
        <v>21</v>
      </c>
      <c r="J4" s="85" t="s">
        <v>22</v>
      </c>
      <c r="K4" s="85">
        <v>7.0</v>
      </c>
      <c r="L4" s="85" t="s">
        <v>59</v>
      </c>
      <c r="M4" s="86">
        <v>0.4</v>
      </c>
      <c r="N4" s="85" t="s">
        <v>225</v>
      </c>
      <c r="O4" s="87">
        <v>4.0</v>
      </c>
      <c r="P4" s="87">
        <v>1.0</v>
      </c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</row>
    <row r="5">
      <c r="B5" s="65" t="s">
        <v>38</v>
      </c>
      <c r="C5" s="65">
        <v>5.23</v>
      </c>
      <c r="D5" s="65">
        <v>39.25</v>
      </c>
      <c r="E5" s="84">
        <f t="shared" si="1"/>
        <v>205.2775</v>
      </c>
      <c r="F5" s="84">
        <f t="shared" si="2"/>
        <v>88.96</v>
      </c>
      <c r="G5" s="89"/>
      <c r="H5" s="89"/>
      <c r="I5" s="89"/>
      <c r="J5" s="89"/>
      <c r="K5" s="89"/>
      <c r="L5" s="89"/>
      <c r="M5" s="89"/>
      <c r="N5" s="89"/>
      <c r="O5" s="89"/>
      <c r="P5" s="89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>
      <c r="B6" s="65" t="s">
        <v>39</v>
      </c>
      <c r="C6" s="65">
        <v>27.95</v>
      </c>
      <c r="D6" s="65">
        <v>43.37</v>
      </c>
      <c r="E6" s="84">
        <f t="shared" si="1"/>
        <v>1212.1915</v>
      </c>
      <c r="F6" s="84">
        <f t="shared" si="2"/>
        <v>142.64</v>
      </c>
      <c r="G6" s="32"/>
      <c r="H6" s="32"/>
      <c r="I6" s="32"/>
      <c r="J6" s="32"/>
      <c r="K6" s="32"/>
      <c r="L6" s="32"/>
      <c r="M6" s="32"/>
      <c r="N6" s="32"/>
      <c r="O6" s="32"/>
      <c r="P6" s="32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35">
      <c r="A35" s="79" t="s">
        <v>226</v>
      </c>
      <c r="I35" s="37"/>
      <c r="Q35" s="37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</row>
    <row r="40">
      <c r="J40" s="30" t="s">
        <v>227</v>
      </c>
    </row>
    <row r="43">
      <c r="J43" s="90" t="s">
        <v>85</v>
      </c>
      <c r="K43" s="91" t="s">
        <v>228</v>
      </c>
    </row>
    <row r="44">
      <c r="J44" s="92" t="s">
        <v>88</v>
      </c>
      <c r="K44" s="93" t="s">
        <v>229</v>
      </c>
    </row>
    <row r="54">
      <c r="A54" s="79" t="s">
        <v>230</v>
      </c>
      <c r="I54" s="37"/>
      <c r="Q54" s="37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</row>
    <row r="57">
      <c r="D57" s="90" t="s">
        <v>85</v>
      </c>
      <c r="E57" s="91"/>
      <c r="G57" s="90" t="s">
        <v>85</v>
      </c>
      <c r="H57" s="91"/>
    </row>
    <row r="58">
      <c r="D58" s="92" t="s">
        <v>88</v>
      </c>
      <c r="E58" s="93"/>
      <c r="G58" s="92" t="s">
        <v>88</v>
      </c>
      <c r="H58" s="93"/>
    </row>
    <row r="68">
      <c r="A68" s="79" t="s">
        <v>231</v>
      </c>
      <c r="I68" s="37"/>
      <c r="Q68" s="37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</row>
    <row r="70">
      <c r="I70" s="30" t="s">
        <v>232</v>
      </c>
      <c r="L70" s="30" t="s">
        <v>233</v>
      </c>
    </row>
    <row r="71">
      <c r="B71" s="94" t="s">
        <v>234</v>
      </c>
      <c r="F71" s="30" t="s">
        <v>235</v>
      </c>
      <c r="G71" s="30" t="s">
        <v>236</v>
      </c>
      <c r="H71" s="30" t="s">
        <v>237</v>
      </c>
      <c r="I71" s="95" t="s">
        <v>236</v>
      </c>
      <c r="J71" s="30" t="s">
        <v>237</v>
      </c>
      <c r="K71" s="30" t="s">
        <v>238</v>
      </c>
      <c r="M71" s="96">
        <v>0.1</v>
      </c>
    </row>
    <row r="72" ht="41.25" customHeight="1">
      <c r="B72" s="82" t="s">
        <v>116</v>
      </c>
      <c r="C72" s="82" t="s">
        <v>239</v>
      </c>
      <c r="D72" s="82" t="s">
        <v>240</v>
      </c>
      <c r="E72" s="82" t="s">
        <v>241</v>
      </c>
      <c r="F72" s="82" t="s">
        <v>242</v>
      </c>
      <c r="G72" s="82" t="s">
        <v>243</v>
      </c>
      <c r="H72" s="82" t="s">
        <v>244</v>
      </c>
      <c r="I72" s="97" t="s">
        <v>245</v>
      </c>
      <c r="J72" s="81" t="s">
        <v>246</v>
      </c>
      <c r="K72" s="82" t="s">
        <v>247</v>
      </c>
      <c r="L72" s="81" t="s">
        <v>248</v>
      </c>
      <c r="M72" s="97" t="s">
        <v>249</v>
      </c>
      <c r="N72" s="30" t="s">
        <v>250</v>
      </c>
      <c r="O72" s="30" t="s">
        <v>251</v>
      </c>
      <c r="P72" s="98"/>
      <c r="Q72" s="98"/>
      <c r="R72" s="98"/>
      <c r="S72" s="98"/>
      <c r="T72" s="98"/>
      <c r="U72" s="98"/>
    </row>
    <row r="73">
      <c r="B73" s="84">
        <f t="shared" ref="B73:B75" si="3">(5*(D4+C4))/(D4*C4)</f>
        <v>1.161812298</v>
      </c>
      <c r="C73" s="84">
        <f>K4-P4-G4</f>
        <v>5.2</v>
      </c>
      <c r="D73" s="99">
        <f>P4</f>
        <v>1</v>
      </c>
      <c r="E73" s="84">
        <f>G4</f>
        <v>0.8</v>
      </c>
      <c r="F73" s="84">
        <f t="shared" ref="F73:F75" si="4">B73*C73</f>
        <v>6.041423948</v>
      </c>
      <c r="G73" s="84">
        <f t="shared" ref="G73:G75" si="5">B73*D73</f>
        <v>1.161812298</v>
      </c>
      <c r="H73" s="84">
        <f t="shared" ref="H73:H75" si="6">B73*E73</f>
        <v>0.9294498382</v>
      </c>
      <c r="I73" s="100">
        <v>0.1</v>
      </c>
      <c r="J73" s="86">
        <v>0.1</v>
      </c>
      <c r="K73" s="86">
        <v>0.5</v>
      </c>
      <c r="L73" s="99">
        <v>11.0</v>
      </c>
      <c r="M73" s="101">
        <v>11.0</v>
      </c>
      <c r="N73" s="30">
        <v>43.0</v>
      </c>
      <c r="O73" s="30">
        <v>59.0</v>
      </c>
      <c r="P73" s="102"/>
      <c r="Q73" s="102"/>
      <c r="R73" s="103"/>
      <c r="S73" s="102"/>
      <c r="T73" s="102"/>
      <c r="U73" s="102"/>
    </row>
    <row r="74">
      <c r="B74" s="84">
        <f t="shared" si="3"/>
        <v>1.08341148</v>
      </c>
      <c r="C74" s="84">
        <f>K4-P4-G4</f>
        <v>5.2</v>
      </c>
      <c r="D74" s="99">
        <f>P4</f>
        <v>1</v>
      </c>
      <c r="E74" s="84">
        <f>G4</f>
        <v>0.8</v>
      </c>
      <c r="F74" s="84">
        <f t="shared" si="4"/>
        <v>5.633739694</v>
      </c>
      <c r="G74" s="84">
        <f t="shared" si="5"/>
        <v>1.08341148</v>
      </c>
      <c r="H74" s="84">
        <f t="shared" si="6"/>
        <v>0.8667291837</v>
      </c>
      <c r="I74" s="89"/>
      <c r="J74" s="89"/>
      <c r="K74" s="89"/>
      <c r="L74" s="99">
        <v>11.0</v>
      </c>
      <c r="M74" s="101">
        <v>11.0</v>
      </c>
      <c r="N74" s="30">
        <v>43.0</v>
      </c>
      <c r="O74" s="30">
        <v>59.0</v>
      </c>
      <c r="P74" s="102"/>
      <c r="Q74" s="102"/>
      <c r="R74" s="102"/>
      <c r="S74" s="102"/>
      <c r="T74" s="102"/>
      <c r="U74" s="102"/>
    </row>
    <row r="75">
      <c r="B75" s="84">
        <f t="shared" si="3"/>
        <v>0.2941779414</v>
      </c>
      <c r="C75" s="84">
        <f>K4-P4-G4</f>
        <v>5.2</v>
      </c>
      <c r="D75" s="99">
        <f>P4</f>
        <v>1</v>
      </c>
      <c r="E75" s="84">
        <f>G4</f>
        <v>0.8</v>
      </c>
      <c r="F75" s="84">
        <f t="shared" si="4"/>
        <v>1.529725295</v>
      </c>
      <c r="G75" s="84">
        <f t="shared" si="5"/>
        <v>0.2941779414</v>
      </c>
      <c r="H75" s="84">
        <f t="shared" si="6"/>
        <v>0.2353423531</v>
      </c>
      <c r="I75" s="32"/>
      <c r="J75" s="32"/>
      <c r="K75" s="32"/>
      <c r="L75" s="99">
        <v>10.0</v>
      </c>
      <c r="M75" s="101">
        <v>10.0</v>
      </c>
      <c r="N75" s="30">
        <v>48.0</v>
      </c>
      <c r="O75" s="30">
        <v>67.0</v>
      </c>
      <c r="P75" s="102"/>
      <c r="Q75" s="102"/>
      <c r="R75" s="102"/>
      <c r="S75" s="102"/>
      <c r="T75" s="102"/>
      <c r="U75" s="102"/>
    </row>
    <row r="76">
      <c r="O76" s="105"/>
      <c r="P76" s="102"/>
      <c r="Q76" s="102"/>
      <c r="R76" s="102"/>
      <c r="S76" s="102"/>
      <c r="T76" s="102"/>
      <c r="U76" s="102"/>
    </row>
    <row r="77">
      <c r="O77" s="106"/>
      <c r="P77" s="102"/>
      <c r="Q77" s="102"/>
      <c r="R77" s="102"/>
      <c r="S77" s="102"/>
      <c r="T77" s="102"/>
      <c r="U77" s="102"/>
    </row>
    <row r="78">
      <c r="O78" s="105"/>
      <c r="P78" s="102"/>
      <c r="Q78" s="102"/>
      <c r="R78" s="102"/>
      <c r="S78" s="102"/>
      <c r="T78" s="102"/>
      <c r="U78" s="102"/>
    </row>
    <row r="79">
      <c r="O79" s="106"/>
      <c r="P79" s="102"/>
      <c r="Q79" s="102"/>
      <c r="R79" s="102"/>
      <c r="S79" s="102"/>
      <c r="T79" s="102"/>
      <c r="U79" s="102"/>
    </row>
    <row r="80">
      <c r="O80" s="105"/>
      <c r="P80" s="102"/>
      <c r="Q80" s="102"/>
      <c r="R80" s="102"/>
      <c r="S80" s="102"/>
      <c r="T80" s="102"/>
      <c r="U80" s="102"/>
    </row>
    <row r="81">
      <c r="O81" s="106"/>
      <c r="P81" s="102"/>
      <c r="Q81" s="102"/>
      <c r="R81" s="102"/>
      <c r="S81" s="102"/>
      <c r="T81" s="102"/>
      <c r="U81" s="102"/>
    </row>
    <row r="95">
      <c r="A95" s="79" t="s">
        <v>260</v>
      </c>
      <c r="I95" s="37"/>
      <c r="Q95" s="37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</row>
    <row r="96">
      <c r="H96" s="30" t="s">
        <v>261</v>
      </c>
    </row>
    <row r="98">
      <c r="A98" s="107" t="s">
        <v>262</v>
      </c>
      <c r="B98" s="108" t="s">
        <v>35</v>
      </c>
      <c r="C98" s="63"/>
      <c r="D98" s="27"/>
      <c r="E98" s="108" t="s">
        <v>38</v>
      </c>
      <c r="F98" s="63"/>
      <c r="G98" s="27"/>
      <c r="H98" s="108" t="s">
        <v>39</v>
      </c>
      <c r="I98" s="63"/>
      <c r="J98" s="27"/>
    </row>
    <row r="99">
      <c r="A99" s="32"/>
      <c r="B99" s="109" t="s">
        <v>265</v>
      </c>
      <c r="C99" s="110" t="s">
        <v>266</v>
      </c>
      <c r="D99" s="110">
        <f>F73</f>
        <v>6.041423948</v>
      </c>
      <c r="E99" s="109" t="s">
        <v>267</v>
      </c>
      <c r="F99" s="109" t="s">
        <v>265</v>
      </c>
      <c r="G99" s="111">
        <f>F74</f>
        <v>5.633739694</v>
      </c>
      <c r="H99" s="109" t="s">
        <v>269</v>
      </c>
      <c r="I99" s="109" t="s">
        <v>270</v>
      </c>
      <c r="J99" s="111">
        <f>F75</f>
        <v>1.529725295</v>
      </c>
    </row>
    <row r="100">
      <c r="A100" s="112" t="s">
        <v>272</v>
      </c>
      <c r="B100" s="112">
        <v>10.0</v>
      </c>
      <c r="C100" s="112">
        <v>10.0</v>
      </c>
      <c r="D100" s="113">
        <v>7.0</v>
      </c>
      <c r="E100" s="112">
        <v>10.0</v>
      </c>
      <c r="F100" s="112">
        <v>10.0</v>
      </c>
      <c r="G100" s="112">
        <v>6.0</v>
      </c>
      <c r="H100" s="112">
        <v>10.0</v>
      </c>
      <c r="I100" s="112">
        <v>10.0</v>
      </c>
      <c r="J100" s="112">
        <v>2.0</v>
      </c>
    </row>
    <row r="101">
      <c r="A101" s="112" t="s">
        <v>273</v>
      </c>
      <c r="B101" s="112">
        <v>50.0</v>
      </c>
      <c r="C101" s="112">
        <v>50.0</v>
      </c>
      <c r="D101" s="113">
        <v>6.0</v>
      </c>
      <c r="E101" s="112">
        <v>50.0</v>
      </c>
      <c r="F101" s="112">
        <v>50.0</v>
      </c>
      <c r="G101" s="112">
        <v>5.0</v>
      </c>
      <c r="H101" s="112">
        <v>50.0</v>
      </c>
      <c r="I101" s="112">
        <v>50.0</v>
      </c>
      <c r="J101" s="112">
        <v>1.0</v>
      </c>
    </row>
    <row r="102">
      <c r="A102" s="112" t="s">
        <v>274</v>
      </c>
      <c r="B102" s="113">
        <v>0.44</v>
      </c>
      <c r="C102" s="113">
        <v>0.41</v>
      </c>
      <c r="D102" s="114">
        <f>B108</f>
        <v>0.4595</v>
      </c>
      <c r="E102" s="113">
        <v>0.47</v>
      </c>
      <c r="F102" s="113">
        <v>0.44</v>
      </c>
      <c r="G102" s="113">
        <f>E108</f>
        <v>0.47075</v>
      </c>
      <c r="H102" s="113">
        <v>0.67</v>
      </c>
      <c r="I102" s="113">
        <v>0.61</v>
      </c>
      <c r="J102" s="114">
        <f>H108</f>
        <v>0.67125</v>
      </c>
    </row>
    <row r="103">
      <c r="A103" s="112" t="s">
        <v>275</v>
      </c>
      <c r="B103" s="113">
        <v>0.46</v>
      </c>
      <c r="C103" s="113">
        <v>0.43</v>
      </c>
      <c r="D103" s="114">
        <f>C108</f>
        <v>0.4295</v>
      </c>
      <c r="E103" s="113">
        <v>0.5</v>
      </c>
      <c r="F103" s="113">
        <v>0.46</v>
      </c>
      <c r="G103" s="113">
        <f>F108</f>
        <v>0.4405</v>
      </c>
      <c r="H103" s="113">
        <v>0.72</v>
      </c>
      <c r="I103" s="113">
        <v>0.65</v>
      </c>
      <c r="J103" s="114">
        <f>I108</f>
        <v>0.611</v>
      </c>
    </row>
    <row r="104">
      <c r="A104" s="112" t="s">
        <v>276</v>
      </c>
      <c r="B104" s="114">
        <f>M73</f>
        <v>11</v>
      </c>
      <c r="C104" s="114">
        <f>B104</f>
        <v>11</v>
      </c>
      <c r="D104" s="114">
        <f>D99</f>
        <v>6.041423948</v>
      </c>
      <c r="E104" s="114">
        <f>M74</f>
        <v>11</v>
      </c>
      <c r="F104" s="114">
        <f>E104</f>
        <v>11</v>
      </c>
      <c r="G104" s="114">
        <f>G99</f>
        <v>5.633739694</v>
      </c>
      <c r="H104" s="114">
        <f>M73</f>
        <v>11</v>
      </c>
      <c r="I104" s="114">
        <f>H104</f>
        <v>11</v>
      </c>
      <c r="J104" s="114">
        <f>J99</f>
        <v>1.529725295</v>
      </c>
    </row>
    <row r="105">
      <c r="A105" s="112" t="s">
        <v>277</v>
      </c>
      <c r="B105" s="114">
        <f t="shared" ref="B105:J105" si="7">B101-B100</f>
        <v>40</v>
      </c>
      <c r="C105" s="114">
        <f t="shared" si="7"/>
        <v>40</v>
      </c>
      <c r="D105" s="114">
        <f t="shared" si="7"/>
        <v>-1</v>
      </c>
      <c r="E105" s="114">
        <f t="shared" si="7"/>
        <v>40</v>
      </c>
      <c r="F105" s="114">
        <f t="shared" si="7"/>
        <v>40</v>
      </c>
      <c r="G105" s="114">
        <f t="shared" si="7"/>
        <v>-1</v>
      </c>
      <c r="H105" s="114">
        <f t="shared" si="7"/>
        <v>40</v>
      </c>
      <c r="I105" s="114">
        <f t="shared" si="7"/>
        <v>40</v>
      </c>
      <c r="J105" s="114">
        <f t="shared" si="7"/>
        <v>-1</v>
      </c>
    </row>
    <row r="106">
      <c r="A106" s="112" t="s">
        <v>278</v>
      </c>
      <c r="B106" s="114">
        <f t="shared" ref="B106:C106" si="8">B104-B100</f>
        <v>1</v>
      </c>
      <c r="C106" s="114">
        <f t="shared" si="8"/>
        <v>1</v>
      </c>
      <c r="D106" s="114">
        <f t="shared" ref="D106:J106" si="9">D101-D104</f>
        <v>-0.04142394822</v>
      </c>
      <c r="E106" s="114">
        <f t="shared" si="9"/>
        <v>39</v>
      </c>
      <c r="F106" s="114">
        <f t="shared" si="9"/>
        <v>39</v>
      </c>
      <c r="G106" s="114">
        <f t="shared" si="9"/>
        <v>-0.6337396938</v>
      </c>
      <c r="H106" s="114">
        <f t="shared" si="9"/>
        <v>39</v>
      </c>
      <c r="I106" s="114">
        <f t="shared" si="9"/>
        <v>39</v>
      </c>
      <c r="J106" s="114">
        <f t="shared" si="9"/>
        <v>-0.5297252951</v>
      </c>
    </row>
    <row r="107">
      <c r="A107" s="112" t="s">
        <v>279</v>
      </c>
      <c r="B107" s="114">
        <f t="shared" ref="B107:C107" si="10">B103-B102</f>
        <v>0.02</v>
      </c>
      <c r="C107" s="114">
        <f t="shared" si="10"/>
        <v>0.02</v>
      </c>
      <c r="D107" s="114">
        <f>D102-D103</f>
        <v>0.03</v>
      </c>
      <c r="E107" s="114">
        <f t="shared" ref="E107:F107" si="11">E103-E102</f>
        <v>0.03</v>
      </c>
      <c r="F107" s="114">
        <f t="shared" si="11"/>
        <v>0.02</v>
      </c>
      <c r="G107" s="114">
        <f>G102-G103</f>
        <v>0.03025</v>
      </c>
      <c r="H107" s="114">
        <f t="shared" ref="H107:I107" si="12">H103-H102</f>
        <v>0.05</v>
      </c>
      <c r="I107" s="114">
        <f t="shared" si="12"/>
        <v>0.04</v>
      </c>
      <c r="J107" s="114">
        <f>J102-J103</f>
        <v>0.06025</v>
      </c>
    </row>
    <row r="108">
      <c r="A108" s="112" t="s">
        <v>280</v>
      </c>
      <c r="B108" s="114">
        <f t="shared" ref="B108:J108" si="13">((B103*B105)-(B107*B106))/(B105)</f>
        <v>0.4595</v>
      </c>
      <c r="C108" s="114">
        <f t="shared" si="13"/>
        <v>0.4295</v>
      </c>
      <c r="D108" s="114">
        <f t="shared" si="13"/>
        <v>0.4282572816</v>
      </c>
      <c r="E108" s="114">
        <f t="shared" si="13"/>
        <v>0.47075</v>
      </c>
      <c r="F108" s="114">
        <f t="shared" si="13"/>
        <v>0.4405</v>
      </c>
      <c r="G108" s="114">
        <f t="shared" si="13"/>
        <v>0.4213293743</v>
      </c>
      <c r="H108" s="114">
        <f t="shared" si="13"/>
        <v>0.67125</v>
      </c>
      <c r="I108" s="114">
        <f t="shared" si="13"/>
        <v>0.611</v>
      </c>
      <c r="J108" s="114">
        <f t="shared" si="13"/>
        <v>0.579084051</v>
      </c>
    </row>
  </sheetData>
  <mergeCells count="33">
    <mergeCell ref="M4:M6"/>
    <mergeCell ref="N4:N6"/>
    <mergeCell ref="O4:O6"/>
    <mergeCell ref="P4:P6"/>
    <mergeCell ref="A1:H1"/>
    <mergeCell ref="I1:P1"/>
    <mergeCell ref="Q1:X1"/>
    <mergeCell ref="G4:G6"/>
    <mergeCell ref="H4:H6"/>
    <mergeCell ref="I4:I6"/>
    <mergeCell ref="J4:J6"/>
    <mergeCell ref="K4:K6"/>
    <mergeCell ref="L4:L6"/>
    <mergeCell ref="A35:H35"/>
    <mergeCell ref="I35:P35"/>
    <mergeCell ref="Q35:X35"/>
    <mergeCell ref="I54:P54"/>
    <mergeCell ref="Q54:X54"/>
    <mergeCell ref="I73:I75"/>
    <mergeCell ref="A95:H95"/>
    <mergeCell ref="I95:P95"/>
    <mergeCell ref="Q95:X95"/>
    <mergeCell ref="A98:A99"/>
    <mergeCell ref="B98:D98"/>
    <mergeCell ref="E98:G98"/>
    <mergeCell ref="H98:J98"/>
    <mergeCell ref="A54:H54"/>
    <mergeCell ref="A68:H68"/>
    <mergeCell ref="I68:P68"/>
    <mergeCell ref="Q68:X68"/>
    <mergeCell ref="L70:M70"/>
    <mergeCell ref="J73:J75"/>
    <mergeCell ref="K73:K7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41.25"/>
    <col customWidth="1" min="3" max="3" width="18.38"/>
    <col customWidth="1" min="10" max="10" width="18.88"/>
  </cols>
  <sheetData>
    <row r="1">
      <c r="A1" s="11" t="s">
        <v>17</v>
      </c>
    </row>
    <row r="2">
      <c r="A2" s="13" t="s">
        <v>2</v>
      </c>
      <c r="B2" s="4" t="s">
        <v>4</v>
      </c>
      <c r="C2" s="4" t="s">
        <v>6</v>
      </c>
      <c r="D2" s="2" t="s">
        <v>3</v>
      </c>
      <c r="E2" s="2" t="s">
        <v>13</v>
      </c>
      <c r="F2" s="2" t="s">
        <v>24</v>
      </c>
      <c r="G2" s="6" t="s">
        <v>10</v>
      </c>
      <c r="H2" s="6" t="s">
        <v>11</v>
      </c>
      <c r="I2" s="6" t="s">
        <v>12</v>
      </c>
      <c r="J2" s="18" t="s">
        <v>26</v>
      </c>
    </row>
    <row r="3">
      <c r="A3" s="8" t="s">
        <v>63</v>
      </c>
      <c r="B3" s="21">
        <f>DADOS!D15</f>
        <v>9.6</v>
      </c>
      <c r="C3" s="21">
        <f>DADOS!E15</f>
        <v>9.8</v>
      </c>
      <c r="D3" s="21">
        <f>DADOS!C15</f>
        <v>0.8</v>
      </c>
      <c r="E3" s="21">
        <f>DADOS!K15</f>
        <v>7</v>
      </c>
      <c r="F3" s="21">
        <f>E3-D3</f>
        <v>6.2</v>
      </c>
      <c r="G3" s="21" t="str">
        <f>DADOS!H15</f>
        <v>BRANCO</v>
      </c>
      <c r="H3" s="21" t="str">
        <f>DADOS!I15</f>
        <v>BRANCA</v>
      </c>
      <c r="I3" s="21" t="str">
        <f>DADOS!J15</f>
        <v>CONCRETO</v>
      </c>
      <c r="J3" s="23" t="s">
        <v>252</v>
      </c>
    </row>
    <row r="6">
      <c r="A6" s="11" t="s">
        <v>41</v>
      </c>
    </row>
    <row r="8">
      <c r="A8" s="11" t="s">
        <v>48</v>
      </c>
    </row>
    <row r="11">
      <c r="A11" s="26" t="s">
        <v>51</v>
      </c>
      <c r="B11" s="27"/>
    </row>
    <row r="12">
      <c r="A12" s="23" t="s">
        <v>55</v>
      </c>
      <c r="B12" s="23">
        <v>41.0</v>
      </c>
    </row>
    <row r="13">
      <c r="A13" s="23" t="s">
        <v>58</v>
      </c>
      <c r="B13" s="23" t="s">
        <v>59</v>
      </c>
    </row>
    <row r="14">
      <c r="A14" s="23" t="s">
        <v>60</v>
      </c>
      <c r="B14" s="28">
        <v>0.4</v>
      </c>
    </row>
    <row r="15">
      <c r="A15" s="23" t="s">
        <v>64</v>
      </c>
      <c r="B15" s="23">
        <v>0.0</v>
      </c>
    </row>
    <row r="17">
      <c r="A17" s="26" t="s">
        <v>65</v>
      </c>
      <c r="B17" s="27"/>
    </row>
    <row r="18">
      <c r="A18" s="23" t="s">
        <v>68</v>
      </c>
      <c r="B18" s="23" t="s">
        <v>253</v>
      </c>
      <c r="C18" s="30"/>
      <c r="D18" s="30"/>
    </row>
    <row r="19">
      <c r="A19" s="23" t="s">
        <v>71</v>
      </c>
      <c r="B19" s="23">
        <v>200.0</v>
      </c>
      <c r="C19" s="11"/>
      <c r="D19" s="11"/>
    </row>
    <row r="51">
      <c r="A51" s="11" t="s">
        <v>82</v>
      </c>
    </row>
    <row r="53">
      <c r="A53" s="30" t="s">
        <v>254</v>
      </c>
      <c r="B53" s="30"/>
      <c r="C53" s="30"/>
      <c r="D53" s="30"/>
      <c r="E53" s="30"/>
      <c r="F53" s="30"/>
    </row>
    <row r="55">
      <c r="A55" s="26" t="s">
        <v>84</v>
      </c>
      <c r="B55" s="27"/>
    </row>
    <row r="56">
      <c r="A56" s="23" t="s">
        <v>85</v>
      </c>
      <c r="B56" s="23" t="s">
        <v>255</v>
      </c>
    </row>
    <row r="57">
      <c r="A57" s="23" t="s">
        <v>88</v>
      </c>
      <c r="B57" s="23" t="s">
        <v>256</v>
      </c>
    </row>
    <row r="63">
      <c r="A63" s="36"/>
    </row>
    <row r="68">
      <c r="A68" s="11" t="s">
        <v>92</v>
      </c>
    </row>
    <row r="69">
      <c r="A69" s="30" t="s">
        <v>94</v>
      </c>
    </row>
    <row r="71">
      <c r="A71" s="26" t="s">
        <v>95</v>
      </c>
      <c r="B71" s="27"/>
    </row>
    <row r="72">
      <c r="A72" s="23" t="s">
        <v>85</v>
      </c>
      <c r="B72" s="23" t="s">
        <v>257</v>
      </c>
    </row>
    <row r="73">
      <c r="A73" s="23" t="s">
        <v>88</v>
      </c>
      <c r="B73" s="23"/>
    </row>
    <row r="74">
      <c r="A74" s="23" t="s">
        <v>99</v>
      </c>
      <c r="B74" s="23" t="s">
        <v>252</v>
      </c>
      <c r="E74" s="104" t="s">
        <v>258</v>
      </c>
    </row>
    <row r="75">
      <c r="A75" s="23" t="s">
        <v>102</v>
      </c>
      <c r="B75" s="23">
        <v>500.0</v>
      </c>
    </row>
    <row r="76">
      <c r="A76" s="23" t="s">
        <v>103</v>
      </c>
      <c r="B76" s="23">
        <v>32000.0</v>
      </c>
    </row>
    <row r="77">
      <c r="A77" s="23" t="s">
        <v>104</v>
      </c>
      <c r="B77" s="23">
        <v>1.0</v>
      </c>
    </row>
    <row r="80">
      <c r="A80" s="26" t="s">
        <v>259</v>
      </c>
      <c r="B80" s="27"/>
    </row>
    <row r="81">
      <c r="A81" s="23" t="s">
        <v>85</v>
      </c>
      <c r="B81" s="23"/>
    </row>
    <row r="82">
      <c r="A82" s="23" t="s">
        <v>88</v>
      </c>
      <c r="B82" s="23"/>
    </row>
    <row r="83">
      <c r="A83" s="23" t="s">
        <v>109</v>
      </c>
      <c r="B83" s="23"/>
    </row>
    <row r="84">
      <c r="A84" s="23" t="s">
        <v>110</v>
      </c>
      <c r="B84" s="23"/>
    </row>
    <row r="86">
      <c r="A86" s="30" t="s">
        <v>111</v>
      </c>
    </row>
    <row r="88">
      <c r="A88" s="37" t="s">
        <v>112</v>
      </c>
    </row>
    <row r="89">
      <c r="A89" s="30" t="s">
        <v>114</v>
      </c>
    </row>
    <row r="92">
      <c r="A92" s="23" t="s">
        <v>116</v>
      </c>
      <c r="B92" s="39">
        <f>(C3*B3)/(F3*(C3+B3))</f>
        <v>0.7821749252</v>
      </c>
    </row>
    <row r="95">
      <c r="A95" s="30" t="s">
        <v>145</v>
      </c>
    </row>
    <row r="97">
      <c r="A97" s="30" t="s">
        <v>146</v>
      </c>
    </row>
    <row r="99">
      <c r="A99" s="23" t="s">
        <v>10</v>
      </c>
      <c r="B99" s="21" t="str">
        <f>G3</f>
        <v>BRANCO</v>
      </c>
    </row>
    <row r="100">
      <c r="A100" s="23" t="s">
        <v>11</v>
      </c>
      <c r="B100" s="21" t="str">
        <f>H3</f>
        <v>BRANCA</v>
      </c>
    </row>
    <row r="101">
      <c r="A101" s="42" t="s">
        <v>12</v>
      </c>
      <c r="B101" s="43" t="str">
        <f>I3</f>
        <v>CONCRETO</v>
      </c>
    </row>
    <row r="102">
      <c r="A102" s="42" t="s">
        <v>147</v>
      </c>
      <c r="B102" s="42">
        <v>0.7</v>
      </c>
    </row>
    <row r="103">
      <c r="A103" s="42" t="s">
        <v>148</v>
      </c>
      <c r="B103" s="42">
        <v>0.5</v>
      </c>
    </row>
    <row r="104">
      <c r="A104" s="42" t="s">
        <v>149</v>
      </c>
      <c r="B104" s="42">
        <v>0.1</v>
      </c>
    </row>
    <row r="105">
      <c r="A105" s="42" t="s">
        <v>150</v>
      </c>
      <c r="B105" s="42">
        <v>0.19</v>
      </c>
    </row>
    <row r="106">
      <c r="A106" s="45"/>
      <c r="B106" s="45"/>
    </row>
    <row r="107">
      <c r="A107" s="45"/>
      <c r="B107" s="45"/>
    </row>
    <row r="108">
      <c r="A108" s="75" t="s">
        <v>263</v>
      </c>
      <c r="B108" s="45"/>
    </row>
    <row r="109">
      <c r="A109" s="45"/>
      <c r="B109" s="45"/>
    </row>
    <row r="110">
      <c r="A110" s="45"/>
      <c r="B110" s="45"/>
    </row>
    <row r="126">
      <c r="A126" s="37" t="s">
        <v>151</v>
      </c>
    </row>
    <row r="128">
      <c r="A128" s="30" t="s">
        <v>152</v>
      </c>
    </row>
    <row r="130">
      <c r="A130" s="23" t="s">
        <v>153</v>
      </c>
      <c r="B130" s="23" t="s">
        <v>264</v>
      </c>
    </row>
    <row r="131">
      <c r="A131" s="23" t="s">
        <v>155</v>
      </c>
      <c r="B131" s="23" t="s">
        <v>156</v>
      </c>
    </row>
    <row r="132">
      <c r="A132" s="23" t="s">
        <v>157</v>
      </c>
      <c r="B132" s="23">
        <v>20000.0</v>
      </c>
    </row>
    <row r="133">
      <c r="A133" s="23" t="s">
        <v>158</v>
      </c>
      <c r="B133" s="46">
        <f>(B132/2)/(14*30)</f>
        <v>23.80952381</v>
      </c>
    </row>
    <row r="134">
      <c r="A134" s="47" t="s">
        <v>159</v>
      </c>
      <c r="B134" s="3"/>
    </row>
    <row r="136">
      <c r="A136" s="30" t="s">
        <v>160</v>
      </c>
    </row>
    <row r="138">
      <c r="A138" s="48"/>
      <c r="B138" s="50"/>
    </row>
    <row r="139">
      <c r="A139" s="51"/>
      <c r="B139" s="52"/>
    </row>
    <row r="140">
      <c r="A140" s="48"/>
      <c r="B140" s="53"/>
    </row>
    <row r="141">
      <c r="A141" s="48"/>
      <c r="B141" s="52"/>
    </row>
    <row r="151">
      <c r="A151" s="23" t="s">
        <v>151</v>
      </c>
      <c r="B151" s="23">
        <v>0.69</v>
      </c>
    </row>
    <row r="156">
      <c r="A156" s="37" t="s">
        <v>161</v>
      </c>
    </row>
    <row r="157">
      <c r="A157" s="23" t="s">
        <v>162</v>
      </c>
      <c r="B157" s="39">
        <f>(B19*B3*C3)/(B105*B151)</f>
        <v>143524.0275</v>
      </c>
    </row>
    <row r="170">
      <c r="A170" s="37" t="s">
        <v>163</v>
      </c>
    </row>
    <row r="172">
      <c r="A172" s="23" t="s">
        <v>164</v>
      </c>
      <c r="B172" s="39">
        <f>B157/(B77*B76)</f>
        <v>4.485125858</v>
      </c>
    </row>
    <row r="173">
      <c r="A173" s="26" t="s">
        <v>165</v>
      </c>
      <c r="B173" s="27"/>
    </row>
    <row r="174">
      <c r="A174" s="23" t="s">
        <v>166</v>
      </c>
      <c r="B174" s="23">
        <v>4.0</v>
      </c>
    </row>
    <row r="175">
      <c r="A175" s="23" t="s">
        <v>166</v>
      </c>
      <c r="B175" s="11">
        <v>5.0</v>
      </c>
    </row>
    <row r="176">
      <c r="A176" s="30" t="s">
        <v>268</v>
      </c>
    </row>
    <row r="199">
      <c r="C199" s="30" t="s">
        <v>168</v>
      </c>
    </row>
    <row r="201">
      <c r="A201" s="37" t="s">
        <v>169</v>
      </c>
    </row>
    <row r="205">
      <c r="A205" s="30" t="s">
        <v>271</v>
      </c>
    </row>
    <row r="207">
      <c r="A207" s="23" t="s">
        <v>171</v>
      </c>
      <c r="B207" s="23">
        <v>2.0</v>
      </c>
    </row>
    <row r="208">
      <c r="A208" s="23" t="s">
        <v>172</v>
      </c>
      <c r="B208" s="23">
        <v>3.0</v>
      </c>
    </row>
    <row r="210">
      <c r="C210" s="34" t="s">
        <v>173</v>
      </c>
    </row>
    <row r="211">
      <c r="A211" s="23" t="s">
        <v>174</v>
      </c>
      <c r="B211" s="23">
        <v>9.6</v>
      </c>
    </row>
    <row r="212">
      <c r="A212" s="23" t="s">
        <v>176</v>
      </c>
      <c r="B212" s="23">
        <v>9.28</v>
      </c>
    </row>
    <row r="213">
      <c r="A213" s="23" t="s">
        <v>177</v>
      </c>
      <c r="B213" s="21">
        <f>C3/B207</f>
        <v>4.9</v>
      </c>
      <c r="C213" s="59" t="str">
        <f t="shared" ref="C213:C214" si="1">IF(B213&lt;=$B$215,"CERTO","CORRIGIR")</f>
        <v>CERTO</v>
      </c>
    </row>
    <row r="214">
      <c r="A214" s="23" t="s">
        <v>180</v>
      </c>
      <c r="B214" s="39">
        <f>B3/B208</f>
        <v>3.2</v>
      </c>
      <c r="C214" s="59" t="str">
        <f t="shared" si="1"/>
        <v>CERTO</v>
      </c>
    </row>
    <row r="215">
      <c r="A215" s="23" t="s">
        <v>181</v>
      </c>
      <c r="B215" s="21">
        <f>1.5*F3</f>
        <v>9.3</v>
      </c>
    </row>
    <row r="222">
      <c r="A222" s="23" t="s">
        <v>182</v>
      </c>
      <c r="B222" s="23">
        <v>4.8</v>
      </c>
      <c r="C222" s="30" t="s">
        <v>183</v>
      </c>
    </row>
    <row r="223">
      <c r="A223" s="23" t="s">
        <v>184</v>
      </c>
      <c r="B223" s="21">
        <f>B222/2</f>
        <v>2.4</v>
      </c>
    </row>
    <row r="224">
      <c r="A224" s="23" t="s">
        <v>185</v>
      </c>
      <c r="B224" s="39">
        <f>B214</f>
        <v>3.2</v>
      </c>
      <c r="C224" s="30" t="s">
        <v>186</v>
      </c>
    </row>
    <row r="225">
      <c r="A225" s="23" t="s">
        <v>187</v>
      </c>
      <c r="B225" s="39">
        <f>B214/2</f>
        <v>1.6</v>
      </c>
      <c r="C225" s="30" t="s">
        <v>189</v>
      </c>
    </row>
    <row r="228">
      <c r="A228" s="21"/>
      <c r="B228" s="21"/>
      <c r="C228" s="23" t="s">
        <v>173</v>
      </c>
    </row>
    <row r="229">
      <c r="A229" s="23" t="s">
        <v>182</v>
      </c>
      <c r="B229" s="23">
        <f t="shared" ref="B229:B232" si="2">B222</f>
        <v>4.8</v>
      </c>
      <c r="C229" s="21" t="str">
        <f t="shared" ref="C229:C232" si="3">IF(B229&lt;=$B$215,"CERTO","CORRIGIR")</f>
        <v>CERTO</v>
      </c>
    </row>
    <row r="230">
      <c r="A230" s="23" t="s">
        <v>184</v>
      </c>
      <c r="B230" s="21">
        <f t="shared" si="2"/>
        <v>2.4</v>
      </c>
      <c r="C230" s="21" t="str">
        <f t="shared" si="3"/>
        <v>CERTO</v>
      </c>
    </row>
    <row r="231">
      <c r="A231" s="23" t="s">
        <v>185</v>
      </c>
      <c r="B231" s="39">
        <f t="shared" si="2"/>
        <v>3.2</v>
      </c>
      <c r="C231" s="21" t="str">
        <f t="shared" si="3"/>
        <v>CERTO</v>
      </c>
    </row>
    <row r="232">
      <c r="A232" s="23" t="s">
        <v>187</v>
      </c>
      <c r="B232" s="39">
        <f t="shared" si="2"/>
        <v>1.6</v>
      </c>
      <c r="C232" s="21" t="str">
        <f t="shared" si="3"/>
        <v>CERTO</v>
      </c>
    </row>
    <row r="239">
      <c r="A239" s="37" t="s">
        <v>193</v>
      </c>
    </row>
    <row r="241">
      <c r="A241" s="64" t="s">
        <v>194</v>
      </c>
      <c r="B241" s="65">
        <v>220.0</v>
      </c>
    </row>
    <row r="242">
      <c r="A242" s="66" t="s">
        <v>195</v>
      </c>
      <c r="B242" s="67" t="str">
        <f>((B77)*B75)+B83/B84</f>
        <v>#DIV/0!</v>
      </c>
    </row>
    <row r="243">
      <c r="A243" s="66" t="s">
        <v>196</v>
      </c>
      <c r="B243" s="68">
        <v>440.0</v>
      </c>
      <c r="C243" s="30" t="s">
        <v>197</v>
      </c>
    </row>
    <row r="244">
      <c r="A244" s="66" t="s">
        <v>198</v>
      </c>
      <c r="B244" s="69">
        <f>B243*B175</f>
        <v>2200</v>
      </c>
    </row>
    <row r="245">
      <c r="A245" s="70" t="s">
        <v>199</v>
      </c>
      <c r="B245" s="67">
        <f>B244/B241</f>
        <v>10</v>
      </c>
    </row>
    <row r="251">
      <c r="A251" s="48"/>
      <c r="B251" s="71"/>
    </row>
    <row r="252">
      <c r="A252" s="48"/>
      <c r="B252" s="53"/>
    </row>
    <row r="253">
      <c r="A253" s="48"/>
      <c r="B253" s="52"/>
    </row>
    <row r="254">
      <c r="A254" s="48"/>
      <c r="B254" s="52"/>
    </row>
    <row r="255">
      <c r="A255" s="48"/>
      <c r="B255" s="53"/>
    </row>
  </sheetData>
  <mergeCells count="25">
    <mergeCell ref="A1:J1"/>
    <mergeCell ref="A6:J6"/>
    <mergeCell ref="A8:J8"/>
    <mergeCell ref="A11:B11"/>
    <mergeCell ref="A17:B17"/>
    <mergeCell ref="A51:F51"/>
    <mergeCell ref="A55:B55"/>
    <mergeCell ref="A68:D68"/>
    <mergeCell ref="A69:B69"/>
    <mergeCell ref="A71:B71"/>
    <mergeCell ref="A80:B80"/>
    <mergeCell ref="A88:H88"/>
    <mergeCell ref="A97:F97"/>
    <mergeCell ref="A126:H126"/>
    <mergeCell ref="C222:E222"/>
    <mergeCell ref="C224:E224"/>
    <mergeCell ref="C225:F225"/>
    <mergeCell ref="A239:H239"/>
    <mergeCell ref="A156:H156"/>
    <mergeCell ref="A170:H170"/>
    <mergeCell ref="A173:B173"/>
    <mergeCell ref="A176:B176"/>
    <mergeCell ref="A201:H201"/>
    <mergeCell ref="A203:F203"/>
    <mergeCell ref="C210:C212"/>
  </mergeCells>
  <hyperlinks>
    <hyperlink r:id="rId1" ref="E74"/>
  </hyperlinks>
  <drawing r:id="rId2"/>
</worksheet>
</file>