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QDF" sheetId="2" r:id="rId6"/>
    <sheet state="visible" name="QDF-FATOR CORREÇÃO" sheetId="3" r:id="rId7"/>
    <sheet state="visible" name="SEÇÃO CONDUTORES" sheetId="4" r:id="rId8"/>
    <sheet state="visible" name="DISJUNTORES" sheetId="5" r:id="rId9"/>
    <sheet state="visible" name="QDF-QUEDA DE TENSÃO" sheetId="6" r:id="rId10"/>
    <sheet state="visible" name="QDF-BALANÇO TOTAL" sheetId="7" r:id="rId11"/>
    <sheet state="visible" name="QDF- BALANÇO POTENCIAS" sheetId="8" r:id="rId12"/>
    <sheet state="visible" name="QDFG" sheetId="9" r:id="rId13"/>
  </sheets>
  <definedNames/>
  <calcPr/>
</workbook>
</file>

<file path=xl/sharedStrings.xml><?xml version="1.0" encoding="utf-8"?>
<sst xmlns="http://schemas.openxmlformats.org/spreadsheetml/2006/main" count="1291" uniqueCount="300">
  <si>
    <t>LOCAL</t>
  </si>
  <si>
    <t>ALTURA DE MANUSEIO TRABALHO Hpp (m)</t>
  </si>
  <si>
    <t>LARGURA L (m)</t>
  </si>
  <si>
    <t>COMPRIMENTO C (m)</t>
  </si>
  <si>
    <t>ÁREA (m²)</t>
  </si>
  <si>
    <t>PERÍMETRO (m)</t>
  </si>
  <si>
    <t>TETO</t>
  </si>
  <si>
    <t>PAREDE</t>
  </si>
  <si>
    <t>PISO</t>
  </si>
  <si>
    <t>ALTURA TOTAL/PÉ-DIREITO Htp (m)</t>
  </si>
  <si>
    <t>SALA DE CALDEIRAS</t>
  </si>
  <si>
    <t>Dimensionamento de Cálculos Das Tomadas</t>
  </si>
  <si>
    <t>Seção dos condutores (mm²)</t>
  </si>
  <si>
    <t>Fatores de correção</t>
  </si>
  <si>
    <t>ZINCO</t>
  </si>
  <si>
    <t>CLARA</t>
  </si>
  <si>
    <t>CONCRETO</t>
  </si>
  <si>
    <t>COMPRESSOR (BOMBAS E PRENSA)</t>
  </si>
  <si>
    <t>Quadro</t>
  </si>
  <si>
    <t>DEPÓSITO DE CARCAÇAS 1</t>
  </si>
  <si>
    <t>Nº do circuito</t>
  </si>
  <si>
    <t xml:space="preserve">Área </t>
  </si>
  <si>
    <t>Tipo Tomada</t>
  </si>
  <si>
    <t xml:space="preserve">Cabos multipolares </t>
  </si>
  <si>
    <t>Circuitos agrupados</t>
  </si>
  <si>
    <t>Nº Fases</t>
  </si>
  <si>
    <t>Condutores carregados CC</t>
  </si>
  <si>
    <t>Isolação</t>
  </si>
  <si>
    <t>Método de Instalação</t>
  </si>
  <si>
    <t>Tensão (V)</t>
  </si>
  <si>
    <t>Método de Referência</t>
  </si>
  <si>
    <t>Ref (tabela 9.10)</t>
  </si>
  <si>
    <t>Nº de Tomadas</t>
  </si>
  <si>
    <t>Potência tomada (VA)</t>
  </si>
  <si>
    <t>Fase (mm²)</t>
  </si>
  <si>
    <t>Fator de agrupamento</t>
  </si>
  <si>
    <t>Fator de temperatura (45º)</t>
  </si>
  <si>
    <t>Fator de harmônicos</t>
  </si>
  <si>
    <t>Potência Aparente</t>
  </si>
  <si>
    <t>Corrente nominal [A]</t>
  </si>
  <si>
    <t>DEPÓSITO DE CARCAÇAS 2</t>
  </si>
  <si>
    <t>Neutro (mm²)</t>
  </si>
  <si>
    <t>Terra (mm²)</t>
  </si>
  <si>
    <t>Corrente Nominal (A)</t>
  </si>
  <si>
    <t>Ip' (A)</t>
  </si>
  <si>
    <t>FP</t>
  </si>
  <si>
    <t>Iz (A)</t>
  </si>
  <si>
    <t>Iz'</t>
  </si>
  <si>
    <t>Método B1 (Número 3): Usa-se se o eletroduto for aparente (de seção circular sobre a parede, como tubulações de PVC ou metálicas aparentes estilo industrial).</t>
  </si>
  <si>
    <t>Adota Seções nominais os escolhido la em FATOR CORREÇÃO, as seções nominais</t>
  </si>
  <si>
    <t>RASPA</t>
  </si>
  <si>
    <t>QDF0</t>
  </si>
  <si>
    <t>FATOR DE AGRUPAMENTO POR SER METODO 3 B1 QUE É B, ADOTA REFERENCIA 1</t>
  </si>
  <si>
    <t>T0</t>
  </si>
  <si>
    <t>SUBESTAÇÃO</t>
  </si>
  <si>
    <t>TUG</t>
  </si>
  <si>
    <t>RECAPAGEM 1</t>
  </si>
  <si>
    <t>RECAPAGEM 2</t>
  </si>
  <si>
    <t>F</t>
  </si>
  <si>
    <t>RECAPAGEM 3</t>
  </si>
  <si>
    <t>SAIDA DE PRODUTOS (SALA DE PRODUTOS)</t>
  </si>
  <si>
    <t>CLARO</t>
  </si>
  <si>
    <t>AZULEJO CINZA</t>
  </si>
  <si>
    <t>CONTROLE DE QUALIDADE</t>
  </si>
  <si>
    <t>EPR ou XLPE</t>
  </si>
  <si>
    <t>BRANCO</t>
  </si>
  <si>
    <t>BRANCA</t>
  </si>
  <si>
    <t>BANHEIRO(VESTUARIO)</t>
  </si>
  <si>
    <t>ESCRITÓRIO</t>
  </si>
  <si>
    <t>QDF1</t>
  </si>
  <si>
    <t>BEGE</t>
  </si>
  <si>
    <t>T1</t>
  </si>
  <si>
    <t>T2</t>
  </si>
  <si>
    <t>TUE</t>
  </si>
  <si>
    <t>Método de instalação se escolhe da tabela dos slides de ampacidade, isso seria a norma 5410. MÉTODO DE INSTALAÇÃO VARIA POIS EM ILUMINAÇÃO SE PODE USAR CALHA, MAS PARA CHEGAR EM TOMADAS OU INTERRUPTOR É ATRAVÉS DE ELETRODUTOS</t>
  </si>
  <si>
    <t>QDF2</t>
  </si>
  <si>
    <t>T3</t>
  </si>
  <si>
    <t>T4</t>
  </si>
  <si>
    <t>QDF3</t>
  </si>
  <si>
    <t>T5</t>
  </si>
  <si>
    <t>DEPÓSITO DE CARCAÇAS</t>
  </si>
  <si>
    <t>MÉTODO DE INSTALAÇÃO: ADOTAR O PIOR CASO, ISSO SERIA O QUE TIVER O MENOS VALOR DE CORRENTE, CALHA É 13 E OU F, ELETRODUTO É 3</t>
  </si>
  <si>
    <t>T6</t>
  </si>
  <si>
    <t>QDF4</t>
  </si>
  <si>
    <t>T7</t>
  </si>
  <si>
    <t>T8</t>
  </si>
  <si>
    <t xml:space="preserve"> </t>
  </si>
  <si>
    <t>T9</t>
  </si>
  <si>
    <t>RECAPAGEM</t>
  </si>
  <si>
    <t>B1</t>
  </si>
  <si>
    <t>EU DEVIA TER USADO O METODO DO ELETROCLHA POIS DEU 30 E ELETRODUTO 31</t>
  </si>
  <si>
    <t>T10</t>
  </si>
  <si>
    <t>QDF5</t>
  </si>
  <si>
    <t>T11</t>
  </si>
  <si>
    <t>T12</t>
  </si>
  <si>
    <t>QDF6</t>
  </si>
  <si>
    <t>T13</t>
  </si>
  <si>
    <t>T14</t>
  </si>
  <si>
    <t>SAIDA DE PRODUTOS</t>
  </si>
  <si>
    <t>T15</t>
  </si>
  <si>
    <t>T16</t>
  </si>
  <si>
    <t xml:space="preserve">VE QUE O PIOR CASO EM 2,5 mm² PARA B1 É 31, PARA F 30. Bom adotar 3B </t>
  </si>
  <si>
    <t>QDF7</t>
  </si>
  <si>
    <t>T17</t>
  </si>
  <si>
    <t>T18</t>
  </si>
  <si>
    <t>BANHEIRO (VESTUARIO)</t>
  </si>
  <si>
    <t>T19</t>
  </si>
  <si>
    <t>PVC</t>
  </si>
  <si>
    <t>T20</t>
  </si>
  <si>
    <t>RESERVA</t>
  </si>
  <si>
    <t>Disjuntor (A)</t>
  </si>
  <si>
    <t>Mudou disjuntor</t>
  </si>
  <si>
    <t>ÁREAS COM TETO ALTO 7M BOM ADOTAR O MÉTODO DA ELETROCALHA QUE É O PIOR CASO QUE SERIA O 13</t>
  </si>
  <si>
    <t>Iz' (A)</t>
  </si>
  <si>
    <t>In (A)</t>
  </si>
  <si>
    <t>Ip (A)</t>
  </si>
  <si>
    <t>Iz'&gt;In&gt;Ip</t>
  </si>
  <si>
    <t>A corrente comercial do disjuntor é o In</t>
  </si>
  <si>
    <t>ÁREAS COM TETO BAIXO DE 3M ADOTAR O MÉTODO DO ELETRODUTO QUE É O 3</t>
  </si>
  <si>
    <t>Fator de Correção - Temperatura</t>
  </si>
  <si>
    <t>Temperatura</t>
  </si>
  <si>
    <t>Adota cabos EPR OU XLPE para ambientes mais nocivos (quentes, sujos, alta concentração de cabos) como: Sala de Caldeiras, Compressor (Bombas e Prensa), Depósito de Carcaças e Raspa, Recapagem, Subestação. Ambientes comuns como:  Sala de Produto, Controle de Qualidade, Banheiro (Vestuário) e Escritório adota cabos PVC</t>
  </si>
  <si>
    <t>FATOR HARMONICO: ADOTAR 1,15, O valor 1,15 é utilizado porque se trata de um fator de majoração aplicado quando há presença de 3º harmônico (entre 15% e 35%) em sistemas de iluminação e cargas não lineares (como reatores eletrônicos e lâmpadas LED).</t>
  </si>
  <si>
    <t>I_I (negocio do denominador) é produtorio no denominador: Ele indica que você deve multiplicar todos os fatores de correção entre si e dividir a corrente de projeto Ip por esse resultado.</t>
  </si>
  <si>
    <t>pergunta calculo de Ip'</t>
  </si>
  <si>
    <t>PERGUNTA CALCULO DE Iz' existe?</t>
  </si>
  <si>
    <t>Iz são os valores de corrente das tabelas que depende do tipo de isolação e instalação. Também verificar a seção minima na tabela que é 2,5 para tomada. Caso da raspa a corrente Ip' deu 18,03A  perto do limite que é 22A  por segurança adota o debaixo que é 30, adota tipo uns 10 a 30% de segurança</t>
  </si>
  <si>
    <t>QDF_ILUMINAÇÃO</t>
  </si>
  <si>
    <t>Balanço de potencias (VA)</t>
  </si>
  <si>
    <t>DEMANDA (VA)</t>
  </si>
  <si>
    <t>R</t>
  </si>
  <si>
    <t>S</t>
  </si>
  <si>
    <t>T</t>
  </si>
  <si>
    <t>-</t>
  </si>
  <si>
    <t xml:space="preserve">Em subida QDL adotar a altura ou pé direito do local e considerar a bitola para subtrair 1,5 ou 3 </t>
  </si>
  <si>
    <t>Circuitos trifásicos se deve dividi-los por 3 para equilibrar entre as fases, é isso mesmo</t>
  </si>
  <si>
    <t>Potência Unitária (VA)</t>
  </si>
  <si>
    <t>Circuitos trifásicos se deve dividi-los por 3 para equilibrar entre as fases</t>
  </si>
  <si>
    <t>Qtd Tomadas</t>
  </si>
  <si>
    <t>QDF0 - Subestação</t>
  </si>
  <si>
    <t xml:space="preserve"> Tabela de queda tensão adaptada Prysmian</t>
  </si>
  <si>
    <t>Circuito L0</t>
  </si>
  <si>
    <t>Corrente Ip (A)</t>
  </si>
  <si>
    <t>Distância L (m)</t>
  </si>
  <si>
    <t>Seção (mm²)</t>
  </si>
  <si>
    <t>R [Ω/m]</t>
  </si>
  <si>
    <t>X [Ω/m]</t>
  </si>
  <si>
    <t>ΔV (V)</t>
  </si>
  <si>
    <t>ΔV (%)</t>
  </si>
  <si>
    <t>ΔV(%)*</t>
  </si>
  <si>
    <t>Comprimento</t>
  </si>
  <si>
    <t>Curva</t>
  </si>
  <si>
    <t>Subida QDL</t>
  </si>
  <si>
    <t>QDL0 - Subestação</t>
  </si>
  <si>
    <t>QDF1-TOM1</t>
  </si>
  <si>
    <t>Circuito</t>
  </si>
  <si>
    <t>ΔV unitário (V)</t>
  </si>
  <si>
    <t>QDF1-TOM2</t>
  </si>
  <si>
    <t>Corrente do Disjuntor In (A)</t>
  </si>
  <si>
    <t>Disjuntor</t>
  </si>
  <si>
    <t>Capacidade de interrupção do disjuntor (kA)</t>
  </si>
  <si>
    <t>Balanço de potência (VA)</t>
  </si>
  <si>
    <t>SOMATÓRIO</t>
  </si>
  <si>
    <t>TOTAL DAS FASES</t>
  </si>
  <si>
    <t>DIVISÃO TOTAL DAS FASES</t>
  </si>
  <si>
    <t>FASE MAIS CARREGADA</t>
  </si>
  <si>
    <t>MDW-C16</t>
  </si>
  <si>
    <t>BARRAMENTO AQUI FAÇO DA FASE MAIS CARREGADA PRO QGL E QDL PARA CIRCUITOS DE FASES DESEQUILIBRADAS (É TUDO MENOS MOTOR)</t>
  </si>
  <si>
    <t>QDF1 - Sala de Caldeiras</t>
  </si>
  <si>
    <t>TOMADA VAI CIRCUITO RESERVA, O VALOR DE POTENCIA DELE É A MÉDIA DAS FASES</t>
  </si>
  <si>
    <t>MDW-C10</t>
  </si>
  <si>
    <t>Potência Unitária TUG</t>
  </si>
  <si>
    <t>Potência Unitária TUE</t>
  </si>
  <si>
    <t>Disjuntor escolhe baseado na In obtida lá em disjuntores</t>
  </si>
  <si>
    <t>Circuito T1</t>
  </si>
  <si>
    <t>pergunta: Capacidade de interrupção do disjuntor (kA) eu posso colocar 2 kA por ser 220 V certo?</t>
  </si>
  <si>
    <t>Balanço de potência confiro a distribuição em balanço total</t>
  </si>
  <si>
    <t>QDF2 - Compressor (bombas e prensa)</t>
  </si>
  <si>
    <t>QDF1-TOM3</t>
  </si>
  <si>
    <t>Corrente do Disjuntor (A)</t>
  </si>
  <si>
    <t>Potência aparente (VA)</t>
  </si>
  <si>
    <t>QDF-0</t>
  </si>
  <si>
    <t>MDW-C6</t>
  </si>
  <si>
    <t>QDF-1</t>
  </si>
  <si>
    <t>QDF-2</t>
  </si>
  <si>
    <t>QDF-3</t>
  </si>
  <si>
    <t>QDF-4</t>
  </si>
  <si>
    <t>QDF1-TOM4</t>
  </si>
  <si>
    <t>QDF-5</t>
  </si>
  <si>
    <t>MDW-C16/2</t>
  </si>
  <si>
    <t>QDF-6</t>
  </si>
  <si>
    <t>QDF-7</t>
  </si>
  <si>
    <t>MDW-C50/2</t>
  </si>
  <si>
    <t>Total</t>
  </si>
  <si>
    <t>RQDL-1</t>
  </si>
  <si>
    <t>Circuito reserva em tomada precisa de potencia</t>
  </si>
  <si>
    <t>RQDL-2</t>
  </si>
  <si>
    <t>RQDL-3</t>
  </si>
  <si>
    <t>Circuito T2</t>
  </si>
  <si>
    <t>QDF1-TUE</t>
  </si>
  <si>
    <t>Corrente nominal (A)</t>
  </si>
  <si>
    <t>Método de instalação</t>
  </si>
  <si>
    <t>Método de referência</t>
  </si>
  <si>
    <t xml:space="preserve">Preciso utilizar o quadro de QDL mais distante de QDGL </t>
  </si>
  <si>
    <t>QDF3- Depósito de carcaças</t>
  </si>
  <si>
    <t>PRECISA BOTAR TRECHO A, A até tomada 1 e por ae vai</t>
  </si>
  <si>
    <t>2 curvas verticais (uma na subida do quadro e uma na descida para a tomada)</t>
  </si>
  <si>
    <t>A corrente faz a potencia unitaria vezes o numero de lampadas de cada trecho, dividido pela tensão, cada trecho p/ baixo reduz o numero de luminarias</t>
  </si>
  <si>
    <t>ΔV unitário pega no catalogo</t>
  </si>
  <si>
    <t>A distancia se soma os comprimentos dos eletrodutos de cada trecho, no trecho com QDL faz comprimento+curva*1,5 ou 3+subida</t>
  </si>
  <si>
    <t>A distancia se soma os comprimentos dos eletrodutos de cada trecho</t>
  </si>
  <si>
    <t>A impedancia Z separada em R (resistencia) e X (reatancia) adotar o valor da tabela de Impedancia de Sequencia Postiva considerando a seção</t>
  </si>
  <si>
    <t>Calcular o ΔV faz a formula</t>
  </si>
  <si>
    <t>QDF4- Raspa e Recapagem</t>
  </si>
  <si>
    <t>QDF5 - Escritório</t>
  </si>
  <si>
    <t/>
  </si>
  <si>
    <t>Calcular o ΔV% faz a formula, no denominador usa Ncp é Número de Condutores de Fase (ou número de fases do circuito).</t>
  </si>
  <si>
    <t>QDF6 - Saída de Produtos e Controle de Qualidade</t>
  </si>
  <si>
    <t>ΔV(%)* calcula segue a tabela primera, ve que o primeiro trecho é apenas o ΔV, segundo trecho é a soma do ΔV% trecho anterior+ΔV do trecho atual</t>
  </si>
  <si>
    <t>QDF7 - Banheiro (Vestiário)</t>
  </si>
  <si>
    <t>MDW-C50</t>
  </si>
  <si>
    <t>QDF2 - Compressor (Bombas e prensa)</t>
  </si>
  <si>
    <t>Circuito T3</t>
  </si>
  <si>
    <t>QDF2-TOM1</t>
  </si>
  <si>
    <t>QDF2-TOM2</t>
  </si>
  <si>
    <t>Circuito T4</t>
  </si>
  <si>
    <t>QDF2-TUE</t>
  </si>
  <si>
    <t>2 curvas verticais (uma na subida do quadro e uma na descida para a tomada), totalizando 4 curvas.</t>
  </si>
  <si>
    <t>QDF3 - Depósito carcaças</t>
  </si>
  <si>
    <t>Circuito T5</t>
  </si>
  <si>
    <t>QDF3-TOM1</t>
  </si>
  <si>
    <t>QDF3-TOM2</t>
  </si>
  <si>
    <t>QDF3-TOM3</t>
  </si>
  <si>
    <t>QDF3-TOM4</t>
  </si>
  <si>
    <t>Circuito T6</t>
  </si>
  <si>
    <t>QDF3-TUE</t>
  </si>
  <si>
    <t>QDL4- Raspa</t>
  </si>
  <si>
    <t>QDF4 - Raspa</t>
  </si>
  <si>
    <t>Circuito T7</t>
  </si>
  <si>
    <t>QDF4-TOM1</t>
  </si>
  <si>
    <t>QDF4-TOM2</t>
  </si>
  <si>
    <t>QDF4-TOM3</t>
  </si>
  <si>
    <t>QDF4-TOM4</t>
  </si>
  <si>
    <t>QDF4-TOM5</t>
  </si>
  <si>
    <t>QDF4-TOM6</t>
  </si>
  <si>
    <t>Circuito T8</t>
  </si>
  <si>
    <t>QDF4-TUE</t>
  </si>
  <si>
    <t>Circuito T11</t>
  </si>
  <si>
    <t>T11-TOM1</t>
  </si>
  <si>
    <t>T11-TOM2</t>
  </si>
  <si>
    <t>T11-TOM3</t>
  </si>
  <si>
    <t>T11-TOM4</t>
  </si>
  <si>
    <t>T11-TOM5</t>
  </si>
  <si>
    <t>T11-TOM6</t>
  </si>
  <si>
    <t>Circuito T12</t>
  </si>
  <si>
    <t>T12-TOM1</t>
  </si>
  <si>
    <t>T12-TOM2</t>
  </si>
  <si>
    <t>T12-TOM3</t>
  </si>
  <si>
    <t>T12-TOM4</t>
  </si>
  <si>
    <t>T12-TOM5</t>
  </si>
  <si>
    <t>Circuito T13</t>
  </si>
  <si>
    <t>T13-TUE</t>
  </si>
  <si>
    <t>QDF6 - Saída de Produtos</t>
  </si>
  <si>
    <t>Circuito T14</t>
  </si>
  <si>
    <t>T14-TOM1</t>
  </si>
  <si>
    <t>T14-TOM2</t>
  </si>
  <si>
    <t>T14-TOM3</t>
  </si>
  <si>
    <t>T14-TOM4</t>
  </si>
  <si>
    <t>T14-TOM5</t>
  </si>
  <si>
    <t>T14-TOM6</t>
  </si>
  <si>
    <t>T14-TOM7</t>
  </si>
  <si>
    <t>T14-TOM8</t>
  </si>
  <si>
    <t>QDF6 - Controle de Qualidade</t>
  </si>
  <si>
    <t>Circuito T15</t>
  </si>
  <si>
    <t>T15-Tronco QDF→A</t>
  </si>
  <si>
    <t>T15-TOM1</t>
  </si>
  <si>
    <t>T15-Tronco A→B</t>
  </si>
  <si>
    <t>T15-TOM2</t>
  </si>
  <si>
    <t>T15-Tronco B→riser</t>
  </si>
  <si>
    <t>T15-TOM3</t>
  </si>
  <si>
    <t>T15-Riser base→topo</t>
  </si>
  <si>
    <t>T15-TOM4</t>
  </si>
  <si>
    <t>T15-Tronco riser→C</t>
  </si>
  <si>
    <t>T15-TOM5</t>
  </si>
  <si>
    <t>T15-Tronco C→fim</t>
  </si>
  <si>
    <t>T15-TOM6</t>
  </si>
  <si>
    <t>T15-Ramal fim→BE05</t>
  </si>
  <si>
    <t>T15-TOM7</t>
  </si>
  <si>
    <t>T15-BE05→BE06</t>
  </si>
  <si>
    <t>T15-TOM8</t>
  </si>
  <si>
    <t>T15-Tronco127 oeste</t>
  </si>
  <si>
    <t>T15-Ramal norte</t>
  </si>
  <si>
    <t>Circuito T16</t>
  </si>
  <si>
    <t>T16-TUE</t>
  </si>
  <si>
    <t>Circuito T17</t>
  </si>
  <si>
    <t>T17-TUE</t>
  </si>
  <si>
    <t>Circuito T18</t>
  </si>
  <si>
    <t>T18-TOM1</t>
  </si>
  <si>
    <t>Circuito T19</t>
  </si>
  <si>
    <t>T19-CHUVEIRO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</si>
</sst>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0.0000%"/>
    <numFmt numFmtId="167" formatCode="0.0000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</font>
    <font>
      <b/>
      <color theme="1"/>
      <name val="Verdana"/>
    </font>
    <font>
      <color theme="1"/>
      <name val="Verdana"/>
    </font>
    <font>
      <b/>
      <sz val="12.0"/>
      <color theme="1"/>
      <name val="Verdana"/>
    </font>
    <font>
      <sz val="12.0"/>
      <color theme="1"/>
      <name val="Arial"/>
    </font>
    <font>
      <b/>
      <color rgb="FF20212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2" fillId="2" fontId="1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4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4" fontId="2" numFmtId="0" xfId="0" applyAlignment="1" applyBorder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4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ill="1" applyFont="1" applyNumberFormat="1">
      <alignment horizontal="center" vertical="bottom"/>
    </xf>
    <xf borderId="5" fillId="2" fontId="1" numFmtId="0" xfId="0" applyAlignment="1" applyBorder="1" applyFill="1" applyFont="1">
      <alignment horizontal="center" readingOrder="0" shrinkToFit="0" vertical="bottom" wrapText="1"/>
    </xf>
    <xf borderId="5" fillId="4" fontId="2" numFmtId="0" xfId="0" applyAlignment="1" applyBorder="1" applyFill="1" applyFont="1">
      <alignment horizontal="center" shrinkToFit="0" vertical="bottom" wrapText="1"/>
    </xf>
    <xf borderId="1" fillId="0" fontId="2" numFmtId="2" xfId="0" applyAlignment="1" applyBorder="1" applyFont="1" applyNumberFormat="1">
      <alignment horizontal="center" vertical="bottom"/>
    </xf>
    <xf borderId="1" fillId="4" fontId="2" numFmtId="3" xfId="0" applyAlignment="1" applyBorder="1" applyFill="1" applyFont="1" applyNumberFormat="1">
      <alignment horizontal="center" readingOrder="0" shrinkToFit="0" vertical="bottom" wrapText="1"/>
    </xf>
    <xf borderId="6" fillId="0" fontId="3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1"/>
    </xf>
    <xf borderId="7" fillId="0" fontId="3" numFmtId="0" xfId="0" applyBorder="1" applyFont="1"/>
    <xf borderId="0" fillId="0" fontId="2" numFmtId="0" xfId="0" applyAlignment="1" applyFont="1">
      <alignment readingOrder="0" vertical="bottom"/>
    </xf>
    <xf borderId="1" fillId="5" fontId="5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shrinkToFit="0" vertical="bottom" wrapText="1"/>
    </xf>
    <xf borderId="1" fillId="6" fontId="5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shrinkToFit="0" vertical="bottom" wrapText="1"/>
    </xf>
    <xf borderId="1" fillId="4" fontId="2" numFmtId="3" xfId="0" applyAlignment="1" applyBorder="1" applyFill="1" applyFont="1" applyNumberForma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5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164" xfId="0" applyAlignment="1" applyBorder="1" applyFill="1" applyFont="1" applyNumberFormat="1">
      <alignment vertical="bottom"/>
    </xf>
    <xf borderId="0" fillId="3" fontId="5" numFmtId="0" xfId="0" applyFill="1" applyFont="1"/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3" fontId="5" numFmtId="0" xfId="0" applyAlignment="1" applyFill="1" applyFont="1">
      <alignment readingOrder="0"/>
    </xf>
    <xf borderId="1" fillId="2" fontId="2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0" fillId="3" fontId="6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1" fillId="0" fontId="2" numFmtId="1" xfId="0" applyAlignment="1" applyBorder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0" fillId="3" fontId="2" numFmtId="2" xfId="0" applyAlignment="1" applyFill="1" applyFont="1" applyNumberFormat="1">
      <alignment horizontal="center" shrinkToFit="0" vertical="bottom" wrapText="1"/>
    </xf>
    <xf borderId="0" fillId="3" fontId="2" numFmtId="3" xfId="0" applyAlignment="1" applyFill="1" applyFont="1" applyNumberFormat="1">
      <alignment horizontal="center" shrinkToFit="0" vertical="bottom" wrapText="1"/>
    </xf>
    <xf borderId="0" fillId="3" fontId="2" numFmtId="1" xfId="0" applyAlignment="1" applyFill="1" applyFont="1" applyNumberFormat="1">
      <alignment horizontal="center" shrinkToFit="0" vertical="bottom" wrapText="1"/>
    </xf>
    <xf borderId="1" fillId="0" fontId="2" numFmtId="1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readingOrder="0" vertical="bottom"/>
    </xf>
    <xf borderId="1" fillId="0" fontId="2" numFmtId="2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0" fillId="3" fontId="2" numFmtId="2" xfId="0" applyAlignment="1" applyFill="1" applyFont="1" applyNumberFormat="1">
      <alignment horizontal="center" vertical="bottom"/>
    </xf>
    <xf borderId="0" fillId="3" fontId="2" numFmtId="2" xfId="0" applyAlignment="1" applyFill="1" applyFont="1" applyNumberFormat="1">
      <alignment vertical="bottom"/>
    </xf>
    <xf borderId="0" fillId="3" fontId="2" numFmtId="165" xfId="0" applyAlignment="1" applyFill="1" applyFont="1" applyNumberFormat="1">
      <alignment vertical="bottom"/>
    </xf>
    <xf borderId="2" fillId="2" fontId="7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0" fillId="0" fontId="2" numFmtId="2" xfId="0" applyAlignment="1" applyFont="1" applyNumberFormat="1">
      <alignment vertical="bottom"/>
    </xf>
    <xf borderId="0" fillId="6" fontId="2" numFmtId="0" xfId="0" applyAlignment="1" applyFill="1" applyFont="1">
      <alignment vertical="bottom"/>
    </xf>
    <xf borderId="0" fillId="0" fontId="2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8" fillId="4" fontId="1" numFmtId="0" xfId="0" applyAlignment="1" applyBorder="1" applyFill="1" applyFont="1">
      <alignment horizontal="center" shrinkToFit="0" vertical="bottom" wrapText="1"/>
    </xf>
    <xf borderId="0" fillId="0" fontId="2" numFmtId="1" xfId="0" applyAlignment="1" applyFont="1" applyNumberFormat="1">
      <alignment horizontal="center" vertical="bottom"/>
    </xf>
    <xf borderId="8" fillId="4" fontId="1" numFmtId="0" xfId="0" applyAlignment="1" applyBorder="1" applyFill="1" applyFont="1">
      <alignment horizontal="center" readingOrder="0" shrinkToFit="0" vertical="bottom" wrapText="1"/>
    </xf>
    <xf borderId="0" fillId="0" fontId="2" numFmtId="3" xfId="0" applyAlignment="1" applyFont="1" applyNumberFormat="1">
      <alignment horizontal="center" vertical="bottom"/>
    </xf>
    <xf borderId="2" fillId="6" fontId="1" numFmtId="0" xfId="0" applyAlignment="1" applyBorder="1" applyFill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8" fillId="2" fontId="7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horizontal="right" vertical="bottom"/>
    </xf>
    <xf borderId="9" fillId="6" fontId="1" numFmtId="0" xfId="0" applyAlignment="1" applyBorder="1" applyFill="1" applyFont="1">
      <alignment horizontal="center" vertical="bottom"/>
    </xf>
    <xf borderId="10" fillId="0" fontId="3" numFmtId="0" xfId="0" applyBorder="1" applyFont="1"/>
    <xf borderId="11" fillId="0" fontId="3" numFmtId="0" xfId="0" applyBorder="1" applyFont="1"/>
    <xf borderId="1" fillId="4" fontId="2" numFmtId="164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1" fillId="4" fontId="2" numFmtId="10" xfId="0" applyAlignment="1" applyBorder="1" applyFill="1" applyFont="1" applyNumberFormat="1">
      <alignment horizontal="center" vertical="bottom"/>
    </xf>
    <xf borderId="12" fillId="4" fontId="1" numFmtId="0" xfId="0" applyAlignment="1" applyBorder="1" applyFill="1" applyFont="1">
      <alignment horizontal="center" readingOrder="0" vertical="bottom"/>
    </xf>
    <xf borderId="13" fillId="0" fontId="3" numFmtId="0" xfId="0" applyBorder="1" applyFont="1"/>
    <xf borderId="14" fillId="0" fontId="3" numFmtId="0" xfId="0" applyBorder="1" applyFont="1"/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5" fillId="4" fontId="1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6" fillId="4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17" fillId="0" fontId="3" numFmtId="0" xfId="0" applyBorder="1" applyFont="1"/>
    <xf borderId="18" fillId="0" fontId="3" numFmtId="0" xfId="0" applyBorder="1" applyFont="1"/>
    <xf borderId="1" fillId="7" fontId="2" numFmtId="0" xfId="0" applyAlignment="1" applyBorder="1" applyFill="1" applyFont="1">
      <alignment horizontal="center" readingOrder="0" vertical="bottom"/>
    </xf>
    <xf borderId="19" fillId="4" fontId="2" numFmtId="0" xfId="0" applyAlignment="1" applyBorder="1" applyFill="1" applyFont="1">
      <alignment horizontal="center" vertical="bottom"/>
    </xf>
    <xf borderId="1" fillId="7" fontId="2" numFmtId="164" xfId="0" applyAlignment="1" applyBorder="1" applyFill="1" applyFont="1" applyNumberFormat="1">
      <alignment horizontal="center" vertical="bottom"/>
    </xf>
    <xf borderId="19" fillId="4" fontId="2" numFmtId="164" xfId="0" applyAlignment="1" applyBorder="1" applyFill="1" applyFont="1" applyNumberFormat="1">
      <alignment horizontal="center" vertical="bottom"/>
    </xf>
    <xf borderId="1" fillId="7" fontId="2" numFmtId="10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18" fillId="4" fontId="2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18" fillId="4" fontId="2" numFmtId="2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vertical="bottom"/>
    </xf>
    <xf borderId="1" fillId="4" fontId="2" numFmtId="2" xfId="0" applyAlignment="1" applyBorder="1" applyFill="1" applyFont="1" applyNumberFormat="1">
      <alignment horizontal="center" readingOrder="0" vertical="bottom"/>
    </xf>
    <xf borderId="1" fillId="4" fontId="2" numFmtId="164" xfId="0" applyAlignment="1" applyBorder="1" applyFill="1" applyFont="1" applyNumberFormat="1">
      <alignment vertical="bottom"/>
    </xf>
    <xf borderId="19" fillId="4" fontId="2" numFmtId="0" xfId="0" applyAlignment="1" applyBorder="1" applyFill="1" applyFont="1">
      <alignment vertical="bottom"/>
    </xf>
    <xf borderId="20" fillId="4" fontId="2" numFmtId="0" xfId="0" applyAlignment="1" applyBorder="1" applyFill="1" applyFont="1">
      <alignment vertical="bottom"/>
    </xf>
    <xf borderId="8" fillId="4" fontId="2" numFmtId="0" xfId="0" applyAlignment="1" applyBorder="1" applyFill="1" applyFont="1">
      <alignment vertical="bottom"/>
    </xf>
    <xf borderId="1" fillId="4" fontId="2" numFmtId="166" xfId="0" applyAlignment="1" applyBorder="1" applyFill="1" applyFont="1" applyNumberFormat="1">
      <alignment horizontal="center" vertical="bottom"/>
    </xf>
    <xf borderId="2" fillId="4" fontId="1" numFmtId="0" xfId="0" applyAlignment="1" applyBorder="1" applyFill="1" applyFont="1">
      <alignment horizontal="center" readingOrder="0" vertical="bottom"/>
    </xf>
    <xf borderId="1" fillId="4" fontId="2" numFmtId="10" xfId="0" applyAlignment="1" applyBorder="1" applyFill="1" applyFont="1" applyNumberFormat="1">
      <alignment vertical="bottom"/>
    </xf>
    <xf borderId="5" fillId="4" fontId="1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vertical="bottom"/>
    </xf>
    <xf borderId="1" fillId="7" fontId="2" numFmtId="164" xfId="0" applyAlignment="1" applyBorder="1" applyFill="1" applyFont="1" applyNumberFormat="1">
      <alignment vertical="bottom"/>
    </xf>
    <xf borderId="2" fillId="4" fontId="1" numFmtId="0" xfId="0" applyAlignment="1" applyBorder="1" applyFill="1" applyFont="1">
      <alignment horizontal="center" vertical="bottom"/>
    </xf>
    <xf borderId="1" fillId="7" fontId="2" numFmtId="166" xfId="0" applyAlignment="1" applyBorder="1" applyFill="1" applyFont="1" applyNumberFormat="1">
      <alignment horizontal="center" vertical="bottom"/>
    </xf>
    <xf borderId="1" fillId="7" fontId="2" numFmtId="10" xfId="0" applyAlignment="1" applyBorder="1" applyFill="1" applyFont="1" applyNumberFormat="1">
      <alignment vertical="bottom"/>
    </xf>
    <xf borderId="5" fillId="4" fontId="2" numFmtId="1" xfId="0" applyAlignment="1" applyBorder="1" applyFill="1" applyFont="1" applyNumberFormat="1">
      <alignment horizontal="center" vertical="bottom"/>
    </xf>
    <xf borderId="1" fillId="4" fontId="2" numFmtId="1" xfId="0" applyAlignment="1" applyBorder="1" applyFill="1" applyFont="1" applyNumberFormat="1">
      <alignment horizontal="center" vertical="bottom"/>
    </xf>
    <xf borderId="1" fillId="4" fontId="2" numFmtId="2" xfId="0" applyAlignment="1" applyBorder="1" applyFill="1" applyFont="1" applyNumberFormat="1">
      <alignment horizontal="center" vertical="bottom"/>
    </xf>
    <xf borderId="1" fillId="4" fontId="2" numFmtId="166" xfId="0" applyAlignment="1" applyBorder="1" applyFill="1" applyFont="1" applyNumberFormat="1">
      <alignment vertical="bottom"/>
    </xf>
    <xf borderId="19" fillId="4" fontId="2" numFmtId="164" xfId="0" applyAlignment="1" applyBorder="1" applyFill="1" applyFont="1" applyNumberFormat="1">
      <alignment vertical="bottom"/>
    </xf>
    <xf borderId="19" fillId="4" fontId="2" numFmtId="2" xfId="0" applyAlignment="1" applyBorder="1" applyFill="1" applyFont="1" applyNumberFormat="1">
      <alignment vertical="bottom"/>
    </xf>
    <xf borderId="19" fillId="4" fontId="2" numFmtId="10" xfId="0" applyAlignment="1" applyBorder="1" applyFill="1" applyFont="1" applyNumberFormat="1">
      <alignment vertical="bottom"/>
    </xf>
    <xf borderId="1" fillId="7" fontId="2" numFmtId="164" xfId="0" applyAlignment="1" applyBorder="1" applyFill="1" applyFont="1" applyNumberFormat="1">
      <alignment vertical="bottom"/>
    </xf>
    <xf borderId="1" fillId="7" fontId="2" numFmtId="0" xfId="0" applyAlignment="1" applyBorder="1" applyFill="1" applyFont="1">
      <alignment vertical="bottom"/>
    </xf>
    <xf borderId="1" fillId="4" fontId="2" numFmtId="166" xfId="0" applyAlignment="1" applyBorder="1" applyFill="1" applyFont="1" applyNumberFormat="1">
      <alignment vertical="bottom"/>
    </xf>
    <xf borderId="1" fillId="4" fontId="2" numFmtId="10" xfId="0" applyAlignment="1" applyBorder="1" applyFill="1" applyFont="1" applyNumberFormat="1">
      <alignment vertical="bottom"/>
    </xf>
    <xf borderId="8" fillId="4" fontId="2" numFmtId="164" xfId="0" applyAlignment="1" applyBorder="1" applyFill="1" applyFont="1" applyNumberFormat="1">
      <alignment vertical="bottom"/>
    </xf>
    <xf borderId="8" fillId="4" fontId="2" numFmtId="10" xfId="0" applyAlignment="1" applyBorder="1" applyFill="1" applyFont="1" applyNumberFormat="1">
      <alignment vertical="bottom"/>
    </xf>
    <xf borderId="0" fillId="0" fontId="2" numFmtId="1" xfId="0" applyAlignment="1" applyFont="1" applyNumberFormat="1">
      <alignment horizontal="center" readingOrder="0" vertical="bottom"/>
    </xf>
    <xf borderId="20" fillId="4" fontId="1" numFmtId="0" xfId="0" applyAlignment="1" applyBorder="1" applyFill="1" applyFont="1">
      <alignment horizontal="center" readingOrder="0" shrinkToFit="0" vertical="bottom" wrapText="1"/>
    </xf>
    <xf borderId="0" fillId="0" fontId="2" numFmtId="3" xfId="0" applyAlignment="1" applyFont="1" applyNumberFormat="1">
      <alignment readingOrder="0" vertical="bottom"/>
    </xf>
    <xf borderId="21" fillId="0" fontId="9" numFmtId="0" xfId="0" applyAlignment="1" applyBorder="1" applyFont="1">
      <alignment horizontal="center" vertical="bottom"/>
    </xf>
    <xf borderId="22" fillId="0" fontId="3" numFmtId="0" xfId="0" applyBorder="1" applyFont="1"/>
    <xf borderId="9" fillId="6" fontId="1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vertical="bottom"/>
    </xf>
    <xf borderId="1" fillId="6" fontId="1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23" fillId="2" fontId="7" numFmtId="0" xfId="0" applyAlignment="1" applyBorder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5" fillId="6" fontId="2" numFmtId="0" xfId="0" applyAlignment="1" applyBorder="1" applyFill="1" applyFont="1">
      <alignment horizontal="center" shrinkToFit="0" vertical="bottom" wrapText="1"/>
    </xf>
    <xf borderId="24" fillId="4" fontId="2" numFmtId="0" xfId="0" applyAlignment="1" applyBorder="1" applyFill="1" applyFont="1">
      <alignment horizontal="center" readingOrder="0" vertical="bottom"/>
    </xf>
    <xf borderId="8" fillId="4" fontId="2" numFmtId="0" xfId="0" applyAlignment="1" applyBorder="1" applyFill="1" applyFont="1">
      <alignment horizontal="center" vertical="bottom"/>
    </xf>
    <xf borderId="24" fillId="4" fontId="2" numFmtId="0" xfId="0" applyAlignment="1" applyBorder="1" applyFill="1" applyFont="1">
      <alignment horizontal="center" vertical="bottom"/>
    </xf>
    <xf borderId="8" fillId="4" fontId="2" numFmtId="0" xfId="0" applyAlignment="1" applyBorder="1" applyFill="1" applyFont="1">
      <alignment horizontal="center" readingOrder="0" vertical="bottom"/>
    </xf>
    <xf borderId="8" fillId="4" fontId="2" numFmtId="0" xfId="0" applyAlignment="1" applyBorder="1" applyFill="1" applyFont="1">
      <alignment readingOrder="0" vertical="bottom"/>
    </xf>
    <xf borderId="24" fillId="4" fontId="2" numFmtId="0" xfId="0" applyAlignment="1" applyBorder="1" applyFill="1" applyFont="1">
      <alignment horizontal="center" vertical="bottom"/>
    </xf>
    <xf borderId="25" fillId="4" fontId="2" numFmtId="0" xfId="0" applyAlignment="1" applyBorder="1" applyFill="1" applyFont="1">
      <alignment horizontal="center" vertical="bottom"/>
    </xf>
    <xf borderId="26" fillId="0" fontId="3" numFmtId="0" xfId="0" applyBorder="1" applyFont="1"/>
    <xf borderId="27" fillId="4" fontId="2" numFmtId="0" xfId="0" applyAlignment="1" applyBorder="1" applyFill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" fillId="4" fontId="2" numFmtId="0" xfId="0" applyAlignment="1" applyBorder="1" applyFill="1" applyFont="1">
      <alignment horizontal="center" vertical="bottom"/>
    </xf>
    <xf borderId="28" fillId="6" fontId="2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vertical="bottom"/>
    </xf>
    <xf borderId="8" fillId="4" fontId="2" numFmtId="0" xfId="0" applyAlignment="1" applyBorder="1" applyFill="1" applyFont="1">
      <alignment horizontal="center" readingOrder="0" vertical="bottom"/>
    </xf>
    <xf borderId="8" fillId="4" fontId="2" numFmtId="2" xfId="0" applyAlignment="1" applyBorder="1" applyFill="1" applyFont="1" applyNumberFormat="1">
      <alignment horizontal="center" vertical="bottom"/>
    </xf>
    <xf borderId="8" fillId="4" fontId="2" numFmtId="0" xfId="0" applyAlignment="1" applyBorder="1" applyFill="1" applyFont="1">
      <alignment horizontal="center" vertical="bottom"/>
    </xf>
    <xf borderId="8" fillId="7" fontId="2" numFmtId="2" xfId="0" applyAlignment="1" applyBorder="1" applyFill="1" applyFont="1" applyNumberFormat="1">
      <alignment horizontal="center" vertical="bottom"/>
    </xf>
    <xf borderId="8" fillId="7" fontId="2" numFmtId="0" xfId="0" applyAlignment="1" applyBorder="1" applyFill="1" applyFont="1">
      <alignment horizontal="center" vertical="bottom"/>
    </xf>
    <xf borderId="8" fillId="7" fontId="2" numFmtId="0" xfId="0" applyAlignment="1" applyBorder="1" applyFill="1" applyFont="1">
      <alignment horizontal="center" readingOrder="0" vertical="bottom"/>
    </xf>
    <xf borderId="8" fillId="4" fontId="2" numFmtId="0" xfId="0" applyAlignment="1" applyBorder="1" applyFill="1" applyFont="1">
      <alignment vertical="bottom"/>
    </xf>
    <xf borderId="0" fillId="0" fontId="5" numFmtId="0" xfId="0" applyFont="1"/>
    <xf borderId="0" fillId="3" fontId="1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readingOrder="0" vertical="bottom"/>
    </xf>
    <xf borderId="0" fillId="3" fontId="2" numFmtId="167" xfId="0" applyAlignment="1" applyFill="1" applyFont="1" applyNumberFormat="1">
      <alignment horizontal="center" vertical="bottom"/>
    </xf>
    <xf borderId="0" fillId="3" fontId="2" numFmtId="1" xfId="0" applyAlignment="1" applyFill="1" applyFont="1" applyNumberFormat="1">
      <alignment vertical="bottom"/>
    </xf>
    <xf borderId="0" fillId="6" fontId="1" numFmtId="164" xfId="0" applyAlignment="1" applyFill="1" applyFont="1" applyNumberFormat="1">
      <alignment horizontal="center" vertical="bottom"/>
    </xf>
    <xf borderId="0" fillId="3" fontId="2" numFmtId="1" xfId="0" applyAlignment="1" applyFill="1" applyFont="1" applyNumberFormat="1">
      <alignment horizontal="center" vertical="bottom"/>
    </xf>
    <xf borderId="0" fillId="3" fontId="2" numFmtId="10" xfId="0" applyAlignment="1" applyFill="1" applyFont="1" applyNumberForma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readingOrder="0" vertical="bottom"/>
    </xf>
    <xf borderId="0" fillId="3" fontId="2" numFmtId="165" xfId="0" applyAlignment="1" applyFill="1" applyFont="1" applyNumberFormat="1">
      <alignment horizontal="center" vertical="bottom"/>
    </xf>
    <xf borderId="0" fillId="3" fontId="8" numFmtId="0" xfId="0" applyAlignment="1" applyFill="1" applyFont="1">
      <alignment horizontal="right" vertical="bottom"/>
    </xf>
    <xf borderId="0" fillId="3" fontId="8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0" fillId="6" fontId="2" numFmtId="0" xfId="0" applyAlignment="1" applyFill="1" applyFont="1">
      <alignment horizontal="center" readingOrder="0" vertical="bottom"/>
    </xf>
    <xf borderId="0" fillId="6" fontId="2" numFmtId="164" xfId="0" applyAlignment="1" applyFill="1" applyFont="1" applyNumberForma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0" fillId="4" fontId="5" numFmtId="0" xfId="0" applyFill="1" applyFont="1"/>
    <xf borderId="1" fillId="4" fontId="2" numFmtId="10" xfId="0" applyAlignment="1" applyBorder="1" applyFill="1" applyFont="1" applyNumberFormat="1">
      <alignment horizontal="center" vertical="bottom"/>
    </xf>
    <xf borderId="1" fillId="4" fontId="2" numFmtId="166" xfId="0" applyAlignment="1" applyBorder="1" applyFill="1" applyFont="1" applyNumberFormat="1">
      <alignment horizontal="center" vertical="bottom"/>
    </xf>
    <xf borderId="0" fillId="0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7">
    <tableStyle count="3" pivot="0" name="QDF-QUEDA DE TENSÃO-style">
      <tableStyleElement dxfId="1" type="headerRow"/>
      <tableStyleElement dxfId="2" type="firstRowStripe"/>
      <tableStyleElement dxfId="3" type="secondRowStripe"/>
    </tableStyle>
    <tableStyle count="3" pivot="0" name="QDF-QUEDA DE TENSÃO-style 2">
      <tableStyleElement dxfId="1" type="headerRow"/>
      <tableStyleElement dxfId="2" type="firstRowStripe"/>
      <tableStyleElement dxfId="3" type="secondRowStripe"/>
    </tableStyle>
    <tableStyle count="2" pivot="0" name="QDF-QUEDA DE TENSÃO-style 3">
      <tableStyleElement dxfId="3" type="firstRowStripe"/>
      <tableStyleElement dxfId="2" type="secondRowStripe"/>
    </tableStyle>
    <tableStyle count="3" pivot="0" name="QDF-QUEDA DE TENSÃO-style 4">
      <tableStyleElement dxfId="1" type="headerRow"/>
      <tableStyleElement dxfId="2" type="firstRowStripe"/>
      <tableStyleElement dxfId="3" type="secondRowStripe"/>
    </tableStyle>
    <tableStyle count="3" pivot="0" name="QDF-QUEDA DE TENSÃO-style 5">
      <tableStyleElement dxfId="1" type="headerRow"/>
      <tableStyleElement dxfId="2" type="firstRowStripe"/>
      <tableStyleElement dxfId="3" type="secondRowStripe"/>
    </tableStyle>
    <tableStyle count="2" pivot="0" name="QDF-QUEDA DE TENSÃO-style 6">
      <tableStyleElement dxfId="3" type="firstRowStripe"/>
      <tableStyleElement dxfId="2" type="secondRowStripe"/>
    </tableStyle>
    <tableStyle count="3" pivot="0" name="QDF-QUEDA DE TENSÃO-style 7">
      <tableStyleElement dxfId="1" type="headerRow"/>
      <tableStyleElement dxfId="2" type="firstRowStripe"/>
      <tableStyleElement dxfId="3" type="secondRowStripe"/>
    </tableStyle>
    <tableStyle count="3" pivot="0" name="QDF-QUEDA DE TENSÃO-style 8">
      <tableStyleElement dxfId="1" type="headerRow"/>
      <tableStyleElement dxfId="2" type="firstRowStripe"/>
      <tableStyleElement dxfId="3" type="secondRowStripe"/>
    </tableStyle>
    <tableStyle count="2" pivot="0" name="QDF-QUEDA DE TENSÃO-style 9">
      <tableStyleElement dxfId="3" type="firstRowStripe"/>
      <tableStyleElement dxfId="2" type="secondRowStripe"/>
    </tableStyle>
    <tableStyle count="3" pivot="0" name="QDF-QUEDA DE TENSÃO-style 10">
      <tableStyleElement dxfId="1" type="headerRow"/>
      <tableStyleElement dxfId="2" type="firstRowStripe"/>
      <tableStyleElement dxfId="3" type="secondRowStripe"/>
    </tableStyle>
    <tableStyle count="3" pivot="0" name="QDF-QUEDA DE TENSÃO-style 11">
      <tableStyleElement dxfId="1" type="headerRow"/>
      <tableStyleElement dxfId="2" type="firstRowStripe"/>
      <tableStyleElement dxfId="3" type="secondRowStripe"/>
    </tableStyle>
    <tableStyle count="2" pivot="0" name="QDF-QUEDA DE TENSÃO-style 12">
      <tableStyleElement dxfId="3" type="firstRowStripe"/>
      <tableStyleElement dxfId="2" type="secondRowStripe"/>
    </tableStyle>
    <tableStyle count="3" pivot="0" name="QDF-QUEDA DE TENSÃO-style 13">
      <tableStyleElement dxfId="1" type="headerRow"/>
      <tableStyleElement dxfId="2" type="firstRowStripe"/>
      <tableStyleElement dxfId="3" type="secondRowStripe"/>
    </tableStyle>
    <tableStyle count="3" pivot="0" name="QDF-QUEDA DE TENSÃO-style 14">
      <tableStyleElement dxfId="1" type="headerRow"/>
      <tableStyleElement dxfId="2" type="firstRowStripe"/>
      <tableStyleElement dxfId="3" type="secondRowStripe"/>
    </tableStyle>
    <tableStyle count="2" pivot="0" name="QDF-QUEDA DE TENSÃO-style 15">
      <tableStyleElement dxfId="3" type="firstRowStripe"/>
      <tableStyleElement dxfId="2" type="secondRowStripe"/>
    </tableStyle>
    <tableStyle count="3" pivot="0" name="QDFG-style">
      <tableStyleElement dxfId="1" type="headerRow"/>
      <tableStyleElement dxfId="2" type="firstRowStripe"/>
      <tableStyleElement dxfId="3" type="secondRowStripe"/>
    </tableStyle>
    <tableStyle count="3" pivot="0" name="QDFG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Relationship Id="rId3" Type="http://schemas.openxmlformats.org/officeDocument/2006/relationships/image" Target="../media/image18.png"/><Relationship Id="rId4" Type="http://schemas.openxmlformats.org/officeDocument/2006/relationships/image" Target="../media/image16.png"/><Relationship Id="rId5" Type="http://schemas.openxmlformats.org/officeDocument/2006/relationships/image" Target="../media/image33.png"/><Relationship Id="rId6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22.png"/><Relationship Id="rId12" Type="http://schemas.openxmlformats.org/officeDocument/2006/relationships/image" Target="../media/image12.png"/><Relationship Id="rId9" Type="http://schemas.openxmlformats.org/officeDocument/2006/relationships/image" Target="../media/image32.png"/><Relationship Id="rId5" Type="http://schemas.openxmlformats.org/officeDocument/2006/relationships/image" Target="../media/image24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2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4.png"/><Relationship Id="rId3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5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11" Type="http://schemas.openxmlformats.org/officeDocument/2006/relationships/image" Target="../media/image29.png"/><Relationship Id="rId10" Type="http://schemas.openxmlformats.org/officeDocument/2006/relationships/image" Target="../media/image5.png"/><Relationship Id="rId12" Type="http://schemas.openxmlformats.org/officeDocument/2006/relationships/image" Target="../media/image21.png"/><Relationship Id="rId9" Type="http://schemas.openxmlformats.org/officeDocument/2006/relationships/image" Target="../media/image20.png"/><Relationship Id="rId5" Type="http://schemas.openxmlformats.org/officeDocument/2006/relationships/image" Target="../media/image35.png"/><Relationship Id="rId6" Type="http://schemas.openxmlformats.org/officeDocument/2006/relationships/image" Target="../media/image39.png"/><Relationship Id="rId7" Type="http://schemas.openxmlformats.org/officeDocument/2006/relationships/image" Target="../media/image26.png"/><Relationship Id="rId8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3.png"/><Relationship Id="rId3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30</xdr:row>
      <xdr:rowOff>28575</xdr:rowOff>
    </xdr:from>
    <xdr:ext cx="3867150" cy="462915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30</xdr:row>
      <xdr:rowOff>28575</xdr:rowOff>
    </xdr:from>
    <xdr:ext cx="4267200" cy="4467225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30</xdr:row>
      <xdr:rowOff>28575</xdr:rowOff>
    </xdr:from>
    <xdr:ext cx="3886200" cy="4705350"/>
    <xdr:pic>
      <xdr:nvPicPr>
        <xdr:cNvPr id="0" name="image18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942975</xdr:colOff>
      <xdr:row>48</xdr:row>
      <xdr:rowOff>209550</xdr:rowOff>
    </xdr:from>
    <xdr:ext cx="4876800" cy="2781300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685800</xdr:colOff>
      <xdr:row>20</xdr:row>
      <xdr:rowOff>47625</xdr:rowOff>
    </xdr:from>
    <xdr:ext cx="4876800" cy="5743575"/>
    <xdr:pic>
      <xdr:nvPicPr>
        <xdr:cNvPr id="0" name="image3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838200</xdr:colOff>
      <xdr:row>20</xdr:row>
      <xdr:rowOff>47625</xdr:rowOff>
    </xdr:from>
    <xdr:ext cx="4876800" cy="5600700"/>
    <xdr:pic>
      <xdr:nvPicPr>
        <xdr:cNvPr id="0" name="image10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4</xdr:row>
      <xdr:rowOff>0</xdr:rowOff>
    </xdr:from>
    <xdr:ext cx="7200900" cy="3971925"/>
    <xdr:pic>
      <xdr:nvPicPr>
        <xdr:cNvPr id="0" name="image3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26</xdr:row>
      <xdr:rowOff>0</xdr:rowOff>
    </xdr:from>
    <xdr:ext cx="6000750" cy="371475"/>
    <xdr:pic>
      <xdr:nvPicPr>
        <xdr:cNvPr id="0" name="image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27</xdr:row>
      <xdr:rowOff>0</xdr:rowOff>
    </xdr:from>
    <xdr:ext cx="4791075" cy="3562350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962025</xdr:colOff>
      <xdr:row>44</xdr:row>
      <xdr:rowOff>209550</xdr:rowOff>
    </xdr:from>
    <xdr:ext cx="4295775" cy="263842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885825</xdr:colOff>
      <xdr:row>80</xdr:row>
      <xdr:rowOff>104775</xdr:rowOff>
    </xdr:from>
    <xdr:ext cx="4248150" cy="2914650"/>
    <xdr:pic>
      <xdr:nvPicPr>
        <xdr:cNvPr id="0" name="image2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885825</xdr:colOff>
      <xdr:row>100</xdr:row>
      <xdr:rowOff>28575</xdr:rowOff>
    </xdr:from>
    <xdr:ext cx="3228975" cy="3038475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771525</xdr:colOff>
      <xdr:row>100</xdr:row>
      <xdr:rowOff>28575</xdr:rowOff>
    </xdr:from>
    <xdr:ext cx="4200525" cy="2952750"/>
    <xdr:pic>
      <xdr:nvPicPr>
        <xdr:cNvPr id="0" name="image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131</xdr:row>
      <xdr:rowOff>66675</xdr:rowOff>
    </xdr:from>
    <xdr:ext cx="4876800" cy="6238875"/>
    <xdr:pic>
      <xdr:nvPicPr>
        <xdr:cNvPr id="0" name="image2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866775</xdr:colOff>
      <xdr:row>165</xdr:row>
      <xdr:rowOff>95250</xdr:rowOff>
    </xdr:from>
    <xdr:ext cx="5667375" cy="2657475"/>
    <xdr:pic>
      <xdr:nvPicPr>
        <xdr:cNvPr id="0" name="image32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135</xdr:row>
      <xdr:rowOff>-180975</xdr:rowOff>
    </xdr:from>
    <xdr:ext cx="4953000" cy="1828800"/>
    <xdr:pic>
      <xdr:nvPicPr>
        <xdr:cNvPr id="0" name="image22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131</xdr:row>
      <xdr:rowOff>66675</xdr:rowOff>
    </xdr:from>
    <xdr:ext cx="5305425" cy="5848350"/>
    <xdr:pic>
      <xdr:nvPicPr>
        <xdr:cNvPr id="0" name="image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790575</xdr:colOff>
      <xdr:row>0</xdr:row>
      <xdr:rowOff>30279975</xdr:rowOff>
    </xdr:from>
    <xdr:ext cx="4876800" cy="6753225"/>
    <xdr:pic>
      <xdr:nvPicPr>
        <xdr:cNvPr id="0" name="image12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152400</xdr:colOff>
      <xdr:row>2</xdr:row>
      <xdr:rowOff>190500</xdr:rowOff>
    </xdr:from>
    <xdr:ext cx="4286250" cy="5762625"/>
    <xdr:pic>
      <xdr:nvPicPr>
        <xdr:cNvPr id="0" name="image3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257175</xdr:colOff>
      <xdr:row>31</xdr:row>
      <xdr:rowOff>142875</xdr:rowOff>
    </xdr:from>
    <xdr:ext cx="4076700" cy="5343525"/>
    <xdr:pic>
      <xdr:nvPicPr>
        <xdr:cNvPr id="0" name="image1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666750</xdr:colOff>
      <xdr:row>2</xdr:row>
      <xdr:rowOff>190500</xdr:rowOff>
    </xdr:from>
    <xdr:ext cx="4876800" cy="67532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5876925" cy="1666875"/>
    <xdr:pic>
      <xdr:nvPicPr>
        <xdr:cNvPr id="0" name="image1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4219575" cy="2895600"/>
    <xdr:pic>
      <xdr:nvPicPr>
        <xdr:cNvPr id="0" name="image2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19050</xdr:rowOff>
    </xdr:from>
    <xdr:ext cx="3743325" cy="1733550"/>
    <xdr:pic>
      <xdr:nvPicPr>
        <xdr:cNvPr id="0" name="image3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28575</xdr:rowOff>
    </xdr:from>
    <xdr:ext cx="6772275" cy="1295400"/>
    <xdr:pic>
      <xdr:nvPicPr>
        <xdr:cNvPr id="0" name="image2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56</xdr:row>
      <xdr:rowOff>200025</xdr:rowOff>
    </xdr:from>
    <xdr:ext cx="4419600" cy="3962400"/>
    <xdr:pic>
      <xdr:nvPicPr>
        <xdr:cNvPr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161925</xdr:rowOff>
    </xdr:from>
    <xdr:ext cx="4257675" cy="296227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209550</xdr:rowOff>
    </xdr:from>
    <xdr:ext cx="5219700" cy="2390775"/>
    <xdr:pic>
      <xdr:nvPicPr>
        <xdr:cNvPr id="0" name="image3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666750</xdr:colOff>
      <xdr:row>104</xdr:row>
      <xdr:rowOff>66675</xdr:rowOff>
    </xdr:from>
    <xdr:ext cx="5219700" cy="2390775"/>
    <xdr:pic>
      <xdr:nvPicPr>
        <xdr:cNvPr id="0" name="image3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53</xdr:row>
      <xdr:rowOff>38100</xdr:rowOff>
    </xdr:from>
    <xdr:ext cx="6391275" cy="5305425"/>
    <xdr:pic>
      <xdr:nvPicPr>
        <xdr:cNvPr id="0" name="image39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81</xdr:row>
      <xdr:rowOff>38100</xdr:rowOff>
    </xdr:from>
    <xdr:ext cx="4276725" cy="2914650"/>
    <xdr:pic>
      <xdr:nvPicPr>
        <xdr:cNvPr id="0" name="image2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933450</xdr:colOff>
      <xdr:row>146</xdr:row>
      <xdr:rowOff>47625</xdr:rowOff>
    </xdr:from>
    <xdr:ext cx="5610225" cy="4676775"/>
    <xdr:pic>
      <xdr:nvPicPr>
        <xdr:cNvPr id="0" name="image3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149</xdr:row>
      <xdr:rowOff>95250</xdr:rowOff>
    </xdr:from>
    <xdr:ext cx="3867150" cy="3371850"/>
    <xdr:pic>
      <xdr:nvPicPr>
        <xdr:cNvPr id="0" name="image20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95250</xdr:rowOff>
    </xdr:from>
    <xdr:ext cx="3705225" cy="2581275"/>
    <xdr:pic>
      <xdr:nvPicPr>
        <xdr:cNvPr id="0" name="image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4629150" cy="2047875"/>
    <xdr:pic>
      <xdr:nvPicPr>
        <xdr:cNvPr id="0" name="image29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198</xdr:row>
      <xdr:rowOff>0</xdr:rowOff>
    </xdr:from>
    <xdr:ext cx="4629150" cy="2047875"/>
    <xdr:pic>
      <xdr:nvPicPr>
        <xdr:cNvPr id="0" name="image31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904875</xdr:colOff>
      <xdr:row>177</xdr:row>
      <xdr:rowOff>85725</xdr:rowOff>
    </xdr:from>
    <xdr:ext cx="3724275" cy="2552700"/>
    <xdr:pic>
      <xdr:nvPicPr>
        <xdr:cNvPr id="0" name="image2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240</xdr:row>
      <xdr:rowOff>9525</xdr:rowOff>
    </xdr:from>
    <xdr:ext cx="3867150" cy="3371850"/>
    <xdr:pic>
      <xdr:nvPicPr>
        <xdr:cNvPr id="0" name="image20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263</xdr:row>
      <xdr:rowOff>28575</xdr:rowOff>
    </xdr:from>
    <xdr:ext cx="3705225" cy="2581275"/>
    <xdr:pic>
      <xdr:nvPicPr>
        <xdr:cNvPr id="0" name="image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4629150" cy="2047875"/>
    <xdr:pic>
      <xdr:nvPicPr>
        <xdr:cNvPr id="0" name="image29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933450</xdr:colOff>
      <xdr:row>238</xdr:row>
      <xdr:rowOff>47625</xdr:rowOff>
    </xdr:from>
    <xdr:ext cx="5610225" cy="4676775"/>
    <xdr:pic>
      <xdr:nvPicPr>
        <xdr:cNvPr id="0" name="image3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266</xdr:row>
      <xdr:rowOff>142875</xdr:rowOff>
    </xdr:from>
    <xdr:ext cx="3724275" cy="2552700"/>
    <xdr:pic>
      <xdr:nvPicPr>
        <xdr:cNvPr id="0" name="image21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</xdr:colOff>
      <xdr:row>284</xdr:row>
      <xdr:rowOff>123825</xdr:rowOff>
    </xdr:from>
    <xdr:ext cx="4629150" cy="2047875"/>
    <xdr:pic>
      <xdr:nvPicPr>
        <xdr:cNvPr id="0" name="image31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676275</xdr:colOff>
      <xdr:row>10</xdr:row>
      <xdr:rowOff>180975</xdr:rowOff>
    </xdr:from>
    <xdr:ext cx="4257675" cy="2628900"/>
    <xdr:pic>
      <xdr:nvPicPr>
        <xdr:cNvPr id="0" name="image3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26</xdr:row>
      <xdr:rowOff>200025</xdr:rowOff>
    </xdr:from>
    <xdr:ext cx="4276725" cy="3581400"/>
    <xdr:pic>
      <xdr:nvPicPr>
        <xdr:cNvPr id="0" name="image2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4171950" cy="2676525"/>
    <xdr:pic>
      <xdr:nvPicPr>
        <xdr:cNvPr id="0" name="image1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0</xdr:row>
      <xdr:rowOff>15678150</xdr:rowOff>
    </xdr:from>
    <xdr:ext cx="4257675" cy="2628900"/>
    <xdr:pic>
      <xdr:nvPicPr>
        <xdr:cNvPr id="0" name="image3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94</xdr:row>
      <xdr:rowOff>142875</xdr:rowOff>
    </xdr:from>
    <xdr:ext cx="4276725" cy="3581400"/>
    <xdr:pic>
      <xdr:nvPicPr>
        <xdr:cNvPr id="0" name="image2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117</xdr:row>
      <xdr:rowOff>152400</xdr:rowOff>
    </xdr:from>
    <xdr:ext cx="4171950" cy="2676525"/>
    <xdr:pic>
      <xdr:nvPicPr>
        <xdr:cNvPr id="0" name="image1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704850</xdr:colOff>
      <xdr:row>139</xdr:row>
      <xdr:rowOff>28575</xdr:rowOff>
    </xdr:from>
    <xdr:ext cx="4257675" cy="2628900"/>
    <xdr:pic>
      <xdr:nvPicPr>
        <xdr:cNvPr id="0" name="image3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523875</xdr:colOff>
      <xdr:row>161</xdr:row>
      <xdr:rowOff>57150</xdr:rowOff>
    </xdr:from>
    <xdr:ext cx="4276725" cy="3581400"/>
    <xdr:pic>
      <xdr:nvPicPr>
        <xdr:cNvPr id="0" name="image2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838200</xdr:colOff>
      <xdr:row>184</xdr:row>
      <xdr:rowOff>152400</xdr:rowOff>
    </xdr:from>
    <xdr:ext cx="4171950" cy="2676525"/>
    <xdr:pic>
      <xdr:nvPicPr>
        <xdr:cNvPr id="0" name="image1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9:J32" displayName="Table_1" name="Table_1" id="1">
  <tableColumns count="10">
    <tableColumn name="Circuito L0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F-QUEDA DE TENSÃO-style" showColumnStripes="0" showFirstColumn="1" showLastColumn="1" showRowStripes="1"/>
</table>
</file>

<file path=xl/tables/table2.xml><?xml version="1.0" encoding="utf-8"?>
<table xmlns="http://schemas.openxmlformats.org/spreadsheetml/2006/main" ref="P30:W33" displayName="Table_2" name="Table_2" id="2">
  <tableColumns count="8">
    <tableColumn name="Circuito L0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F-QUEDA DE TENSÃ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3:J3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F-QUEDA DE TENSÃO-style 3" showColumnStripes="0" showFirstColumn="1" showLastColumn="1" showRowStripes="1"/>
</table>
</file>

<file path=xl/tables/table4.xml><?xml version="1.0" encoding="utf-8"?>
<table xmlns="http://schemas.openxmlformats.org/spreadsheetml/2006/main" ref="A39:J42" displayName="Table_4" name="Table_4" id="4">
  <tableColumns count="10">
    <tableColumn name="Circuito T1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F-QUEDA DE TENSÃO-style 4" showColumnStripes="0" showFirstColumn="1" showLastColumn="1" showRowStripes="1"/>
</table>
</file>

<file path=xl/tables/table5.xml><?xml version="1.0" encoding="utf-8"?>
<table xmlns="http://schemas.openxmlformats.org/spreadsheetml/2006/main" ref="P39:W45" displayName="Table_5" name="Table_5" id="5">
  <tableColumns count="8">
    <tableColumn name="Circuito T1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F-QUEDA DE TENSÃO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3:J45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F-QUEDA DE TENSÃO-style 6" showColumnStripes="0" showFirstColumn="1" showLastColumn="1" showRowStripes="1"/>
</table>
</file>

<file path=xl/tables/table7.xml><?xml version="1.0" encoding="utf-8"?>
<table xmlns="http://schemas.openxmlformats.org/spreadsheetml/2006/main" ref="A131:J134" displayName="Table_7" name="Table_7" id="7">
  <tableColumns count="10">
    <tableColumn name="Circuito T3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F-QUEDA DE TENSÃO-style 7" showColumnStripes="0" showFirstColumn="1" showLastColumn="1" showRowStripes="1"/>
</table>
</file>

<file path=xl/tables/table8.xml><?xml version="1.0" encoding="utf-8"?>
<table xmlns="http://schemas.openxmlformats.org/spreadsheetml/2006/main" ref="P131:W137" displayName="Table_8" name="Table_8" id="8">
  <tableColumns count="8">
    <tableColumn name="Circuito T3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F-QUEDA DE TENSÃO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35:J137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F-QUEDA DE TENSÃO-style 9" showColumnStripes="0" showFirstColumn="1" showLastColumn="1" showRowStripes="1"/>
</table>
</file>

<file path=xl/tables/table10.xml><?xml version="1.0" encoding="utf-8"?>
<table xmlns="http://schemas.openxmlformats.org/spreadsheetml/2006/main" ref="A220:J223" displayName="Table_10" name="Table_10" id="10">
  <tableColumns count="10">
    <tableColumn name="Circuito T5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F-QUEDA DE TENSÃO-style 10" showColumnStripes="0" showFirstColumn="1" showLastColumn="1" showRowStripes="1"/>
</table>
</file>

<file path=xl/tables/table11.xml><?xml version="1.0" encoding="utf-8"?>
<table xmlns="http://schemas.openxmlformats.org/spreadsheetml/2006/main" ref="P220:W226" displayName="Table_11" name="Table_11" id="11">
  <tableColumns count="8">
    <tableColumn name="Circuito T5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F-QUEDA DE TENSÃO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224:J226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F-QUEDA DE TENSÃO-style 12" showColumnStripes="0" showFirstColumn="1" showLastColumn="1" showRowStripes="1"/>
</table>
</file>

<file path=xl/tables/table13.xml><?xml version="1.0" encoding="utf-8"?>
<table xmlns="http://schemas.openxmlformats.org/spreadsheetml/2006/main" ref="A307:J310" displayName="Table_13" name="Table_13" id="13">
  <tableColumns count="10">
    <tableColumn name="Circuito T7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F-QUEDA DE TENSÃO-style 13" showColumnStripes="0" showFirstColumn="1" showLastColumn="1" showRowStripes="1"/>
</table>
</file>

<file path=xl/tables/table14.xml><?xml version="1.0" encoding="utf-8"?>
<table xmlns="http://schemas.openxmlformats.org/spreadsheetml/2006/main" ref="P307:W317" displayName="Table_14" name="Table_14" id="14">
  <tableColumns count="8">
    <tableColumn name="Circuito T7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F-QUEDA DE TENSÃO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311:J315" displayName="Table_15" name="Table_15" id="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F-QUEDA DE TENSÃO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43:F51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F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57:K58" displayName="Table_17" name="Table_17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DF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6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>
        <v>0.8</v>
      </c>
      <c r="C2" s="3">
        <v>15.92</v>
      </c>
      <c r="D2" s="3">
        <v>9.6</v>
      </c>
      <c r="E2" s="4">
        <f t="shared" ref="E2:E13" si="1">D2*C2</f>
        <v>152.832</v>
      </c>
      <c r="F2" s="4">
        <f t="shared" ref="F2:F3" si="2">(2*D2)+(2*C2)</f>
        <v>51.04</v>
      </c>
      <c r="G2" s="3" t="s">
        <v>14</v>
      </c>
      <c r="H2" s="3" t="s">
        <v>15</v>
      </c>
      <c r="I2" s="3" t="s">
        <v>16</v>
      </c>
      <c r="J2" s="3">
        <v>7.0</v>
      </c>
    </row>
    <row r="3">
      <c r="A3" s="3" t="s">
        <v>17</v>
      </c>
      <c r="B3" s="3">
        <v>0.8</v>
      </c>
      <c r="C3" s="3">
        <v>9.28</v>
      </c>
      <c r="D3" s="3">
        <v>9.6</v>
      </c>
      <c r="E3" s="4">
        <f t="shared" si="1"/>
        <v>89.088</v>
      </c>
      <c r="F3" s="4">
        <f t="shared" si="2"/>
        <v>37.76</v>
      </c>
      <c r="G3" s="3" t="s">
        <v>14</v>
      </c>
      <c r="H3" s="3" t="s">
        <v>15</v>
      </c>
      <c r="I3" s="3" t="s">
        <v>16</v>
      </c>
      <c r="J3" s="3">
        <v>7.0</v>
      </c>
    </row>
    <row r="4">
      <c r="A4" s="3" t="s">
        <v>19</v>
      </c>
      <c r="B4" s="3">
        <v>0.8</v>
      </c>
      <c r="C4" s="3">
        <v>8.12</v>
      </c>
      <c r="D4" s="3">
        <v>6.0</v>
      </c>
      <c r="E4" s="4">
        <f t="shared" si="1"/>
        <v>48.72</v>
      </c>
      <c r="F4" s="4">
        <f t="shared" ref="F4:F5" si="3">2*D4+2*C4</f>
        <v>28.24</v>
      </c>
      <c r="G4" s="3" t="s">
        <v>14</v>
      </c>
      <c r="H4" s="3" t="s">
        <v>15</v>
      </c>
      <c r="I4" s="3" t="s">
        <v>16</v>
      </c>
      <c r="J4" s="3">
        <v>7.0</v>
      </c>
    </row>
    <row r="5">
      <c r="A5" s="3" t="s">
        <v>40</v>
      </c>
      <c r="B5" s="3">
        <v>0.8</v>
      </c>
      <c r="C5" s="3">
        <v>11.18</v>
      </c>
      <c r="D5" s="3">
        <v>9.6</v>
      </c>
      <c r="E5" s="4">
        <f t="shared" si="1"/>
        <v>107.328</v>
      </c>
      <c r="F5" s="4">
        <f t="shared" si="3"/>
        <v>41.56</v>
      </c>
      <c r="G5" s="3" t="s">
        <v>14</v>
      </c>
      <c r="H5" s="3" t="s">
        <v>15</v>
      </c>
      <c r="I5" s="3" t="s">
        <v>16</v>
      </c>
      <c r="J5" s="3">
        <v>7.0</v>
      </c>
    </row>
    <row r="6">
      <c r="A6" s="3" t="s">
        <v>50</v>
      </c>
      <c r="B6" s="3">
        <v>0.8</v>
      </c>
      <c r="C6" s="3">
        <v>8.12</v>
      </c>
      <c r="D6" s="3">
        <v>30.92</v>
      </c>
      <c r="E6" s="4">
        <f t="shared" si="1"/>
        <v>251.0704</v>
      </c>
      <c r="F6" s="4">
        <f t="shared" ref="F6:F13" si="4">(2*D6)+(2*C6)</f>
        <v>78.08</v>
      </c>
      <c r="G6" s="3" t="s">
        <v>14</v>
      </c>
      <c r="H6" s="3" t="s">
        <v>15</v>
      </c>
      <c r="I6" s="3" t="s">
        <v>16</v>
      </c>
      <c r="J6" s="3">
        <v>7.0</v>
      </c>
    </row>
    <row r="7">
      <c r="A7" s="3" t="s">
        <v>56</v>
      </c>
      <c r="B7" s="3">
        <v>0.8</v>
      </c>
      <c r="C7" s="3">
        <v>5.0</v>
      </c>
      <c r="D7" s="3">
        <v>30.9</v>
      </c>
      <c r="E7" s="4">
        <f t="shared" si="1"/>
        <v>154.5</v>
      </c>
      <c r="F7" s="4">
        <f t="shared" si="4"/>
        <v>71.8</v>
      </c>
      <c r="G7" s="3" t="s">
        <v>14</v>
      </c>
      <c r="H7" s="3" t="s">
        <v>15</v>
      </c>
      <c r="I7" s="3" t="s">
        <v>16</v>
      </c>
      <c r="J7" s="3">
        <v>7.0</v>
      </c>
    </row>
    <row r="8">
      <c r="A8" s="3" t="s">
        <v>57</v>
      </c>
      <c r="B8" s="3">
        <v>0.8</v>
      </c>
      <c r="C8" s="3">
        <v>5.23</v>
      </c>
      <c r="D8" s="3">
        <v>39.25</v>
      </c>
      <c r="E8" s="4">
        <f t="shared" si="1"/>
        <v>205.2775</v>
      </c>
      <c r="F8" s="4">
        <f t="shared" si="4"/>
        <v>88.96</v>
      </c>
      <c r="G8" s="3" t="s">
        <v>14</v>
      </c>
      <c r="H8" s="3" t="s">
        <v>15</v>
      </c>
      <c r="I8" s="3" t="s">
        <v>16</v>
      </c>
      <c r="J8" s="3">
        <v>7.0</v>
      </c>
    </row>
    <row r="9">
      <c r="A9" s="3" t="s">
        <v>59</v>
      </c>
      <c r="B9" s="3">
        <v>0.8</v>
      </c>
      <c r="C9" s="3">
        <v>27.95</v>
      </c>
      <c r="D9" s="3">
        <v>43.37</v>
      </c>
      <c r="E9" s="4">
        <f t="shared" si="1"/>
        <v>1212.1915</v>
      </c>
      <c r="F9" s="4">
        <f t="shared" si="4"/>
        <v>142.64</v>
      </c>
      <c r="G9" s="3" t="s">
        <v>14</v>
      </c>
      <c r="H9" s="3" t="s">
        <v>15</v>
      </c>
      <c r="I9" s="3" t="s">
        <v>16</v>
      </c>
      <c r="J9" s="3">
        <v>7.0</v>
      </c>
    </row>
    <row r="10">
      <c r="A10" s="3" t="s">
        <v>60</v>
      </c>
      <c r="B10" s="3">
        <v>0.8</v>
      </c>
      <c r="C10" s="3">
        <v>5.0</v>
      </c>
      <c r="D10" s="3">
        <v>6.0</v>
      </c>
      <c r="E10" s="4">
        <f t="shared" si="1"/>
        <v>30</v>
      </c>
      <c r="F10" s="4">
        <f t="shared" si="4"/>
        <v>22</v>
      </c>
      <c r="G10" s="3" t="s">
        <v>61</v>
      </c>
      <c r="H10" s="3" t="s">
        <v>15</v>
      </c>
      <c r="I10" s="3" t="s">
        <v>62</v>
      </c>
      <c r="J10" s="3">
        <v>3.0</v>
      </c>
    </row>
    <row r="11">
      <c r="A11" s="3" t="s">
        <v>63</v>
      </c>
      <c r="B11" s="3">
        <v>0.8</v>
      </c>
      <c r="C11" s="3">
        <v>5.0</v>
      </c>
      <c r="D11" s="3">
        <v>6.0</v>
      </c>
      <c r="E11" s="4">
        <f t="shared" si="1"/>
        <v>30</v>
      </c>
      <c r="F11" s="4">
        <f t="shared" si="4"/>
        <v>22</v>
      </c>
      <c r="G11" s="3" t="s">
        <v>65</v>
      </c>
      <c r="H11" s="3" t="s">
        <v>66</v>
      </c>
      <c r="I11" s="3" t="s">
        <v>62</v>
      </c>
      <c r="J11" s="3">
        <v>3.0</v>
      </c>
    </row>
    <row r="12">
      <c r="A12" s="3" t="s">
        <v>67</v>
      </c>
      <c r="B12" s="3">
        <v>0.8</v>
      </c>
      <c r="C12" s="3">
        <v>5.23</v>
      </c>
      <c r="D12" s="3">
        <v>3.5</v>
      </c>
      <c r="E12" s="4">
        <f t="shared" si="1"/>
        <v>18.305</v>
      </c>
      <c r="F12" s="4">
        <f t="shared" si="4"/>
        <v>17.46</v>
      </c>
      <c r="G12" s="3" t="s">
        <v>61</v>
      </c>
      <c r="H12" s="3" t="s">
        <v>15</v>
      </c>
      <c r="I12" s="3" t="s">
        <v>62</v>
      </c>
      <c r="J12" s="3">
        <v>3.0</v>
      </c>
    </row>
    <row r="13">
      <c r="A13" s="3" t="s">
        <v>68</v>
      </c>
      <c r="B13" s="3">
        <v>0.8</v>
      </c>
      <c r="C13" s="3">
        <v>8.12</v>
      </c>
      <c r="D13" s="3">
        <v>6.0</v>
      </c>
      <c r="E13" s="4">
        <f t="shared" si="1"/>
        <v>48.72</v>
      </c>
      <c r="F13" s="4">
        <f t="shared" si="4"/>
        <v>28.24</v>
      </c>
      <c r="G13" s="3" t="s">
        <v>65</v>
      </c>
      <c r="H13" s="3" t="s">
        <v>70</v>
      </c>
      <c r="I13" s="3" t="s">
        <v>62</v>
      </c>
      <c r="J13" s="3">
        <v>3.0</v>
      </c>
    </row>
    <row r="14">
      <c r="A14" s="3" t="s">
        <v>54</v>
      </c>
      <c r="B14" s="3">
        <v>0.8</v>
      </c>
      <c r="C14" s="3">
        <v>9.6</v>
      </c>
      <c r="D14" s="3">
        <v>9.8</v>
      </c>
      <c r="E14" s="4">
        <f>C14*D14</f>
        <v>94.08</v>
      </c>
      <c r="F14" s="4">
        <f>(2*C14)+(2*D14)</f>
        <v>38.8</v>
      </c>
      <c r="G14" s="3" t="s">
        <v>65</v>
      </c>
      <c r="H14" s="3" t="s">
        <v>66</v>
      </c>
      <c r="I14" s="3" t="s">
        <v>16</v>
      </c>
      <c r="J14" s="3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5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>
      <c r="A2" s="9" t="s">
        <v>18</v>
      </c>
      <c r="B2" s="9" t="s">
        <v>20</v>
      </c>
      <c r="C2" s="9" t="s">
        <v>21</v>
      </c>
      <c r="D2" s="11" t="s">
        <v>22</v>
      </c>
      <c r="E2" s="12" t="s">
        <v>25</v>
      </c>
      <c r="F2" s="9" t="s">
        <v>29</v>
      </c>
      <c r="G2" s="9" t="s">
        <v>28</v>
      </c>
      <c r="H2" s="9" t="s">
        <v>30</v>
      </c>
      <c r="I2" s="11" t="s">
        <v>32</v>
      </c>
      <c r="J2" s="14" t="s">
        <v>33</v>
      </c>
      <c r="K2" s="16" t="s">
        <v>38</v>
      </c>
      <c r="L2" s="14" t="s">
        <v>43</v>
      </c>
      <c r="M2" s="16" t="s">
        <v>45</v>
      </c>
      <c r="R2" s="17" t="s">
        <v>48</v>
      </c>
    </row>
    <row r="3">
      <c r="A3" s="11" t="s">
        <v>51</v>
      </c>
      <c r="B3" s="21" t="s">
        <v>53</v>
      </c>
      <c r="C3" s="22" t="s">
        <v>54</v>
      </c>
      <c r="D3" s="23" t="s">
        <v>55</v>
      </c>
      <c r="E3" s="23">
        <v>1.0</v>
      </c>
      <c r="F3" s="25">
        <v>220.0</v>
      </c>
      <c r="G3" s="26">
        <v>13.0</v>
      </c>
      <c r="H3" s="26" t="s">
        <v>58</v>
      </c>
      <c r="I3" s="26">
        <v>2.0</v>
      </c>
      <c r="J3" s="27">
        <v>400.0</v>
      </c>
      <c r="K3" s="29">
        <f t="shared" ref="K3:K22" si="1">J3*I3</f>
        <v>800</v>
      </c>
      <c r="L3" s="31">
        <f t="shared" ref="L3:L22" si="2">K3/F3</f>
        <v>3.636363636</v>
      </c>
      <c r="M3" s="29">
        <v>1.0</v>
      </c>
    </row>
    <row r="4">
      <c r="A4" s="32" t="s">
        <v>69</v>
      </c>
      <c r="B4" s="21" t="s">
        <v>71</v>
      </c>
      <c r="C4" s="33" t="s">
        <v>10</v>
      </c>
      <c r="D4" s="23" t="s">
        <v>55</v>
      </c>
      <c r="E4" s="23">
        <v>1.0</v>
      </c>
      <c r="F4" s="25">
        <v>220.0</v>
      </c>
      <c r="G4" s="21">
        <v>13.0</v>
      </c>
      <c r="H4" s="26" t="s">
        <v>58</v>
      </c>
      <c r="I4" s="35">
        <v>4.0</v>
      </c>
      <c r="J4" s="29">
        <v>200.0</v>
      </c>
      <c r="K4" s="29">
        <f t="shared" si="1"/>
        <v>800</v>
      </c>
      <c r="L4" s="31">
        <f t="shared" si="2"/>
        <v>3.636363636</v>
      </c>
      <c r="M4" s="29">
        <v>1.0</v>
      </c>
      <c r="Q4" s="18"/>
      <c r="R4" s="18"/>
      <c r="S4" s="18"/>
      <c r="T4" s="18"/>
      <c r="U4" s="18"/>
      <c r="V4" s="18"/>
      <c r="W4" s="18"/>
      <c r="X4" s="18"/>
      <c r="Y4" s="18"/>
    </row>
    <row r="5">
      <c r="A5" s="36"/>
      <c r="B5" s="21" t="s">
        <v>72</v>
      </c>
      <c r="C5" s="36"/>
      <c r="D5" s="23" t="s">
        <v>73</v>
      </c>
      <c r="E5" s="23">
        <v>3.0</v>
      </c>
      <c r="F5" s="25">
        <v>220.0</v>
      </c>
      <c r="G5" s="21">
        <v>13.0</v>
      </c>
      <c r="H5" s="26" t="s">
        <v>58</v>
      </c>
      <c r="I5" s="35">
        <v>1.0</v>
      </c>
      <c r="J5" s="29">
        <v>1000.0</v>
      </c>
      <c r="K5" s="29">
        <f t="shared" si="1"/>
        <v>1000</v>
      </c>
      <c r="L5" s="31">
        <f t="shared" si="2"/>
        <v>4.545454545</v>
      </c>
      <c r="M5" s="29">
        <v>1.0</v>
      </c>
      <c r="Q5" s="18"/>
      <c r="R5" s="20" t="s">
        <v>74</v>
      </c>
    </row>
    <row r="6">
      <c r="A6" s="32" t="s">
        <v>75</v>
      </c>
      <c r="B6" s="21" t="s">
        <v>76</v>
      </c>
      <c r="C6" s="33" t="s">
        <v>17</v>
      </c>
      <c r="D6" s="23" t="s">
        <v>55</v>
      </c>
      <c r="E6" s="23">
        <v>1.0</v>
      </c>
      <c r="F6" s="25">
        <v>220.0</v>
      </c>
      <c r="G6" s="21">
        <v>13.0</v>
      </c>
      <c r="H6" s="26" t="s">
        <v>58</v>
      </c>
      <c r="I6" s="35">
        <v>2.0</v>
      </c>
      <c r="J6" s="29">
        <v>200.0</v>
      </c>
      <c r="K6" s="29">
        <f t="shared" si="1"/>
        <v>400</v>
      </c>
      <c r="L6" s="31">
        <f t="shared" si="2"/>
        <v>1.818181818</v>
      </c>
      <c r="M6" s="29">
        <v>1.0</v>
      </c>
      <c r="Q6" s="18"/>
    </row>
    <row r="7" ht="27.0" customHeight="1">
      <c r="A7" s="36"/>
      <c r="B7" s="21" t="s">
        <v>77</v>
      </c>
      <c r="C7" s="36"/>
      <c r="D7" s="23" t="s">
        <v>73</v>
      </c>
      <c r="E7" s="23">
        <v>3.0</v>
      </c>
      <c r="F7" s="25">
        <v>220.0</v>
      </c>
      <c r="G7" s="21">
        <v>13.0</v>
      </c>
      <c r="H7" s="26" t="s">
        <v>58</v>
      </c>
      <c r="I7" s="35">
        <v>1.0</v>
      </c>
      <c r="J7" s="29">
        <v>1000.0</v>
      </c>
      <c r="K7" s="29">
        <f t="shared" si="1"/>
        <v>1000</v>
      </c>
      <c r="L7" s="31">
        <f t="shared" si="2"/>
        <v>4.545454545</v>
      </c>
      <c r="M7" s="29">
        <v>1.0</v>
      </c>
      <c r="Q7" s="18"/>
    </row>
    <row r="8">
      <c r="A8" s="32" t="s">
        <v>78</v>
      </c>
      <c r="B8" s="21" t="s">
        <v>79</v>
      </c>
      <c r="C8" s="37" t="s">
        <v>80</v>
      </c>
      <c r="D8" s="23" t="s">
        <v>55</v>
      </c>
      <c r="E8" s="23">
        <v>1.0</v>
      </c>
      <c r="F8" s="25">
        <v>220.0</v>
      </c>
      <c r="G8" s="21">
        <v>13.0</v>
      </c>
      <c r="H8" s="26" t="s">
        <v>58</v>
      </c>
      <c r="I8" s="35">
        <v>4.0</v>
      </c>
      <c r="J8" s="29">
        <v>200.0</v>
      </c>
      <c r="K8" s="29">
        <f t="shared" si="1"/>
        <v>800</v>
      </c>
      <c r="L8" s="31">
        <f t="shared" si="2"/>
        <v>3.636363636</v>
      </c>
      <c r="M8" s="29">
        <v>1.0</v>
      </c>
      <c r="Q8" s="18"/>
      <c r="R8" s="39" t="s">
        <v>81</v>
      </c>
    </row>
    <row r="9">
      <c r="A9" s="36"/>
      <c r="B9" s="21" t="s">
        <v>82</v>
      </c>
      <c r="C9" s="36"/>
      <c r="D9" s="23" t="s">
        <v>73</v>
      </c>
      <c r="E9" s="23">
        <v>3.0</v>
      </c>
      <c r="F9" s="25">
        <v>220.0</v>
      </c>
      <c r="G9" s="21">
        <v>13.0</v>
      </c>
      <c r="H9" s="26" t="s">
        <v>58</v>
      </c>
      <c r="I9" s="23">
        <v>1.0</v>
      </c>
      <c r="J9" s="29">
        <v>1000.0</v>
      </c>
      <c r="K9" s="29">
        <f t="shared" si="1"/>
        <v>1000</v>
      </c>
      <c r="L9" s="31">
        <f t="shared" si="2"/>
        <v>4.545454545</v>
      </c>
      <c r="M9" s="29">
        <v>1.0</v>
      </c>
      <c r="Q9" s="18"/>
    </row>
    <row r="10">
      <c r="A10" s="32" t="s">
        <v>83</v>
      </c>
      <c r="B10" s="21" t="s">
        <v>84</v>
      </c>
      <c r="C10" s="33" t="s">
        <v>50</v>
      </c>
      <c r="D10" s="23" t="s">
        <v>55</v>
      </c>
      <c r="E10" s="23">
        <v>1.0</v>
      </c>
      <c r="F10" s="25">
        <v>220.0</v>
      </c>
      <c r="G10" s="21">
        <v>13.0</v>
      </c>
      <c r="H10" s="26" t="s">
        <v>58</v>
      </c>
      <c r="I10" s="23">
        <v>6.0</v>
      </c>
      <c r="J10" s="29">
        <v>200.0</v>
      </c>
      <c r="K10" s="29">
        <f t="shared" si="1"/>
        <v>1200</v>
      </c>
      <c r="L10" s="31">
        <f t="shared" si="2"/>
        <v>5.454545455</v>
      </c>
      <c r="M10" s="29">
        <v>1.0</v>
      </c>
      <c r="Q10" s="18"/>
    </row>
    <row r="11">
      <c r="A11" s="40"/>
      <c r="B11" s="21" t="s">
        <v>85</v>
      </c>
      <c r="C11" s="36"/>
      <c r="D11" s="23" t="s">
        <v>73</v>
      </c>
      <c r="E11" s="23">
        <v>3.0</v>
      </c>
      <c r="F11" s="25">
        <v>220.0</v>
      </c>
      <c r="G11" s="21">
        <v>13.0</v>
      </c>
      <c r="H11" s="26" t="s">
        <v>58</v>
      </c>
      <c r="I11" s="23">
        <v>1.0</v>
      </c>
      <c r="J11" s="29">
        <v>1000.0</v>
      </c>
      <c r="K11" s="29">
        <f t="shared" si="1"/>
        <v>1000</v>
      </c>
      <c r="L11" s="31">
        <f t="shared" si="2"/>
        <v>4.545454545</v>
      </c>
      <c r="M11" s="29">
        <v>1.0</v>
      </c>
      <c r="Q11" s="18"/>
      <c r="R11" s="41" t="s">
        <v>86</v>
      </c>
      <c r="S11" s="18"/>
      <c r="T11" s="18"/>
      <c r="U11" s="18"/>
      <c r="V11" s="18"/>
      <c r="W11" s="18"/>
      <c r="X11" s="18"/>
      <c r="Y11" s="18"/>
    </row>
    <row r="12">
      <c r="A12" s="40"/>
      <c r="B12" s="23" t="s">
        <v>87</v>
      </c>
      <c r="C12" s="21" t="s">
        <v>88</v>
      </c>
      <c r="D12" s="23" t="s">
        <v>55</v>
      </c>
      <c r="E12" s="23">
        <v>1.0</v>
      </c>
      <c r="F12" s="42">
        <v>220.0</v>
      </c>
      <c r="G12" s="43">
        <v>3.0</v>
      </c>
      <c r="H12" s="22" t="s">
        <v>89</v>
      </c>
      <c r="I12" s="35">
        <v>12.0</v>
      </c>
      <c r="J12" s="27">
        <v>100.0</v>
      </c>
      <c r="K12" s="31">
        <f t="shared" si="1"/>
        <v>1200</v>
      </c>
      <c r="L12" s="31">
        <f t="shared" si="2"/>
        <v>5.454545455</v>
      </c>
      <c r="M12" s="29">
        <v>1.0</v>
      </c>
      <c r="Q12" s="18"/>
      <c r="R12" s="41" t="s">
        <v>90</v>
      </c>
      <c r="S12" s="18"/>
      <c r="T12" s="18"/>
      <c r="U12" s="18"/>
      <c r="V12" s="18"/>
      <c r="W12" s="18"/>
      <c r="X12" s="18"/>
      <c r="Y12" s="18"/>
    </row>
    <row r="13">
      <c r="A13" s="36"/>
      <c r="B13" s="23" t="s">
        <v>91</v>
      </c>
      <c r="C13" s="21" t="s">
        <v>88</v>
      </c>
      <c r="D13" s="23" t="s">
        <v>73</v>
      </c>
      <c r="E13" s="23">
        <v>3.0</v>
      </c>
      <c r="F13" s="44">
        <v>380.0</v>
      </c>
      <c r="G13" s="43">
        <v>3.0</v>
      </c>
      <c r="H13" s="22" t="s">
        <v>89</v>
      </c>
      <c r="I13" s="35">
        <v>12.0</v>
      </c>
      <c r="J13" s="27">
        <v>300.0</v>
      </c>
      <c r="K13" s="31">
        <f t="shared" si="1"/>
        <v>3600</v>
      </c>
      <c r="L13" s="31">
        <f t="shared" si="2"/>
        <v>9.473684211</v>
      </c>
      <c r="M13" s="29">
        <v>1.0</v>
      </c>
      <c r="Q13" s="41" t="s">
        <v>86</v>
      </c>
      <c r="R13" s="18"/>
      <c r="S13" s="18"/>
      <c r="T13" s="18"/>
      <c r="U13" s="18"/>
      <c r="V13" s="18"/>
      <c r="W13" s="18"/>
      <c r="X13" s="18"/>
      <c r="Y13" s="18"/>
    </row>
    <row r="14">
      <c r="A14" s="45" t="s">
        <v>92</v>
      </c>
      <c r="B14" s="43" t="s">
        <v>93</v>
      </c>
      <c r="C14" s="43" t="s">
        <v>68</v>
      </c>
      <c r="D14" s="24" t="s">
        <v>55</v>
      </c>
      <c r="E14" s="24">
        <v>1.0</v>
      </c>
      <c r="F14" s="25">
        <v>220.0</v>
      </c>
      <c r="G14" s="43">
        <v>3.0</v>
      </c>
      <c r="H14" s="22" t="s">
        <v>89</v>
      </c>
      <c r="I14" s="46">
        <v>6.0</v>
      </c>
      <c r="J14" s="29">
        <v>200.0</v>
      </c>
      <c r="K14" s="31">
        <f t="shared" si="1"/>
        <v>1200</v>
      </c>
      <c r="L14" s="31">
        <f t="shared" si="2"/>
        <v>5.454545455</v>
      </c>
      <c r="M14" s="29">
        <v>1.0</v>
      </c>
      <c r="N14" s="29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36"/>
      <c r="B15" s="43" t="s">
        <v>94</v>
      </c>
      <c r="C15" s="47" t="s">
        <v>68</v>
      </c>
      <c r="D15" s="24" t="s">
        <v>55</v>
      </c>
      <c r="E15" s="24">
        <v>1.0</v>
      </c>
      <c r="F15" s="25">
        <v>220.0</v>
      </c>
      <c r="G15" s="43">
        <v>3.0</v>
      </c>
      <c r="H15" s="22" t="s">
        <v>89</v>
      </c>
      <c r="I15" s="46">
        <v>5.0</v>
      </c>
      <c r="J15" s="29">
        <v>200.0</v>
      </c>
      <c r="K15" s="31">
        <f t="shared" si="1"/>
        <v>1000</v>
      </c>
      <c r="L15" s="31">
        <f t="shared" si="2"/>
        <v>4.545454545</v>
      </c>
      <c r="M15" s="29">
        <v>1.0</v>
      </c>
      <c r="N15" s="29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45" t="s">
        <v>95</v>
      </c>
      <c r="B16" s="48" t="s">
        <v>96</v>
      </c>
      <c r="C16" s="47" t="s">
        <v>68</v>
      </c>
      <c r="D16" s="24" t="s">
        <v>73</v>
      </c>
      <c r="E16" s="24">
        <v>1.0</v>
      </c>
      <c r="F16" s="25">
        <v>220.0</v>
      </c>
      <c r="G16" s="43">
        <v>3.0</v>
      </c>
      <c r="H16" s="22" t="s">
        <v>89</v>
      </c>
      <c r="I16" s="46">
        <v>1.0</v>
      </c>
      <c r="J16" s="29">
        <v>1500.0</v>
      </c>
      <c r="K16" s="29">
        <f t="shared" si="1"/>
        <v>1500</v>
      </c>
      <c r="L16" s="31">
        <f t="shared" si="2"/>
        <v>6.818181818</v>
      </c>
      <c r="M16" s="29">
        <v>1.0</v>
      </c>
      <c r="Q16" s="18"/>
      <c r="R16" s="41" t="s">
        <v>86</v>
      </c>
      <c r="S16" s="18"/>
      <c r="T16" s="18"/>
      <c r="U16" s="18"/>
      <c r="V16" s="18"/>
      <c r="W16" s="18"/>
      <c r="X16" s="18"/>
      <c r="Y16" s="18"/>
    </row>
    <row r="17">
      <c r="A17" s="40"/>
      <c r="B17" s="48" t="s">
        <v>97</v>
      </c>
      <c r="C17" s="43" t="s">
        <v>98</v>
      </c>
      <c r="D17" s="24" t="s">
        <v>55</v>
      </c>
      <c r="E17" s="24">
        <v>1.0</v>
      </c>
      <c r="F17" s="25">
        <v>220.0</v>
      </c>
      <c r="G17" s="43">
        <v>3.0</v>
      </c>
      <c r="H17" s="22" t="s">
        <v>89</v>
      </c>
      <c r="I17" s="46">
        <v>8.0</v>
      </c>
      <c r="J17" s="29">
        <v>200.0</v>
      </c>
      <c r="K17" s="29">
        <f t="shared" si="1"/>
        <v>1600</v>
      </c>
      <c r="L17" s="31">
        <f t="shared" si="2"/>
        <v>7.272727273</v>
      </c>
      <c r="M17" s="29">
        <v>1.0</v>
      </c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40"/>
      <c r="B18" s="48" t="s">
        <v>99</v>
      </c>
      <c r="C18" s="43" t="s">
        <v>63</v>
      </c>
      <c r="D18" s="24" t="s">
        <v>55</v>
      </c>
      <c r="E18" s="24">
        <v>1.0</v>
      </c>
      <c r="F18" s="25">
        <v>220.0</v>
      </c>
      <c r="G18" s="43">
        <v>3.0</v>
      </c>
      <c r="H18" s="22" t="s">
        <v>89</v>
      </c>
      <c r="I18" s="46">
        <v>8.0</v>
      </c>
      <c r="J18" s="29">
        <v>200.0</v>
      </c>
      <c r="K18" s="29">
        <f t="shared" si="1"/>
        <v>1600</v>
      </c>
      <c r="L18" s="31">
        <f t="shared" si="2"/>
        <v>7.272727273</v>
      </c>
      <c r="M18" s="29">
        <v>1.0</v>
      </c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36"/>
      <c r="B19" s="43" t="s">
        <v>100</v>
      </c>
      <c r="C19" s="47" t="s">
        <v>98</v>
      </c>
      <c r="D19" s="24" t="s">
        <v>73</v>
      </c>
      <c r="E19" s="24">
        <v>1.0</v>
      </c>
      <c r="F19" s="25">
        <v>220.0</v>
      </c>
      <c r="G19" s="43">
        <v>3.0</v>
      </c>
      <c r="H19" s="22" t="s">
        <v>89</v>
      </c>
      <c r="I19" s="46">
        <v>1.0</v>
      </c>
      <c r="J19" s="29">
        <v>1500.0</v>
      </c>
      <c r="K19" s="29">
        <f t="shared" si="1"/>
        <v>1500</v>
      </c>
      <c r="L19" s="31">
        <f t="shared" si="2"/>
        <v>6.818181818</v>
      </c>
      <c r="M19" s="29">
        <v>1.0</v>
      </c>
      <c r="P19" s="50" t="s">
        <v>101</v>
      </c>
      <c r="V19" s="18"/>
      <c r="W19" s="18"/>
      <c r="X19" s="18"/>
      <c r="Y19" s="18"/>
    </row>
    <row r="20">
      <c r="A20" s="45" t="s">
        <v>102</v>
      </c>
      <c r="B20" s="43" t="s">
        <v>103</v>
      </c>
      <c r="C20" s="47" t="s">
        <v>63</v>
      </c>
      <c r="D20" s="24" t="s">
        <v>73</v>
      </c>
      <c r="E20" s="24">
        <v>1.0</v>
      </c>
      <c r="F20" s="25">
        <v>220.0</v>
      </c>
      <c r="G20" s="43">
        <v>3.0</v>
      </c>
      <c r="H20" s="22" t="s">
        <v>89</v>
      </c>
      <c r="I20" s="46">
        <v>1.0</v>
      </c>
      <c r="J20" s="29">
        <v>1500.0</v>
      </c>
      <c r="K20" s="29">
        <f t="shared" si="1"/>
        <v>1500</v>
      </c>
      <c r="L20" s="31">
        <f t="shared" si="2"/>
        <v>6.818181818</v>
      </c>
      <c r="M20" s="29">
        <v>1.0</v>
      </c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40"/>
      <c r="B21" s="48" t="s">
        <v>104</v>
      </c>
      <c r="C21" s="47" t="s">
        <v>105</v>
      </c>
      <c r="D21" s="24" t="s">
        <v>55</v>
      </c>
      <c r="E21" s="24">
        <v>1.0</v>
      </c>
      <c r="F21" s="25">
        <v>220.0</v>
      </c>
      <c r="G21" s="43">
        <v>3.0</v>
      </c>
      <c r="H21" s="22" t="s">
        <v>89</v>
      </c>
      <c r="I21" s="46">
        <v>1.0</v>
      </c>
      <c r="J21" s="29">
        <v>600.0</v>
      </c>
      <c r="K21" s="29">
        <f t="shared" si="1"/>
        <v>600</v>
      </c>
      <c r="L21" s="31">
        <f t="shared" si="2"/>
        <v>2.727272727</v>
      </c>
      <c r="M21" s="29">
        <v>1.0</v>
      </c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40"/>
      <c r="B22" s="48" t="s">
        <v>106</v>
      </c>
      <c r="C22" s="47" t="s">
        <v>105</v>
      </c>
      <c r="D22" s="24" t="s">
        <v>73</v>
      </c>
      <c r="E22" s="24">
        <v>1.0</v>
      </c>
      <c r="F22" s="25">
        <v>220.0</v>
      </c>
      <c r="G22" s="43">
        <v>3.0</v>
      </c>
      <c r="H22" s="22" t="s">
        <v>89</v>
      </c>
      <c r="I22" s="46">
        <v>1.0</v>
      </c>
      <c r="J22" s="29">
        <v>9000.0</v>
      </c>
      <c r="K22" s="29">
        <f t="shared" si="1"/>
        <v>9000</v>
      </c>
      <c r="L22" s="31">
        <f t="shared" si="2"/>
        <v>40.90909091</v>
      </c>
      <c r="M22" s="29">
        <v>1.0</v>
      </c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36"/>
      <c r="B23" s="38" t="s">
        <v>108</v>
      </c>
      <c r="C23" s="24" t="s">
        <v>109</v>
      </c>
      <c r="D23" s="47"/>
      <c r="E23" s="47"/>
      <c r="F23" s="51"/>
      <c r="G23" s="47"/>
      <c r="H23" s="47"/>
      <c r="I23" s="24">
        <v>0.0</v>
      </c>
      <c r="J23" s="29">
        <v>0.0</v>
      </c>
      <c r="K23" s="52"/>
      <c r="L23" s="53"/>
      <c r="M23" s="52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54"/>
      <c r="B24" s="55"/>
      <c r="C24" s="56"/>
      <c r="D24" s="56"/>
      <c r="E24" s="54"/>
      <c r="F24" s="54"/>
      <c r="G24" s="54"/>
      <c r="H24" s="54"/>
      <c r="I24" s="54"/>
      <c r="J24" s="57"/>
      <c r="K24" s="57"/>
      <c r="L24" s="58"/>
      <c r="M24" s="57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54"/>
      <c r="B25" s="55"/>
      <c r="C25" s="56"/>
      <c r="D25" s="56"/>
      <c r="E25" s="54"/>
      <c r="F25" s="59">
        <v>380.0</v>
      </c>
      <c r="G25" s="54"/>
      <c r="H25" s="54"/>
      <c r="I25" s="54"/>
      <c r="J25" s="54"/>
      <c r="K25" s="54"/>
      <c r="L25" s="54"/>
      <c r="M25" s="54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62" t="s">
        <v>112</v>
      </c>
      <c r="H27" s="63"/>
      <c r="I27" s="63"/>
      <c r="J27" s="63"/>
      <c r="K27" s="63"/>
      <c r="L27" s="54"/>
      <c r="M27" s="54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62" t="s">
        <v>118</v>
      </c>
      <c r="H28" s="63"/>
      <c r="I28" s="63"/>
      <c r="J28" s="65"/>
      <c r="K28" s="63"/>
      <c r="L28" s="54"/>
      <c r="M28" s="54"/>
      <c r="V28" s="18"/>
      <c r="W28" s="18"/>
      <c r="X28" s="18"/>
      <c r="Y28" s="18"/>
    </row>
    <row r="29">
      <c r="A29" s="63"/>
      <c r="B29" s="66"/>
      <c r="C29" s="66"/>
      <c r="D29" s="66"/>
      <c r="E29" s="66"/>
      <c r="F29" s="66"/>
      <c r="G29" s="66"/>
      <c r="H29" s="66"/>
      <c r="I29" s="66"/>
      <c r="J29" s="67"/>
      <c r="K29" s="66"/>
      <c r="L29" s="54"/>
      <c r="M29" s="54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63"/>
      <c r="B30" s="66"/>
      <c r="C30" s="66"/>
      <c r="D30" s="66"/>
      <c r="E30" s="66"/>
      <c r="F30" s="66"/>
      <c r="G30" s="68"/>
      <c r="H30" s="69"/>
      <c r="I30" s="66"/>
      <c r="J30" s="67"/>
      <c r="K30" s="66"/>
      <c r="L30" s="54"/>
      <c r="M30" s="54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63"/>
      <c r="B31" s="66"/>
      <c r="C31" s="66"/>
      <c r="D31" s="66"/>
      <c r="E31" s="66"/>
      <c r="F31" s="66"/>
      <c r="G31" s="68"/>
      <c r="H31" s="69"/>
      <c r="I31" s="66"/>
      <c r="J31" s="67"/>
      <c r="K31" s="66"/>
      <c r="L31" s="54"/>
      <c r="M31" s="54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63"/>
      <c r="B32" s="66"/>
      <c r="C32" s="66"/>
      <c r="D32" s="66"/>
      <c r="E32" s="66"/>
      <c r="F32" s="66"/>
      <c r="G32" s="68"/>
      <c r="H32" s="69"/>
      <c r="I32" s="66"/>
      <c r="J32" s="67"/>
      <c r="K32" s="66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63"/>
      <c r="B33" s="66"/>
      <c r="C33" s="66"/>
      <c r="D33" s="66"/>
      <c r="E33" s="66"/>
      <c r="F33" s="66"/>
      <c r="G33" s="68"/>
      <c r="H33" s="69"/>
      <c r="I33" s="66"/>
      <c r="J33" s="67"/>
      <c r="K33" s="66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63"/>
      <c r="B34" s="66"/>
      <c r="C34" s="66"/>
      <c r="D34" s="66"/>
      <c r="E34" s="66"/>
      <c r="F34" s="66"/>
      <c r="G34" s="68"/>
      <c r="H34" s="69"/>
      <c r="I34" s="66"/>
      <c r="J34" s="67"/>
      <c r="K34" s="66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63"/>
      <c r="B35" s="66"/>
      <c r="C35" s="56"/>
      <c r="D35" s="56"/>
      <c r="E35" s="56"/>
      <c r="F35" s="56"/>
      <c r="G35" s="56"/>
      <c r="H35" s="56"/>
      <c r="I35" s="56"/>
      <c r="J35" s="56"/>
      <c r="K35" s="56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63"/>
      <c r="B36" s="66"/>
      <c r="C36" s="56"/>
      <c r="D36" s="56"/>
      <c r="E36" s="56"/>
      <c r="F36" s="56"/>
      <c r="G36" s="56"/>
      <c r="H36" s="56"/>
      <c r="I36" s="56"/>
      <c r="J36" s="56"/>
      <c r="K36" s="56"/>
      <c r="Q36" s="18"/>
      <c r="R36" s="19"/>
      <c r="W36" s="18"/>
      <c r="X36" s="18"/>
      <c r="Y36" s="18"/>
    </row>
    <row r="37">
      <c r="A37" s="63"/>
      <c r="B37" s="66"/>
      <c r="C37" s="56"/>
      <c r="D37" s="56"/>
      <c r="E37" s="56"/>
      <c r="F37" s="56"/>
      <c r="G37" s="56"/>
      <c r="H37" s="56"/>
      <c r="I37" s="56"/>
      <c r="J37" s="56"/>
      <c r="K37" s="56"/>
      <c r="Q37" s="18"/>
      <c r="W37" s="19"/>
      <c r="X37" s="19"/>
      <c r="Y37" s="19"/>
    </row>
    <row r="38">
      <c r="A38" s="63"/>
      <c r="B38" s="66"/>
      <c r="C38" s="56"/>
      <c r="D38" s="56"/>
      <c r="E38" s="56"/>
      <c r="F38" s="56"/>
      <c r="G38" s="56"/>
      <c r="H38" s="56"/>
      <c r="I38" s="56"/>
      <c r="J38" s="56"/>
      <c r="K38" s="56"/>
      <c r="Q38" s="18"/>
      <c r="W38" s="19"/>
      <c r="X38" s="19"/>
      <c r="Y38" s="19"/>
    </row>
    <row r="39">
      <c r="A39" s="63"/>
      <c r="B39" s="66"/>
      <c r="C39" s="56"/>
      <c r="D39" s="56"/>
      <c r="E39" s="56"/>
      <c r="F39" s="56"/>
      <c r="G39" s="56"/>
      <c r="H39" s="56"/>
      <c r="I39" s="56"/>
      <c r="J39" s="56"/>
      <c r="K39" s="56"/>
      <c r="Q39" s="18"/>
      <c r="W39" s="19"/>
      <c r="X39" s="19"/>
      <c r="Y39" s="19"/>
    </row>
    <row r="40">
      <c r="A40" s="63"/>
      <c r="B40" s="66"/>
      <c r="C40" s="56"/>
      <c r="D40" s="56"/>
      <c r="E40" s="56"/>
      <c r="F40" s="56"/>
      <c r="G40" s="56"/>
      <c r="H40" s="56"/>
      <c r="I40" s="56"/>
      <c r="J40" s="56"/>
      <c r="K40" s="56"/>
      <c r="V40" s="39"/>
      <c r="W40" s="39"/>
    </row>
    <row r="41">
      <c r="A41" s="63"/>
      <c r="B41" s="66"/>
      <c r="C41" s="56"/>
      <c r="D41" s="56"/>
      <c r="E41" s="56"/>
      <c r="F41" s="56"/>
      <c r="G41" s="56"/>
      <c r="H41" s="56"/>
      <c r="I41" s="56"/>
      <c r="J41" s="56"/>
      <c r="K41" s="56"/>
      <c r="R41" s="39"/>
      <c r="S41" s="39"/>
      <c r="T41" s="39"/>
      <c r="U41" s="39"/>
      <c r="V41" s="39"/>
      <c r="W41" s="39"/>
    </row>
    <row r="42">
      <c r="A42" s="63"/>
      <c r="B42" s="66"/>
      <c r="C42" s="56"/>
      <c r="D42" s="56"/>
      <c r="E42" s="56"/>
      <c r="F42" s="56"/>
      <c r="G42" s="56"/>
      <c r="H42" s="56"/>
      <c r="I42" s="56"/>
      <c r="J42" s="56"/>
      <c r="K42" s="56"/>
    </row>
  </sheetData>
  <mergeCells count="19">
    <mergeCell ref="R8:Y10"/>
    <mergeCell ref="P19:U19"/>
    <mergeCell ref="R36:V39"/>
    <mergeCell ref="A1:M1"/>
    <mergeCell ref="R2:X3"/>
    <mergeCell ref="A4:A5"/>
    <mergeCell ref="C4:C5"/>
    <mergeCell ref="R5:Y7"/>
    <mergeCell ref="A6:A7"/>
    <mergeCell ref="A8:A9"/>
    <mergeCell ref="A27:G27"/>
    <mergeCell ref="A28:G28"/>
    <mergeCell ref="C6:C7"/>
    <mergeCell ref="C8:C9"/>
    <mergeCell ref="A10:A13"/>
    <mergeCell ref="C10:C11"/>
    <mergeCell ref="A14:A15"/>
    <mergeCell ref="A16:A19"/>
    <mergeCell ref="A20:A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10"/>
    </row>
    <row r="2">
      <c r="A2" s="9" t="s">
        <v>18</v>
      </c>
      <c r="B2" s="9" t="s">
        <v>20</v>
      </c>
      <c r="C2" s="9" t="s">
        <v>21</v>
      </c>
      <c r="D2" s="9" t="s">
        <v>24</v>
      </c>
      <c r="E2" s="9" t="s">
        <v>28</v>
      </c>
      <c r="F2" s="9" t="s">
        <v>30</v>
      </c>
      <c r="G2" s="13" t="s">
        <v>31</v>
      </c>
      <c r="H2" s="9" t="s">
        <v>23</v>
      </c>
      <c r="I2" s="9" t="s">
        <v>35</v>
      </c>
      <c r="J2" s="9" t="s">
        <v>36</v>
      </c>
      <c r="K2" s="9" t="s">
        <v>37</v>
      </c>
      <c r="L2" s="9" t="s">
        <v>27</v>
      </c>
      <c r="M2" s="16" t="s">
        <v>39</v>
      </c>
      <c r="N2" s="16" t="s">
        <v>44</v>
      </c>
      <c r="O2" s="16" t="s">
        <v>46</v>
      </c>
      <c r="P2" s="9" t="s">
        <v>47</v>
      </c>
      <c r="U2" s="9"/>
      <c r="V2" s="18"/>
      <c r="W2" s="20" t="s">
        <v>52</v>
      </c>
    </row>
    <row r="3">
      <c r="A3" s="11" t="s">
        <v>51</v>
      </c>
      <c r="B3" s="21" t="s">
        <v>53</v>
      </c>
      <c r="C3" s="22" t="s">
        <v>54</v>
      </c>
      <c r="D3" s="24">
        <v>1.0</v>
      </c>
      <c r="E3" s="26">
        <f>QDF!G3</f>
        <v>13</v>
      </c>
      <c r="F3" s="22" t="str">
        <f>QDF!H3</f>
        <v>F</v>
      </c>
      <c r="G3" s="28">
        <v>4.0</v>
      </c>
      <c r="H3" s="24">
        <v>1.0</v>
      </c>
      <c r="I3" s="24">
        <v>1.0</v>
      </c>
      <c r="J3" s="28">
        <v>0.87</v>
      </c>
      <c r="K3" s="28">
        <v>1.0</v>
      </c>
      <c r="L3" s="24" t="s">
        <v>64</v>
      </c>
      <c r="M3" s="30">
        <f>QDF!L3</f>
        <v>3.636363636</v>
      </c>
      <c r="N3" s="30">
        <f t="shared" ref="N3:N13" si="1">M3/(I3*J3)</f>
        <v>4.179728318</v>
      </c>
      <c r="O3" s="28">
        <v>30.0</v>
      </c>
      <c r="P3" s="34">
        <f t="shared" ref="P3:P22" si="2">O3*I3*J3</f>
        <v>26.1</v>
      </c>
      <c r="U3" s="34"/>
      <c r="V3" s="18"/>
      <c r="W3" s="18"/>
      <c r="X3" s="18"/>
      <c r="Y3" s="18"/>
      <c r="Z3" s="18"/>
      <c r="AA3" s="18"/>
      <c r="AB3" s="18"/>
      <c r="AC3" s="18"/>
      <c r="AD3" s="18"/>
    </row>
    <row r="4">
      <c r="A4" s="32" t="s">
        <v>69</v>
      </c>
      <c r="B4" s="21" t="s">
        <v>71</v>
      </c>
      <c r="C4" s="33" t="s">
        <v>10</v>
      </c>
      <c r="D4" s="28">
        <v>2.0</v>
      </c>
      <c r="E4" s="26">
        <f>QDF!G4</f>
        <v>13</v>
      </c>
      <c r="F4" s="22" t="str">
        <f>QDF!H4</f>
        <v>F</v>
      </c>
      <c r="G4" s="28">
        <v>4.0</v>
      </c>
      <c r="H4" s="28">
        <v>2.0</v>
      </c>
      <c r="I4" s="28">
        <v>0.88</v>
      </c>
      <c r="J4" s="28">
        <v>0.87</v>
      </c>
      <c r="K4" s="38">
        <v>1.0</v>
      </c>
      <c r="L4" s="24" t="s">
        <v>64</v>
      </c>
      <c r="M4" s="30">
        <f>QDF!L4</f>
        <v>3.636363636</v>
      </c>
      <c r="N4" s="30">
        <f t="shared" si="1"/>
        <v>4.74969127</v>
      </c>
      <c r="O4" s="28">
        <v>30.0</v>
      </c>
      <c r="P4" s="34">
        <f t="shared" si="2"/>
        <v>22.968</v>
      </c>
      <c r="U4" s="34"/>
      <c r="V4" s="18"/>
      <c r="W4" s="18"/>
      <c r="X4" s="18"/>
      <c r="Y4" s="18"/>
      <c r="Z4" s="18"/>
      <c r="AA4" s="18"/>
      <c r="AB4" s="18"/>
      <c r="AC4" s="18"/>
      <c r="AD4" s="18"/>
    </row>
    <row r="5">
      <c r="A5" s="36"/>
      <c r="B5" s="21" t="s">
        <v>72</v>
      </c>
      <c r="C5" s="36"/>
      <c r="D5" s="28">
        <v>2.0</v>
      </c>
      <c r="E5" s="26">
        <f>QDF!G5</f>
        <v>13</v>
      </c>
      <c r="F5" s="22" t="str">
        <f>QDF!H5</f>
        <v>F</v>
      </c>
      <c r="G5" s="28">
        <v>4.0</v>
      </c>
      <c r="H5" s="28">
        <v>2.0</v>
      </c>
      <c r="I5" s="28">
        <v>0.88</v>
      </c>
      <c r="J5" s="28">
        <v>0.87</v>
      </c>
      <c r="K5" s="38">
        <v>1.0</v>
      </c>
      <c r="L5" s="24" t="s">
        <v>64</v>
      </c>
      <c r="M5" s="30">
        <f>QDF!L5</f>
        <v>4.545454545</v>
      </c>
      <c r="N5" s="30">
        <f t="shared" si="1"/>
        <v>5.937114088</v>
      </c>
      <c r="O5" s="28">
        <v>30.0</v>
      </c>
      <c r="P5" s="34">
        <f t="shared" si="2"/>
        <v>22.968</v>
      </c>
      <c r="U5" s="34"/>
      <c r="V5" s="18"/>
      <c r="W5" s="41" t="s">
        <v>86</v>
      </c>
      <c r="X5" s="18"/>
      <c r="Y5" s="18"/>
      <c r="Z5" s="18"/>
      <c r="AA5" s="18"/>
      <c r="AB5" s="18"/>
      <c r="AC5" s="18"/>
      <c r="AD5" s="18"/>
    </row>
    <row r="6">
      <c r="A6" s="32" t="s">
        <v>75</v>
      </c>
      <c r="B6" s="21" t="s">
        <v>76</v>
      </c>
      <c r="C6" s="33" t="s">
        <v>17</v>
      </c>
      <c r="D6" s="28">
        <v>2.0</v>
      </c>
      <c r="E6" s="26">
        <f>QDF!G6</f>
        <v>13</v>
      </c>
      <c r="F6" s="22" t="str">
        <f>QDF!H6</f>
        <v>F</v>
      </c>
      <c r="G6" s="28">
        <v>4.0</v>
      </c>
      <c r="H6" s="28">
        <v>2.0</v>
      </c>
      <c r="I6" s="28">
        <v>0.88</v>
      </c>
      <c r="J6" s="28">
        <v>0.87</v>
      </c>
      <c r="K6" s="38">
        <v>1.0</v>
      </c>
      <c r="L6" s="24" t="s">
        <v>64</v>
      </c>
      <c r="M6" s="30">
        <f>QDF!L6</f>
        <v>1.818181818</v>
      </c>
      <c r="N6" s="30">
        <f t="shared" si="1"/>
        <v>2.374845635</v>
      </c>
      <c r="O6" s="28">
        <v>30.0</v>
      </c>
      <c r="P6" s="34">
        <f t="shared" si="2"/>
        <v>22.968</v>
      </c>
      <c r="U6" s="34"/>
      <c r="V6" s="18"/>
      <c r="W6" s="18"/>
      <c r="X6" s="18"/>
      <c r="Y6" s="18"/>
      <c r="Z6" s="18"/>
      <c r="AA6" s="18"/>
      <c r="AB6" s="18"/>
      <c r="AC6" s="18"/>
      <c r="AD6" s="18"/>
    </row>
    <row r="7" ht="23.25" customHeight="1">
      <c r="A7" s="36"/>
      <c r="B7" s="21" t="s">
        <v>77</v>
      </c>
      <c r="C7" s="36"/>
      <c r="D7" s="24">
        <v>2.0</v>
      </c>
      <c r="E7" s="26">
        <f>QDF!G7</f>
        <v>13</v>
      </c>
      <c r="F7" s="22" t="str">
        <f>QDF!H7</f>
        <v>F</v>
      </c>
      <c r="G7" s="28">
        <v>4.0</v>
      </c>
      <c r="H7" s="24">
        <v>2.0</v>
      </c>
      <c r="I7" s="28">
        <v>0.88</v>
      </c>
      <c r="J7" s="28">
        <v>0.87</v>
      </c>
      <c r="K7" s="38">
        <v>1.0</v>
      </c>
      <c r="L7" s="24" t="s">
        <v>64</v>
      </c>
      <c r="M7" s="30">
        <f>QDF!L7</f>
        <v>4.545454545</v>
      </c>
      <c r="N7" s="30">
        <f t="shared" si="1"/>
        <v>5.937114088</v>
      </c>
      <c r="O7" s="28">
        <v>30.0</v>
      </c>
      <c r="P7" s="34">
        <f t="shared" si="2"/>
        <v>22.968</v>
      </c>
      <c r="U7" s="34"/>
      <c r="V7" s="18"/>
      <c r="W7" s="18"/>
      <c r="X7" s="18"/>
      <c r="Y7" s="18"/>
      <c r="Z7" s="18"/>
      <c r="AA7" s="18"/>
      <c r="AB7" s="18"/>
      <c r="AC7" s="18"/>
      <c r="AD7" s="18"/>
    </row>
    <row r="8">
      <c r="A8" s="32" t="s">
        <v>78</v>
      </c>
      <c r="B8" s="21" t="s">
        <v>79</v>
      </c>
      <c r="C8" s="37" t="s">
        <v>80</v>
      </c>
      <c r="D8" s="24">
        <v>2.0</v>
      </c>
      <c r="E8" s="26">
        <f>QDF!G8</f>
        <v>13</v>
      </c>
      <c r="F8" s="22" t="str">
        <f>QDF!H8</f>
        <v>F</v>
      </c>
      <c r="G8" s="28">
        <v>4.0</v>
      </c>
      <c r="H8" s="24">
        <v>2.0</v>
      </c>
      <c r="I8" s="28">
        <v>0.88</v>
      </c>
      <c r="J8" s="28">
        <v>0.87</v>
      </c>
      <c r="K8" s="38">
        <v>1.0</v>
      </c>
      <c r="L8" s="24" t="s">
        <v>64</v>
      </c>
      <c r="M8" s="30">
        <f>QDF!L8</f>
        <v>3.636363636</v>
      </c>
      <c r="N8" s="30">
        <f t="shared" si="1"/>
        <v>4.74969127</v>
      </c>
      <c r="O8" s="28">
        <v>30.0</v>
      </c>
      <c r="P8" s="34">
        <f t="shared" si="2"/>
        <v>22.968</v>
      </c>
      <c r="U8" s="34"/>
      <c r="V8" s="18"/>
      <c r="W8" s="18"/>
      <c r="X8" s="18"/>
      <c r="Y8" s="18"/>
      <c r="Z8" s="18"/>
      <c r="AA8" s="18"/>
      <c r="AB8" s="18"/>
      <c r="AC8" s="18"/>
      <c r="AD8" s="18"/>
    </row>
    <row r="9">
      <c r="A9" s="36"/>
      <c r="B9" s="21" t="s">
        <v>82</v>
      </c>
      <c r="C9" s="36"/>
      <c r="D9" s="23">
        <v>2.0</v>
      </c>
      <c r="E9" s="26">
        <f>QDF!G9</f>
        <v>13</v>
      </c>
      <c r="F9" s="22" t="str">
        <f>QDF!H9</f>
        <v>F</v>
      </c>
      <c r="G9" s="23">
        <v>4.0</v>
      </c>
      <c r="H9" s="23">
        <v>2.0</v>
      </c>
      <c r="I9" s="28">
        <v>0.88</v>
      </c>
      <c r="J9" s="28">
        <v>0.87</v>
      </c>
      <c r="K9" s="38">
        <v>1.0</v>
      </c>
      <c r="L9" s="24" t="s">
        <v>64</v>
      </c>
      <c r="M9" s="30">
        <f>QDF!L9</f>
        <v>4.545454545</v>
      </c>
      <c r="N9" s="30">
        <f t="shared" si="1"/>
        <v>5.937114088</v>
      </c>
      <c r="O9" s="28">
        <v>30.0</v>
      </c>
      <c r="P9" s="34">
        <f t="shared" si="2"/>
        <v>22.968</v>
      </c>
      <c r="U9" s="47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32" t="s">
        <v>83</v>
      </c>
      <c r="B10" s="21" t="s">
        <v>84</v>
      </c>
      <c r="C10" s="33" t="s">
        <v>50</v>
      </c>
      <c r="D10" s="23">
        <v>2.0</v>
      </c>
      <c r="E10" s="26">
        <f>QDF!G10</f>
        <v>13</v>
      </c>
      <c r="F10" s="22" t="str">
        <f>QDF!H10</f>
        <v>F</v>
      </c>
      <c r="G10" s="23">
        <v>4.0</v>
      </c>
      <c r="H10" s="23">
        <v>2.0</v>
      </c>
      <c r="I10" s="28">
        <v>0.88</v>
      </c>
      <c r="J10" s="28">
        <v>0.87</v>
      </c>
      <c r="K10" s="38">
        <v>1.0</v>
      </c>
      <c r="L10" s="24" t="s">
        <v>64</v>
      </c>
      <c r="M10" s="30">
        <f>QDF!L10</f>
        <v>5.454545455</v>
      </c>
      <c r="N10" s="30">
        <f t="shared" si="1"/>
        <v>7.124536905</v>
      </c>
      <c r="O10" s="28">
        <v>30.0</v>
      </c>
      <c r="P10" s="34">
        <f t="shared" si="2"/>
        <v>22.968</v>
      </c>
      <c r="U10" s="47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40"/>
      <c r="B11" s="21" t="s">
        <v>85</v>
      </c>
      <c r="C11" s="36"/>
      <c r="D11" s="23">
        <v>2.0</v>
      </c>
      <c r="E11" s="26">
        <f>QDF!G11</f>
        <v>13</v>
      </c>
      <c r="F11" s="22" t="str">
        <f>QDF!H11</f>
        <v>F</v>
      </c>
      <c r="G11" s="23">
        <v>4.0</v>
      </c>
      <c r="H11" s="23">
        <v>2.0</v>
      </c>
      <c r="I11" s="28">
        <v>0.88</v>
      </c>
      <c r="J11" s="28">
        <v>0.87</v>
      </c>
      <c r="K11" s="38">
        <v>1.0</v>
      </c>
      <c r="L11" s="24" t="s">
        <v>64</v>
      </c>
      <c r="M11" s="30">
        <f>QDF!L11</f>
        <v>4.545454545</v>
      </c>
      <c r="N11" s="30">
        <f t="shared" si="1"/>
        <v>5.937114088</v>
      </c>
      <c r="O11" s="28">
        <v>30.0</v>
      </c>
      <c r="P11" s="34">
        <f t="shared" si="2"/>
        <v>22.968</v>
      </c>
      <c r="U11" s="47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40"/>
      <c r="B12" s="23" t="s">
        <v>87</v>
      </c>
      <c r="C12" s="21" t="s">
        <v>88</v>
      </c>
      <c r="D12" s="23">
        <v>2.0</v>
      </c>
      <c r="E12" s="23">
        <v>3.0</v>
      </c>
      <c r="F12" s="22" t="s">
        <v>89</v>
      </c>
      <c r="G12" s="24">
        <v>1.0</v>
      </c>
      <c r="H12" s="24">
        <v>2.0</v>
      </c>
      <c r="I12" s="24">
        <v>0.8</v>
      </c>
      <c r="J12" s="24">
        <v>0.79</v>
      </c>
      <c r="K12" s="24">
        <v>1.0</v>
      </c>
      <c r="L12" s="24" t="s">
        <v>107</v>
      </c>
      <c r="M12" s="30">
        <f>QDF!L12</f>
        <v>5.454545455</v>
      </c>
      <c r="N12" s="30">
        <f t="shared" si="1"/>
        <v>8.630609896</v>
      </c>
      <c r="O12" s="28">
        <v>30.0</v>
      </c>
      <c r="P12" s="34">
        <f t="shared" si="2"/>
        <v>18.96</v>
      </c>
      <c r="T12" s="47"/>
      <c r="U12" s="47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36"/>
      <c r="B13" s="23" t="s">
        <v>91</v>
      </c>
      <c r="C13" s="21" t="s">
        <v>88</v>
      </c>
      <c r="D13" s="23">
        <v>2.0</v>
      </c>
      <c r="E13" s="23">
        <v>3.0</v>
      </c>
      <c r="F13" s="22" t="s">
        <v>89</v>
      </c>
      <c r="G13" s="24">
        <v>1.0</v>
      </c>
      <c r="H13" s="24">
        <v>2.0</v>
      </c>
      <c r="I13" s="24">
        <v>0.8</v>
      </c>
      <c r="J13" s="24">
        <v>0.79</v>
      </c>
      <c r="K13" s="24">
        <v>1.0</v>
      </c>
      <c r="L13" s="24" t="s">
        <v>107</v>
      </c>
      <c r="M13" s="30">
        <f>QDF!L13</f>
        <v>9.473684211</v>
      </c>
      <c r="N13" s="30">
        <f t="shared" si="1"/>
        <v>14.99000666</v>
      </c>
      <c r="O13" s="28">
        <v>30.0</v>
      </c>
      <c r="P13" s="34">
        <f t="shared" si="2"/>
        <v>18.96</v>
      </c>
      <c r="R13" s="50" t="s">
        <v>86</v>
      </c>
      <c r="T13" s="47"/>
      <c r="U13" s="47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45" t="s">
        <v>92</v>
      </c>
      <c r="B14" s="48" t="s">
        <v>93</v>
      </c>
      <c r="C14" s="43" t="s">
        <v>68</v>
      </c>
      <c r="D14" s="24">
        <v>2.0</v>
      </c>
      <c r="E14" s="43">
        <v>3.0</v>
      </c>
      <c r="F14" s="22" t="s">
        <v>89</v>
      </c>
      <c r="G14" s="24">
        <v>1.0</v>
      </c>
      <c r="H14" s="24">
        <v>2.0</v>
      </c>
      <c r="I14" s="24">
        <v>0.8</v>
      </c>
      <c r="J14" s="24">
        <v>0.79</v>
      </c>
      <c r="K14" s="24">
        <v>1.15</v>
      </c>
      <c r="L14" s="24" t="s">
        <v>107</v>
      </c>
      <c r="M14" s="30">
        <f>QDF!L14</f>
        <v>5.454545455</v>
      </c>
      <c r="N14" s="30">
        <f t="shared" ref="N14:N15" si="3">(M14*1.15)/(I14*J14)</f>
        <v>9.925201381</v>
      </c>
      <c r="O14" s="24">
        <v>24.0</v>
      </c>
      <c r="P14" s="34">
        <f t="shared" si="2"/>
        <v>15.168</v>
      </c>
      <c r="T14" s="47"/>
      <c r="U14" s="47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36"/>
      <c r="B15" s="48" t="s">
        <v>94</v>
      </c>
      <c r="C15" s="47" t="s">
        <v>68</v>
      </c>
      <c r="D15" s="24">
        <v>2.0</v>
      </c>
      <c r="E15" s="43">
        <v>3.0</v>
      </c>
      <c r="F15" s="22" t="s">
        <v>89</v>
      </c>
      <c r="G15" s="24">
        <v>1.0</v>
      </c>
      <c r="H15" s="24">
        <v>2.0</v>
      </c>
      <c r="I15" s="24">
        <v>0.8</v>
      </c>
      <c r="J15" s="24">
        <v>0.79</v>
      </c>
      <c r="K15" s="24">
        <v>1.15</v>
      </c>
      <c r="L15" s="24" t="s">
        <v>107</v>
      </c>
      <c r="M15" s="30">
        <f>QDF!L15</f>
        <v>4.545454545</v>
      </c>
      <c r="N15" s="30">
        <f t="shared" si="3"/>
        <v>8.271001151</v>
      </c>
      <c r="O15" s="24">
        <v>24.0</v>
      </c>
      <c r="P15" s="34">
        <f t="shared" si="2"/>
        <v>15.168</v>
      </c>
      <c r="T15" s="47"/>
      <c r="U15" s="47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45" t="s">
        <v>95</v>
      </c>
      <c r="B16" s="48" t="s">
        <v>96</v>
      </c>
      <c r="C16" s="47" t="s">
        <v>68</v>
      </c>
      <c r="D16" s="24">
        <v>2.0</v>
      </c>
      <c r="E16" s="43">
        <v>3.0</v>
      </c>
      <c r="F16" s="22" t="s">
        <v>89</v>
      </c>
      <c r="G16" s="24">
        <v>1.0</v>
      </c>
      <c r="H16" s="24">
        <v>2.0</v>
      </c>
      <c r="I16" s="24">
        <v>0.8</v>
      </c>
      <c r="J16" s="24">
        <v>0.79</v>
      </c>
      <c r="K16" s="24">
        <v>1.0</v>
      </c>
      <c r="L16" s="24" t="s">
        <v>107</v>
      </c>
      <c r="M16" s="30">
        <f>QDF!L16</f>
        <v>6.818181818</v>
      </c>
      <c r="N16" s="30">
        <f>M16/(I16*J16)</f>
        <v>10.78826237</v>
      </c>
      <c r="O16" s="24">
        <v>24.0</v>
      </c>
      <c r="P16" s="34">
        <f t="shared" si="2"/>
        <v>15.168</v>
      </c>
      <c r="T16" s="47"/>
      <c r="U16" s="47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40"/>
      <c r="B17" s="48" t="s">
        <v>97</v>
      </c>
      <c r="C17" s="43" t="s">
        <v>98</v>
      </c>
      <c r="D17" s="24">
        <v>1.0</v>
      </c>
      <c r="E17" s="43">
        <v>3.0</v>
      </c>
      <c r="F17" s="22" t="s">
        <v>89</v>
      </c>
      <c r="G17" s="24">
        <v>1.0</v>
      </c>
      <c r="H17" s="24">
        <v>1.0</v>
      </c>
      <c r="I17" s="24">
        <v>1.0</v>
      </c>
      <c r="J17" s="24">
        <v>0.79</v>
      </c>
      <c r="K17" s="24">
        <v>1.15</v>
      </c>
      <c r="L17" s="24" t="s">
        <v>107</v>
      </c>
      <c r="M17" s="30">
        <f>QDF!L17</f>
        <v>7.272727273</v>
      </c>
      <c r="N17" s="30">
        <f t="shared" ref="N17:N18" si="4">(M17*1.15)/(I17*J17)</f>
        <v>10.58688147</v>
      </c>
      <c r="O17" s="24">
        <v>24.0</v>
      </c>
      <c r="P17" s="34">
        <f t="shared" si="2"/>
        <v>18.96</v>
      </c>
      <c r="T17" s="47"/>
      <c r="U17" s="47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40"/>
      <c r="B18" s="43" t="s">
        <v>99</v>
      </c>
      <c r="C18" s="43" t="s">
        <v>63</v>
      </c>
      <c r="D18" s="24">
        <v>2.0</v>
      </c>
      <c r="E18" s="43">
        <v>3.0</v>
      </c>
      <c r="F18" s="22" t="s">
        <v>89</v>
      </c>
      <c r="G18" s="24">
        <v>1.0</v>
      </c>
      <c r="H18" s="24">
        <v>2.0</v>
      </c>
      <c r="I18" s="24">
        <v>0.8</v>
      </c>
      <c r="J18" s="24">
        <v>0.79</v>
      </c>
      <c r="K18" s="24">
        <v>1.15</v>
      </c>
      <c r="L18" s="24" t="s">
        <v>107</v>
      </c>
      <c r="M18" s="30">
        <f>QDF!L18</f>
        <v>7.272727273</v>
      </c>
      <c r="N18" s="30">
        <f t="shared" si="4"/>
        <v>13.23360184</v>
      </c>
      <c r="O18" s="24">
        <v>24.0</v>
      </c>
      <c r="P18" s="34">
        <f t="shared" si="2"/>
        <v>15.168</v>
      </c>
      <c r="T18" s="47"/>
      <c r="U18" s="47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36"/>
      <c r="B19" s="43" t="s">
        <v>100</v>
      </c>
      <c r="C19" s="47" t="s">
        <v>98</v>
      </c>
      <c r="D19" s="24">
        <v>1.0</v>
      </c>
      <c r="E19" s="43">
        <v>3.0</v>
      </c>
      <c r="F19" s="22" t="s">
        <v>89</v>
      </c>
      <c r="G19" s="24">
        <v>1.0</v>
      </c>
      <c r="H19" s="24">
        <v>1.0</v>
      </c>
      <c r="I19" s="24">
        <v>1.0</v>
      </c>
      <c r="J19" s="24">
        <v>0.79</v>
      </c>
      <c r="K19" s="24">
        <v>1.0</v>
      </c>
      <c r="L19" s="24" t="s">
        <v>107</v>
      </c>
      <c r="M19" s="30">
        <f>QDF!L19</f>
        <v>6.818181818</v>
      </c>
      <c r="N19" s="30">
        <f t="shared" ref="N19:N20" si="5">M19/(I19*J19)</f>
        <v>8.630609896</v>
      </c>
      <c r="O19" s="24">
        <v>24.0</v>
      </c>
      <c r="P19" s="34">
        <f t="shared" si="2"/>
        <v>18.96</v>
      </c>
      <c r="T19" s="47"/>
      <c r="U19" s="47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45" t="s">
        <v>102</v>
      </c>
      <c r="B20" s="43" t="s">
        <v>103</v>
      </c>
      <c r="C20" s="47" t="s">
        <v>63</v>
      </c>
      <c r="D20" s="24">
        <v>1.0</v>
      </c>
      <c r="E20" s="43">
        <v>3.0</v>
      </c>
      <c r="F20" s="22" t="s">
        <v>89</v>
      </c>
      <c r="G20" s="24">
        <v>1.0</v>
      </c>
      <c r="H20" s="38">
        <v>1.0</v>
      </c>
      <c r="I20" s="24">
        <v>1.0</v>
      </c>
      <c r="J20" s="24">
        <v>0.79</v>
      </c>
      <c r="K20" s="24">
        <v>1.0</v>
      </c>
      <c r="L20" s="24" t="s">
        <v>107</v>
      </c>
      <c r="M20" s="30">
        <f>QDF!L20</f>
        <v>6.818181818</v>
      </c>
      <c r="N20" s="30">
        <f t="shared" si="5"/>
        <v>8.630609896</v>
      </c>
      <c r="O20" s="24">
        <v>24.0</v>
      </c>
      <c r="P20" s="34">
        <f t="shared" si="2"/>
        <v>18.96</v>
      </c>
      <c r="T20" s="47"/>
      <c r="U20" s="47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40"/>
      <c r="B21" s="43" t="s">
        <v>104</v>
      </c>
      <c r="C21" s="43" t="s">
        <v>105</v>
      </c>
      <c r="D21" s="24">
        <v>1.0</v>
      </c>
      <c r="E21" s="43">
        <v>3.0</v>
      </c>
      <c r="F21" s="22" t="s">
        <v>89</v>
      </c>
      <c r="G21" s="24">
        <v>1.0</v>
      </c>
      <c r="H21" s="38">
        <v>1.0</v>
      </c>
      <c r="I21" s="24">
        <v>1.0</v>
      </c>
      <c r="J21" s="24">
        <v>0.79</v>
      </c>
      <c r="K21" s="24">
        <v>1.15</v>
      </c>
      <c r="L21" s="24" t="s">
        <v>107</v>
      </c>
      <c r="M21" s="30">
        <f>QDF!L21</f>
        <v>2.727272727</v>
      </c>
      <c r="N21" s="30">
        <f>(M21*1.15)/(I21*J21)</f>
        <v>3.970080552</v>
      </c>
      <c r="O21" s="24">
        <v>24.0</v>
      </c>
      <c r="P21" s="34">
        <f t="shared" si="2"/>
        <v>18.96</v>
      </c>
      <c r="T21" s="47"/>
      <c r="U21" s="47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40"/>
      <c r="B22" s="43" t="s">
        <v>106</v>
      </c>
      <c r="C22" s="47" t="s">
        <v>105</v>
      </c>
      <c r="D22" s="24">
        <v>1.0</v>
      </c>
      <c r="E22" s="43">
        <v>3.0</v>
      </c>
      <c r="F22" s="22" t="s">
        <v>89</v>
      </c>
      <c r="G22" s="24">
        <v>1.0</v>
      </c>
      <c r="H22" s="38">
        <v>1.0</v>
      </c>
      <c r="I22" s="24">
        <v>1.0</v>
      </c>
      <c r="J22" s="24">
        <v>0.79</v>
      </c>
      <c r="K22" s="24">
        <v>1.0</v>
      </c>
      <c r="L22" s="24" t="s">
        <v>107</v>
      </c>
      <c r="M22" s="30">
        <f>QDF!L22</f>
        <v>40.90909091</v>
      </c>
      <c r="N22" s="30">
        <f>M22/(I22*J22)</f>
        <v>51.78365938</v>
      </c>
      <c r="O22" s="24">
        <v>76.0</v>
      </c>
      <c r="P22" s="34">
        <f t="shared" si="2"/>
        <v>60.04</v>
      </c>
      <c r="T22" s="47"/>
      <c r="U22" s="47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36"/>
      <c r="B23" s="24" t="s">
        <v>108</v>
      </c>
      <c r="C23" s="24" t="s">
        <v>109</v>
      </c>
      <c r="D23" s="47"/>
      <c r="E23" s="47"/>
      <c r="F23" s="47"/>
      <c r="G23" s="47"/>
      <c r="H23" s="74"/>
      <c r="I23" s="47"/>
      <c r="J23" s="47"/>
      <c r="K23" s="24"/>
      <c r="L23" s="47"/>
      <c r="M23" s="75"/>
      <c r="N23" s="75"/>
      <c r="O23" s="47"/>
      <c r="P23" s="72"/>
      <c r="T23" s="47"/>
      <c r="U23" s="47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T24" s="47"/>
      <c r="U24" s="47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63"/>
      <c r="B27" s="63"/>
      <c r="C27" s="63"/>
      <c r="D27" s="63"/>
      <c r="E27" s="63"/>
      <c r="F27" s="63"/>
      <c r="G27" s="10"/>
      <c r="H27" s="63"/>
      <c r="I27" s="63"/>
      <c r="J27" s="63"/>
      <c r="K27" s="63"/>
      <c r="L27" s="63"/>
      <c r="M27" s="63"/>
      <c r="N27" s="65"/>
      <c r="O27" s="63"/>
      <c r="P27" s="63"/>
      <c r="Q27" s="6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0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76"/>
      <c r="O28" s="76"/>
      <c r="P28" s="76"/>
      <c r="Q28" s="76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0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76"/>
      <c r="O29" s="76"/>
      <c r="P29" s="76"/>
      <c r="Q29" s="76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0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76"/>
      <c r="O30" s="76"/>
      <c r="P30" s="76"/>
      <c r="Q30" s="76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0"/>
      <c r="B31" s="57"/>
      <c r="C31" s="57"/>
      <c r="D31" s="57"/>
      <c r="E31" s="66"/>
      <c r="F31" s="66"/>
      <c r="G31" s="57"/>
      <c r="H31" s="57"/>
      <c r="I31" s="57"/>
      <c r="J31" s="57"/>
      <c r="K31" s="57"/>
      <c r="L31" s="57"/>
      <c r="M31" s="57"/>
      <c r="N31" s="76"/>
      <c r="O31" s="76"/>
      <c r="P31" s="76"/>
      <c r="Q31" s="76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0"/>
      <c r="B32" s="57"/>
      <c r="C32" s="6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76"/>
      <c r="O32" s="76"/>
      <c r="P32" s="76"/>
      <c r="Q32" s="76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B33" s="57"/>
      <c r="C33" s="6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76"/>
      <c r="O33" s="76"/>
      <c r="P33" s="76"/>
      <c r="Q33" s="76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B34" s="57"/>
      <c r="C34" s="56"/>
      <c r="D34" s="56"/>
      <c r="E34" s="56"/>
      <c r="F34" s="56"/>
      <c r="G34" s="56"/>
      <c r="H34" s="56"/>
      <c r="I34" s="56"/>
      <c r="J34" s="56"/>
      <c r="K34" s="56"/>
      <c r="L34" s="77"/>
      <c r="M34" s="77"/>
      <c r="N34" s="78"/>
      <c r="O34" s="78"/>
      <c r="P34" s="56"/>
      <c r="Q34" s="56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B35" s="57"/>
      <c r="C35" s="56"/>
      <c r="D35" s="56"/>
      <c r="E35" s="56"/>
      <c r="F35" s="56"/>
      <c r="G35" s="56"/>
      <c r="H35" s="56"/>
      <c r="I35" s="56"/>
      <c r="J35" s="56"/>
      <c r="K35" s="56"/>
      <c r="L35" s="77"/>
      <c r="M35" s="77"/>
      <c r="N35" s="78"/>
      <c r="O35" s="78"/>
      <c r="P35" s="56"/>
      <c r="Q35" s="56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B36" s="57"/>
      <c r="C36" s="56"/>
      <c r="D36" s="56"/>
      <c r="E36" s="56"/>
      <c r="F36" s="56"/>
      <c r="G36" s="56"/>
      <c r="H36" s="56"/>
      <c r="I36" s="56"/>
      <c r="J36" s="56"/>
      <c r="K36" s="56"/>
      <c r="L36" s="77"/>
      <c r="M36" s="77"/>
      <c r="N36" s="78"/>
      <c r="O36" s="78"/>
      <c r="P36" s="56"/>
      <c r="Q36" s="56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B37" s="57"/>
      <c r="C37" s="56"/>
      <c r="D37" s="56"/>
      <c r="E37" s="56"/>
      <c r="F37" s="56"/>
      <c r="G37" s="56"/>
      <c r="H37" s="56"/>
      <c r="I37" s="56"/>
      <c r="J37" s="56"/>
      <c r="K37" s="56"/>
      <c r="L37" s="77"/>
      <c r="M37" s="77"/>
      <c r="N37" s="78"/>
      <c r="O37" s="78"/>
      <c r="P37" s="56"/>
      <c r="Q37" s="56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B38" s="57"/>
      <c r="C38" s="56"/>
      <c r="D38" s="56"/>
      <c r="E38" s="56"/>
      <c r="F38" s="56"/>
      <c r="G38" s="56"/>
      <c r="H38" s="56"/>
      <c r="I38" s="56"/>
      <c r="J38" s="56"/>
      <c r="K38" s="56"/>
      <c r="L38" s="77"/>
      <c r="M38" s="77"/>
      <c r="N38" s="78"/>
      <c r="O38" s="78"/>
      <c r="P38" s="56"/>
      <c r="Q38" s="56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B39" s="57"/>
      <c r="C39" s="56"/>
      <c r="D39" s="56"/>
      <c r="E39" s="56"/>
      <c r="F39" s="56"/>
      <c r="G39" s="56"/>
      <c r="H39" s="56"/>
      <c r="I39" s="56"/>
      <c r="J39" s="56"/>
      <c r="K39" s="56"/>
      <c r="L39" s="77"/>
      <c r="M39" s="77"/>
      <c r="N39" s="78"/>
      <c r="O39" s="78"/>
      <c r="P39" s="56"/>
      <c r="Q39" s="56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B40" s="57"/>
      <c r="C40" s="56"/>
      <c r="D40" s="56"/>
      <c r="E40" s="56"/>
      <c r="F40" s="56"/>
      <c r="G40" s="56"/>
      <c r="H40" s="56"/>
      <c r="I40" s="56"/>
      <c r="J40" s="56"/>
      <c r="K40" s="56"/>
      <c r="L40" s="77"/>
      <c r="M40" s="77"/>
      <c r="N40" s="78"/>
      <c r="O40" s="78"/>
      <c r="P40" s="56"/>
      <c r="Q40" s="56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B41" s="57"/>
      <c r="C41" s="56"/>
      <c r="D41" s="56"/>
      <c r="E41" s="56"/>
      <c r="F41" s="56"/>
      <c r="G41" s="56"/>
      <c r="H41" s="56"/>
      <c r="I41" s="56"/>
      <c r="J41" s="56"/>
      <c r="K41" s="56"/>
      <c r="L41" s="77"/>
      <c r="M41" s="77"/>
      <c r="N41" s="78"/>
      <c r="O41" s="78"/>
      <c r="P41" s="56"/>
      <c r="Q41" s="56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B42" s="57"/>
      <c r="C42" s="56"/>
      <c r="D42" s="56"/>
      <c r="E42" s="56"/>
      <c r="F42" s="56"/>
      <c r="G42" s="56"/>
      <c r="H42" s="56"/>
      <c r="I42" s="56"/>
      <c r="J42" s="56"/>
      <c r="K42" s="56"/>
      <c r="L42" s="77"/>
      <c r="M42" s="77"/>
      <c r="N42" s="78"/>
      <c r="O42" s="78"/>
      <c r="P42" s="56"/>
      <c r="Q42" s="56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B43" s="57"/>
      <c r="C43" s="56"/>
      <c r="D43" s="56"/>
      <c r="E43" s="56"/>
      <c r="F43" s="56"/>
      <c r="G43" s="56"/>
      <c r="H43" s="56"/>
      <c r="I43" s="56"/>
      <c r="J43" s="56"/>
      <c r="K43" s="56"/>
      <c r="L43" s="77"/>
      <c r="M43" s="77"/>
      <c r="N43" s="78"/>
      <c r="O43" s="78"/>
      <c r="P43" s="56"/>
      <c r="Q43" s="56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B44" s="57"/>
      <c r="C44" s="56"/>
      <c r="D44" s="56"/>
      <c r="E44" s="56"/>
      <c r="F44" s="56"/>
      <c r="G44" s="56"/>
      <c r="H44" s="56"/>
      <c r="I44" s="56"/>
      <c r="J44" s="56"/>
      <c r="K44" s="56"/>
      <c r="L44" s="77"/>
      <c r="M44" s="77"/>
      <c r="N44" s="78"/>
      <c r="O44" s="78"/>
      <c r="P44" s="56"/>
      <c r="Q44" s="56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B45" s="57"/>
      <c r="C45" s="56"/>
      <c r="D45" s="56"/>
      <c r="E45" s="56"/>
      <c r="F45" s="56"/>
      <c r="G45" s="56"/>
      <c r="H45" s="56"/>
      <c r="I45" s="56"/>
      <c r="J45" s="56"/>
      <c r="K45" s="56"/>
      <c r="L45" s="77"/>
      <c r="M45" s="77"/>
      <c r="N45" s="78"/>
      <c r="O45" s="78"/>
      <c r="P45" s="56"/>
      <c r="Q45" s="56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0"/>
      <c r="B46" s="57"/>
      <c r="C46" s="56"/>
      <c r="D46" s="56"/>
      <c r="E46" s="56"/>
      <c r="F46" s="56"/>
      <c r="G46" s="56"/>
      <c r="H46" s="56"/>
      <c r="I46" s="56"/>
      <c r="J46" s="56"/>
      <c r="K46" s="56"/>
      <c r="L46" s="77"/>
      <c r="M46" s="77"/>
      <c r="N46" s="78"/>
      <c r="O46" s="78"/>
      <c r="P46" s="56"/>
      <c r="Q46" s="56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0"/>
      <c r="B47" s="57"/>
      <c r="C47" s="56"/>
      <c r="D47" s="56"/>
      <c r="E47" s="56"/>
      <c r="F47" s="56"/>
      <c r="G47" s="56"/>
      <c r="H47" s="56"/>
      <c r="I47" s="56"/>
      <c r="J47" s="56"/>
      <c r="K47" s="56"/>
      <c r="L47" s="77"/>
      <c r="M47" s="77"/>
      <c r="N47" s="78"/>
      <c r="O47" s="78"/>
      <c r="P47" s="56"/>
      <c r="Q47" s="56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B48" s="57"/>
      <c r="C48" s="56"/>
      <c r="D48" s="56"/>
      <c r="E48" s="56"/>
      <c r="F48" s="56"/>
      <c r="G48" s="56"/>
      <c r="H48" s="56"/>
      <c r="I48" s="56"/>
      <c r="J48" s="56"/>
      <c r="K48" s="56"/>
      <c r="L48" s="77"/>
      <c r="M48" s="77"/>
      <c r="N48" s="78"/>
      <c r="O48" s="78"/>
      <c r="P48" s="56"/>
      <c r="Q48" s="56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0"/>
      <c r="B49" s="57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T67" s="18"/>
      <c r="U67" s="18"/>
      <c r="V67" s="79" t="s">
        <v>119</v>
      </c>
      <c r="W67" s="7"/>
      <c r="X67" s="8"/>
      <c r="Y67" s="18"/>
      <c r="Z67" s="18"/>
      <c r="AA67" s="18"/>
      <c r="AB67" s="18"/>
      <c r="AC67" s="18"/>
      <c r="AD67" s="18"/>
    </row>
    <row r="68">
      <c r="T68" s="18"/>
      <c r="U68" s="18"/>
      <c r="V68" s="80" t="s">
        <v>120</v>
      </c>
      <c r="W68" s="80" t="s">
        <v>107</v>
      </c>
      <c r="X68" s="80" t="s">
        <v>64</v>
      </c>
      <c r="Y68" s="18"/>
      <c r="Z68" s="18"/>
      <c r="AA68" s="18"/>
      <c r="AB68" s="18"/>
      <c r="AC68" s="18"/>
      <c r="AD68" s="18"/>
    </row>
    <row r="69">
      <c r="T69" s="18"/>
      <c r="U69" s="18"/>
      <c r="V69" s="81">
        <v>45.0</v>
      </c>
      <c r="W69" s="81">
        <v>0.79</v>
      </c>
      <c r="X69" s="81">
        <v>0.87</v>
      </c>
      <c r="Y69" s="18"/>
      <c r="Z69" s="18"/>
      <c r="AA69" s="18"/>
      <c r="AB69" s="18"/>
      <c r="AC69" s="18"/>
      <c r="AD69" s="18"/>
    </row>
    <row r="70"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T71" s="18"/>
      <c r="U71" s="18"/>
      <c r="V71" s="19" t="s">
        <v>121</v>
      </c>
      <c r="AA71" s="18"/>
      <c r="AB71" s="18"/>
      <c r="AC71" s="18"/>
      <c r="AD71" s="18"/>
    </row>
    <row r="72">
      <c r="T72" s="18"/>
      <c r="U72" s="18"/>
      <c r="AA72" s="18"/>
      <c r="AB72" s="18"/>
      <c r="AC72" s="18"/>
      <c r="AD72" s="18"/>
    </row>
    <row r="73">
      <c r="T73" s="18"/>
      <c r="U73" s="18"/>
      <c r="AA73" s="18"/>
      <c r="AB73" s="18"/>
      <c r="AC73" s="18"/>
      <c r="AD73" s="18"/>
    </row>
    <row r="74">
      <c r="T74" s="18"/>
      <c r="U74" s="18"/>
      <c r="AA74" s="18"/>
      <c r="AB74" s="18"/>
      <c r="AC74" s="18"/>
      <c r="AD74" s="18"/>
    </row>
    <row r="75"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T77" s="18"/>
      <c r="U77" s="18"/>
      <c r="V77" s="19" t="s">
        <v>122</v>
      </c>
      <c r="AB77" s="18"/>
      <c r="AC77" s="18"/>
      <c r="AD77" s="18"/>
    </row>
    <row r="78">
      <c r="T78" s="18"/>
      <c r="U78" s="18"/>
      <c r="AB78" s="18"/>
      <c r="AC78" s="18"/>
      <c r="AD78" s="18"/>
    </row>
    <row r="79">
      <c r="T79" s="18"/>
      <c r="U79" s="18"/>
      <c r="AB79" s="18"/>
      <c r="AC79" s="18"/>
      <c r="AD79" s="18"/>
    </row>
    <row r="80"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T99" s="18"/>
      <c r="U99" s="18"/>
      <c r="V99" s="18" t="s">
        <v>44</v>
      </c>
      <c r="W99" s="18"/>
      <c r="X99" s="18"/>
      <c r="Y99" s="18"/>
      <c r="Z99" s="18"/>
      <c r="AA99" s="18"/>
      <c r="AB99" s="18"/>
      <c r="AC99" s="18"/>
      <c r="AD99" s="18"/>
    </row>
    <row r="100">
      <c r="T100" s="18"/>
      <c r="U100" s="18"/>
      <c r="V100" s="82"/>
      <c r="W100" s="18"/>
      <c r="X100" s="18"/>
      <c r="Y100" s="18"/>
      <c r="Z100" s="18"/>
      <c r="AA100" s="18"/>
      <c r="AB100" s="18"/>
      <c r="AC100" s="18"/>
      <c r="AD100" s="18"/>
    </row>
    <row r="101">
      <c r="T101" s="18"/>
      <c r="U101" s="18"/>
      <c r="V101" s="82"/>
      <c r="W101" s="18"/>
      <c r="X101" s="18"/>
      <c r="Y101" s="18"/>
      <c r="Z101" s="18"/>
      <c r="AA101" s="18"/>
      <c r="AB101" s="18"/>
      <c r="AC101" s="18"/>
      <c r="AD101" s="18"/>
    </row>
    <row r="102">
      <c r="T102" s="18"/>
      <c r="U102" s="18"/>
      <c r="V102" s="82"/>
      <c r="W102" s="18"/>
      <c r="X102" s="18"/>
      <c r="Y102" s="18"/>
      <c r="Z102" s="18"/>
      <c r="AA102" s="18"/>
      <c r="AB102" s="18"/>
      <c r="AC102" s="18"/>
      <c r="AD102" s="18"/>
    </row>
    <row r="103">
      <c r="T103" s="18"/>
      <c r="U103" s="18"/>
      <c r="V103" s="82"/>
      <c r="W103" s="18"/>
      <c r="X103" s="18"/>
      <c r="Y103" s="18"/>
      <c r="Z103" s="18"/>
      <c r="AA103" s="18"/>
      <c r="AB103" s="18"/>
      <c r="AC103" s="18"/>
      <c r="AD103" s="18"/>
    </row>
    <row r="104">
      <c r="T104" s="18"/>
      <c r="U104" s="18"/>
      <c r="V104" s="82"/>
      <c r="W104" s="18"/>
      <c r="X104" s="18"/>
      <c r="Y104" s="18"/>
      <c r="Z104" s="18"/>
      <c r="AA104" s="18"/>
      <c r="AB104" s="18"/>
      <c r="AC104" s="18"/>
      <c r="AD104" s="18"/>
    </row>
    <row r="105">
      <c r="T105" s="18"/>
      <c r="U105" s="18"/>
      <c r="V105" s="82"/>
      <c r="W105" s="18"/>
      <c r="X105" s="18"/>
      <c r="Y105" s="18"/>
      <c r="Z105" s="18"/>
      <c r="AA105" s="18"/>
      <c r="AB105" s="18"/>
      <c r="AC105" s="18"/>
      <c r="AD105" s="18"/>
    </row>
    <row r="106">
      <c r="T106" s="18"/>
      <c r="U106" s="18"/>
      <c r="V106" s="82"/>
      <c r="W106" s="18"/>
      <c r="X106" s="18"/>
      <c r="Y106" s="18"/>
      <c r="Z106" s="18"/>
      <c r="AA106" s="18"/>
      <c r="AB106" s="18"/>
      <c r="AC106" s="18"/>
      <c r="AD106" s="18"/>
    </row>
    <row r="107">
      <c r="T107" s="18"/>
      <c r="U107" s="18"/>
      <c r="V107" s="82"/>
      <c r="W107" s="18"/>
      <c r="X107" s="18"/>
      <c r="Y107" s="18"/>
      <c r="Z107" s="18"/>
      <c r="AA107" s="18"/>
      <c r="AB107" s="18"/>
      <c r="AC107" s="18"/>
      <c r="AD107" s="18"/>
    </row>
    <row r="108">
      <c r="T108" s="18"/>
      <c r="U108" s="18"/>
      <c r="V108" s="82"/>
      <c r="W108" s="18"/>
      <c r="X108" s="18"/>
      <c r="Y108" s="18"/>
      <c r="Z108" s="18"/>
      <c r="AA108" s="18"/>
      <c r="AB108" s="18"/>
      <c r="AC108" s="18"/>
      <c r="AD108" s="18"/>
    </row>
    <row r="109">
      <c r="T109" s="18"/>
      <c r="U109" s="18"/>
      <c r="V109" s="82"/>
      <c r="W109" s="18"/>
      <c r="X109" s="18"/>
      <c r="Y109" s="18"/>
      <c r="Z109" s="18"/>
      <c r="AA109" s="18"/>
      <c r="AB109" s="18"/>
      <c r="AC109" s="18"/>
      <c r="AD109" s="18"/>
    </row>
    <row r="110">
      <c r="T110" s="18"/>
      <c r="U110" s="18"/>
      <c r="V110" s="82"/>
      <c r="W110" s="18"/>
      <c r="X110" s="18"/>
      <c r="Y110" s="18"/>
      <c r="Z110" s="18"/>
      <c r="AA110" s="18"/>
      <c r="AB110" s="18"/>
      <c r="AC110" s="18"/>
      <c r="AD110" s="18"/>
    </row>
    <row r="111">
      <c r="T111" s="18"/>
      <c r="U111" s="18"/>
      <c r="V111" s="82"/>
      <c r="W111" s="18"/>
      <c r="X111" s="18"/>
      <c r="Y111" s="18"/>
      <c r="Z111" s="18"/>
      <c r="AA111" s="18"/>
      <c r="AB111" s="18"/>
      <c r="AC111" s="18"/>
      <c r="AD111" s="18"/>
    </row>
    <row r="112">
      <c r="T112" s="18"/>
      <c r="U112" s="18"/>
      <c r="V112" s="82"/>
      <c r="W112" s="18"/>
      <c r="X112" s="18"/>
      <c r="Y112" s="18"/>
      <c r="Z112" s="18"/>
      <c r="AA112" s="18"/>
      <c r="AB112" s="18"/>
      <c r="AC112" s="18"/>
      <c r="AD112" s="18"/>
    </row>
    <row r="113"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T121" s="19" t="s">
        <v>123</v>
      </c>
      <c r="Z121" s="18"/>
      <c r="AA121" s="18"/>
      <c r="AB121" s="18"/>
      <c r="AC121" s="18"/>
      <c r="AD121" s="18"/>
    </row>
    <row r="122">
      <c r="Z122" s="18"/>
      <c r="AA122" s="18"/>
      <c r="AB122" s="18"/>
      <c r="AC122" s="18"/>
      <c r="AD122" s="18"/>
    </row>
    <row r="123">
      <c r="Z123" s="18"/>
      <c r="AA123" s="18"/>
      <c r="AB123" s="18"/>
      <c r="AC123" s="18"/>
      <c r="AD123" s="18"/>
    </row>
    <row r="124"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T125" s="18"/>
      <c r="U125" s="18"/>
      <c r="V125" s="83" t="s">
        <v>124</v>
      </c>
      <c r="W125" s="83"/>
      <c r="X125" s="18"/>
      <c r="Y125" s="18"/>
      <c r="Z125" s="18"/>
      <c r="AA125" s="18"/>
      <c r="AB125" s="18"/>
      <c r="AC125" s="18"/>
      <c r="AD125" s="18"/>
    </row>
    <row r="126">
      <c r="T126" s="18"/>
      <c r="U126" s="18"/>
      <c r="V126" s="83" t="s">
        <v>125</v>
      </c>
      <c r="Y126" s="18"/>
      <c r="Z126" s="18"/>
      <c r="AA126" s="18"/>
      <c r="AB126" s="18"/>
      <c r="AC126" s="18"/>
      <c r="AD126" s="18"/>
    </row>
    <row r="127"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T129" s="18"/>
      <c r="U129" s="18"/>
      <c r="V129" s="20" t="s">
        <v>126</v>
      </c>
      <c r="AB129" s="18"/>
      <c r="AC129" s="18"/>
      <c r="AD129" s="18"/>
    </row>
    <row r="130">
      <c r="T130" s="18"/>
      <c r="U130" s="18"/>
      <c r="AB130" s="18"/>
      <c r="AC130" s="18"/>
      <c r="AD130" s="18"/>
    </row>
    <row r="131">
      <c r="T131" s="18"/>
      <c r="U131" s="18"/>
      <c r="AB131" s="18"/>
      <c r="AC131" s="18"/>
      <c r="AD131" s="18"/>
    </row>
    <row r="132"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</sheetData>
  <mergeCells count="21">
    <mergeCell ref="A1:P1"/>
    <mergeCell ref="W2:AD2"/>
    <mergeCell ref="A4:A5"/>
    <mergeCell ref="C4:C5"/>
    <mergeCell ref="A6:A7"/>
    <mergeCell ref="C6:C7"/>
    <mergeCell ref="C8:C9"/>
    <mergeCell ref="A47:A48"/>
    <mergeCell ref="V67:X67"/>
    <mergeCell ref="V71:Z74"/>
    <mergeCell ref="V77:AA79"/>
    <mergeCell ref="T121:Y123"/>
    <mergeCell ref="V126:X126"/>
    <mergeCell ref="V129:AA131"/>
    <mergeCell ref="A8:A9"/>
    <mergeCell ref="A10:A13"/>
    <mergeCell ref="C10:C11"/>
    <mergeCell ref="A14:A15"/>
    <mergeCell ref="A16:A19"/>
    <mergeCell ref="A20:A23"/>
    <mergeCell ref="A32:A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6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>
      <c r="A2" s="9" t="s">
        <v>18</v>
      </c>
      <c r="B2" s="9" t="s">
        <v>20</v>
      </c>
      <c r="C2" s="9" t="s">
        <v>21</v>
      </c>
      <c r="D2" s="9" t="s">
        <v>23</v>
      </c>
      <c r="E2" s="9" t="s">
        <v>24</v>
      </c>
      <c r="F2" s="9" t="s">
        <v>26</v>
      </c>
      <c r="G2" s="9" t="s">
        <v>27</v>
      </c>
      <c r="H2" s="9" t="s">
        <v>28</v>
      </c>
      <c r="I2" s="9" t="s">
        <v>30</v>
      </c>
      <c r="J2" s="15" t="s">
        <v>34</v>
      </c>
      <c r="K2" s="15" t="s">
        <v>41</v>
      </c>
      <c r="L2" s="15" t="s">
        <v>42</v>
      </c>
      <c r="P2" s="19" t="s">
        <v>49</v>
      </c>
    </row>
    <row r="3">
      <c r="A3" s="11" t="s">
        <v>51</v>
      </c>
      <c r="B3" s="21" t="s">
        <v>53</v>
      </c>
      <c r="C3" s="22" t="s">
        <v>54</v>
      </c>
      <c r="D3" s="24">
        <f>'QDF-FATOR CORREÇÃO'!H3</f>
        <v>1</v>
      </c>
      <c r="E3" s="24">
        <f>'QDF-FATOR CORREÇÃO'!D3</f>
        <v>1</v>
      </c>
      <c r="F3" s="24">
        <v>2.0</v>
      </c>
      <c r="G3" s="24" t="s">
        <v>64</v>
      </c>
      <c r="H3" s="24">
        <f>'QDF-FATOR CORREÇÃO'!E3</f>
        <v>13</v>
      </c>
      <c r="I3" s="24" t="str">
        <f>'QDF-FATOR CORREÇÃO'!F3</f>
        <v>F</v>
      </c>
      <c r="J3" s="28">
        <v>2.5</v>
      </c>
      <c r="K3" s="28">
        <v>2.5</v>
      </c>
      <c r="L3" s="28">
        <v>2.5</v>
      </c>
    </row>
    <row r="4">
      <c r="A4" s="32" t="s">
        <v>69</v>
      </c>
      <c r="B4" s="21" t="s">
        <v>71</v>
      </c>
      <c r="C4" s="33" t="s">
        <v>10</v>
      </c>
      <c r="D4" s="24">
        <f>'QDF-FATOR CORREÇÃO'!H4</f>
        <v>2</v>
      </c>
      <c r="E4" s="24">
        <f>'QDF-FATOR CORREÇÃO'!D4</f>
        <v>2</v>
      </c>
      <c r="F4" s="24">
        <v>2.0</v>
      </c>
      <c r="G4" s="24" t="s">
        <v>64</v>
      </c>
      <c r="H4" s="24">
        <f>'QDF-FATOR CORREÇÃO'!E4</f>
        <v>13</v>
      </c>
      <c r="I4" s="24" t="str">
        <f>'QDF-FATOR CORREÇÃO'!F4</f>
        <v>F</v>
      </c>
      <c r="J4" s="28">
        <v>2.5</v>
      </c>
      <c r="K4" s="28">
        <v>2.5</v>
      </c>
      <c r="L4" s="28">
        <v>2.5</v>
      </c>
    </row>
    <row r="5">
      <c r="A5" s="36"/>
      <c r="B5" s="21" t="s">
        <v>72</v>
      </c>
      <c r="C5" s="36"/>
      <c r="D5" s="24">
        <f>'QDF-FATOR CORREÇÃO'!H5</f>
        <v>2</v>
      </c>
      <c r="E5" s="24">
        <f>'QDF-FATOR CORREÇÃO'!D5</f>
        <v>2</v>
      </c>
      <c r="F5" s="28">
        <v>3.0</v>
      </c>
      <c r="G5" s="24" t="s">
        <v>64</v>
      </c>
      <c r="H5" s="24">
        <f>'QDF-FATOR CORREÇÃO'!E5</f>
        <v>13</v>
      </c>
      <c r="I5" s="24" t="str">
        <f>'QDF-FATOR CORREÇÃO'!F5</f>
        <v>F</v>
      </c>
      <c r="J5" s="28">
        <v>2.5</v>
      </c>
      <c r="K5" s="28">
        <v>2.5</v>
      </c>
      <c r="L5" s="28">
        <v>2.5</v>
      </c>
    </row>
    <row r="6">
      <c r="A6" s="32" t="s">
        <v>75</v>
      </c>
      <c r="B6" s="21" t="s">
        <v>76</v>
      </c>
      <c r="C6" s="33" t="s">
        <v>17</v>
      </c>
      <c r="D6" s="24">
        <f>'QDF-FATOR CORREÇÃO'!H6</f>
        <v>2</v>
      </c>
      <c r="E6" s="24">
        <f>'QDF-FATOR CORREÇÃO'!D6</f>
        <v>2</v>
      </c>
      <c r="F6" s="24">
        <v>2.0</v>
      </c>
      <c r="G6" s="24" t="s">
        <v>64</v>
      </c>
      <c r="H6" s="24">
        <f>'QDF-FATOR CORREÇÃO'!E6</f>
        <v>13</v>
      </c>
      <c r="I6" s="24" t="str">
        <f>'QDF-FATOR CORREÇÃO'!F6</f>
        <v>F</v>
      </c>
      <c r="J6" s="28">
        <v>2.5</v>
      </c>
      <c r="K6" s="28">
        <v>2.5</v>
      </c>
      <c r="L6" s="28">
        <v>2.5</v>
      </c>
    </row>
    <row r="7">
      <c r="A7" s="36"/>
      <c r="B7" s="21" t="s">
        <v>77</v>
      </c>
      <c r="C7" s="36"/>
      <c r="D7" s="24">
        <f>'QDF-FATOR CORREÇÃO'!H7</f>
        <v>2</v>
      </c>
      <c r="E7" s="24">
        <f>'QDF-FATOR CORREÇÃO'!D7</f>
        <v>2</v>
      </c>
      <c r="F7" s="28">
        <v>3.0</v>
      </c>
      <c r="G7" s="24" t="s">
        <v>64</v>
      </c>
      <c r="H7" s="24">
        <f>'QDF-FATOR CORREÇÃO'!E7</f>
        <v>13</v>
      </c>
      <c r="I7" s="24" t="str">
        <f>'QDF-FATOR CORREÇÃO'!F7</f>
        <v>F</v>
      </c>
      <c r="J7" s="28">
        <v>2.5</v>
      </c>
      <c r="K7" s="28">
        <v>2.5</v>
      </c>
      <c r="L7" s="28">
        <v>2.5</v>
      </c>
    </row>
    <row r="8">
      <c r="A8" s="32" t="s">
        <v>78</v>
      </c>
      <c r="B8" s="21" t="s">
        <v>79</v>
      </c>
      <c r="C8" s="37" t="s">
        <v>80</v>
      </c>
      <c r="D8" s="24">
        <f>'QDF-FATOR CORREÇÃO'!H8</f>
        <v>2</v>
      </c>
      <c r="E8" s="24">
        <f>'QDF-FATOR CORREÇÃO'!D8</f>
        <v>2</v>
      </c>
      <c r="F8" s="24">
        <v>2.0</v>
      </c>
      <c r="G8" s="24" t="s">
        <v>64</v>
      </c>
      <c r="H8" s="24">
        <f>'QDF-FATOR CORREÇÃO'!E8</f>
        <v>13</v>
      </c>
      <c r="I8" s="24" t="str">
        <f>'QDF-FATOR CORREÇÃO'!F8</f>
        <v>F</v>
      </c>
      <c r="J8" s="28">
        <v>2.5</v>
      </c>
      <c r="K8" s="28">
        <v>2.5</v>
      </c>
      <c r="L8" s="28">
        <v>2.5</v>
      </c>
    </row>
    <row r="9">
      <c r="A9" s="36"/>
      <c r="B9" s="21" t="s">
        <v>82</v>
      </c>
      <c r="C9" s="36"/>
      <c r="D9" s="24">
        <f>'QDF-FATOR CORREÇÃO'!H9</f>
        <v>2</v>
      </c>
      <c r="E9" s="24">
        <f>'QDF-FATOR CORREÇÃO'!D9</f>
        <v>2</v>
      </c>
      <c r="F9" s="49">
        <v>3.0</v>
      </c>
      <c r="G9" s="24" t="s">
        <v>64</v>
      </c>
      <c r="H9" s="24">
        <f>'QDF-FATOR CORREÇÃO'!E9</f>
        <v>13</v>
      </c>
      <c r="I9" s="24" t="str">
        <f>'QDF-FATOR CORREÇÃO'!F9</f>
        <v>F</v>
      </c>
      <c r="J9" s="28">
        <v>2.5</v>
      </c>
      <c r="K9" s="28">
        <v>2.5</v>
      </c>
      <c r="L9" s="28">
        <v>2.5</v>
      </c>
    </row>
    <row r="10">
      <c r="A10" s="32" t="s">
        <v>83</v>
      </c>
      <c r="B10" s="21" t="s">
        <v>84</v>
      </c>
      <c r="C10" s="33" t="s">
        <v>50</v>
      </c>
      <c r="D10" s="24">
        <f>'QDF-FATOR CORREÇÃO'!H10</f>
        <v>2</v>
      </c>
      <c r="E10" s="24">
        <f>'QDF-FATOR CORREÇÃO'!D10</f>
        <v>2</v>
      </c>
      <c r="F10" s="49">
        <v>2.0</v>
      </c>
      <c r="G10" s="24" t="s">
        <v>64</v>
      </c>
      <c r="H10" s="24">
        <f>'QDF-FATOR CORREÇÃO'!E10</f>
        <v>13</v>
      </c>
      <c r="I10" s="24" t="str">
        <f>'QDF-FATOR CORREÇÃO'!F10</f>
        <v>F</v>
      </c>
      <c r="J10" s="28">
        <v>2.5</v>
      </c>
      <c r="K10" s="28">
        <v>2.5</v>
      </c>
      <c r="L10" s="28">
        <v>2.5</v>
      </c>
    </row>
    <row r="11">
      <c r="A11" s="40"/>
      <c r="B11" s="21" t="s">
        <v>85</v>
      </c>
      <c r="C11" s="36"/>
      <c r="D11" s="24">
        <f>'QDF-FATOR CORREÇÃO'!H11</f>
        <v>2</v>
      </c>
      <c r="E11" s="24">
        <f>'QDF-FATOR CORREÇÃO'!D11</f>
        <v>2</v>
      </c>
      <c r="F11" s="49">
        <v>3.0</v>
      </c>
      <c r="G11" s="24" t="s">
        <v>64</v>
      </c>
      <c r="H11" s="24">
        <f>'QDF-FATOR CORREÇÃO'!E11</f>
        <v>13</v>
      </c>
      <c r="I11" s="24" t="str">
        <f>'QDF-FATOR CORREÇÃO'!F11</f>
        <v>F</v>
      </c>
      <c r="J11" s="28">
        <v>2.5</v>
      </c>
      <c r="K11" s="28">
        <v>2.5</v>
      </c>
      <c r="L11" s="28">
        <v>2.5</v>
      </c>
    </row>
    <row r="12">
      <c r="A12" s="40"/>
      <c r="B12" s="23" t="s">
        <v>87</v>
      </c>
      <c r="C12" s="43"/>
      <c r="D12" s="47"/>
      <c r="E12" s="47"/>
      <c r="F12" s="47"/>
      <c r="G12" s="47"/>
      <c r="H12" s="47"/>
      <c r="I12" s="47"/>
      <c r="J12" s="47"/>
      <c r="K12" s="47"/>
      <c r="L12" s="47"/>
    </row>
    <row r="13">
      <c r="A13" s="36"/>
      <c r="B13" s="23" t="s">
        <v>91</v>
      </c>
      <c r="C13" s="24"/>
      <c r="D13" s="47"/>
      <c r="E13" s="47"/>
      <c r="F13" s="47"/>
      <c r="G13" s="47"/>
      <c r="H13" s="47"/>
      <c r="I13" s="47"/>
      <c r="J13" s="47"/>
      <c r="K13" s="47"/>
      <c r="L13" s="47"/>
    </row>
    <row r="14">
      <c r="A14" s="45" t="s">
        <v>92</v>
      </c>
      <c r="B14" s="48" t="s">
        <v>93</v>
      </c>
      <c r="C14" s="43" t="s">
        <v>68</v>
      </c>
      <c r="D14" s="24">
        <f>'QDF-FATOR CORREÇÃO'!H14</f>
        <v>2</v>
      </c>
      <c r="E14" s="24">
        <f>'QDF-FATOR CORREÇÃO'!D14</f>
        <v>2</v>
      </c>
      <c r="F14" s="24">
        <v>2.0</v>
      </c>
      <c r="G14" s="24" t="s">
        <v>107</v>
      </c>
      <c r="H14" s="24">
        <f>'QDF-FATOR CORREÇÃO'!E14</f>
        <v>3</v>
      </c>
      <c r="I14" s="24" t="str">
        <f>'QDF-FATOR CORREÇÃO'!F14</f>
        <v>B1</v>
      </c>
      <c r="J14" s="24">
        <v>2.5</v>
      </c>
      <c r="K14" s="24">
        <v>2.5</v>
      </c>
      <c r="L14" s="24">
        <v>2.5</v>
      </c>
    </row>
    <row r="15">
      <c r="A15" s="36"/>
      <c r="B15" s="48" t="s">
        <v>94</v>
      </c>
      <c r="C15" s="24" t="s">
        <v>68</v>
      </c>
      <c r="D15" s="24">
        <f>'QDF-FATOR CORREÇÃO'!H15</f>
        <v>2</v>
      </c>
      <c r="E15" s="24">
        <f>'QDF-FATOR CORREÇÃO'!D15</f>
        <v>2</v>
      </c>
      <c r="F15" s="24">
        <v>2.0</v>
      </c>
      <c r="G15" s="24" t="s">
        <v>107</v>
      </c>
      <c r="H15" s="24">
        <f>'QDF-FATOR CORREÇÃO'!E15</f>
        <v>3</v>
      </c>
      <c r="I15" s="24" t="str">
        <f>'QDF-FATOR CORREÇÃO'!F15</f>
        <v>B1</v>
      </c>
      <c r="J15" s="24">
        <v>2.5</v>
      </c>
      <c r="K15" s="24">
        <v>2.5</v>
      </c>
      <c r="L15" s="24">
        <v>2.5</v>
      </c>
    </row>
    <row r="16">
      <c r="A16" s="45" t="s">
        <v>95</v>
      </c>
      <c r="B16" s="48" t="s">
        <v>96</v>
      </c>
      <c r="C16" s="24" t="s">
        <v>68</v>
      </c>
      <c r="D16" s="24">
        <f>'QDF-FATOR CORREÇÃO'!H16</f>
        <v>2</v>
      </c>
      <c r="E16" s="24">
        <f>'QDF-FATOR CORREÇÃO'!D16</f>
        <v>2</v>
      </c>
      <c r="F16" s="24">
        <v>2.0</v>
      </c>
      <c r="G16" s="24" t="s">
        <v>107</v>
      </c>
      <c r="H16" s="24">
        <f>'QDF-FATOR CORREÇÃO'!E16</f>
        <v>3</v>
      </c>
      <c r="I16" s="24" t="str">
        <f>'QDF-FATOR CORREÇÃO'!F16</f>
        <v>B1</v>
      </c>
      <c r="J16" s="24">
        <v>2.5</v>
      </c>
      <c r="K16" s="24">
        <v>2.5</v>
      </c>
      <c r="L16" s="24">
        <v>2.5</v>
      </c>
    </row>
    <row r="17">
      <c r="A17" s="40"/>
      <c r="B17" s="48" t="s">
        <v>97</v>
      </c>
      <c r="C17" s="43" t="s">
        <v>98</v>
      </c>
      <c r="D17" s="24">
        <f>'QDF-FATOR CORREÇÃO'!H17</f>
        <v>1</v>
      </c>
      <c r="E17" s="24">
        <f>'QDF-FATOR CORREÇÃO'!D17</f>
        <v>1</v>
      </c>
      <c r="F17" s="24">
        <v>2.0</v>
      </c>
      <c r="G17" s="24" t="s">
        <v>107</v>
      </c>
      <c r="H17" s="24">
        <f>'QDF-FATOR CORREÇÃO'!E17</f>
        <v>3</v>
      </c>
      <c r="I17" s="24" t="str">
        <f>'QDF-FATOR CORREÇÃO'!F17</f>
        <v>B1</v>
      </c>
      <c r="J17" s="24">
        <v>2.5</v>
      </c>
      <c r="K17" s="24">
        <v>2.5</v>
      </c>
      <c r="L17" s="24">
        <v>2.5</v>
      </c>
    </row>
    <row r="18">
      <c r="A18" s="40"/>
      <c r="B18" s="43" t="s">
        <v>99</v>
      </c>
      <c r="C18" s="43" t="s">
        <v>63</v>
      </c>
      <c r="D18" s="24">
        <f>'QDF-FATOR CORREÇÃO'!H18</f>
        <v>2</v>
      </c>
      <c r="E18" s="24">
        <f>'QDF-FATOR CORREÇÃO'!D18</f>
        <v>2</v>
      </c>
      <c r="F18" s="24">
        <v>2.0</v>
      </c>
      <c r="G18" s="24" t="s">
        <v>107</v>
      </c>
      <c r="H18" s="24">
        <f>'QDF-FATOR CORREÇÃO'!E18</f>
        <v>3</v>
      </c>
      <c r="I18" s="24" t="str">
        <f>'QDF-FATOR CORREÇÃO'!F18</f>
        <v>B1</v>
      </c>
      <c r="J18" s="24">
        <v>2.5</v>
      </c>
      <c r="K18" s="24">
        <v>2.5</v>
      </c>
      <c r="L18" s="24">
        <v>2.5</v>
      </c>
    </row>
    <row r="19">
      <c r="A19" s="36"/>
      <c r="B19" s="43" t="s">
        <v>100</v>
      </c>
      <c r="C19" s="24" t="s">
        <v>98</v>
      </c>
      <c r="D19" s="24">
        <f>'QDF-FATOR CORREÇÃO'!H19</f>
        <v>1</v>
      </c>
      <c r="E19" s="24">
        <f>'QDF-FATOR CORREÇÃO'!D19</f>
        <v>1</v>
      </c>
      <c r="F19" s="24">
        <v>2.0</v>
      </c>
      <c r="G19" s="24" t="s">
        <v>107</v>
      </c>
      <c r="H19" s="24">
        <f>'QDF-FATOR CORREÇÃO'!E19</f>
        <v>3</v>
      </c>
      <c r="I19" s="24" t="str">
        <f>'QDF-FATOR CORREÇÃO'!F19</f>
        <v>B1</v>
      </c>
      <c r="J19" s="24">
        <v>2.5</v>
      </c>
      <c r="K19" s="24">
        <v>2.5</v>
      </c>
      <c r="L19" s="24">
        <v>2.5</v>
      </c>
    </row>
    <row r="20">
      <c r="A20" s="45" t="s">
        <v>102</v>
      </c>
      <c r="B20" s="43" t="s">
        <v>103</v>
      </c>
      <c r="C20" s="24" t="s">
        <v>63</v>
      </c>
      <c r="D20" s="24">
        <f>'QDF-FATOR CORREÇÃO'!H20</f>
        <v>1</v>
      </c>
      <c r="E20" s="24">
        <f>'QDF-FATOR CORREÇÃO'!D20</f>
        <v>1</v>
      </c>
      <c r="F20" s="24">
        <v>2.0</v>
      </c>
      <c r="G20" s="24" t="s">
        <v>107</v>
      </c>
      <c r="H20" s="24">
        <f>'QDF-FATOR CORREÇÃO'!E20</f>
        <v>3</v>
      </c>
      <c r="I20" s="24" t="str">
        <f>'QDF-FATOR CORREÇÃO'!F20</f>
        <v>B1</v>
      </c>
      <c r="J20" s="24">
        <v>2.5</v>
      </c>
      <c r="K20" s="24">
        <v>2.5</v>
      </c>
      <c r="L20" s="24">
        <v>2.5</v>
      </c>
    </row>
    <row r="21">
      <c r="A21" s="40"/>
      <c r="B21" s="43" t="s">
        <v>104</v>
      </c>
      <c r="C21" s="43" t="s">
        <v>105</v>
      </c>
      <c r="D21" s="24">
        <f>'QDF-FATOR CORREÇÃO'!H21</f>
        <v>1</v>
      </c>
      <c r="E21" s="24">
        <f>'QDF-FATOR CORREÇÃO'!D21</f>
        <v>1</v>
      </c>
      <c r="F21" s="24">
        <v>2.0</v>
      </c>
      <c r="G21" s="24" t="s">
        <v>107</v>
      </c>
      <c r="H21" s="24">
        <f>'QDF-FATOR CORREÇÃO'!E21</f>
        <v>3</v>
      </c>
      <c r="I21" s="24" t="str">
        <f>'QDF-FATOR CORREÇÃO'!F21</f>
        <v>B1</v>
      </c>
      <c r="J21" s="24">
        <v>2.5</v>
      </c>
      <c r="K21" s="24">
        <v>2.5</v>
      </c>
      <c r="L21" s="24">
        <v>2.5</v>
      </c>
    </row>
    <row r="22">
      <c r="A22" s="40"/>
      <c r="B22" s="43" t="s">
        <v>106</v>
      </c>
      <c r="C22" s="24" t="s">
        <v>105</v>
      </c>
      <c r="D22" s="24">
        <f>'QDF-FATOR CORREÇÃO'!H22</f>
        <v>1</v>
      </c>
      <c r="E22" s="24">
        <f>'QDF-FATOR CORREÇÃO'!D22</f>
        <v>1</v>
      </c>
      <c r="F22" s="24">
        <v>2.0</v>
      </c>
      <c r="G22" s="24" t="s">
        <v>107</v>
      </c>
      <c r="H22" s="24">
        <f>'QDF-FATOR CORREÇÃO'!E22</f>
        <v>3</v>
      </c>
      <c r="I22" s="24" t="str">
        <f>'QDF-FATOR CORREÇÃO'!F22</f>
        <v>B1</v>
      </c>
      <c r="J22" s="24">
        <v>16.0</v>
      </c>
      <c r="K22" s="24">
        <v>16.0</v>
      </c>
      <c r="L22" s="24">
        <v>16.0</v>
      </c>
    </row>
    <row r="23">
      <c r="A23" s="36"/>
      <c r="B23" s="24" t="s">
        <v>108</v>
      </c>
      <c r="C23" s="24" t="s">
        <v>109</v>
      </c>
      <c r="D23" s="47"/>
      <c r="E23" s="47"/>
      <c r="F23" s="47"/>
      <c r="G23" s="47"/>
      <c r="H23" s="47"/>
      <c r="I23" s="47"/>
      <c r="J23" s="47"/>
      <c r="K23" s="47"/>
      <c r="L23" s="47"/>
    </row>
  </sheetData>
  <mergeCells count="13">
    <mergeCell ref="A8:A9"/>
    <mergeCell ref="A10:A13"/>
    <mergeCell ref="C10:C11"/>
    <mergeCell ref="A14:A15"/>
    <mergeCell ref="A16:A19"/>
    <mergeCell ref="A20:A23"/>
    <mergeCell ref="A1:L1"/>
    <mergeCell ref="P2:S3"/>
    <mergeCell ref="A4:A5"/>
    <mergeCell ref="C4:C5"/>
    <mergeCell ref="A6:A7"/>
    <mergeCell ref="C6:C7"/>
    <mergeCell ref="C8:C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6" t="s">
        <v>110</v>
      </c>
      <c r="B1" s="7"/>
      <c r="C1" s="7"/>
      <c r="D1" s="7"/>
      <c r="E1" s="7"/>
      <c r="F1" s="8"/>
      <c r="G1" s="60"/>
      <c r="H1" s="61" t="s">
        <v>111</v>
      </c>
    </row>
    <row r="2">
      <c r="A2" s="9" t="s">
        <v>18</v>
      </c>
      <c r="B2" s="9" t="s">
        <v>20</v>
      </c>
      <c r="C2" s="9" t="s">
        <v>21</v>
      </c>
      <c r="D2" s="13" t="s">
        <v>113</v>
      </c>
      <c r="E2" s="13" t="s">
        <v>114</v>
      </c>
      <c r="F2" s="13" t="s">
        <v>115</v>
      </c>
      <c r="G2" s="13" t="s">
        <v>116</v>
      </c>
      <c r="L2" s="18" t="s">
        <v>117</v>
      </c>
    </row>
    <row r="3">
      <c r="A3" s="11" t="s">
        <v>51</v>
      </c>
      <c r="B3" s="21" t="s">
        <v>53</v>
      </c>
      <c r="C3" s="22" t="s">
        <v>54</v>
      </c>
      <c r="D3" s="34">
        <f>'QDF-FATOR CORREÇÃO'!P3</f>
        <v>26.1</v>
      </c>
      <c r="E3" s="64">
        <v>16.0</v>
      </c>
      <c r="F3" s="34">
        <f>QDF!L3</f>
        <v>3.636363636</v>
      </c>
      <c r="G3" s="24" t="str">
        <f t="shared" ref="G3:G11" si="1">IF(AND(D3&gt;E3,E3&gt;F3),"OK","MUDAR DISJUNTOR")</f>
        <v>OK</v>
      </c>
      <c r="H3" s="18"/>
    </row>
    <row r="4">
      <c r="A4" s="32" t="s">
        <v>69</v>
      </c>
      <c r="B4" s="21" t="s">
        <v>71</v>
      </c>
      <c r="C4" s="33" t="s">
        <v>10</v>
      </c>
      <c r="D4" s="34">
        <f>'QDF-FATOR CORREÇÃO'!P4</f>
        <v>22.968</v>
      </c>
      <c r="E4" s="70">
        <v>10.0</v>
      </c>
      <c r="F4" s="34">
        <f>QDF!L4</f>
        <v>3.636363636</v>
      </c>
      <c r="G4" s="24" t="str">
        <f t="shared" si="1"/>
        <v>OK</v>
      </c>
      <c r="H4" s="18"/>
    </row>
    <row r="5">
      <c r="A5" s="36"/>
      <c r="B5" s="21" t="s">
        <v>72</v>
      </c>
      <c r="C5" s="36"/>
      <c r="D5" s="34">
        <f>'QDF-FATOR CORREÇÃO'!P5</f>
        <v>22.968</v>
      </c>
      <c r="E5" s="64">
        <v>10.0</v>
      </c>
      <c r="F5" s="34">
        <f>QDF!L5</f>
        <v>4.545454545</v>
      </c>
      <c r="G5" s="24" t="str">
        <f t="shared" si="1"/>
        <v>OK</v>
      </c>
      <c r="H5" s="18"/>
    </row>
    <row r="6">
      <c r="A6" s="32" t="s">
        <v>75</v>
      </c>
      <c r="B6" s="21" t="s">
        <v>76</v>
      </c>
      <c r="C6" s="33" t="s">
        <v>17</v>
      </c>
      <c r="D6" s="34">
        <f>'QDF-FATOR CORREÇÃO'!P6</f>
        <v>22.968</v>
      </c>
      <c r="E6" s="64">
        <v>6.0</v>
      </c>
      <c r="F6" s="34">
        <f>QDF!L6</f>
        <v>1.818181818</v>
      </c>
      <c r="G6" s="24" t="str">
        <f t="shared" si="1"/>
        <v>OK</v>
      </c>
      <c r="H6" s="18"/>
    </row>
    <row r="7" ht="31.5" customHeight="1">
      <c r="A7" s="36"/>
      <c r="B7" s="21" t="s">
        <v>77</v>
      </c>
      <c r="C7" s="36"/>
      <c r="D7" s="34">
        <f>'QDF-FATOR CORREÇÃO'!P7</f>
        <v>22.968</v>
      </c>
      <c r="E7" s="64">
        <v>10.0</v>
      </c>
      <c r="F7" s="34">
        <f>QDF!L7</f>
        <v>4.545454545</v>
      </c>
      <c r="G7" s="24" t="str">
        <f t="shared" si="1"/>
        <v>OK</v>
      </c>
      <c r="H7" s="18"/>
    </row>
    <row r="8">
      <c r="A8" s="32" t="s">
        <v>78</v>
      </c>
      <c r="B8" s="21" t="s">
        <v>79</v>
      </c>
      <c r="C8" s="37" t="s">
        <v>80</v>
      </c>
      <c r="D8" s="34">
        <f>'QDF-FATOR CORREÇÃO'!P8</f>
        <v>22.968</v>
      </c>
      <c r="E8" s="64">
        <v>10.0</v>
      </c>
      <c r="F8" s="34">
        <f>QDF!L8</f>
        <v>3.636363636</v>
      </c>
      <c r="G8" s="24" t="str">
        <f t="shared" si="1"/>
        <v>OK</v>
      </c>
      <c r="H8" s="18"/>
    </row>
    <row r="9" ht="35.25" customHeight="1">
      <c r="A9" s="36"/>
      <c r="B9" s="21" t="s">
        <v>82</v>
      </c>
      <c r="C9" s="36"/>
      <c r="D9" s="34">
        <f>'QDF-FATOR CORREÇÃO'!P9</f>
        <v>22.968</v>
      </c>
      <c r="E9" s="71">
        <v>10.0</v>
      </c>
      <c r="F9" s="34">
        <f>QDF!L9</f>
        <v>4.545454545</v>
      </c>
      <c r="G9" s="24" t="str">
        <f t="shared" si="1"/>
        <v>OK</v>
      </c>
      <c r="H9" s="18"/>
    </row>
    <row r="10" ht="25.5" customHeight="1">
      <c r="A10" s="32" t="s">
        <v>83</v>
      </c>
      <c r="B10" s="21" t="s">
        <v>84</v>
      </c>
      <c r="C10" s="33" t="s">
        <v>50</v>
      </c>
      <c r="D10" s="34">
        <f>'QDF-FATOR CORREÇÃO'!P10</f>
        <v>22.968</v>
      </c>
      <c r="E10" s="71">
        <v>10.0</v>
      </c>
      <c r="F10" s="34">
        <f>QDF!L10</f>
        <v>5.454545455</v>
      </c>
      <c r="G10" s="24" t="str">
        <f t="shared" si="1"/>
        <v>OK</v>
      </c>
      <c r="H10" s="18"/>
    </row>
    <row r="11">
      <c r="A11" s="40"/>
      <c r="B11" s="21" t="s">
        <v>85</v>
      </c>
      <c r="C11" s="36"/>
      <c r="D11" s="34">
        <f>'QDF-FATOR CORREÇÃO'!P11</f>
        <v>22.968</v>
      </c>
      <c r="E11" s="71">
        <v>10.0</v>
      </c>
      <c r="F11" s="34">
        <f>QDF!L11</f>
        <v>4.545454545</v>
      </c>
      <c r="G11" s="24" t="str">
        <f t="shared" si="1"/>
        <v>OK</v>
      </c>
      <c r="H11" s="18"/>
    </row>
    <row r="12">
      <c r="A12" s="40"/>
      <c r="B12" s="23" t="s">
        <v>87</v>
      </c>
      <c r="C12" s="43"/>
      <c r="D12" s="72"/>
      <c r="E12" s="73"/>
      <c r="F12" s="72"/>
      <c r="G12" s="47"/>
      <c r="H12" s="18"/>
    </row>
    <row r="13">
      <c r="A13" s="36"/>
      <c r="B13" s="23" t="s">
        <v>91</v>
      </c>
      <c r="C13" s="24"/>
      <c r="D13" s="72"/>
      <c r="E13" s="73"/>
      <c r="F13" s="72"/>
      <c r="G13" s="47"/>
      <c r="H13" s="18"/>
    </row>
    <row r="14">
      <c r="A14" s="45" t="s">
        <v>92</v>
      </c>
      <c r="B14" s="48" t="s">
        <v>93</v>
      </c>
      <c r="C14" s="43" t="s">
        <v>68</v>
      </c>
      <c r="D14" s="34">
        <f>'QDF-FATOR CORREÇÃO'!P14</f>
        <v>15.168</v>
      </c>
      <c r="E14" s="70">
        <v>10.0</v>
      </c>
      <c r="F14" s="34">
        <f>QDF!L14</f>
        <v>5.454545455</v>
      </c>
      <c r="G14" s="24" t="str">
        <f t="shared" ref="G14:G22" si="2">IF(AND(D14&gt;E14,E14&gt;F14),"OK","MUDAR DISJUNTOR")</f>
        <v>OK</v>
      </c>
      <c r="H14" s="18"/>
    </row>
    <row r="15">
      <c r="A15" s="36"/>
      <c r="B15" s="48" t="s">
        <v>94</v>
      </c>
      <c r="C15" s="24" t="s">
        <v>68</v>
      </c>
      <c r="D15" s="34">
        <f>'QDF-FATOR CORREÇÃO'!P15</f>
        <v>15.168</v>
      </c>
      <c r="E15" s="70">
        <v>10.0</v>
      </c>
      <c r="F15" s="34">
        <f>QDF!L15</f>
        <v>4.545454545</v>
      </c>
      <c r="G15" s="24" t="str">
        <f t="shared" si="2"/>
        <v>OK</v>
      </c>
      <c r="H15" s="18"/>
    </row>
    <row r="16">
      <c r="A16" s="45" t="s">
        <v>95</v>
      </c>
      <c r="B16" s="48" t="s">
        <v>96</v>
      </c>
      <c r="C16" s="24" t="s">
        <v>68</v>
      </c>
      <c r="D16" s="34">
        <f>'QDF-FATOR CORREÇÃO'!P16</f>
        <v>15.168</v>
      </c>
      <c r="E16" s="70">
        <v>10.0</v>
      </c>
      <c r="F16" s="34">
        <f>QDF!L16</f>
        <v>6.818181818</v>
      </c>
      <c r="G16" s="24" t="str">
        <f t="shared" si="2"/>
        <v>OK</v>
      </c>
      <c r="H16" s="18"/>
    </row>
    <row r="17">
      <c r="A17" s="40"/>
      <c r="B17" s="48" t="s">
        <v>97</v>
      </c>
      <c r="C17" s="43" t="s">
        <v>98</v>
      </c>
      <c r="D17" s="34">
        <f>'QDF-FATOR CORREÇÃO'!P17</f>
        <v>18.96</v>
      </c>
      <c r="E17" s="70">
        <v>10.0</v>
      </c>
      <c r="F17" s="34">
        <f>QDF!L17</f>
        <v>7.272727273</v>
      </c>
      <c r="G17" s="24" t="str">
        <f t="shared" si="2"/>
        <v>OK</v>
      </c>
      <c r="H17" s="18"/>
    </row>
    <row r="18">
      <c r="A18" s="40"/>
      <c r="B18" s="43" t="s">
        <v>99</v>
      </c>
      <c r="C18" s="43" t="s">
        <v>63</v>
      </c>
      <c r="D18" s="34">
        <f>'QDF-FATOR CORREÇÃO'!P18</f>
        <v>15.168</v>
      </c>
      <c r="E18" s="70">
        <v>10.0</v>
      </c>
      <c r="F18" s="34">
        <f>QDF!L18</f>
        <v>7.272727273</v>
      </c>
      <c r="G18" s="24" t="str">
        <f t="shared" si="2"/>
        <v>OK</v>
      </c>
      <c r="H18" s="18"/>
    </row>
    <row r="19">
      <c r="A19" s="36"/>
      <c r="B19" s="43" t="s">
        <v>100</v>
      </c>
      <c r="C19" s="24" t="s">
        <v>98</v>
      </c>
      <c r="D19" s="34">
        <f>'QDF-FATOR CORREÇÃO'!P19</f>
        <v>18.96</v>
      </c>
      <c r="E19" s="70">
        <v>10.0</v>
      </c>
      <c r="F19" s="34">
        <f>QDF!L19</f>
        <v>6.818181818</v>
      </c>
      <c r="G19" s="24" t="str">
        <f t="shared" si="2"/>
        <v>OK</v>
      </c>
      <c r="H19" s="18"/>
    </row>
    <row r="20">
      <c r="A20" s="45" t="s">
        <v>102</v>
      </c>
      <c r="B20" s="43" t="s">
        <v>103</v>
      </c>
      <c r="C20" s="24" t="s">
        <v>63</v>
      </c>
      <c r="D20" s="34">
        <f>'QDF-FATOR CORREÇÃO'!P20</f>
        <v>18.96</v>
      </c>
      <c r="E20" s="70">
        <v>10.0</v>
      </c>
      <c r="F20" s="34">
        <f>QDF!L20</f>
        <v>6.818181818</v>
      </c>
      <c r="G20" s="24" t="str">
        <f t="shared" si="2"/>
        <v>OK</v>
      </c>
      <c r="H20" s="18"/>
    </row>
    <row r="21">
      <c r="A21" s="40"/>
      <c r="B21" s="43" t="s">
        <v>104</v>
      </c>
      <c r="C21" s="43" t="s">
        <v>105</v>
      </c>
      <c r="D21" s="34">
        <f>'QDF-FATOR CORREÇÃO'!P21</f>
        <v>18.96</v>
      </c>
      <c r="E21" s="70">
        <v>10.0</v>
      </c>
      <c r="F21" s="34">
        <f>QDF!L21</f>
        <v>2.727272727</v>
      </c>
      <c r="G21" s="24" t="str">
        <f t="shared" si="2"/>
        <v>OK</v>
      </c>
      <c r="H21" s="18"/>
    </row>
    <row r="22">
      <c r="A22" s="40"/>
      <c r="B22" s="43" t="s">
        <v>106</v>
      </c>
      <c r="C22" s="24" t="s">
        <v>105</v>
      </c>
      <c r="D22" s="34">
        <f>'QDF-FATOR CORREÇÃO'!P22</f>
        <v>60.04</v>
      </c>
      <c r="E22" s="70">
        <v>50.0</v>
      </c>
      <c r="F22" s="34">
        <f>QDF!L22</f>
        <v>40.90909091</v>
      </c>
      <c r="G22" s="24" t="str">
        <f t="shared" si="2"/>
        <v>OK</v>
      </c>
      <c r="H22" s="18"/>
    </row>
    <row r="23">
      <c r="A23" s="36"/>
      <c r="B23" s="24" t="s">
        <v>108</v>
      </c>
      <c r="C23" s="24" t="s">
        <v>109</v>
      </c>
      <c r="D23" s="72"/>
      <c r="E23" s="73"/>
      <c r="F23" s="72"/>
      <c r="G23" s="47"/>
      <c r="H23" s="18"/>
    </row>
    <row r="24">
      <c r="A24" s="60"/>
      <c r="B24" s="52"/>
      <c r="C24" s="47"/>
      <c r="D24" s="72"/>
      <c r="E24" s="73"/>
      <c r="F24" s="72"/>
      <c r="G24" s="47"/>
      <c r="H24" s="18"/>
    </row>
  </sheetData>
  <mergeCells count="14">
    <mergeCell ref="C6:C7"/>
    <mergeCell ref="C8:C9"/>
    <mergeCell ref="A10:A13"/>
    <mergeCell ref="C10:C11"/>
    <mergeCell ref="A14:A15"/>
    <mergeCell ref="A16:A19"/>
    <mergeCell ref="A20:A23"/>
    <mergeCell ref="A1:F1"/>
    <mergeCell ref="H1:H2"/>
    <mergeCell ref="L2:R2"/>
    <mergeCell ref="A4:A5"/>
    <mergeCell ref="C4:C5"/>
    <mergeCell ref="A6:A7"/>
    <mergeCell ref="A8:A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86</v>
      </c>
    </row>
    <row r="21">
      <c r="A21" s="18" t="s">
        <v>134</v>
      </c>
    </row>
    <row r="25">
      <c r="A25" s="89" t="s">
        <v>29</v>
      </c>
      <c r="B25" s="90">
        <v>220.0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>
      <c r="A26" s="91" t="s">
        <v>136</v>
      </c>
      <c r="B26" s="92">
        <f>QDF!J3</f>
        <v>400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>
      <c r="A27" s="93" t="s">
        <v>138</v>
      </c>
      <c r="B27" s="94">
        <f>QDF!I3</f>
        <v>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>
      <c r="A28" s="95" t="s">
        <v>139</v>
      </c>
      <c r="B28" s="7"/>
      <c r="C28" s="7"/>
      <c r="D28" s="7"/>
      <c r="E28" s="7"/>
      <c r="F28" s="7"/>
      <c r="G28" s="7"/>
      <c r="H28" s="7"/>
      <c r="I28" s="7"/>
      <c r="J28" s="8"/>
      <c r="K28" s="18"/>
      <c r="L28" s="18"/>
      <c r="M28" s="18"/>
      <c r="N28" s="18"/>
      <c r="O28" s="18"/>
      <c r="P28" s="96" t="s">
        <v>140</v>
      </c>
      <c r="Q28" s="7"/>
      <c r="R28" s="7"/>
      <c r="S28" s="7"/>
      <c r="T28" s="7"/>
      <c r="U28" s="7"/>
      <c r="V28" s="7"/>
      <c r="W28" s="8"/>
    </row>
    <row r="29">
      <c r="A29" s="97" t="s">
        <v>141</v>
      </c>
      <c r="B29" s="97" t="s">
        <v>142</v>
      </c>
      <c r="C29" s="97" t="s">
        <v>143</v>
      </c>
      <c r="D29" s="98" t="s">
        <v>144</v>
      </c>
      <c r="E29" s="97" t="s">
        <v>145</v>
      </c>
      <c r="F29" s="97" t="s">
        <v>146</v>
      </c>
      <c r="G29" s="97" t="s">
        <v>45</v>
      </c>
      <c r="H29" s="97" t="s">
        <v>147</v>
      </c>
      <c r="I29" s="97" t="s">
        <v>148</v>
      </c>
      <c r="J29" s="97" t="s">
        <v>149</v>
      </c>
      <c r="K29" s="18"/>
      <c r="L29" s="99" t="s">
        <v>150</v>
      </c>
      <c r="M29" s="99" t="s">
        <v>151</v>
      </c>
      <c r="N29" s="99" t="s">
        <v>152</v>
      </c>
      <c r="O29" s="18"/>
      <c r="P29" s="101" t="s">
        <v>153</v>
      </c>
      <c r="Q29" s="102"/>
      <c r="R29" s="102"/>
      <c r="S29" s="102"/>
      <c r="T29" s="102"/>
      <c r="U29" s="102"/>
      <c r="V29" s="102"/>
      <c r="W29" s="103"/>
    </row>
    <row r="30">
      <c r="A30" s="27" t="s">
        <v>154</v>
      </c>
      <c r="B30" s="104">
        <f>($B$36*4)/$B$25</f>
        <v>3.636363636</v>
      </c>
      <c r="C30" s="105">
        <f t="shared" ref="C30:C31" si="1">L30+(M30*1.5)+N30</f>
        <v>3.49</v>
      </c>
      <c r="D30" s="106">
        <v>2.5</v>
      </c>
      <c r="E30" s="105">
        <f t="shared" ref="E30:E31" si="2">8.8882*10^-3</f>
        <v>0.0088882</v>
      </c>
      <c r="F30" s="105">
        <f t="shared" ref="F30:F31" si="3">0.1345*10^-3</f>
        <v>0.0001345</v>
      </c>
      <c r="G30" s="106">
        <v>1.0</v>
      </c>
      <c r="H30" s="104">
        <f t="shared" ref="H30:H31" si="4">2*B30*C30*(E30*G30+F30*SIN(ACOS(G30)))</f>
        <v>0.2255986764</v>
      </c>
      <c r="I30" s="107">
        <f t="shared" ref="I30:I31" si="5">H30/220</f>
        <v>0.001025448529</v>
      </c>
      <c r="J30" s="107">
        <f>I30</f>
        <v>0.001025448529</v>
      </c>
      <c r="K30" s="82"/>
      <c r="L30" s="41">
        <v>1.69</v>
      </c>
      <c r="M30" s="41">
        <v>1.0</v>
      </c>
      <c r="N30" s="41">
        <v>0.3</v>
      </c>
      <c r="O30" s="18"/>
      <c r="P30" s="111" t="s">
        <v>141</v>
      </c>
      <c r="Q30" s="111" t="s">
        <v>142</v>
      </c>
      <c r="R30" s="111" t="s">
        <v>143</v>
      </c>
      <c r="S30" s="112" t="s">
        <v>144</v>
      </c>
      <c r="T30" s="111" t="s">
        <v>45</v>
      </c>
      <c r="U30" s="111" t="s">
        <v>156</v>
      </c>
      <c r="V30" s="111" t="s">
        <v>148</v>
      </c>
      <c r="W30" s="111" t="s">
        <v>149</v>
      </c>
    </row>
    <row r="31">
      <c r="A31" s="27" t="s">
        <v>157</v>
      </c>
      <c r="B31" s="104">
        <f>($B$36*3)/$B$25</f>
        <v>2.727272727</v>
      </c>
      <c r="C31" s="115">
        <f t="shared" si="1"/>
        <v>11.94</v>
      </c>
      <c r="D31" s="106">
        <v>2.5</v>
      </c>
      <c r="E31" s="105">
        <f t="shared" si="2"/>
        <v>0.0088882</v>
      </c>
      <c r="F31" s="105">
        <f t="shared" si="3"/>
        <v>0.0001345</v>
      </c>
      <c r="G31" s="120">
        <v>1.0</v>
      </c>
      <c r="H31" s="122">
        <f t="shared" si="4"/>
        <v>0.5788642255</v>
      </c>
      <c r="I31" s="124">
        <f t="shared" si="5"/>
        <v>0.002631201025</v>
      </c>
      <c r="J31" s="124">
        <f>J30+I31</f>
        <v>0.003656649554</v>
      </c>
      <c r="K31" s="82"/>
      <c r="L31" s="41">
        <v>10.14</v>
      </c>
      <c r="M31" s="41">
        <v>1.0</v>
      </c>
      <c r="N31" s="41">
        <v>0.3</v>
      </c>
      <c r="O31" s="18"/>
      <c r="P31" s="129" t="str">
        <f t="shared" ref="P31:R31" si="6">A30</f>
        <v>QDF1-TOM1</v>
      </c>
      <c r="Q31" s="131">
        <f t="shared" si="6"/>
        <v>3.636363636</v>
      </c>
      <c r="R31" s="131">
        <f t="shared" si="6"/>
        <v>3.49</v>
      </c>
      <c r="S31" s="106">
        <v>2.5</v>
      </c>
      <c r="T31" s="105">
        <f>G31</f>
        <v>1</v>
      </c>
      <c r="U31" s="106">
        <v>16.8</v>
      </c>
      <c r="V31" s="135">
        <f t="shared" ref="V31:V32" si="8">(R31/1000)*Q31*U31*(100/220)/100</f>
        <v>0.0009691239669</v>
      </c>
      <c r="W31" s="107">
        <f>V31</f>
        <v>0.0009691239669</v>
      </c>
    </row>
    <row r="32">
      <c r="A32" s="129"/>
      <c r="B32" s="131"/>
      <c r="C32" s="129"/>
      <c r="D32" s="129"/>
      <c r="E32" s="129"/>
      <c r="F32" s="129"/>
      <c r="G32" s="129"/>
      <c r="H32" s="131"/>
      <c r="I32" s="137"/>
      <c r="J32" s="137"/>
      <c r="K32" s="82"/>
      <c r="L32" s="18"/>
      <c r="M32" s="18"/>
      <c r="N32" s="18"/>
      <c r="O32" s="18"/>
      <c r="P32" s="139" t="str">
        <f t="shared" ref="P32:R32" si="7">A31</f>
        <v>QDF1-TOM2</v>
      </c>
      <c r="Q32" s="140">
        <f t="shared" si="7"/>
        <v>2.727272727</v>
      </c>
      <c r="R32" s="140">
        <f t="shared" si="7"/>
        <v>11.94</v>
      </c>
      <c r="S32" s="106">
        <v>2.5</v>
      </c>
      <c r="T32" s="120">
        <v>1.0</v>
      </c>
      <c r="U32" s="106">
        <v>16.8</v>
      </c>
      <c r="V32" s="142">
        <f t="shared" si="8"/>
        <v>0.002486677686</v>
      </c>
      <c r="W32" s="124">
        <f>W31+V32</f>
        <v>0.003455801653</v>
      </c>
    </row>
    <row r="33">
      <c r="A33" s="139"/>
      <c r="B33" s="140"/>
      <c r="C33" s="139"/>
      <c r="D33" s="139"/>
      <c r="E33" s="139"/>
      <c r="F33" s="139"/>
      <c r="G33" s="139"/>
      <c r="H33" s="140"/>
      <c r="I33" s="143"/>
      <c r="J33" s="143"/>
      <c r="K33" s="82"/>
      <c r="L33" s="18"/>
      <c r="M33" s="18"/>
      <c r="N33" s="18"/>
      <c r="O33" s="18"/>
      <c r="P33" s="129" t="str">
        <f t="shared" ref="P33:R33" si="9">A32</f>
        <v/>
      </c>
      <c r="Q33" s="131" t="str">
        <f t="shared" si="9"/>
        <v/>
      </c>
      <c r="R33" s="131" t="str">
        <f t="shared" si="9"/>
        <v/>
      </c>
      <c r="S33" s="129"/>
      <c r="T33" s="129"/>
      <c r="U33" s="129"/>
      <c r="V33" s="147"/>
      <c r="W33" s="137"/>
    </row>
    <row r="34">
      <c r="A34" s="132"/>
      <c r="B34" s="148"/>
      <c r="C34" s="149"/>
      <c r="D34" s="132"/>
      <c r="E34" s="132"/>
      <c r="F34" s="132"/>
      <c r="G34" s="148"/>
      <c r="H34" s="150"/>
      <c r="I34" s="150"/>
      <c r="J34" s="18"/>
      <c r="K34" s="82"/>
      <c r="L34" s="18"/>
      <c r="M34" s="18"/>
      <c r="N34" s="18"/>
      <c r="O34" s="18"/>
      <c r="P34" s="52" t="str">
        <f t="shared" ref="P34:R34" si="10">A33</f>
        <v/>
      </c>
      <c r="Q34" s="151" t="str">
        <f t="shared" si="10"/>
        <v/>
      </c>
      <c r="R34" s="151" t="str">
        <f t="shared" si="10"/>
        <v/>
      </c>
      <c r="S34" s="47"/>
      <c r="T34" s="52"/>
      <c r="U34" s="152"/>
      <c r="V34" s="153"/>
      <c r="W34" s="154"/>
    </row>
    <row r="35">
      <c r="A35" s="134"/>
      <c r="B35" s="155"/>
      <c r="C35" s="134"/>
      <c r="D35" s="134"/>
      <c r="E35" s="134"/>
      <c r="F35" s="134"/>
      <c r="G35" s="155"/>
      <c r="H35" s="156"/>
      <c r="I35" s="156"/>
      <c r="J35" s="18"/>
      <c r="K35" s="82"/>
      <c r="L35" s="18"/>
      <c r="M35" s="18"/>
      <c r="N35" s="18"/>
      <c r="O35" s="18"/>
      <c r="P35" s="52"/>
      <c r="Q35" s="53"/>
      <c r="R35" s="53"/>
      <c r="S35" s="52"/>
      <c r="T35" s="153"/>
      <c r="U35" s="154"/>
      <c r="V35" s="18"/>
      <c r="W35" s="18"/>
    </row>
    <row r="36">
      <c r="A36" s="93" t="s">
        <v>171</v>
      </c>
      <c r="B36" s="157">
        <f>QDF!J4</f>
        <v>200</v>
      </c>
      <c r="C36" s="93" t="s">
        <v>172</v>
      </c>
      <c r="D36" s="134">
        <f>QDF!J5</f>
        <v>1000</v>
      </c>
      <c r="E36" s="134"/>
      <c r="F36" s="134"/>
      <c r="G36" s="155"/>
      <c r="H36" s="156"/>
      <c r="I36" s="156"/>
      <c r="J36" s="18"/>
      <c r="K36" s="82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>
      <c r="A37" s="158" t="s">
        <v>138</v>
      </c>
      <c r="B37" s="94">
        <f>QDF!I4</f>
        <v>4</v>
      </c>
      <c r="C37" s="158" t="s">
        <v>138</v>
      </c>
      <c r="D37" s="159">
        <f>QDF!I5</f>
        <v>1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60" t="s">
        <v>140</v>
      </c>
      <c r="Q37" s="109"/>
      <c r="R37" s="109"/>
      <c r="S37" s="109"/>
      <c r="T37" s="109"/>
      <c r="U37" s="109"/>
      <c r="V37" s="109"/>
      <c r="W37" s="161"/>
    </row>
    <row r="38">
      <c r="A38" s="95" t="s">
        <v>168</v>
      </c>
      <c r="B38" s="7"/>
      <c r="C38" s="7"/>
      <c r="D38" s="7"/>
      <c r="E38" s="7"/>
      <c r="F38" s="7"/>
      <c r="G38" s="7"/>
      <c r="H38" s="7"/>
      <c r="I38" s="7"/>
      <c r="J38" s="8"/>
      <c r="K38" s="18"/>
      <c r="L38" s="18"/>
      <c r="M38" s="18"/>
      <c r="N38" s="18"/>
      <c r="O38" s="18"/>
      <c r="P38" s="162" t="s">
        <v>168</v>
      </c>
      <c r="Q38" s="102"/>
      <c r="R38" s="102"/>
      <c r="S38" s="102"/>
      <c r="T38" s="102"/>
      <c r="U38" s="102"/>
      <c r="V38" s="102"/>
      <c r="W38" s="103"/>
    </row>
    <row r="39">
      <c r="A39" s="164" t="s">
        <v>174</v>
      </c>
      <c r="B39" s="97" t="s">
        <v>142</v>
      </c>
      <c r="C39" s="97" t="s">
        <v>143</v>
      </c>
      <c r="D39" s="97" t="s">
        <v>144</v>
      </c>
      <c r="E39" s="97" t="s">
        <v>145</v>
      </c>
      <c r="F39" s="97" t="s">
        <v>146</v>
      </c>
      <c r="G39" s="97" t="s">
        <v>45</v>
      </c>
      <c r="H39" s="97" t="s">
        <v>147</v>
      </c>
      <c r="I39" s="97" t="s">
        <v>148</v>
      </c>
      <c r="J39" s="97" t="s">
        <v>149</v>
      </c>
      <c r="K39" s="18"/>
      <c r="L39" s="166" t="s">
        <v>150</v>
      </c>
      <c r="M39" s="99" t="s">
        <v>151</v>
      </c>
      <c r="N39" s="99" t="s">
        <v>152</v>
      </c>
      <c r="O39" s="18"/>
      <c r="P39" s="164" t="s">
        <v>174</v>
      </c>
      <c r="Q39" s="97" t="s">
        <v>142</v>
      </c>
      <c r="R39" s="97" t="s">
        <v>143</v>
      </c>
      <c r="S39" s="97" t="s">
        <v>144</v>
      </c>
      <c r="T39" s="97" t="s">
        <v>45</v>
      </c>
      <c r="U39" s="97" t="s">
        <v>156</v>
      </c>
      <c r="V39" s="97" t="s">
        <v>148</v>
      </c>
      <c r="W39" s="97" t="s">
        <v>149</v>
      </c>
    </row>
    <row r="40">
      <c r="A40" s="27" t="s">
        <v>154</v>
      </c>
      <c r="B40" s="104">
        <f>($B$36*4)/$B$25</f>
        <v>3.636363636</v>
      </c>
      <c r="C40" s="105">
        <f t="shared" ref="C40:C43" si="12">L40+(M40*1.5)+N40</f>
        <v>18.66</v>
      </c>
      <c r="D40" s="106">
        <v>2.5</v>
      </c>
      <c r="E40" s="105">
        <f t="shared" ref="E40:E43" si="13">8.8882*10^-3</f>
        <v>0.0088882</v>
      </c>
      <c r="F40" s="105">
        <f t="shared" ref="F40:F43" si="14">0.1345*10^-3</f>
        <v>0.0001345</v>
      </c>
      <c r="G40" s="106">
        <v>1.0</v>
      </c>
      <c r="H40" s="104">
        <f t="shared" ref="H40:H43" si="15">2*B40*C40*(E40*G40+F40*SIN(ACOS(G40)))</f>
        <v>1.206209542</v>
      </c>
      <c r="I40" s="107">
        <f t="shared" ref="I40:I43" si="16">H40/220</f>
        <v>0.005482770645</v>
      </c>
      <c r="J40" s="107">
        <f>I40</f>
        <v>0.005482770645</v>
      </c>
      <c r="K40" s="18"/>
      <c r="L40" s="169">
        <f>1.86+3.1+(7-0.3)</f>
        <v>11.66</v>
      </c>
      <c r="M40" s="170">
        <v>1.0</v>
      </c>
      <c r="N40" s="169">
        <f>7-1.5</f>
        <v>5.5</v>
      </c>
      <c r="O40" s="18"/>
      <c r="P40" s="105" t="str">
        <f t="shared" ref="P40:R40" si="11">A40</f>
        <v>QDF1-TOM1</v>
      </c>
      <c r="Q40" s="104">
        <f t="shared" si="11"/>
        <v>3.636363636</v>
      </c>
      <c r="R40" s="104">
        <f t="shared" si="11"/>
        <v>18.66</v>
      </c>
      <c r="S40" s="106">
        <v>2.5</v>
      </c>
      <c r="T40" s="105">
        <f t="shared" ref="T40:T43" si="18">G40</f>
        <v>1</v>
      </c>
      <c r="U40" s="106">
        <v>16.8</v>
      </c>
      <c r="V40" s="135">
        <f t="shared" ref="V40:V43" si="19">(R40/1000)*Q40*U40*(100/220)/100</f>
        <v>0.005181619835</v>
      </c>
      <c r="W40" s="107">
        <f>V40</f>
        <v>0.005181619835</v>
      </c>
    </row>
    <row r="41">
      <c r="A41" s="27" t="s">
        <v>157</v>
      </c>
      <c r="B41" s="104">
        <f>($B$36*3)/$B$25</f>
        <v>2.727272727</v>
      </c>
      <c r="C41" s="115">
        <f t="shared" si="12"/>
        <v>19.42</v>
      </c>
      <c r="D41" s="106">
        <v>2.5</v>
      </c>
      <c r="E41" s="105">
        <f t="shared" si="13"/>
        <v>0.0088882</v>
      </c>
      <c r="F41" s="105">
        <f t="shared" si="14"/>
        <v>0.0001345</v>
      </c>
      <c r="G41" s="120">
        <v>1.0</v>
      </c>
      <c r="H41" s="122">
        <f t="shared" si="15"/>
        <v>0.9415027855</v>
      </c>
      <c r="I41" s="124">
        <f t="shared" si="16"/>
        <v>0.004279558116</v>
      </c>
      <c r="J41" s="124">
        <f t="shared" ref="J41:J43" si="20">J40+I41</f>
        <v>0.00976232876</v>
      </c>
      <c r="K41" s="18"/>
      <c r="L41" s="169">
        <f>3.22+6.5+(7-0.3)</f>
        <v>16.42</v>
      </c>
      <c r="M41" s="170">
        <v>2.0</v>
      </c>
      <c r="N41" s="169">
        <v>0.0</v>
      </c>
      <c r="O41" s="18"/>
      <c r="P41" s="115" t="str">
        <f t="shared" ref="P41:R41" si="17">A41</f>
        <v>QDF1-TOM2</v>
      </c>
      <c r="Q41" s="122">
        <f t="shared" si="17"/>
        <v>2.727272727</v>
      </c>
      <c r="R41" s="122">
        <f t="shared" si="17"/>
        <v>19.42</v>
      </c>
      <c r="S41" s="106">
        <v>2.5</v>
      </c>
      <c r="T41" s="115">
        <f t="shared" si="18"/>
        <v>1</v>
      </c>
      <c r="U41" s="106">
        <v>16.8</v>
      </c>
      <c r="V41" s="142">
        <f t="shared" si="19"/>
        <v>0.004044495868</v>
      </c>
      <c r="W41" s="124">
        <f t="shared" ref="W41:W43" si="22">W40+V41</f>
        <v>0.009226115702</v>
      </c>
    </row>
    <row r="42">
      <c r="A42" s="27" t="s">
        <v>178</v>
      </c>
      <c r="B42" s="104">
        <f>($B$36*2)/$B$25</f>
        <v>1.818181818</v>
      </c>
      <c r="C42" s="105">
        <f t="shared" si="12"/>
        <v>19.89</v>
      </c>
      <c r="D42" s="106">
        <v>2.5</v>
      </c>
      <c r="E42" s="105">
        <f t="shared" si="13"/>
        <v>0.0088882</v>
      </c>
      <c r="F42" s="105">
        <f t="shared" si="14"/>
        <v>0.0001345</v>
      </c>
      <c r="G42" s="120">
        <v>1.0</v>
      </c>
      <c r="H42" s="104">
        <f t="shared" si="15"/>
        <v>0.6428592655</v>
      </c>
      <c r="I42" s="107">
        <f t="shared" si="16"/>
        <v>0.00292208757</v>
      </c>
      <c r="J42" s="107">
        <f t="shared" si="20"/>
        <v>0.01268441633</v>
      </c>
      <c r="K42" s="18"/>
      <c r="L42" s="169">
        <f>7.09+3.1+(7-0.3)</f>
        <v>16.89</v>
      </c>
      <c r="M42" s="170">
        <v>2.0</v>
      </c>
      <c r="N42" s="169">
        <v>0.0</v>
      </c>
      <c r="O42" s="18"/>
      <c r="P42" s="105" t="str">
        <f t="shared" ref="P42:R42" si="21">A42</f>
        <v>QDF1-TOM3</v>
      </c>
      <c r="Q42" s="104">
        <f t="shared" si="21"/>
        <v>1.818181818</v>
      </c>
      <c r="R42" s="104">
        <f t="shared" si="21"/>
        <v>19.89</v>
      </c>
      <c r="S42" s="106">
        <v>2.5</v>
      </c>
      <c r="T42" s="105">
        <f t="shared" si="18"/>
        <v>1</v>
      </c>
      <c r="U42" s="106">
        <v>16.8</v>
      </c>
      <c r="V42" s="135">
        <f t="shared" si="19"/>
        <v>0.002761586777</v>
      </c>
      <c r="W42" s="107">
        <f t="shared" si="22"/>
        <v>0.01198770248</v>
      </c>
    </row>
    <row r="43">
      <c r="A43" s="27" t="s">
        <v>187</v>
      </c>
      <c r="B43" s="104">
        <f>($B$36*1)/$B$25</f>
        <v>0.9090909091</v>
      </c>
      <c r="C43" s="115">
        <f t="shared" si="12"/>
        <v>30.77</v>
      </c>
      <c r="D43" s="106">
        <v>2.5</v>
      </c>
      <c r="E43" s="105">
        <f t="shared" si="13"/>
        <v>0.0088882</v>
      </c>
      <c r="F43" s="105">
        <f t="shared" si="14"/>
        <v>0.0001345</v>
      </c>
      <c r="G43" s="120">
        <v>1.0</v>
      </c>
      <c r="H43" s="122">
        <f t="shared" si="15"/>
        <v>0.4972543891</v>
      </c>
      <c r="I43" s="124">
        <f t="shared" si="16"/>
        <v>0.002260247223</v>
      </c>
      <c r="J43" s="124">
        <f t="shared" si="20"/>
        <v>0.01494466355</v>
      </c>
      <c r="K43" s="18"/>
      <c r="L43" s="169">
        <f>14.57+6.5+(7-0.3)</f>
        <v>27.77</v>
      </c>
      <c r="M43" s="170">
        <v>2.0</v>
      </c>
      <c r="N43" s="169">
        <v>0.0</v>
      </c>
      <c r="O43" s="18"/>
      <c r="P43" s="115" t="str">
        <f t="shared" ref="P43:R43" si="23">A43</f>
        <v>QDF1-TOM4</v>
      </c>
      <c r="Q43" s="122">
        <f t="shared" si="23"/>
        <v>0.9090909091</v>
      </c>
      <c r="R43" s="122">
        <f t="shared" si="23"/>
        <v>30.77</v>
      </c>
      <c r="S43" s="106">
        <v>2.5</v>
      </c>
      <c r="T43" s="115">
        <f t="shared" si="18"/>
        <v>1</v>
      </c>
      <c r="U43" s="106">
        <v>16.8</v>
      </c>
      <c r="V43" s="142">
        <f t="shared" si="19"/>
        <v>0.002136099174</v>
      </c>
      <c r="W43" s="124">
        <f t="shared" si="22"/>
        <v>0.01412380165</v>
      </c>
    </row>
    <row r="44">
      <c r="A44" s="164" t="s">
        <v>198</v>
      </c>
      <c r="B44" s="97" t="s">
        <v>142</v>
      </c>
      <c r="C44" s="97" t="s">
        <v>143</v>
      </c>
      <c r="D44" s="97" t="s">
        <v>144</v>
      </c>
      <c r="E44" s="97" t="s">
        <v>145</v>
      </c>
      <c r="F44" s="97" t="s">
        <v>146</v>
      </c>
      <c r="G44" s="97" t="s">
        <v>45</v>
      </c>
      <c r="H44" s="97" t="s">
        <v>147</v>
      </c>
      <c r="I44" s="97" t="s">
        <v>148</v>
      </c>
      <c r="J44" s="97" t="s">
        <v>149</v>
      </c>
      <c r="K44" s="18"/>
      <c r="L44" s="166" t="s">
        <v>150</v>
      </c>
      <c r="M44" s="99" t="s">
        <v>151</v>
      </c>
      <c r="N44" s="99" t="s">
        <v>152</v>
      </c>
      <c r="O44" s="18"/>
      <c r="P44" s="164" t="s">
        <v>198</v>
      </c>
      <c r="Q44" s="97" t="s">
        <v>142</v>
      </c>
      <c r="R44" s="97" t="s">
        <v>143</v>
      </c>
      <c r="S44" s="97" t="s">
        <v>144</v>
      </c>
      <c r="T44" s="97" t="s">
        <v>45</v>
      </c>
      <c r="U44" s="97" t="s">
        <v>156</v>
      </c>
      <c r="V44" s="97" t="s">
        <v>148</v>
      </c>
      <c r="W44" s="97" t="s">
        <v>149</v>
      </c>
    </row>
    <row r="45">
      <c r="A45" s="27" t="s">
        <v>199</v>
      </c>
      <c r="B45" s="104">
        <f>($D$36*1)/$B$25</f>
        <v>4.545454545</v>
      </c>
      <c r="C45" s="115">
        <f>L45+(M45*1.5)+N45</f>
        <v>28.52</v>
      </c>
      <c r="D45" s="106">
        <v>2.5</v>
      </c>
      <c r="E45" s="105">
        <f>8.8882*10^-3</f>
        <v>0.0088882</v>
      </c>
      <c r="F45" s="105">
        <f>0.1345*10^-3</f>
        <v>0.0001345</v>
      </c>
      <c r="G45" s="50">
        <v>1.0</v>
      </c>
      <c r="H45" s="122">
        <f>2*B45*C45*(E45*G45+F45*SIN(ACOS(G45)))</f>
        <v>2.304467855</v>
      </c>
      <c r="I45" s="124">
        <f>H45/220</f>
        <v>0.01047485388</v>
      </c>
      <c r="J45" s="107">
        <f>I45</f>
        <v>0.01047485388</v>
      </c>
      <c r="L45" s="193">
        <f>3.22+6.5+0.6+(7-0.3)</f>
        <v>17.02</v>
      </c>
      <c r="M45" s="50">
        <v>4.0</v>
      </c>
      <c r="N45" s="169">
        <f>7-1.5</f>
        <v>5.5</v>
      </c>
      <c r="P45" s="195" t="str">
        <f t="shared" ref="P45:S45" si="24">A45</f>
        <v>QDF1-TUE</v>
      </c>
      <c r="Q45" s="198">
        <f t="shared" si="24"/>
        <v>4.545454545</v>
      </c>
      <c r="R45" s="201">
        <f t="shared" si="24"/>
        <v>28.52</v>
      </c>
      <c r="S45" s="201">
        <f t="shared" si="24"/>
        <v>2.5</v>
      </c>
      <c r="T45" s="202">
        <v>1.0</v>
      </c>
      <c r="U45" s="106">
        <v>16.8</v>
      </c>
      <c r="V45" s="142">
        <f>(R45/1000)*Q45*U45*(100/220)/100</f>
        <v>0.009899504132</v>
      </c>
      <c r="W45" s="107">
        <f>V45</f>
        <v>0.009899504132</v>
      </c>
    </row>
    <row r="46">
      <c r="U46" s="18"/>
      <c r="V46" s="18"/>
      <c r="W46" s="18"/>
    </row>
    <row r="47">
      <c r="A47" s="50" t="s">
        <v>205</v>
      </c>
      <c r="L47" s="206" t="s">
        <v>206</v>
      </c>
      <c r="U47" s="18"/>
      <c r="V47" s="18"/>
      <c r="W47" s="18"/>
    </row>
    <row r="48">
      <c r="U48" s="18"/>
      <c r="V48" s="18"/>
      <c r="W48" s="18"/>
    </row>
    <row r="49">
      <c r="U49" s="18"/>
      <c r="V49" s="18"/>
      <c r="W49" s="18"/>
    </row>
    <row r="50">
      <c r="U50" s="18"/>
      <c r="V50" s="18"/>
      <c r="W50" s="18"/>
    </row>
    <row r="51">
      <c r="U51" s="18"/>
      <c r="V51" s="18"/>
      <c r="W51" s="18"/>
    </row>
    <row r="52">
      <c r="A52" s="18" t="s">
        <v>207</v>
      </c>
      <c r="J52" s="207"/>
      <c r="K52" s="207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 t="s">
        <v>208</v>
      </c>
      <c r="S53" s="18"/>
      <c r="T53" s="18"/>
      <c r="U53" s="18"/>
      <c r="V53" s="18"/>
      <c r="W53" s="18"/>
    </row>
    <row r="54">
      <c r="A54" s="18" t="s">
        <v>209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>
      <c r="A55" s="18" t="s">
        <v>210</v>
      </c>
      <c r="J55" s="18"/>
      <c r="U55" s="18"/>
      <c r="V55" s="18"/>
      <c r="W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U56" s="18"/>
      <c r="V56" s="18"/>
      <c r="W56" s="18"/>
    </row>
    <row r="57">
      <c r="A57" s="18" t="s">
        <v>211</v>
      </c>
      <c r="I57" s="18"/>
      <c r="J57" s="18"/>
      <c r="U57" s="18"/>
      <c r="V57" s="18"/>
      <c r="W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U58" s="18"/>
      <c r="V58" s="18"/>
      <c r="W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U59" s="18"/>
      <c r="V59" s="18"/>
      <c r="W59" s="18"/>
    </row>
    <row r="60">
      <c r="A60" s="41" t="s">
        <v>86</v>
      </c>
      <c r="B60" s="18"/>
      <c r="C60" s="18"/>
      <c r="D60" s="18"/>
      <c r="E60" s="18"/>
      <c r="F60" s="18"/>
      <c r="G60" s="18"/>
      <c r="H60" s="18"/>
      <c r="I60" s="18"/>
      <c r="J60" s="18"/>
      <c r="U60" s="18"/>
      <c r="V60" s="18"/>
      <c r="W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U61" s="18"/>
      <c r="V61" s="18"/>
      <c r="W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U62" s="18"/>
      <c r="V62" s="18"/>
      <c r="W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U63" s="18"/>
      <c r="V63" s="18"/>
      <c r="W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U64" s="18"/>
      <c r="V64" s="18"/>
      <c r="W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>
      <c r="A68" s="18"/>
      <c r="B68" s="18"/>
      <c r="C68" s="18"/>
      <c r="D68" s="18"/>
      <c r="E68" s="18"/>
      <c r="T68" s="18"/>
      <c r="U68" s="18"/>
      <c r="V68" s="18"/>
      <c r="W68" s="18"/>
    </row>
    <row r="69">
      <c r="A69" s="18"/>
      <c r="B69" s="18"/>
      <c r="C69" s="18"/>
      <c r="D69" s="18"/>
      <c r="E69" s="18"/>
      <c r="T69" s="18"/>
      <c r="U69" s="18"/>
      <c r="V69" s="18"/>
      <c r="W69" s="18"/>
    </row>
    <row r="70">
      <c r="A70" s="18"/>
      <c r="B70" s="18"/>
      <c r="C70" s="18"/>
      <c r="D70" s="18"/>
      <c r="E70" s="18"/>
      <c r="T70" s="18"/>
      <c r="U70" s="18"/>
      <c r="V70" s="18"/>
      <c r="W70" s="18"/>
    </row>
    <row r="71">
      <c r="A71" s="18"/>
      <c r="B71" s="18"/>
      <c r="C71" s="18"/>
      <c r="D71" s="18"/>
      <c r="E71" s="18"/>
      <c r="T71" s="18"/>
      <c r="U71" s="18"/>
      <c r="V71" s="18"/>
      <c r="W71" s="18"/>
    </row>
    <row r="72">
      <c r="A72" s="18"/>
      <c r="B72" s="18"/>
      <c r="C72" s="18"/>
      <c r="D72" s="18"/>
      <c r="E72" s="18"/>
      <c r="T72" s="18"/>
      <c r="U72" s="18"/>
      <c r="V72" s="18"/>
      <c r="W72" s="18"/>
    </row>
    <row r="73">
      <c r="A73" s="18"/>
      <c r="B73" s="18"/>
      <c r="C73" s="18"/>
      <c r="D73" s="18"/>
      <c r="E73" s="18"/>
      <c r="T73" s="18"/>
      <c r="U73" s="18"/>
      <c r="V73" s="18"/>
      <c r="W73" s="18"/>
    </row>
    <row r="74">
      <c r="A74" s="18"/>
      <c r="B74" s="18"/>
      <c r="C74" s="18"/>
      <c r="D74" s="18"/>
      <c r="E74" s="18"/>
      <c r="T74" s="18"/>
      <c r="U74" s="18"/>
      <c r="V74" s="18"/>
      <c r="W74" s="18"/>
    </row>
    <row r="75">
      <c r="A75" s="18"/>
      <c r="B75" s="18"/>
      <c r="C75" s="18"/>
      <c r="D75" s="18"/>
      <c r="E75" s="18"/>
      <c r="T75" s="18"/>
      <c r="U75" s="18"/>
      <c r="V75" s="18"/>
      <c r="W75" s="18"/>
    </row>
    <row r="76">
      <c r="A76" s="18"/>
      <c r="B76" s="18"/>
      <c r="C76" s="18"/>
      <c r="D76" s="18"/>
      <c r="E76" s="18"/>
      <c r="T76" s="18"/>
      <c r="U76" s="18"/>
      <c r="V76" s="18"/>
      <c r="W76" s="18"/>
    </row>
    <row r="77">
      <c r="A77" s="18"/>
      <c r="B77" s="18"/>
      <c r="C77" s="18"/>
      <c r="D77" s="18"/>
      <c r="E77" s="18"/>
      <c r="T77" s="18"/>
      <c r="U77" s="18"/>
      <c r="V77" s="18"/>
      <c r="W77" s="18"/>
    </row>
    <row r="78">
      <c r="A78" s="18" t="s">
        <v>212</v>
      </c>
      <c r="B78" s="18"/>
      <c r="C78" s="18"/>
      <c r="D78" s="18"/>
      <c r="E78" s="18"/>
      <c r="Q78" s="18"/>
      <c r="R78" s="18"/>
      <c r="S78" s="18"/>
      <c r="T78" s="18"/>
      <c r="U78" s="18"/>
      <c r="V78" s="18"/>
      <c r="W78" s="18"/>
    </row>
    <row r="79">
      <c r="A79" s="18"/>
      <c r="B79" s="18"/>
      <c r="C79" s="18"/>
      <c r="D79" s="18"/>
      <c r="E79" s="18"/>
      <c r="Q79" s="18"/>
      <c r="R79" s="18"/>
      <c r="S79" s="18"/>
      <c r="T79" s="18"/>
      <c r="U79" s="18"/>
      <c r="V79" s="18"/>
      <c r="W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>
      <c r="A98" s="19" t="s">
        <v>216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>
      <c r="A101" s="19" t="s">
        <v>218</v>
      </c>
      <c r="H101" s="18"/>
      <c r="I101" s="18"/>
      <c r="J101" s="18"/>
      <c r="K101" s="18"/>
      <c r="L101" s="18"/>
      <c r="M101" s="18"/>
      <c r="N101" s="19" t="s">
        <v>218</v>
      </c>
      <c r="U101" s="18"/>
      <c r="V101" s="18"/>
      <c r="W101" s="18"/>
    </row>
    <row r="102">
      <c r="H102" s="18"/>
      <c r="I102" s="18"/>
      <c r="J102" s="18"/>
      <c r="K102" s="18"/>
      <c r="L102" s="18"/>
      <c r="M102" s="18"/>
      <c r="U102" s="18"/>
      <c r="V102" s="18"/>
      <c r="W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27">
      <c r="A127" s="134"/>
      <c r="B127" s="155"/>
      <c r="C127" s="134"/>
      <c r="D127" s="134"/>
      <c r="E127" s="134"/>
      <c r="F127" s="134"/>
      <c r="G127" s="155"/>
      <c r="H127" s="156"/>
      <c r="I127" s="156"/>
      <c r="J127" s="18"/>
      <c r="K127" s="82"/>
      <c r="L127" s="18"/>
      <c r="M127" s="18"/>
      <c r="N127" s="18"/>
      <c r="O127" s="18"/>
      <c r="P127" s="52"/>
      <c r="Q127" s="53"/>
      <c r="R127" s="53"/>
      <c r="S127" s="52"/>
      <c r="T127" s="153"/>
      <c r="U127" s="154"/>
      <c r="V127" s="18"/>
      <c r="W127" s="18"/>
    </row>
    <row r="128">
      <c r="A128" s="93" t="s">
        <v>171</v>
      </c>
      <c r="B128" s="157">
        <f>QDF!J6</f>
        <v>200</v>
      </c>
      <c r="C128" s="93" t="s">
        <v>172</v>
      </c>
      <c r="D128" s="134">
        <f>QDF!J7</f>
        <v>1000</v>
      </c>
      <c r="E128" s="134"/>
      <c r="F128" s="134"/>
      <c r="G128" s="155"/>
      <c r="H128" s="156"/>
      <c r="I128" s="156"/>
      <c r="J128" s="18"/>
      <c r="K128" s="82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>
      <c r="A129" s="158" t="s">
        <v>138</v>
      </c>
      <c r="B129" s="94">
        <f>QDF!I6</f>
        <v>2</v>
      </c>
      <c r="C129" s="158" t="s">
        <v>138</v>
      </c>
      <c r="D129" s="159">
        <f>QDF!I7</f>
        <v>1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60" t="s">
        <v>140</v>
      </c>
      <c r="Q129" s="109"/>
      <c r="R129" s="109"/>
      <c r="S129" s="109"/>
      <c r="T129" s="109"/>
      <c r="U129" s="109"/>
      <c r="V129" s="109"/>
      <c r="W129" s="161"/>
    </row>
    <row r="130">
      <c r="A130" s="95" t="s">
        <v>221</v>
      </c>
      <c r="B130" s="7"/>
      <c r="C130" s="7"/>
      <c r="D130" s="7"/>
      <c r="E130" s="7"/>
      <c r="F130" s="7"/>
      <c r="G130" s="7"/>
      <c r="H130" s="7"/>
      <c r="I130" s="7"/>
      <c r="J130" s="8"/>
      <c r="K130" s="18"/>
      <c r="L130" s="18"/>
      <c r="M130" s="18"/>
      <c r="N130" s="18"/>
      <c r="O130" s="18"/>
      <c r="P130" s="95" t="s">
        <v>221</v>
      </c>
      <c r="Q130" s="7"/>
      <c r="R130" s="7"/>
      <c r="S130" s="7"/>
      <c r="T130" s="7"/>
      <c r="U130" s="7"/>
      <c r="V130" s="7"/>
      <c r="W130" s="8"/>
    </row>
    <row r="131">
      <c r="A131" s="164" t="s">
        <v>222</v>
      </c>
      <c r="B131" s="97" t="s">
        <v>142</v>
      </c>
      <c r="C131" s="97" t="s">
        <v>143</v>
      </c>
      <c r="D131" s="97" t="s">
        <v>144</v>
      </c>
      <c r="E131" s="97" t="s">
        <v>145</v>
      </c>
      <c r="F131" s="97" t="s">
        <v>146</v>
      </c>
      <c r="G131" s="97" t="s">
        <v>45</v>
      </c>
      <c r="H131" s="97" t="s">
        <v>147</v>
      </c>
      <c r="I131" s="97" t="s">
        <v>148</v>
      </c>
      <c r="J131" s="97" t="s">
        <v>149</v>
      </c>
      <c r="K131" s="18"/>
      <c r="L131" s="166" t="s">
        <v>150</v>
      </c>
      <c r="M131" s="99" t="s">
        <v>151</v>
      </c>
      <c r="N131" s="99" t="s">
        <v>152</v>
      </c>
      <c r="O131" s="18"/>
      <c r="P131" s="164" t="s">
        <v>222</v>
      </c>
      <c r="Q131" s="97" t="s">
        <v>142</v>
      </c>
      <c r="R131" s="97" t="s">
        <v>143</v>
      </c>
      <c r="S131" s="97" t="s">
        <v>144</v>
      </c>
      <c r="T131" s="97" t="s">
        <v>45</v>
      </c>
      <c r="U131" s="97" t="s">
        <v>156</v>
      </c>
      <c r="V131" s="97" t="s">
        <v>148</v>
      </c>
      <c r="W131" s="97" t="s">
        <v>149</v>
      </c>
    </row>
    <row r="132">
      <c r="A132" s="27" t="s">
        <v>223</v>
      </c>
      <c r="B132" s="104">
        <f>($B$128*2)/$B$25</f>
        <v>1.818181818</v>
      </c>
      <c r="C132" s="105">
        <f t="shared" ref="C132:C133" si="26">L132+(M132*1.5)+N132</f>
        <v>19.12</v>
      </c>
      <c r="D132" s="106">
        <v>2.5</v>
      </c>
      <c r="E132" s="105">
        <f t="shared" ref="E132:E133" si="27">8.8882*10^-3</f>
        <v>0.0088882</v>
      </c>
      <c r="F132" s="105">
        <f t="shared" ref="F132:F133" si="28">0.1345*10^-3</f>
        <v>0.0001345</v>
      </c>
      <c r="G132" s="106">
        <v>1.0</v>
      </c>
      <c r="H132" s="104">
        <f t="shared" ref="H132:H133" si="29">2*B132*C132*(E132*G132+F132*SIN(ACOS(G132)))</f>
        <v>0.6179723055</v>
      </c>
      <c r="I132" s="107">
        <f t="shared" ref="I132:I133" si="30">H132/220</f>
        <v>0.002808965025</v>
      </c>
      <c r="J132" s="107">
        <f>I132</f>
        <v>0.002808965025</v>
      </c>
      <c r="K132" s="18"/>
      <c r="L132" s="169">
        <f>2.33+3.09+(7-0.3)</f>
        <v>12.12</v>
      </c>
      <c r="M132" s="170">
        <v>1.0</v>
      </c>
      <c r="N132" s="169">
        <f>7-1.5</f>
        <v>5.5</v>
      </c>
      <c r="O132" s="18"/>
      <c r="P132" s="105" t="str">
        <f t="shared" ref="P132:R132" si="25">A132</f>
        <v>QDF2-TOM1</v>
      </c>
      <c r="Q132" s="104">
        <f t="shared" si="25"/>
        <v>1.818181818</v>
      </c>
      <c r="R132" s="104">
        <f t="shared" si="25"/>
        <v>19.12</v>
      </c>
      <c r="S132" s="106">
        <v>2.5</v>
      </c>
      <c r="T132" s="105">
        <f t="shared" ref="T132:T133" si="32">G132</f>
        <v>1</v>
      </c>
      <c r="U132" s="106">
        <v>16.8</v>
      </c>
      <c r="V132" s="135">
        <f t="shared" ref="V132:V133" si="33">(R132/1000)*Q132*U132*(100/220)/100</f>
        <v>0.002654677686</v>
      </c>
      <c r="W132" s="107">
        <f>V132</f>
        <v>0.002654677686</v>
      </c>
    </row>
    <row r="133">
      <c r="A133" s="27" t="s">
        <v>224</v>
      </c>
      <c r="B133" s="104">
        <f>($B$128*1)/$B$25</f>
        <v>0.9090909091</v>
      </c>
      <c r="C133" s="115">
        <f t="shared" si="26"/>
        <v>19.67</v>
      </c>
      <c r="D133" s="106">
        <v>2.5</v>
      </c>
      <c r="E133" s="105">
        <f t="shared" si="27"/>
        <v>0.0088882</v>
      </c>
      <c r="F133" s="105">
        <f t="shared" si="28"/>
        <v>0.0001345</v>
      </c>
      <c r="G133" s="120">
        <v>1.0</v>
      </c>
      <c r="H133" s="122">
        <f t="shared" si="29"/>
        <v>0.3178743527</v>
      </c>
      <c r="I133" s="124">
        <f t="shared" si="30"/>
        <v>0.001444883421</v>
      </c>
      <c r="J133" s="124">
        <f>J132+I133</f>
        <v>0.004253848446</v>
      </c>
      <c r="K133" s="18"/>
      <c r="L133" s="169">
        <f>8.65+1.32+(7-0.3)</f>
        <v>16.67</v>
      </c>
      <c r="M133" s="170">
        <v>2.0</v>
      </c>
      <c r="N133" s="169">
        <v>0.0</v>
      </c>
      <c r="O133" s="18"/>
      <c r="P133" s="115" t="str">
        <f t="shared" ref="P133:R133" si="31">A133</f>
        <v>QDF2-TOM2</v>
      </c>
      <c r="Q133" s="122">
        <f t="shared" si="31"/>
        <v>0.9090909091</v>
      </c>
      <c r="R133" s="122">
        <f t="shared" si="31"/>
        <v>19.67</v>
      </c>
      <c r="S133" s="106">
        <v>2.5</v>
      </c>
      <c r="T133" s="115">
        <f t="shared" si="32"/>
        <v>1</v>
      </c>
      <c r="U133" s="106">
        <v>16.8</v>
      </c>
      <c r="V133" s="142">
        <f t="shared" si="33"/>
        <v>0.001365520661</v>
      </c>
      <c r="W133" s="124">
        <f>W132+V133</f>
        <v>0.004020198347</v>
      </c>
    </row>
    <row r="134">
      <c r="A134" s="27"/>
      <c r="B134" s="104"/>
      <c r="C134" s="105"/>
      <c r="D134" s="106"/>
      <c r="E134" s="105"/>
      <c r="F134" s="105"/>
      <c r="G134" s="120"/>
      <c r="H134" s="104"/>
      <c r="I134" s="107"/>
      <c r="J134" s="107"/>
      <c r="K134" s="18"/>
      <c r="L134" s="169"/>
      <c r="M134" s="170"/>
      <c r="N134" s="169"/>
      <c r="O134" s="18"/>
      <c r="P134" s="105" t="str">
        <f t="shared" ref="P134:R134" si="34">A134</f>
        <v/>
      </c>
      <c r="Q134" s="104" t="str">
        <f t="shared" si="34"/>
        <v/>
      </c>
      <c r="R134" s="104" t="str">
        <f t="shared" si="34"/>
        <v/>
      </c>
      <c r="S134" s="106"/>
      <c r="T134" s="105"/>
      <c r="U134" s="106"/>
      <c r="V134" s="135"/>
      <c r="W134" s="107"/>
    </row>
    <row r="135">
      <c r="A135" s="27"/>
      <c r="B135" s="104"/>
      <c r="C135" s="115"/>
      <c r="D135" s="106"/>
      <c r="E135" s="105"/>
      <c r="F135" s="105"/>
      <c r="G135" s="120"/>
      <c r="H135" s="122"/>
      <c r="I135" s="124"/>
      <c r="J135" s="124"/>
      <c r="K135" s="18"/>
      <c r="L135" s="169"/>
      <c r="M135" s="170"/>
      <c r="N135" s="169"/>
      <c r="O135" s="18"/>
      <c r="P135" s="115" t="str">
        <f t="shared" ref="P135:R135" si="35">A135</f>
        <v/>
      </c>
      <c r="Q135" s="122" t="str">
        <f t="shared" si="35"/>
        <v/>
      </c>
      <c r="R135" s="122" t="str">
        <f t="shared" si="35"/>
        <v/>
      </c>
      <c r="S135" s="106"/>
      <c r="T135" s="115"/>
      <c r="U135" s="106"/>
      <c r="V135" s="142"/>
      <c r="W135" s="124"/>
    </row>
    <row r="136">
      <c r="A136" s="164" t="s">
        <v>225</v>
      </c>
      <c r="B136" s="97" t="s">
        <v>142</v>
      </c>
      <c r="C136" s="97" t="s">
        <v>143</v>
      </c>
      <c r="D136" s="97" t="s">
        <v>144</v>
      </c>
      <c r="E136" s="97" t="s">
        <v>145</v>
      </c>
      <c r="F136" s="97" t="s">
        <v>146</v>
      </c>
      <c r="G136" s="97" t="s">
        <v>45</v>
      </c>
      <c r="H136" s="97" t="s">
        <v>147</v>
      </c>
      <c r="I136" s="97" t="s">
        <v>148</v>
      </c>
      <c r="J136" s="97" t="s">
        <v>149</v>
      </c>
      <c r="K136" s="18"/>
      <c r="L136" s="166" t="s">
        <v>150</v>
      </c>
      <c r="M136" s="99" t="s">
        <v>151</v>
      </c>
      <c r="N136" s="99" t="s">
        <v>152</v>
      </c>
      <c r="O136" s="18"/>
      <c r="P136" s="164" t="s">
        <v>225</v>
      </c>
      <c r="Q136" s="97" t="s">
        <v>142</v>
      </c>
      <c r="R136" s="97" t="s">
        <v>143</v>
      </c>
      <c r="S136" s="97" t="s">
        <v>144</v>
      </c>
      <c r="T136" s="97" t="s">
        <v>45</v>
      </c>
      <c r="U136" s="97" t="s">
        <v>156</v>
      </c>
      <c r="V136" s="97" t="s">
        <v>148</v>
      </c>
      <c r="W136" s="97" t="s">
        <v>149</v>
      </c>
    </row>
    <row r="137">
      <c r="A137" s="27" t="s">
        <v>226</v>
      </c>
      <c r="B137" s="104">
        <f>($D$128*1)/$B$25</f>
        <v>4.545454545</v>
      </c>
      <c r="C137" s="115">
        <f>L137+(M137*1.5)+N137</f>
        <v>28.77</v>
      </c>
      <c r="D137" s="106">
        <v>2.5</v>
      </c>
      <c r="E137" s="105">
        <f>8.8882*10^-3</f>
        <v>0.0088882</v>
      </c>
      <c r="F137" s="105">
        <f>0.1345*10^-3</f>
        <v>0.0001345</v>
      </c>
      <c r="G137" s="50">
        <v>1.0</v>
      </c>
      <c r="H137" s="122">
        <f>2*B137*C137*(E137*G137+F137*SIN(ACOS(G137)))</f>
        <v>2.324668309</v>
      </c>
      <c r="I137" s="124">
        <f>H137/220</f>
        <v>0.01056667413</v>
      </c>
      <c r="J137" s="107">
        <f>I137</f>
        <v>0.01056667413</v>
      </c>
      <c r="L137" s="193">
        <f>8.65+1.32+0.6+(7-0.3)</f>
        <v>17.27</v>
      </c>
      <c r="M137" s="50">
        <v>4.0</v>
      </c>
      <c r="N137" s="169">
        <f>7-1.5</f>
        <v>5.5</v>
      </c>
      <c r="P137" s="209" t="str">
        <f t="shared" ref="P137:S137" si="36">A137</f>
        <v>QDF2-TUE</v>
      </c>
      <c r="Q137" s="210">
        <f t="shared" si="36"/>
        <v>4.545454545</v>
      </c>
      <c r="R137" s="211">
        <f t="shared" si="36"/>
        <v>28.77</v>
      </c>
      <c r="S137" s="211">
        <f t="shared" si="36"/>
        <v>2.5</v>
      </c>
      <c r="T137" s="212">
        <v>1.0</v>
      </c>
      <c r="U137" s="106">
        <v>16.8</v>
      </c>
      <c r="V137" s="142">
        <f>(R137/1000)*Q137*U137*(100/220)/100</f>
        <v>0.009986280992</v>
      </c>
      <c r="W137" s="107">
        <f>V137</f>
        <v>0.009986280992</v>
      </c>
    </row>
    <row r="138">
      <c r="U138" s="18"/>
      <c r="V138" s="18"/>
      <c r="W138" s="18"/>
    </row>
    <row r="139">
      <c r="L139" s="206" t="s">
        <v>227</v>
      </c>
      <c r="U139" s="18"/>
      <c r="V139" s="18"/>
      <c r="W139" s="18"/>
    </row>
    <row r="140">
      <c r="U140" s="18"/>
      <c r="V140" s="18"/>
      <c r="W140" s="18"/>
    </row>
    <row r="141">
      <c r="U141" s="18"/>
      <c r="V141" s="18"/>
      <c r="W141" s="18"/>
    </row>
    <row r="142">
      <c r="U142" s="18"/>
      <c r="V142" s="18"/>
      <c r="W142" s="18"/>
    </row>
    <row r="143">
      <c r="U143" s="18"/>
      <c r="V143" s="18"/>
      <c r="W143" s="18"/>
    </row>
    <row r="144">
      <c r="A144" s="18" t="s">
        <v>207</v>
      </c>
      <c r="J144" s="207"/>
      <c r="K144" s="207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 t="s">
        <v>208</v>
      </c>
      <c r="S145" s="18"/>
      <c r="T145" s="18"/>
      <c r="U145" s="18"/>
      <c r="V145" s="18"/>
      <c r="W145" s="18"/>
    </row>
    <row r="146">
      <c r="A146" s="18" t="s">
        <v>209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>
      <c r="A147" s="18" t="s">
        <v>210</v>
      </c>
      <c r="J147" s="18"/>
      <c r="U147" s="18"/>
      <c r="V147" s="18"/>
      <c r="W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U148" s="18"/>
      <c r="V148" s="18"/>
      <c r="W148" s="18"/>
    </row>
    <row r="149">
      <c r="A149" s="18" t="s">
        <v>211</v>
      </c>
      <c r="I149" s="18"/>
      <c r="J149" s="18"/>
      <c r="U149" s="18"/>
      <c r="V149" s="18"/>
      <c r="W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U150" s="18"/>
      <c r="V150" s="18"/>
      <c r="W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U151" s="18"/>
      <c r="V151" s="18"/>
      <c r="W151" s="18"/>
    </row>
    <row r="152">
      <c r="A152" s="41"/>
      <c r="B152" s="18"/>
      <c r="C152" s="18"/>
      <c r="D152" s="18"/>
      <c r="E152" s="18"/>
      <c r="F152" s="18"/>
      <c r="G152" s="18"/>
      <c r="H152" s="18"/>
      <c r="I152" s="18"/>
      <c r="J152" s="18"/>
      <c r="U152" s="18"/>
      <c r="V152" s="18"/>
      <c r="W152" s="18"/>
    </row>
    <row r="153">
      <c r="A153" s="18"/>
      <c r="B153" s="41"/>
      <c r="C153" s="18"/>
      <c r="D153" s="18"/>
      <c r="E153" s="18"/>
      <c r="F153" s="18"/>
      <c r="G153" s="18"/>
      <c r="H153" s="18"/>
      <c r="I153" s="18"/>
      <c r="J153" s="18"/>
      <c r="U153" s="18"/>
      <c r="V153" s="18"/>
      <c r="W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U154" s="18"/>
      <c r="V154" s="18"/>
      <c r="W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U155" s="18"/>
      <c r="V155" s="18"/>
      <c r="W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U156" s="18"/>
      <c r="V156" s="18"/>
      <c r="W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>
      <c r="A158" s="41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>
      <c r="A160" s="18"/>
      <c r="B160" s="18"/>
      <c r="C160" s="18"/>
      <c r="D160" s="18"/>
      <c r="E160" s="18"/>
      <c r="T160" s="18"/>
      <c r="U160" s="18"/>
      <c r="V160" s="18"/>
      <c r="W160" s="18"/>
    </row>
    <row r="161">
      <c r="A161" s="18"/>
      <c r="B161" s="18"/>
      <c r="C161" s="18"/>
      <c r="D161" s="18"/>
      <c r="E161" s="18"/>
      <c r="T161" s="18"/>
      <c r="U161" s="18"/>
      <c r="V161" s="18"/>
      <c r="W161" s="18"/>
    </row>
    <row r="162">
      <c r="A162" s="18"/>
      <c r="B162" s="18"/>
      <c r="C162" s="18"/>
      <c r="D162" s="18"/>
      <c r="E162" s="18"/>
      <c r="T162" s="18"/>
      <c r="U162" s="18"/>
      <c r="V162" s="18"/>
      <c r="W162" s="18"/>
    </row>
    <row r="163">
      <c r="A163" s="18"/>
      <c r="B163" s="18"/>
      <c r="C163" s="18"/>
      <c r="D163" s="18"/>
      <c r="E163" s="18"/>
      <c r="T163" s="18"/>
      <c r="U163" s="18"/>
      <c r="V163" s="18"/>
      <c r="W163" s="18"/>
    </row>
    <row r="164">
      <c r="A164" s="18"/>
      <c r="B164" s="18"/>
      <c r="C164" s="18"/>
      <c r="D164" s="18"/>
      <c r="E164" s="18"/>
      <c r="T164" s="18"/>
      <c r="U164" s="18"/>
      <c r="V164" s="18"/>
      <c r="W164" s="18"/>
    </row>
    <row r="165">
      <c r="A165" s="18"/>
      <c r="B165" s="18"/>
      <c r="C165" s="18"/>
      <c r="D165" s="18"/>
      <c r="E165" s="18"/>
      <c r="T165" s="18"/>
      <c r="U165" s="18"/>
      <c r="V165" s="18"/>
      <c r="W165" s="18"/>
    </row>
    <row r="166">
      <c r="A166" s="18"/>
      <c r="B166" s="18"/>
      <c r="C166" s="18"/>
      <c r="D166" s="18"/>
      <c r="E166" s="18"/>
      <c r="T166" s="18"/>
      <c r="U166" s="18"/>
      <c r="V166" s="18"/>
      <c r="W166" s="18"/>
    </row>
    <row r="167">
      <c r="A167" s="18"/>
      <c r="B167" s="18"/>
      <c r="C167" s="18"/>
      <c r="D167" s="18"/>
      <c r="E167" s="18"/>
      <c r="T167" s="18"/>
      <c r="U167" s="18"/>
      <c r="V167" s="18"/>
      <c r="W167" s="18"/>
    </row>
    <row r="168">
      <c r="A168" s="18"/>
      <c r="B168" s="18"/>
      <c r="C168" s="18"/>
      <c r="D168" s="18"/>
      <c r="E168" s="18"/>
      <c r="T168" s="18"/>
      <c r="U168" s="18"/>
      <c r="V168" s="18"/>
      <c r="W168" s="18"/>
    </row>
    <row r="169">
      <c r="A169" s="18"/>
      <c r="B169" s="18"/>
      <c r="C169" s="18"/>
      <c r="D169" s="18"/>
      <c r="E169" s="18"/>
      <c r="T169" s="18"/>
      <c r="U169" s="18"/>
      <c r="V169" s="18"/>
      <c r="W169" s="18"/>
    </row>
    <row r="170">
      <c r="A170" s="18" t="s">
        <v>212</v>
      </c>
      <c r="B170" s="18"/>
      <c r="C170" s="18"/>
      <c r="D170" s="18"/>
      <c r="E170" s="18"/>
      <c r="Q170" s="18"/>
      <c r="R170" s="18"/>
      <c r="S170" s="18"/>
      <c r="T170" s="18"/>
      <c r="U170" s="18"/>
      <c r="V170" s="18"/>
      <c r="W170" s="18"/>
    </row>
    <row r="171">
      <c r="A171" s="18"/>
      <c r="B171" s="18"/>
      <c r="C171" s="18"/>
      <c r="D171" s="18"/>
      <c r="E171" s="18"/>
      <c r="Q171" s="18"/>
      <c r="R171" s="18"/>
      <c r="S171" s="18"/>
      <c r="T171" s="18"/>
      <c r="U171" s="18"/>
      <c r="V171" s="18"/>
      <c r="W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>
      <c r="A190" s="19" t="s">
        <v>216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>
      <c r="A193" s="19" t="s">
        <v>218</v>
      </c>
      <c r="H193" s="18"/>
      <c r="I193" s="18"/>
      <c r="J193" s="18"/>
      <c r="K193" s="18"/>
      <c r="L193" s="18"/>
      <c r="M193" s="18"/>
      <c r="N193" s="19" t="s">
        <v>218</v>
      </c>
      <c r="U193" s="18"/>
      <c r="V193" s="18"/>
      <c r="W193" s="18"/>
    </row>
    <row r="194">
      <c r="H194" s="18"/>
      <c r="I194" s="18"/>
      <c r="J194" s="18"/>
      <c r="K194" s="18"/>
      <c r="L194" s="18"/>
      <c r="M194" s="18"/>
      <c r="U194" s="18"/>
      <c r="V194" s="18"/>
      <c r="W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17">
      <c r="A217" s="93" t="s">
        <v>171</v>
      </c>
      <c r="B217" s="157">
        <f>QDF!J8</f>
        <v>200</v>
      </c>
      <c r="C217" s="93" t="s">
        <v>172</v>
      </c>
      <c r="D217" s="134">
        <f>QDF!J9</f>
        <v>1000</v>
      </c>
      <c r="E217" s="134"/>
      <c r="F217" s="134"/>
      <c r="G217" s="155"/>
      <c r="H217" s="156"/>
      <c r="I217" s="156"/>
      <c r="J217" s="18"/>
      <c r="K217" s="82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>
      <c r="A218" s="158" t="s">
        <v>138</v>
      </c>
      <c r="B218" s="94">
        <f>QDF!I8</f>
        <v>4</v>
      </c>
      <c r="C218" s="158" t="s">
        <v>138</v>
      </c>
      <c r="D218" s="41">
        <f>QDF!I9</f>
        <v>1</v>
      </c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60" t="s">
        <v>140</v>
      </c>
      <c r="Q218" s="109"/>
      <c r="R218" s="109"/>
      <c r="S218" s="109"/>
      <c r="T218" s="109"/>
      <c r="U218" s="109"/>
      <c r="V218" s="109"/>
      <c r="W218" s="161"/>
    </row>
    <row r="219">
      <c r="A219" s="95" t="s">
        <v>228</v>
      </c>
      <c r="B219" s="7"/>
      <c r="C219" s="7"/>
      <c r="D219" s="7"/>
      <c r="E219" s="7"/>
      <c r="F219" s="7"/>
      <c r="G219" s="7"/>
      <c r="H219" s="7"/>
      <c r="I219" s="7"/>
      <c r="J219" s="8"/>
      <c r="K219" s="18"/>
      <c r="L219" s="18"/>
      <c r="M219" s="18"/>
      <c r="N219" s="18"/>
      <c r="O219" s="18"/>
      <c r="P219" s="95" t="s">
        <v>228</v>
      </c>
      <c r="Q219" s="7"/>
      <c r="R219" s="7"/>
      <c r="S219" s="7"/>
      <c r="T219" s="7"/>
      <c r="U219" s="7"/>
      <c r="V219" s="7"/>
      <c r="W219" s="8"/>
    </row>
    <row r="220">
      <c r="A220" s="164" t="s">
        <v>229</v>
      </c>
      <c r="B220" s="97" t="s">
        <v>142</v>
      </c>
      <c r="C220" s="97" t="s">
        <v>143</v>
      </c>
      <c r="D220" s="97" t="s">
        <v>144</v>
      </c>
      <c r="E220" s="97" t="s">
        <v>145</v>
      </c>
      <c r="F220" s="97" t="s">
        <v>146</v>
      </c>
      <c r="G220" s="97" t="s">
        <v>45</v>
      </c>
      <c r="H220" s="97" t="s">
        <v>147</v>
      </c>
      <c r="I220" s="97" t="s">
        <v>148</v>
      </c>
      <c r="J220" s="97" t="s">
        <v>149</v>
      </c>
      <c r="K220" s="18"/>
      <c r="L220" s="166" t="s">
        <v>150</v>
      </c>
      <c r="M220" s="99" t="s">
        <v>151</v>
      </c>
      <c r="N220" s="99" t="s">
        <v>152</v>
      </c>
      <c r="O220" s="18"/>
      <c r="P220" s="164" t="s">
        <v>229</v>
      </c>
      <c r="Q220" s="97" t="s">
        <v>142</v>
      </c>
      <c r="R220" s="97" t="s">
        <v>143</v>
      </c>
      <c r="S220" s="97" t="s">
        <v>144</v>
      </c>
      <c r="T220" s="97" t="s">
        <v>45</v>
      </c>
      <c r="U220" s="97" t="s">
        <v>156</v>
      </c>
      <c r="V220" s="97" t="s">
        <v>148</v>
      </c>
      <c r="W220" s="97" t="s">
        <v>149</v>
      </c>
    </row>
    <row r="221">
      <c r="A221" s="27" t="s">
        <v>230</v>
      </c>
      <c r="B221" s="104">
        <f>($B$217*4)/$B$25</f>
        <v>3.636363636</v>
      </c>
      <c r="C221" s="105">
        <f t="shared" ref="C221:C224" si="38">L221+(M221*1.5)+N221</f>
        <v>22.59</v>
      </c>
      <c r="D221" s="106">
        <v>2.5</v>
      </c>
      <c r="E221" s="105">
        <f t="shared" ref="E221:E224" si="39">8.8882*10^-3</f>
        <v>0.0088882</v>
      </c>
      <c r="F221" s="105">
        <f t="shared" ref="F221:F224" si="40">0.1345*10^-3</f>
        <v>0.0001345</v>
      </c>
      <c r="G221" s="106">
        <v>1.0</v>
      </c>
      <c r="H221" s="104">
        <f t="shared" ref="H221:H224" si="41">2*B221*C221*(E221*G221+F221*SIN(ACOS(G221)))</f>
        <v>1.460250458</v>
      </c>
      <c r="I221" s="107">
        <f t="shared" ref="I221:I224" si="42">H221/220</f>
        <v>0.006637502083</v>
      </c>
      <c r="J221" s="107">
        <f>I221</f>
        <v>0.006637502083</v>
      </c>
      <c r="K221" s="18"/>
      <c r="L221" s="169">
        <f>4.16+4.73+(7-0.3)</f>
        <v>15.59</v>
      </c>
      <c r="M221" s="170">
        <v>1.0</v>
      </c>
      <c r="N221" s="169">
        <f>7-1.5</f>
        <v>5.5</v>
      </c>
      <c r="O221" s="18"/>
      <c r="P221" s="105" t="str">
        <f t="shared" ref="P221:R221" si="37">A221</f>
        <v>QDF3-TOM1</v>
      </c>
      <c r="Q221" s="104">
        <f t="shared" si="37"/>
        <v>3.636363636</v>
      </c>
      <c r="R221" s="104">
        <f t="shared" si="37"/>
        <v>22.59</v>
      </c>
      <c r="S221" s="106">
        <v>2.5</v>
      </c>
      <c r="T221" s="105">
        <f t="shared" ref="T221:T224" si="44">G221</f>
        <v>1</v>
      </c>
      <c r="U221" s="106">
        <v>16.8</v>
      </c>
      <c r="V221" s="135">
        <f t="shared" ref="V221:V224" si="45">(R221/1000)*Q221*U221*(100/220)/100</f>
        <v>0.00627292562</v>
      </c>
      <c r="W221" s="107">
        <f>V221</f>
        <v>0.00627292562</v>
      </c>
    </row>
    <row r="222">
      <c r="A222" s="27" t="s">
        <v>231</v>
      </c>
      <c r="B222" s="104">
        <f>($B$217*3)/$B$25</f>
        <v>2.727272727</v>
      </c>
      <c r="C222" s="105">
        <f t="shared" si="38"/>
        <v>21.77</v>
      </c>
      <c r="D222" s="106">
        <v>2.5</v>
      </c>
      <c r="E222" s="105">
        <f t="shared" si="39"/>
        <v>0.0088882</v>
      </c>
      <c r="F222" s="105">
        <f t="shared" si="40"/>
        <v>0.0001345</v>
      </c>
      <c r="G222" s="120">
        <v>1.0</v>
      </c>
      <c r="H222" s="122">
        <f t="shared" si="41"/>
        <v>1.055433349</v>
      </c>
      <c r="I222" s="124">
        <f t="shared" si="42"/>
        <v>0.004797424314</v>
      </c>
      <c r="J222" s="124">
        <f t="shared" ref="J222:J224" si="46">J221+I222</f>
        <v>0.0114349264</v>
      </c>
      <c r="K222" s="18"/>
      <c r="L222" s="169">
        <f>10.39+1.68+(7-0.3)</f>
        <v>18.77</v>
      </c>
      <c r="M222" s="170">
        <v>2.0</v>
      </c>
      <c r="N222" s="169">
        <v>0.0</v>
      </c>
      <c r="O222" s="18"/>
      <c r="P222" s="115" t="str">
        <f t="shared" ref="P222:R222" si="43">A222</f>
        <v>QDF3-TOM2</v>
      </c>
      <c r="Q222" s="122">
        <f t="shared" si="43"/>
        <v>2.727272727</v>
      </c>
      <c r="R222" s="122">
        <f t="shared" si="43"/>
        <v>21.77</v>
      </c>
      <c r="S222" s="106">
        <v>2.5</v>
      </c>
      <c r="T222" s="115">
        <f t="shared" si="44"/>
        <v>1</v>
      </c>
      <c r="U222" s="106">
        <v>16.8</v>
      </c>
      <c r="V222" s="142">
        <f t="shared" si="45"/>
        <v>0.004533917355</v>
      </c>
      <c r="W222" s="124">
        <f t="shared" ref="W222:W224" si="48">W221+V222</f>
        <v>0.01080684298</v>
      </c>
    </row>
    <row r="223">
      <c r="A223" s="27" t="s">
        <v>232</v>
      </c>
      <c r="B223" s="104">
        <f>($B$217*2)/$B$25</f>
        <v>1.818181818</v>
      </c>
      <c r="C223" s="105">
        <f t="shared" si="38"/>
        <v>26.53</v>
      </c>
      <c r="D223" s="106">
        <v>2.5</v>
      </c>
      <c r="E223" s="105">
        <f t="shared" si="39"/>
        <v>0.0088882</v>
      </c>
      <c r="F223" s="105">
        <f t="shared" si="40"/>
        <v>0.0001345</v>
      </c>
      <c r="G223" s="120">
        <v>1.0</v>
      </c>
      <c r="H223" s="122">
        <f t="shared" si="41"/>
        <v>0.8574688945</v>
      </c>
      <c r="I223" s="124">
        <f t="shared" si="42"/>
        <v>0.003897585884</v>
      </c>
      <c r="J223" s="124">
        <f t="shared" si="46"/>
        <v>0.01533251228</v>
      </c>
      <c r="K223" s="18"/>
      <c r="L223" s="169">
        <f>10.39+6.44+(7-0.3)</f>
        <v>23.53</v>
      </c>
      <c r="M223" s="170">
        <v>2.0</v>
      </c>
      <c r="N223" s="169"/>
      <c r="O223" s="18"/>
      <c r="P223" s="105" t="str">
        <f t="shared" ref="P223:R223" si="47">A223</f>
        <v>QDF3-TOM3</v>
      </c>
      <c r="Q223" s="104">
        <f t="shared" si="47"/>
        <v>1.818181818</v>
      </c>
      <c r="R223" s="104">
        <f t="shared" si="47"/>
        <v>26.53</v>
      </c>
      <c r="S223" s="106">
        <v>2.5</v>
      </c>
      <c r="T223" s="115">
        <f t="shared" si="44"/>
        <v>1</v>
      </c>
      <c r="U223" s="106">
        <v>16.8</v>
      </c>
      <c r="V223" s="142">
        <f t="shared" si="45"/>
        <v>0.003683504132</v>
      </c>
      <c r="W223" s="124">
        <f t="shared" si="48"/>
        <v>0.01449034711</v>
      </c>
    </row>
    <row r="224">
      <c r="A224" s="27" t="s">
        <v>233</v>
      </c>
      <c r="B224" s="104">
        <f>($B$217*1)/$B$25</f>
        <v>0.9090909091</v>
      </c>
      <c r="C224" s="105">
        <f t="shared" si="38"/>
        <v>28.44</v>
      </c>
      <c r="D224" s="106">
        <v>2.5</v>
      </c>
      <c r="E224" s="105">
        <f t="shared" si="39"/>
        <v>0.0088882</v>
      </c>
      <c r="F224" s="105">
        <f t="shared" si="40"/>
        <v>0.0001345</v>
      </c>
      <c r="G224" s="120">
        <v>1.0</v>
      </c>
      <c r="H224" s="122">
        <f t="shared" si="41"/>
        <v>0.4596007418</v>
      </c>
      <c r="I224" s="124">
        <f t="shared" si="42"/>
        <v>0.002089094281</v>
      </c>
      <c r="J224" s="124">
        <f t="shared" si="46"/>
        <v>0.01742160656</v>
      </c>
      <c r="K224" s="18"/>
      <c r="L224" s="169">
        <f>15.16+3.58+(7-0.3)</f>
        <v>25.44</v>
      </c>
      <c r="M224" s="170">
        <v>2.0</v>
      </c>
      <c r="N224" s="169"/>
      <c r="O224" s="18"/>
      <c r="P224" s="115" t="str">
        <f t="shared" ref="P224:R224" si="49">A224</f>
        <v>QDF3-TOM4</v>
      </c>
      <c r="Q224" s="122">
        <f t="shared" si="49"/>
        <v>0.9090909091</v>
      </c>
      <c r="R224" s="122">
        <f t="shared" si="49"/>
        <v>28.44</v>
      </c>
      <c r="S224" s="106">
        <v>2.5</v>
      </c>
      <c r="T224" s="115">
        <f t="shared" si="44"/>
        <v>1</v>
      </c>
      <c r="U224" s="106">
        <v>16.8</v>
      </c>
      <c r="V224" s="142">
        <f t="shared" si="45"/>
        <v>0.001974347107</v>
      </c>
      <c r="W224" s="124">
        <f t="shared" si="48"/>
        <v>0.01646469421</v>
      </c>
    </row>
    <row r="225">
      <c r="A225" s="164" t="s">
        <v>234</v>
      </c>
      <c r="B225" s="97" t="s">
        <v>142</v>
      </c>
      <c r="C225" s="97" t="s">
        <v>143</v>
      </c>
      <c r="D225" s="97" t="s">
        <v>144</v>
      </c>
      <c r="E225" s="97" t="s">
        <v>145</v>
      </c>
      <c r="F225" s="97" t="s">
        <v>146</v>
      </c>
      <c r="G225" s="97" t="s">
        <v>45</v>
      </c>
      <c r="H225" s="97" t="s">
        <v>147</v>
      </c>
      <c r="I225" s="97" t="s">
        <v>148</v>
      </c>
      <c r="J225" s="97" t="s">
        <v>149</v>
      </c>
      <c r="K225" s="18"/>
      <c r="L225" s="166" t="s">
        <v>150</v>
      </c>
      <c r="M225" s="99" t="s">
        <v>151</v>
      </c>
      <c r="N225" s="99" t="s">
        <v>152</v>
      </c>
      <c r="O225" s="18"/>
      <c r="P225" s="164" t="s">
        <v>234</v>
      </c>
      <c r="Q225" s="97" t="s">
        <v>142</v>
      </c>
      <c r="R225" s="97" t="s">
        <v>143</v>
      </c>
      <c r="S225" s="97" t="s">
        <v>144</v>
      </c>
      <c r="T225" s="97" t="s">
        <v>45</v>
      </c>
      <c r="U225" s="97" t="s">
        <v>156</v>
      </c>
      <c r="V225" s="97" t="s">
        <v>148</v>
      </c>
      <c r="W225" s="97" t="s">
        <v>149</v>
      </c>
    </row>
    <row r="226">
      <c r="A226" s="27" t="s">
        <v>235</v>
      </c>
      <c r="B226" s="104">
        <f>($D$217*1)/$B$25</f>
        <v>4.545454545</v>
      </c>
      <c r="C226" s="115">
        <f>L226+(M226*1.5)+N226</f>
        <v>37.54</v>
      </c>
      <c r="D226" s="106">
        <v>2.5</v>
      </c>
      <c r="E226" s="105">
        <f>8.8882*10^-3</f>
        <v>0.0088882</v>
      </c>
      <c r="F226" s="105">
        <f>0.1345*10^-3</f>
        <v>0.0001345</v>
      </c>
      <c r="G226" s="50">
        <v>1.0</v>
      </c>
      <c r="H226" s="122">
        <f>2*B226*C226*(E226*G226+F226*SIN(ACOS(G226)))</f>
        <v>3.033300255</v>
      </c>
      <c r="I226" s="124">
        <f>H226/220</f>
        <v>0.01378772843</v>
      </c>
      <c r="J226" s="107">
        <f>I226</f>
        <v>0.01378772843</v>
      </c>
      <c r="L226" s="193">
        <f>15.16+3.58+0.6+(7-0.3)</f>
        <v>26.04</v>
      </c>
      <c r="M226" s="50">
        <v>4.0</v>
      </c>
      <c r="N226" s="169">
        <f>7-1.5</f>
        <v>5.5</v>
      </c>
      <c r="P226" s="209" t="str">
        <f t="shared" ref="P226:S226" si="50">A226</f>
        <v>QDF3-TUE</v>
      </c>
      <c r="Q226" s="210">
        <f t="shared" si="50"/>
        <v>4.545454545</v>
      </c>
      <c r="R226" s="211">
        <f t="shared" si="50"/>
        <v>37.54</v>
      </c>
      <c r="S226" s="211">
        <f t="shared" si="50"/>
        <v>2.5</v>
      </c>
      <c r="T226" s="212">
        <v>1.0</v>
      </c>
      <c r="U226" s="106">
        <v>16.8</v>
      </c>
      <c r="V226" s="142">
        <f>(R226/1000)*Q226*U226*(100/220)/100</f>
        <v>0.01303041322</v>
      </c>
      <c r="W226" s="107">
        <f>V226</f>
        <v>0.01303041322</v>
      </c>
    </row>
    <row r="227">
      <c r="U227" s="18"/>
      <c r="V227" s="18"/>
      <c r="W227" s="18"/>
    </row>
    <row r="228">
      <c r="L228" s="206" t="s">
        <v>227</v>
      </c>
      <c r="U228" s="18"/>
      <c r="V228" s="18"/>
      <c r="W228" s="18"/>
    </row>
    <row r="229">
      <c r="U229" s="18"/>
      <c r="V229" s="18"/>
      <c r="W229" s="18"/>
    </row>
    <row r="230">
      <c r="U230" s="18"/>
      <c r="V230" s="18"/>
      <c r="W230" s="18"/>
    </row>
    <row r="231">
      <c r="U231" s="18"/>
      <c r="V231" s="18"/>
      <c r="W231" s="18"/>
    </row>
    <row r="232">
      <c r="U232" s="18"/>
      <c r="V232" s="18"/>
      <c r="W232" s="18"/>
    </row>
    <row r="233">
      <c r="A233" s="18" t="s">
        <v>207</v>
      </c>
      <c r="J233" s="207"/>
      <c r="K233" s="207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 t="s">
        <v>208</v>
      </c>
      <c r="S234" s="18"/>
      <c r="T234" s="18"/>
      <c r="U234" s="18"/>
      <c r="V234" s="18"/>
      <c r="W234" s="18"/>
    </row>
    <row r="235">
      <c r="A235" s="18" t="s">
        <v>209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>
      <c r="A236" s="18" t="s">
        <v>210</v>
      </c>
      <c r="J236" s="18"/>
      <c r="U236" s="18"/>
      <c r="V236" s="18"/>
      <c r="W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U237" s="18"/>
      <c r="V237" s="18"/>
      <c r="W237" s="18"/>
    </row>
    <row r="238">
      <c r="A238" s="18" t="s">
        <v>211</v>
      </c>
      <c r="I238" s="18"/>
      <c r="J238" s="18"/>
      <c r="U238" s="18"/>
      <c r="V238" s="18"/>
      <c r="W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U239" s="18"/>
      <c r="V239" s="18"/>
      <c r="W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U240" s="18"/>
      <c r="V240" s="18"/>
      <c r="W240" s="18"/>
    </row>
    <row r="241">
      <c r="A241" s="41"/>
      <c r="B241" s="18"/>
      <c r="C241" s="18"/>
      <c r="D241" s="18"/>
      <c r="E241" s="18"/>
      <c r="F241" s="18"/>
      <c r="G241" s="18"/>
      <c r="H241" s="18"/>
      <c r="I241" s="18"/>
      <c r="J241" s="18"/>
      <c r="U241" s="18"/>
      <c r="V241" s="18"/>
      <c r="W241" s="18"/>
    </row>
    <row r="242">
      <c r="A242" s="18"/>
      <c r="B242" s="41"/>
      <c r="C242" s="18"/>
      <c r="D242" s="18"/>
      <c r="E242" s="18"/>
      <c r="F242" s="18"/>
      <c r="G242" s="18"/>
      <c r="H242" s="18"/>
      <c r="I242" s="18"/>
      <c r="J242" s="18"/>
      <c r="U242" s="18"/>
      <c r="V242" s="18"/>
      <c r="W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U243" s="18"/>
      <c r="V243" s="18"/>
      <c r="W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U244" s="18"/>
      <c r="V244" s="18"/>
      <c r="W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U245" s="18"/>
      <c r="V245" s="18"/>
      <c r="W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>
      <c r="A247" s="41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>
      <c r="A249" s="18"/>
      <c r="B249" s="18"/>
      <c r="C249" s="18"/>
      <c r="D249" s="18"/>
      <c r="E249" s="18"/>
      <c r="T249" s="18"/>
      <c r="U249" s="18"/>
      <c r="V249" s="18"/>
      <c r="W249" s="18"/>
    </row>
    <row r="250">
      <c r="A250" s="18"/>
      <c r="B250" s="18"/>
      <c r="C250" s="18"/>
      <c r="D250" s="18"/>
      <c r="E250" s="18"/>
      <c r="T250" s="18"/>
      <c r="U250" s="18"/>
      <c r="V250" s="18"/>
      <c r="W250" s="18"/>
    </row>
    <row r="251">
      <c r="A251" s="18"/>
      <c r="B251" s="18"/>
      <c r="C251" s="18"/>
      <c r="D251" s="18"/>
      <c r="E251" s="18"/>
      <c r="T251" s="18"/>
      <c r="U251" s="18"/>
      <c r="V251" s="18"/>
      <c r="W251" s="18"/>
    </row>
    <row r="252">
      <c r="A252" s="18"/>
      <c r="B252" s="18"/>
      <c r="C252" s="18"/>
      <c r="D252" s="18"/>
      <c r="E252" s="18"/>
      <c r="T252" s="18"/>
      <c r="U252" s="18"/>
      <c r="V252" s="18"/>
      <c r="W252" s="18"/>
    </row>
    <row r="253">
      <c r="A253" s="18"/>
      <c r="B253" s="18"/>
      <c r="C253" s="18"/>
      <c r="D253" s="18"/>
      <c r="E253" s="18"/>
      <c r="T253" s="18"/>
      <c r="U253" s="18"/>
      <c r="V253" s="18"/>
      <c r="W253" s="18"/>
    </row>
    <row r="254">
      <c r="A254" s="18"/>
      <c r="B254" s="18"/>
      <c r="C254" s="18"/>
      <c r="D254" s="18"/>
      <c r="E254" s="18"/>
      <c r="T254" s="18"/>
      <c r="U254" s="18"/>
      <c r="V254" s="18"/>
      <c r="W254" s="18"/>
    </row>
    <row r="255">
      <c r="A255" s="18"/>
      <c r="B255" s="18"/>
      <c r="C255" s="18"/>
      <c r="D255" s="18"/>
      <c r="E255" s="18"/>
      <c r="T255" s="18"/>
      <c r="U255" s="18"/>
      <c r="V255" s="18"/>
      <c r="W255" s="18"/>
    </row>
    <row r="256">
      <c r="A256" s="18"/>
      <c r="B256" s="18"/>
      <c r="C256" s="18"/>
      <c r="D256" s="18"/>
      <c r="E256" s="18"/>
      <c r="T256" s="18"/>
      <c r="U256" s="18"/>
      <c r="V256" s="18"/>
      <c r="W256" s="18"/>
    </row>
    <row r="257">
      <c r="A257" s="18"/>
      <c r="B257" s="18"/>
      <c r="C257" s="18"/>
      <c r="D257" s="18"/>
      <c r="E257" s="18"/>
      <c r="T257" s="18"/>
      <c r="U257" s="18"/>
      <c r="V257" s="18"/>
      <c r="W257" s="18"/>
    </row>
    <row r="258">
      <c r="A258" s="18"/>
      <c r="B258" s="18"/>
      <c r="C258" s="18"/>
      <c r="D258" s="18"/>
      <c r="E258" s="18"/>
      <c r="T258" s="18"/>
      <c r="U258" s="18"/>
      <c r="V258" s="18"/>
      <c r="W258" s="18"/>
    </row>
    <row r="259">
      <c r="A259" s="18" t="s">
        <v>212</v>
      </c>
      <c r="B259" s="18"/>
      <c r="C259" s="18"/>
      <c r="D259" s="18"/>
      <c r="E259" s="18"/>
      <c r="Q259" s="18"/>
      <c r="R259" s="18"/>
      <c r="S259" s="18"/>
      <c r="T259" s="18"/>
      <c r="U259" s="18"/>
      <c r="V259" s="18"/>
      <c r="W259" s="18"/>
    </row>
    <row r="260">
      <c r="A260" s="18"/>
      <c r="B260" s="18"/>
      <c r="C260" s="18"/>
      <c r="D260" s="18"/>
      <c r="E260" s="18"/>
      <c r="Q260" s="18"/>
      <c r="R260" s="18"/>
      <c r="S260" s="18"/>
      <c r="T260" s="18"/>
      <c r="U260" s="18"/>
      <c r="V260" s="18"/>
      <c r="W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>
      <c r="A279" s="19" t="s">
        <v>216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>
      <c r="A282" s="19" t="s">
        <v>218</v>
      </c>
      <c r="H282" s="18"/>
      <c r="I282" s="18"/>
      <c r="J282" s="18"/>
      <c r="K282" s="18"/>
      <c r="L282" s="18"/>
      <c r="M282" s="18"/>
      <c r="N282" s="19" t="s">
        <v>218</v>
      </c>
      <c r="U282" s="18"/>
      <c r="V282" s="18"/>
      <c r="W282" s="18"/>
    </row>
    <row r="283">
      <c r="H283" s="18"/>
      <c r="I283" s="18"/>
      <c r="J283" s="18"/>
      <c r="K283" s="18"/>
      <c r="L283" s="18"/>
      <c r="M283" s="18"/>
      <c r="U283" s="18"/>
      <c r="V283" s="18"/>
      <c r="W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304">
      <c r="A304" s="93" t="s">
        <v>171</v>
      </c>
      <c r="B304" s="157">
        <f>QDF!J10</f>
        <v>200</v>
      </c>
      <c r="C304" s="93" t="s">
        <v>172</v>
      </c>
      <c r="D304" s="134">
        <f>QDF!J11</f>
        <v>1000</v>
      </c>
      <c r="E304" s="134"/>
      <c r="F304" s="134"/>
      <c r="G304" s="155"/>
      <c r="H304" s="156"/>
      <c r="I304" s="156"/>
      <c r="J304" s="18"/>
      <c r="K304" s="82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>
      <c r="A305" s="158" t="s">
        <v>138</v>
      </c>
      <c r="B305" s="94">
        <f>QDF!I10</f>
        <v>6</v>
      </c>
      <c r="C305" s="158" t="s">
        <v>138</v>
      </c>
      <c r="D305" s="41">
        <f>QDF!I11</f>
        <v>1</v>
      </c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60" t="s">
        <v>140</v>
      </c>
      <c r="Q305" s="109"/>
      <c r="R305" s="109"/>
      <c r="S305" s="109"/>
      <c r="T305" s="109"/>
      <c r="U305" s="109"/>
      <c r="V305" s="109"/>
      <c r="W305" s="161"/>
    </row>
    <row r="306">
      <c r="A306" s="95" t="s">
        <v>236</v>
      </c>
      <c r="B306" s="7"/>
      <c r="C306" s="7"/>
      <c r="D306" s="7"/>
      <c r="E306" s="7"/>
      <c r="F306" s="7"/>
      <c r="G306" s="7"/>
      <c r="H306" s="7"/>
      <c r="I306" s="7"/>
      <c r="J306" s="8"/>
      <c r="K306" s="18"/>
      <c r="L306" s="18"/>
      <c r="M306" s="18"/>
      <c r="N306" s="18"/>
      <c r="O306" s="18"/>
      <c r="P306" s="95" t="s">
        <v>237</v>
      </c>
      <c r="Q306" s="7"/>
      <c r="R306" s="7"/>
      <c r="S306" s="7"/>
      <c r="T306" s="7"/>
      <c r="U306" s="7"/>
      <c r="V306" s="7"/>
      <c r="W306" s="8"/>
    </row>
    <row r="307">
      <c r="A307" s="164" t="s">
        <v>238</v>
      </c>
      <c r="B307" s="97" t="s">
        <v>142</v>
      </c>
      <c r="C307" s="97" t="s">
        <v>143</v>
      </c>
      <c r="D307" s="97" t="s">
        <v>144</v>
      </c>
      <c r="E307" s="97" t="s">
        <v>145</v>
      </c>
      <c r="F307" s="97" t="s">
        <v>146</v>
      </c>
      <c r="G307" s="97" t="s">
        <v>45</v>
      </c>
      <c r="H307" s="97" t="s">
        <v>147</v>
      </c>
      <c r="I307" s="97" t="s">
        <v>148</v>
      </c>
      <c r="J307" s="97" t="s">
        <v>149</v>
      </c>
      <c r="K307" s="18"/>
      <c r="L307" s="166" t="s">
        <v>150</v>
      </c>
      <c r="M307" s="99" t="s">
        <v>151</v>
      </c>
      <c r="N307" s="99" t="s">
        <v>152</v>
      </c>
      <c r="O307" s="18"/>
      <c r="P307" s="164" t="s">
        <v>238</v>
      </c>
      <c r="Q307" s="97" t="s">
        <v>142</v>
      </c>
      <c r="R307" s="97" t="s">
        <v>143</v>
      </c>
      <c r="S307" s="97" t="s">
        <v>144</v>
      </c>
      <c r="T307" s="97" t="s">
        <v>45</v>
      </c>
      <c r="U307" s="97" t="s">
        <v>156</v>
      </c>
      <c r="V307" s="97" t="s">
        <v>148</v>
      </c>
      <c r="W307" s="97" t="s">
        <v>149</v>
      </c>
    </row>
    <row r="308">
      <c r="A308" s="27" t="s">
        <v>239</v>
      </c>
      <c r="B308" s="104">
        <f>($B$304*6)/$B$25</f>
        <v>5.454545455</v>
      </c>
      <c r="C308" s="105">
        <f t="shared" ref="C308:C313" si="52">L308+(M308*1.5)+N308</f>
        <v>26.54</v>
      </c>
      <c r="D308" s="106">
        <v>2.5</v>
      </c>
      <c r="E308" s="105">
        <f t="shared" ref="E308:E313" si="53">8.8882*10^-3</f>
        <v>0.0088882</v>
      </c>
      <c r="F308" s="105">
        <f t="shared" ref="F308:F313" si="54">0.1345*10^-3</f>
        <v>0.0001345</v>
      </c>
      <c r="G308" s="106">
        <v>1.0</v>
      </c>
      <c r="H308" s="104">
        <f t="shared" ref="H308:H313" si="55">2*B308*C308*(E308*G308+F308*SIN(ACOS(G308)))</f>
        <v>2.573376305</v>
      </c>
      <c r="I308" s="107">
        <f t="shared" ref="I308:I313" si="56">H308/220</f>
        <v>0.01169716502</v>
      </c>
      <c r="J308" s="107">
        <f>I308</f>
        <v>0.01169716502</v>
      </c>
      <c r="K308" s="18"/>
      <c r="L308" s="169">
        <f>3.1+6.64+3.1+(7-0.3)</f>
        <v>19.54</v>
      </c>
      <c r="M308" s="170">
        <v>1.0</v>
      </c>
      <c r="N308" s="169">
        <f>7-1.5</f>
        <v>5.5</v>
      </c>
      <c r="O308" s="18"/>
      <c r="P308" s="105" t="str">
        <f t="shared" ref="P308:R308" si="51">A308</f>
        <v>QDF4-TOM1</v>
      </c>
      <c r="Q308" s="104">
        <f t="shared" si="51"/>
        <v>5.454545455</v>
      </c>
      <c r="R308" s="104">
        <f t="shared" si="51"/>
        <v>26.54</v>
      </c>
      <c r="S308" s="106">
        <v>2.5</v>
      </c>
      <c r="T308" s="105">
        <f t="shared" ref="T308:T313" si="58">G308</f>
        <v>1</v>
      </c>
      <c r="U308" s="106">
        <v>16.8</v>
      </c>
      <c r="V308" s="135">
        <f t="shared" ref="V308:V313" si="59">(R308/1000)*Q308*U308*(100/220)/100</f>
        <v>0.01105467769</v>
      </c>
      <c r="W308" s="107">
        <f>V308</f>
        <v>0.01105467769</v>
      </c>
    </row>
    <row r="309">
      <c r="A309" s="27" t="s">
        <v>240</v>
      </c>
      <c r="B309" s="104">
        <f>($B$304*5)/$B$25</f>
        <v>4.545454545</v>
      </c>
      <c r="C309" s="105">
        <f t="shared" si="52"/>
        <v>24.47</v>
      </c>
      <c r="D309" s="106">
        <v>2.5</v>
      </c>
      <c r="E309" s="105">
        <f t="shared" si="53"/>
        <v>0.0088882</v>
      </c>
      <c r="F309" s="105">
        <f t="shared" si="54"/>
        <v>0.0001345</v>
      </c>
      <c r="G309" s="120">
        <v>1.0</v>
      </c>
      <c r="H309" s="122">
        <f t="shared" si="55"/>
        <v>1.977220491</v>
      </c>
      <c r="I309" s="124">
        <f t="shared" si="56"/>
        <v>0.008987365868</v>
      </c>
      <c r="J309" s="124">
        <f t="shared" ref="J309:J313" si="60">J308+I309</f>
        <v>0.02068453089</v>
      </c>
      <c r="K309" s="18"/>
      <c r="L309" s="169">
        <f>3.1+6.64+5.03+(7-0.3)</f>
        <v>21.47</v>
      </c>
      <c r="M309" s="170">
        <v>2.0</v>
      </c>
      <c r="N309" s="169">
        <v>0.0</v>
      </c>
      <c r="O309" s="18"/>
      <c r="P309" s="115" t="str">
        <f t="shared" ref="P309:R309" si="57">A309</f>
        <v>QDF4-TOM2</v>
      </c>
      <c r="Q309" s="122">
        <f t="shared" si="57"/>
        <v>4.545454545</v>
      </c>
      <c r="R309" s="122">
        <f t="shared" si="57"/>
        <v>24.47</v>
      </c>
      <c r="S309" s="106">
        <v>2.5</v>
      </c>
      <c r="T309" s="115">
        <f t="shared" si="58"/>
        <v>1</v>
      </c>
      <c r="U309" s="106">
        <v>16.8</v>
      </c>
      <c r="V309" s="142">
        <f t="shared" si="59"/>
        <v>0.008493719008</v>
      </c>
      <c r="W309" s="124">
        <f t="shared" ref="W309:W313" si="62">W308+V309</f>
        <v>0.01954839669</v>
      </c>
    </row>
    <row r="310">
      <c r="A310" s="27" t="s">
        <v>241</v>
      </c>
      <c r="B310" s="104">
        <f>($B$304*4)/$B$25</f>
        <v>3.636363636</v>
      </c>
      <c r="C310" s="105">
        <f t="shared" si="52"/>
        <v>29.2</v>
      </c>
      <c r="D310" s="106">
        <v>2.5</v>
      </c>
      <c r="E310" s="105">
        <f t="shared" si="53"/>
        <v>0.0088882</v>
      </c>
      <c r="F310" s="105">
        <f t="shared" si="54"/>
        <v>0.0001345</v>
      </c>
      <c r="G310" s="120">
        <v>1.0</v>
      </c>
      <c r="H310" s="122">
        <f t="shared" si="55"/>
        <v>1.887530473</v>
      </c>
      <c r="I310" s="124">
        <f t="shared" si="56"/>
        <v>0.008579683967</v>
      </c>
      <c r="J310" s="124">
        <f t="shared" si="60"/>
        <v>0.02926421486</v>
      </c>
      <c r="K310" s="18"/>
      <c r="L310" s="169">
        <f>3.1+15.87+0.53+(7-0.3)</f>
        <v>26.2</v>
      </c>
      <c r="M310" s="170">
        <v>2.0</v>
      </c>
      <c r="N310" s="169"/>
      <c r="O310" s="18"/>
      <c r="P310" s="105" t="str">
        <f t="shared" ref="P310:R310" si="61">A310</f>
        <v>QDF4-TOM3</v>
      </c>
      <c r="Q310" s="104">
        <f t="shared" si="61"/>
        <v>3.636363636</v>
      </c>
      <c r="R310" s="104">
        <f t="shared" si="61"/>
        <v>29.2</v>
      </c>
      <c r="S310" s="106">
        <v>2.5</v>
      </c>
      <c r="T310" s="115">
        <f t="shared" si="58"/>
        <v>1</v>
      </c>
      <c r="U310" s="106">
        <v>16.8</v>
      </c>
      <c r="V310" s="142">
        <f t="shared" si="59"/>
        <v>0.008108429752</v>
      </c>
      <c r="W310" s="124">
        <f t="shared" si="62"/>
        <v>0.02765682645</v>
      </c>
    </row>
    <row r="311">
      <c r="A311" s="27" t="s">
        <v>242</v>
      </c>
      <c r="B311" s="104">
        <f>($B$304*3)/$B$25</f>
        <v>2.727272727</v>
      </c>
      <c r="C311" s="105">
        <f t="shared" si="52"/>
        <v>22.78</v>
      </c>
      <c r="D311" s="106">
        <v>2.5</v>
      </c>
      <c r="E311" s="105">
        <f t="shared" si="53"/>
        <v>0.0088882</v>
      </c>
      <c r="F311" s="105">
        <f t="shared" si="54"/>
        <v>0.0001345</v>
      </c>
      <c r="G311" s="120">
        <v>1.0</v>
      </c>
      <c r="H311" s="122">
        <f t="shared" si="55"/>
        <v>1.104399251</v>
      </c>
      <c r="I311" s="124">
        <f t="shared" si="56"/>
        <v>0.005019996595</v>
      </c>
      <c r="J311" s="124">
        <f t="shared" si="60"/>
        <v>0.03428421145</v>
      </c>
      <c r="K311" s="18"/>
      <c r="L311" s="169">
        <f>3.1+5.82+4.16+(7-0.3)</f>
        <v>19.78</v>
      </c>
      <c r="M311" s="170">
        <v>2.0</v>
      </c>
      <c r="N311" s="169"/>
      <c r="O311" s="18"/>
      <c r="P311" s="115" t="str">
        <f t="shared" ref="P311:R311" si="63">A311</f>
        <v>QDF4-TOM4</v>
      </c>
      <c r="Q311" s="122">
        <f t="shared" si="63"/>
        <v>2.727272727</v>
      </c>
      <c r="R311" s="122">
        <f t="shared" si="63"/>
        <v>22.78</v>
      </c>
      <c r="S311" s="106">
        <v>2.5</v>
      </c>
      <c r="T311" s="115">
        <f t="shared" si="58"/>
        <v>1</v>
      </c>
      <c r="U311" s="106">
        <v>16.8</v>
      </c>
      <c r="V311" s="142">
        <f t="shared" si="59"/>
        <v>0.004744264463</v>
      </c>
      <c r="W311" s="124">
        <f t="shared" si="62"/>
        <v>0.03240109091</v>
      </c>
    </row>
    <row r="312">
      <c r="A312" s="27" t="s">
        <v>243</v>
      </c>
      <c r="B312" s="104">
        <f>($B$304*2)/$B$25</f>
        <v>1.818181818</v>
      </c>
      <c r="C312" s="105">
        <f t="shared" si="52"/>
        <v>28.81</v>
      </c>
      <c r="D312" s="106">
        <v>2.5</v>
      </c>
      <c r="E312" s="105">
        <f t="shared" si="53"/>
        <v>0.0088882</v>
      </c>
      <c r="F312" s="105">
        <f t="shared" si="54"/>
        <v>0.0001345</v>
      </c>
      <c r="G312" s="120">
        <v>1.0</v>
      </c>
      <c r="H312" s="122">
        <f t="shared" si="55"/>
        <v>0.9311601527</v>
      </c>
      <c r="I312" s="124">
        <f t="shared" si="56"/>
        <v>0.004232546149</v>
      </c>
      <c r="J312" s="124">
        <f t="shared" si="60"/>
        <v>0.0385167576</v>
      </c>
      <c r="L312" s="169">
        <f>3.1+12.05+3.96+(7-0.3)</f>
        <v>25.81</v>
      </c>
      <c r="M312" s="50">
        <v>2.0</v>
      </c>
      <c r="P312" s="115" t="str">
        <f t="shared" ref="P312:R312" si="64">A312</f>
        <v>QDF4-TOM5</v>
      </c>
      <c r="Q312" s="122">
        <f t="shared" si="64"/>
        <v>1.818181818</v>
      </c>
      <c r="R312" s="122">
        <f t="shared" si="64"/>
        <v>28.81</v>
      </c>
      <c r="S312" s="106">
        <v>2.5</v>
      </c>
      <c r="T312" s="115">
        <f t="shared" si="58"/>
        <v>1</v>
      </c>
      <c r="U312" s="106">
        <v>16.8</v>
      </c>
      <c r="V312" s="142">
        <f t="shared" si="59"/>
        <v>0.004000066116</v>
      </c>
      <c r="W312" s="124">
        <f t="shared" si="62"/>
        <v>0.03640115702</v>
      </c>
    </row>
    <row r="313">
      <c r="A313" s="27" t="s">
        <v>244</v>
      </c>
      <c r="B313" s="104">
        <f>($B$304*1)/$B$25</f>
        <v>0.9090909091</v>
      </c>
      <c r="C313" s="105">
        <f t="shared" si="52"/>
        <v>25.48</v>
      </c>
      <c r="D313" s="106">
        <v>2.5</v>
      </c>
      <c r="E313" s="105">
        <f t="shared" si="53"/>
        <v>0.0088882</v>
      </c>
      <c r="F313" s="105">
        <f t="shared" si="54"/>
        <v>0.0001345</v>
      </c>
      <c r="G313" s="120">
        <v>1.0</v>
      </c>
      <c r="H313" s="122">
        <f t="shared" si="55"/>
        <v>0.4117660655</v>
      </c>
      <c r="I313" s="124">
        <f t="shared" si="56"/>
        <v>0.001871663934</v>
      </c>
      <c r="J313" s="124">
        <f t="shared" si="60"/>
        <v>0.04038842154</v>
      </c>
      <c r="L313" s="193">
        <f>15.05+0.73+(7-0.3)</f>
        <v>22.48</v>
      </c>
      <c r="M313" s="50">
        <v>2.0</v>
      </c>
      <c r="P313" s="115" t="str">
        <f t="shared" ref="P313:R313" si="65">A313</f>
        <v>QDF4-TOM6</v>
      </c>
      <c r="Q313" s="122">
        <f t="shared" si="65"/>
        <v>0.9090909091</v>
      </c>
      <c r="R313" s="122">
        <f t="shared" si="65"/>
        <v>25.48</v>
      </c>
      <c r="S313" s="106">
        <v>2.5</v>
      </c>
      <c r="T313" s="115">
        <f t="shared" si="58"/>
        <v>1</v>
      </c>
      <c r="U313" s="106">
        <v>16.8</v>
      </c>
      <c r="V313" s="142">
        <f t="shared" si="59"/>
        <v>0.001768859504</v>
      </c>
      <c r="W313" s="124">
        <f t="shared" si="62"/>
        <v>0.03817001653</v>
      </c>
    </row>
    <row r="314">
      <c r="A314" s="164" t="s">
        <v>245</v>
      </c>
      <c r="B314" s="97" t="s">
        <v>142</v>
      </c>
      <c r="C314" s="97" t="s">
        <v>143</v>
      </c>
      <c r="D314" s="97" t="s">
        <v>144</v>
      </c>
      <c r="E314" s="97" t="s">
        <v>145</v>
      </c>
      <c r="F314" s="97" t="s">
        <v>146</v>
      </c>
      <c r="G314" s="97" t="s">
        <v>45</v>
      </c>
      <c r="H314" s="97" t="s">
        <v>147</v>
      </c>
      <c r="I314" s="97" t="s">
        <v>148</v>
      </c>
      <c r="J314" s="97" t="s">
        <v>149</v>
      </c>
      <c r="K314" s="18"/>
      <c r="L314" s="166" t="s">
        <v>150</v>
      </c>
      <c r="M314" s="99" t="s">
        <v>151</v>
      </c>
      <c r="N314" s="99" t="s">
        <v>152</v>
      </c>
      <c r="O314" s="18"/>
      <c r="P314" s="164" t="s">
        <v>245</v>
      </c>
      <c r="Q314" s="97" t="s">
        <v>142</v>
      </c>
      <c r="R314" s="97" t="s">
        <v>143</v>
      </c>
      <c r="S314" s="97" t="s">
        <v>144</v>
      </c>
      <c r="T314" s="97" t="s">
        <v>45</v>
      </c>
      <c r="U314" s="97" t="s">
        <v>156</v>
      </c>
      <c r="V314" s="97" t="s">
        <v>148</v>
      </c>
      <c r="W314" s="97" t="s">
        <v>149</v>
      </c>
    </row>
    <row r="315">
      <c r="A315" s="27" t="s">
        <v>246</v>
      </c>
      <c r="B315" s="104">
        <f>($D$217*1)/$B$25</f>
        <v>4.545454545</v>
      </c>
      <c r="C315" s="115">
        <f>L315+(M315*1.5)+N315</f>
        <v>38.3</v>
      </c>
      <c r="D315" s="106">
        <v>2.5</v>
      </c>
      <c r="E315" s="105">
        <f>8.8882*10^-3</f>
        <v>0.0088882</v>
      </c>
      <c r="F315" s="105">
        <f>0.1345*10^-3</f>
        <v>0.0001345</v>
      </c>
      <c r="G315" s="50">
        <v>1.0</v>
      </c>
      <c r="H315" s="122">
        <f>2*B315*C315*(E315*G315+F315*SIN(ACOS(G315)))</f>
        <v>3.094709636</v>
      </c>
      <c r="I315" s="124">
        <f>H315/220</f>
        <v>0.01406686198</v>
      </c>
      <c r="J315" s="107">
        <f>I315</f>
        <v>0.01406686198</v>
      </c>
      <c r="L315" s="193">
        <f>3.1+15.87+0.53+0.6+(7-0.3)</f>
        <v>26.8</v>
      </c>
      <c r="M315" s="50">
        <v>4.0</v>
      </c>
      <c r="N315" s="169">
        <f>7-1.5</f>
        <v>5.5</v>
      </c>
      <c r="P315" s="209" t="str">
        <f t="shared" ref="P315:S315" si="66">A315</f>
        <v>QDF4-TUE</v>
      </c>
      <c r="Q315" s="210">
        <f t="shared" si="66"/>
        <v>4.545454545</v>
      </c>
      <c r="R315" s="211">
        <f t="shared" si="66"/>
        <v>38.3</v>
      </c>
      <c r="S315" s="211">
        <f t="shared" si="66"/>
        <v>2.5</v>
      </c>
      <c r="T315" s="212">
        <v>1.0</v>
      </c>
      <c r="U315" s="106">
        <v>16.8</v>
      </c>
      <c r="V315" s="142">
        <f>(R315/1000)*Q315*U315*(100/220)/100</f>
        <v>0.01329421488</v>
      </c>
      <c r="W315" s="107">
        <f>V315</f>
        <v>0.01329421488</v>
      </c>
    </row>
    <row r="316">
      <c r="R316" s="211"/>
      <c r="S316" s="211"/>
      <c r="T316" s="209"/>
      <c r="U316" s="213"/>
      <c r="V316" s="214"/>
      <c r="W316" s="215"/>
    </row>
    <row r="317">
      <c r="L317" s="206" t="s">
        <v>227</v>
      </c>
      <c r="P317" s="18"/>
      <c r="Q317" s="18"/>
      <c r="R317" s="211"/>
      <c r="S317" s="211"/>
      <c r="T317" s="209"/>
      <c r="U317" s="213"/>
      <c r="V317" s="214"/>
      <c r="W317" s="215"/>
    </row>
    <row r="318">
      <c r="U318" s="18"/>
      <c r="V318" s="18"/>
      <c r="W318" s="18"/>
    </row>
    <row r="319">
      <c r="U319" s="18"/>
      <c r="V319" s="18"/>
      <c r="W319" s="18"/>
    </row>
    <row r="320">
      <c r="A320" s="18" t="s">
        <v>207</v>
      </c>
      <c r="J320" s="207"/>
      <c r="K320" s="207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 t="s">
        <v>208</v>
      </c>
      <c r="S321" s="18"/>
      <c r="T321" s="18"/>
      <c r="U321" s="18"/>
      <c r="V321" s="18"/>
      <c r="W321" s="18"/>
    </row>
    <row r="322">
      <c r="A322" s="18" t="s">
        <v>209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>
      <c r="A323" s="18" t="s">
        <v>210</v>
      </c>
      <c r="J323" s="18"/>
      <c r="U323" s="18"/>
      <c r="V323" s="18"/>
      <c r="W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U324" s="18"/>
      <c r="V324" s="18"/>
      <c r="W324" s="18"/>
    </row>
    <row r="325">
      <c r="A325" s="18" t="s">
        <v>211</v>
      </c>
      <c r="I325" s="18"/>
      <c r="J325" s="18"/>
      <c r="U325" s="18"/>
      <c r="V325" s="18"/>
      <c r="W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U326" s="18"/>
      <c r="V326" s="18"/>
      <c r="W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U327" s="18"/>
      <c r="V327" s="18"/>
      <c r="W327" s="18"/>
    </row>
    <row r="328">
      <c r="A328" s="41"/>
      <c r="B328" s="18"/>
      <c r="C328" s="18"/>
      <c r="D328" s="18"/>
      <c r="E328" s="18"/>
      <c r="F328" s="18"/>
      <c r="G328" s="18"/>
      <c r="H328" s="18"/>
      <c r="I328" s="18"/>
      <c r="J328" s="18"/>
      <c r="U328" s="18"/>
      <c r="V328" s="18"/>
      <c r="W328" s="18"/>
    </row>
    <row r="329">
      <c r="A329" s="18"/>
      <c r="B329" s="18"/>
      <c r="C329" s="18"/>
      <c r="D329" s="18"/>
      <c r="E329" s="18"/>
      <c r="T329" s="18"/>
      <c r="U329" s="18"/>
      <c r="V329" s="18"/>
      <c r="W329" s="18"/>
    </row>
    <row r="330">
      <c r="A330" s="18"/>
      <c r="B330" s="18"/>
      <c r="C330" s="18"/>
      <c r="D330" s="18"/>
      <c r="E330" s="18"/>
      <c r="T330" s="18"/>
      <c r="U330" s="18"/>
      <c r="V330" s="18"/>
      <c r="W330" s="18"/>
    </row>
    <row r="331">
      <c r="A331" s="18"/>
      <c r="B331" s="18"/>
      <c r="C331" s="18"/>
      <c r="D331" s="18"/>
      <c r="E331" s="18"/>
      <c r="T331" s="18"/>
      <c r="U331" s="18"/>
      <c r="V331" s="18"/>
      <c r="W331" s="18"/>
    </row>
    <row r="332">
      <c r="A332" s="18" t="s">
        <v>212</v>
      </c>
      <c r="B332" s="18"/>
      <c r="C332" s="18"/>
      <c r="D332" s="18"/>
      <c r="E332" s="18"/>
      <c r="Q332" s="18"/>
      <c r="R332" s="18"/>
      <c r="S332" s="18"/>
      <c r="T332" s="18"/>
      <c r="U332" s="18"/>
      <c r="V332" s="18"/>
      <c r="W332" s="18"/>
    </row>
    <row r="333">
      <c r="A333" s="18"/>
      <c r="B333" s="18"/>
      <c r="C333" s="18"/>
      <c r="D333" s="18"/>
      <c r="E333" s="18"/>
      <c r="Q333" s="18"/>
      <c r="R333" s="18"/>
      <c r="S333" s="18"/>
      <c r="T333" s="18"/>
      <c r="U333" s="18"/>
      <c r="V333" s="18"/>
      <c r="W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>
      <c r="A336" s="19" t="s">
        <v>216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>
      <c r="A339" s="19" t="s">
        <v>218</v>
      </c>
      <c r="H339" s="18"/>
      <c r="I339" s="18"/>
      <c r="J339" s="18"/>
      <c r="K339" s="18"/>
      <c r="L339" s="18"/>
      <c r="M339" s="18"/>
      <c r="N339" s="19" t="s">
        <v>218</v>
      </c>
      <c r="U339" s="18"/>
      <c r="V339" s="18"/>
      <c r="W339" s="18"/>
    </row>
    <row r="340">
      <c r="H340" s="18"/>
      <c r="I340" s="18"/>
      <c r="J340" s="18"/>
      <c r="K340" s="18"/>
      <c r="L340" s="18"/>
      <c r="M340" s="18"/>
      <c r="U340" s="18"/>
      <c r="V340" s="18"/>
      <c r="W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60" t="s">
        <v>140</v>
      </c>
      <c r="Q343" s="109"/>
      <c r="R343" s="109"/>
      <c r="S343" s="109"/>
      <c r="T343" s="109"/>
      <c r="U343" s="109"/>
      <c r="V343" s="109"/>
      <c r="W343" s="161"/>
    </row>
    <row r="344">
      <c r="A344" s="216" t="s">
        <v>214</v>
      </c>
      <c r="B344" s="7"/>
      <c r="C344" s="7"/>
      <c r="D344" s="7"/>
      <c r="E344" s="7"/>
      <c r="F344" s="7"/>
      <c r="G344" s="7"/>
      <c r="H344" s="7"/>
      <c r="I344" s="7"/>
      <c r="J344" s="7"/>
      <c r="K344" s="18"/>
      <c r="L344" s="18"/>
      <c r="M344" s="18"/>
      <c r="N344" s="18"/>
      <c r="O344" s="18"/>
      <c r="P344" s="216" t="s">
        <v>214</v>
      </c>
      <c r="Q344" s="7"/>
      <c r="R344" s="7"/>
      <c r="S344" s="7"/>
      <c r="T344" s="7"/>
      <c r="U344" s="7"/>
      <c r="V344" s="7"/>
      <c r="W344" s="8"/>
      <c r="X344" s="217"/>
    </row>
    <row r="345">
      <c r="A345" s="97" t="s">
        <v>247</v>
      </c>
      <c r="B345" s="97" t="s">
        <v>142</v>
      </c>
      <c r="C345" s="97" t="s">
        <v>143</v>
      </c>
      <c r="D345" s="97" t="s">
        <v>144</v>
      </c>
      <c r="E345" s="97" t="s">
        <v>145</v>
      </c>
      <c r="F345" s="97" t="s">
        <v>146</v>
      </c>
      <c r="G345" s="97" t="s">
        <v>45</v>
      </c>
      <c r="H345" s="97" t="s">
        <v>147</v>
      </c>
      <c r="I345" s="97" t="s">
        <v>148</v>
      </c>
      <c r="J345" s="97" t="s">
        <v>149</v>
      </c>
      <c r="K345" s="18"/>
      <c r="L345" s="166" t="s">
        <v>150</v>
      </c>
      <c r="M345" s="99" t="s">
        <v>151</v>
      </c>
      <c r="N345" s="99" t="s">
        <v>152</v>
      </c>
      <c r="O345" s="18"/>
      <c r="P345" s="97" t="s">
        <v>247</v>
      </c>
      <c r="Q345" s="97" t="s">
        <v>142</v>
      </c>
      <c r="R345" s="97" t="s">
        <v>143</v>
      </c>
      <c r="S345" s="97" t="s">
        <v>144</v>
      </c>
      <c r="T345" s="97" t="s">
        <v>45</v>
      </c>
      <c r="U345" s="97" t="s">
        <v>156</v>
      </c>
      <c r="V345" s="97" t="s">
        <v>148</v>
      </c>
      <c r="W345" s="97" t="s">
        <v>149</v>
      </c>
      <c r="X345" s="217"/>
    </row>
    <row r="346">
      <c r="A346" s="29" t="s">
        <v>248</v>
      </c>
      <c r="B346" s="31">
        <v>5.4545</v>
      </c>
      <c r="C346" s="168">
        <f t="shared" ref="C346:C351" si="67">L346+(M346*1.5)+N346</f>
        <v>7.086</v>
      </c>
      <c r="D346" s="29">
        <v>2.5</v>
      </c>
      <c r="E346" s="29">
        <v>0.0088882</v>
      </c>
      <c r="F346" s="29">
        <v>1.345E-4</v>
      </c>
      <c r="G346" s="29">
        <v>1.0</v>
      </c>
      <c r="H346" s="31">
        <f t="shared" ref="H346:H351" si="68">2*B346*C346*(E346*G346+F346*SIN(ACOS(G346)))</f>
        <v>0.6870682947</v>
      </c>
      <c r="I346" s="218">
        <f t="shared" ref="I346:I351" si="69">H346/220</f>
        <v>0.003123037703</v>
      </c>
      <c r="J346" s="218">
        <f>I346</f>
        <v>0.003123037703</v>
      </c>
      <c r="K346" s="18"/>
      <c r="L346" s="168">
        <v>2.586</v>
      </c>
      <c r="M346" s="168">
        <v>2.0</v>
      </c>
      <c r="N346" s="168">
        <v>1.5</v>
      </c>
      <c r="O346" s="18"/>
      <c r="P346" s="29" t="s">
        <v>248</v>
      </c>
      <c r="Q346" s="31">
        <v>5.4545</v>
      </c>
      <c r="R346" s="87">
        <v>7.09</v>
      </c>
      <c r="S346" s="29">
        <v>2.5</v>
      </c>
      <c r="T346" s="29">
        <v>1.0</v>
      </c>
      <c r="U346" s="29">
        <v>16.8</v>
      </c>
      <c r="V346" s="219">
        <f t="shared" ref="V346:V351" si="70">(U346*Q346*R346/1000)/220</f>
        <v>0.002953165473</v>
      </c>
      <c r="W346" s="218">
        <f>V346</f>
        <v>0.002953165473</v>
      </c>
      <c r="X346" s="217"/>
    </row>
    <row r="347">
      <c r="A347" s="29" t="s">
        <v>249</v>
      </c>
      <c r="B347" s="31">
        <v>4.5455</v>
      </c>
      <c r="C347" s="168">
        <f t="shared" si="67"/>
        <v>0.933</v>
      </c>
      <c r="D347" s="29">
        <v>2.5</v>
      </c>
      <c r="E347" s="29">
        <v>0.0088882</v>
      </c>
      <c r="F347" s="29">
        <v>1.345E-4</v>
      </c>
      <c r="G347" s="29">
        <v>1.0</v>
      </c>
      <c r="H347" s="31">
        <f t="shared" si="68"/>
        <v>0.07538885024</v>
      </c>
      <c r="I347" s="218">
        <f t="shared" si="69"/>
        <v>0.000342676592</v>
      </c>
      <c r="J347" s="218">
        <f t="shared" ref="J347:J351" si="71">J346+I347</f>
        <v>0.003465714295</v>
      </c>
      <c r="K347" s="18"/>
      <c r="L347" s="168">
        <v>0.933</v>
      </c>
      <c r="M347" s="168">
        <v>0.0</v>
      </c>
      <c r="N347" s="168">
        <v>0.0</v>
      </c>
      <c r="O347" s="18"/>
      <c r="P347" s="29" t="s">
        <v>249</v>
      </c>
      <c r="Q347" s="31">
        <v>4.5455</v>
      </c>
      <c r="R347" s="87">
        <v>0.933</v>
      </c>
      <c r="S347" s="29">
        <v>2.5</v>
      </c>
      <c r="T347" s="29">
        <v>1.0</v>
      </c>
      <c r="U347" s="29">
        <v>16.8</v>
      </c>
      <c r="V347" s="219">
        <f t="shared" si="70"/>
        <v>0.0003238544782</v>
      </c>
      <c r="W347" s="218">
        <f t="shared" ref="W347:W351" si="72">W346+V347</f>
        <v>0.003277019951</v>
      </c>
      <c r="X347" s="217"/>
    </row>
    <row r="348">
      <c r="A348" s="29" t="s">
        <v>250</v>
      </c>
      <c r="B348" s="31">
        <v>3.6364</v>
      </c>
      <c r="C348" s="168">
        <f t="shared" si="67"/>
        <v>0.981</v>
      </c>
      <c r="D348" s="29">
        <v>2.5</v>
      </c>
      <c r="E348" s="29">
        <v>0.0088882</v>
      </c>
      <c r="F348" s="29">
        <v>1.345E-4</v>
      </c>
      <c r="G348" s="29">
        <v>1.0</v>
      </c>
      <c r="H348" s="31">
        <f t="shared" si="68"/>
        <v>0.06341390104</v>
      </c>
      <c r="I348" s="218">
        <f t="shared" si="69"/>
        <v>0.0002882450047</v>
      </c>
      <c r="J348" s="218">
        <f t="shared" si="71"/>
        <v>0.0037539593</v>
      </c>
      <c r="K348" s="18"/>
      <c r="L348" s="168">
        <v>0.981</v>
      </c>
      <c r="M348" s="168">
        <v>0.0</v>
      </c>
      <c r="N348" s="168">
        <v>0.0</v>
      </c>
      <c r="O348" s="18"/>
      <c r="P348" s="29" t="s">
        <v>250</v>
      </c>
      <c r="Q348" s="31">
        <v>3.6364</v>
      </c>
      <c r="R348" s="87">
        <v>0.981</v>
      </c>
      <c r="S348" s="29">
        <v>2.5</v>
      </c>
      <c r="T348" s="29">
        <v>1.0</v>
      </c>
      <c r="U348" s="29">
        <v>16.8</v>
      </c>
      <c r="V348" s="219">
        <f t="shared" si="70"/>
        <v>0.0002724126415</v>
      </c>
      <c r="W348" s="218">
        <f t="shared" si="72"/>
        <v>0.003549432592</v>
      </c>
      <c r="X348" s="217"/>
    </row>
    <row r="349">
      <c r="A349" s="29" t="s">
        <v>251</v>
      </c>
      <c r="B349" s="31">
        <v>2.7273</v>
      </c>
      <c r="C349" s="168">
        <f t="shared" si="67"/>
        <v>1.12</v>
      </c>
      <c r="D349" s="29">
        <v>2.5</v>
      </c>
      <c r="E349" s="29">
        <v>0.0088882</v>
      </c>
      <c r="F349" s="29">
        <v>1.345E-4</v>
      </c>
      <c r="G349" s="29">
        <v>1.0</v>
      </c>
      <c r="H349" s="31">
        <f t="shared" si="68"/>
        <v>0.05429936481</v>
      </c>
      <c r="I349" s="218">
        <f t="shared" si="69"/>
        <v>0.0002468152946</v>
      </c>
      <c r="J349" s="218">
        <f t="shared" si="71"/>
        <v>0.004000774595</v>
      </c>
      <c r="K349" s="18"/>
      <c r="L349" s="168">
        <v>1.12</v>
      </c>
      <c r="M349" s="168">
        <v>0.0</v>
      </c>
      <c r="N349" s="168">
        <v>0.0</v>
      </c>
      <c r="O349" s="18"/>
      <c r="P349" s="29" t="s">
        <v>251</v>
      </c>
      <c r="Q349" s="31">
        <v>2.7273</v>
      </c>
      <c r="R349" s="87">
        <v>1.12</v>
      </c>
      <c r="S349" s="29">
        <v>2.5</v>
      </c>
      <c r="T349" s="29">
        <v>1.0</v>
      </c>
      <c r="U349" s="29">
        <v>16.8</v>
      </c>
      <c r="V349" s="219">
        <f t="shared" si="70"/>
        <v>0.0002332585309</v>
      </c>
      <c r="W349" s="218">
        <f t="shared" si="72"/>
        <v>0.003782691123</v>
      </c>
      <c r="X349" s="217"/>
    </row>
    <row r="350">
      <c r="A350" s="29" t="s">
        <v>252</v>
      </c>
      <c r="B350" s="31">
        <v>1.8182</v>
      </c>
      <c r="C350" s="168">
        <f t="shared" si="67"/>
        <v>1.085</v>
      </c>
      <c r="D350" s="29">
        <v>2.5</v>
      </c>
      <c r="E350" s="29">
        <v>0.0088882</v>
      </c>
      <c r="F350" s="29">
        <v>1.345E-4</v>
      </c>
      <c r="G350" s="29">
        <v>1.0</v>
      </c>
      <c r="H350" s="31">
        <f t="shared" si="68"/>
        <v>0.03506833977</v>
      </c>
      <c r="I350" s="218">
        <f t="shared" si="69"/>
        <v>0.0001594015444</v>
      </c>
      <c r="J350" s="218">
        <f t="shared" si="71"/>
        <v>0.004160176139</v>
      </c>
      <c r="K350" s="18"/>
      <c r="L350" s="168">
        <v>1.085</v>
      </c>
      <c r="M350" s="168">
        <v>0.0</v>
      </c>
      <c r="N350" s="168">
        <v>0.0</v>
      </c>
      <c r="O350" s="18"/>
      <c r="P350" s="29" t="s">
        <v>252</v>
      </c>
      <c r="Q350" s="31">
        <v>1.8182</v>
      </c>
      <c r="R350" s="87">
        <v>1.085</v>
      </c>
      <c r="S350" s="29">
        <v>2.5</v>
      </c>
      <c r="T350" s="29">
        <v>1.0</v>
      </c>
      <c r="U350" s="29">
        <v>16.8</v>
      </c>
      <c r="V350" s="219">
        <f t="shared" si="70"/>
        <v>0.0001506461345</v>
      </c>
      <c r="W350" s="218">
        <f t="shared" si="72"/>
        <v>0.003933337258</v>
      </c>
      <c r="X350" s="217"/>
    </row>
    <row r="351">
      <c r="A351" s="29" t="s">
        <v>253</v>
      </c>
      <c r="B351" s="31">
        <v>0.9091</v>
      </c>
      <c r="C351" s="168">
        <f t="shared" si="67"/>
        <v>1.081</v>
      </c>
      <c r="D351" s="29">
        <v>2.5</v>
      </c>
      <c r="E351" s="29">
        <v>0.0088882</v>
      </c>
      <c r="F351" s="29">
        <v>1.345E-4</v>
      </c>
      <c r="G351" s="29">
        <v>1.0</v>
      </c>
      <c r="H351" s="31">
        <f t="shared" si="68"/>
        <v>0.01746952778</v>
      </c>
      <c r="I351" s="218">
        <f t="shared" si="69"/>
        <v>0.00007940694447</v>
      </c>
      <c r="J351" s="218">
        <f t="shared" si="71"/>
        <v>0.004239583084</v>
      </c>
      <c r="K351" s="18"/>
      <c r="L351" s="168">
        <v>1.081</v>
      </c>
      <c r="M351" s="168">
        <v>0.0</v>
      </c>
      <c r="N351" s="168">
        <v>0.0</v>
      </c>
      <c r="O351" s="18"/>
      <c r="P351" s="29" t="s">
        <v>253</v>
      </c>
      <c r="Q351" s="31">
        <v>0.9091</v>
      </c>
      <c r="R351" s="87">
        <v>1.081</v>
      </c>
      <c r="S351" s="29">
        <v>2.5</v>
      </c>
      <c r="T351" s="29">
        <v>1.0</v>
      </c>
      <c r="U351" s="29">
        <v>16.8</v>
      </c>
      <c r="V351" s="219">
        <f t="shared" si="70"/>
        <v>0.00007504537855</v>
      </c>
      <c r="W351" s="218">
        <f t="shared" si="72"/>
        <v>0.004008382636</v>
      </c>
      <c r="X351" s="217"/>
    </row>
    <row r="352">
      <c r="A352" s="216" t="s">
        <v>214</v>
      </c>
      <c r="B352" s="7"/>
      <c r="C352" s="7"/>
      <c r="D352" s="7"/>
      <c r="E352" s="7"/>
      <c r="F352" s="7"/>
      <c r="G352" s="7"/>
      <c r="H352" s="7"/>
      <c r="I352" s="7"/>
      <c r="J352" s="7"/>
      <c r="K352" s="18"/>
      <c r="L352" s="18"/>
      <c r="M352" s="18"/>
      <c r="N352" s="18"/>
      <c r="O352" s="18"/>
      <c r="P352" s="216" t="s">
        <v>214</v>
      </c>
      <c r="Q352" s="7"/>
      <c r="R352" s="7"/>
      <c r="S352" s="7"/>
      <c r="T352" s="7"/>
      <c r="U352" s="7"/>
      <c r="V352" s="7"/>
      <c r="W352" s="8"/>
      <c r="X352" s="217"/>
    </row>
    <row r="353">
      <c r="A353" s="97" t="s">
        <v>254</v>
      </c>
      <c r="B353" s="97" t="s">
        <v>142</v>
      </c>
      <c r="C353" s="97" t="s">
        <v>143</v>
      </c>
      <c r="D353" s="97" t="s">
        <v>144</v>
      </c>
      <c r="E353" s="97" t="s">
        <v>145</v>
      </c>
      <c r="F353" s="97" t="s">
        <v>146</v>
      </c>
      <c r="G353" s="97" t="s">
        <v>45</v>
      </c>
      <c r="H353" s="97" t="s">
        <v>147</v>
      </c>
      <c r="I353" s="97" t="s">
        <v>148</v>
      </c>
      <c r="J353" s="97" t="s">
        <v>149</v>
      </c>
      <c r="K353" s="18"/>
      <c r="L353" s="166" t="s">
        <v>150</v>
      </c>
      <c r="M353" s="99" t="s">
        <v>151</v>
      </c>
      <c r="N353" s="99" t="s">
        <v>152</v>
      </c>
      <c r="O353" s="18"/>
      <c r="P353" s="97" t="s">
        <v>254</v>
      </c>
      <c r="Q353" s="97" t="s">
        <v>142</v>
      </c>
      <c r="R353" s="97" t="s">
        <v>143</v>
      </c>
      <c r="S353" s="97" t="s">
        <v>144</v>
      </c>
      <c r="T353" s="97" t="s">
        <v>45</v>
      </c>
      <c r="U353" s="97" t="s">
        <v>156</v>
      </c>
      <c r="V353" s="97" t="s">
        <v>148</v>
      </c>
      <c r="W353" s="97" t="s">
        <v>149</v>
      </c>
      <c r="X353" s="217"/>
    </row>
    <row r="354">
      <c r="A354" s="29" t="s">
        <v>255</v>
      </c>
      <c r="B354" s="31">
        <v>4.5455</v>
      </c>
      <c r="C354" s="168">
        <f t="shared" ref="C354:C358" si="73">L354+(M354*1.5)+N354</f>
        <v>17.466</v>
      </c>
      <c r="D354" s="29">
        <v>2.5</v>
      </c>
      <c r="E354" s="29">
        <v>0.0088882</v>
      </c>
      <c r="F354" s="29">
        <v>1.345E-4</v>
      </c>
      <c r="G354" s="29">
        <v>1.0</v>
      </c>
      <c r="H354" s="31">
        <f t="shared" ref="H354:H358" si="74">2*B354*C354*(E354*G354+F354*SIN(ACOS(G354)))</f>
        <v>1.411298669</v>
      </c>
      <c r="I354" s="218">
        <f t="shared" ref="I354:I358" si="75">H354/220</f>
        <v>0.006414993951</v>
      </c>
      <c r="J354" s="218">
        <f>I354</f>
        <v>0.006414993951</v>
      </c>
      <c r="K354" s="18"/>
      <c r="L354" s="168">
        <v>9.966</v>
      </c>
      <c r="M354" s="168">
        <v>4.0</v>
      </c>
      <c r="N354" s="168">
        <v>1.5</v>
      </c>
      <c r="O354" s="18"/>
      <c r="P354" s="29" t="s">
        <v>255</v>
      </c>
      <c r="Q354" s="31">
        <v>4.5455</v>
      </c>
      <c r="R354" s="87">
        <v>17.47</v>
      </c>
      <c r="S354" s="29">
        <v>2.5</v>
      </c>
      <c r="T354" s="29">
        <v>1.0</v>
      </c>
      <c r="U354" s="29">
        <v>16.8</v>
      </c>
      <c r="V354" s="219">
        <f t="shared" ref="V354:V358" si="76">(U354*Q354*R354/1000)/220</f>
        <v>0.006064027582</v>
      </c>
      <c r="W354" s="218">
        <f>V354</f>
        <v>0.006064027582</v>
      </c>
      <c r="X354" s="217"/>
    </row>
    <row r="355">
      <c r="A355" s="29" t="s">
        <v>256</v>
      </c>
      <c r="B355" s="31">
        <v>3.6364</v>
      </c>
      <c r="C355" s="168">
        <f t="shared" si="73"/>
        <v>1</v>
      </c>
      <c r="D355" s="29">
        <v>2.5</v>
      </c>
      <c r="E355" s="29">
        <v>0.0088882</v>
      </c>
      <c r="F355" s="29">
        <v>1.345E-4</v>
      </c>
      <c r="G355" s="29">
        <v>1.0</v>
      </c>
      <c r="H355" s="31">
        <f t="shared" si="74"/>
        <v>0.06464210096</v>
      </c>
      <c r="I355" s="218">
        <f t="shared" si="75"/>
        <v>0.0002938277316</v>
      </c>
      <c r="J355" s="218">
        <f t="shared" ref="J355:J358" si="77">J354+I355</f>
        <v>0.006708821683</v>
      </c>
      <c r="K355" s="18"/>
      <c r="L355" s="168">
        <v>1.0</v>
      </c>
      <c r="M355" s="168">
        <v>0.0</v>
      </c>
      <c r="N355" s="168">
        <v>0.0</v>
      </c>
      <c r="O355" s="18"/>
      <c r="P355" s="29" t="s">
        <v>256</v>
      </c>
      <c r="Q355" s="31">
        <v>3.6364</v>
      </c>
      <c r="R355" s="87">
        <v>1.0</v>
      </c>
      <c r="S355" s="29">
        <v>2.5</v>
      </c>
      <c r="T355" s="29">
        <v>1.0</v>
      </c>
      <c r="U355" s="29">
        <v>16.8</v>
      </c>
      <c r="V355" s="219">
        <f t="shared" si="76"/>
        <v>0.0002776887273</v>
      </c>
      <c r="W355" s="218">
        <f t="shared" ref="W355:W358" si="78">W354+V355</f>
        <v>0.006341716309</v>
      </c>
      <c r="X355" s="217"/>
    </row>
    <row r="356">
      <c r="A356" s="29" t="s">
        <v>257</v>
      </c>
      <c r="B356" s="31">
        <v>2.7273</v>
      </c>
      <c r="C356" s="168">
        <f t="shared" si="73"/>
        <v>1</v>
      </c>
      <c r="D356" s="29">
        <v>2.5</v>
      </c>
      <c r="E356" s="29">
        <v>0.0088882</v>
      </c>
      <c r="F356" s="29">
        <v>1.345E-4</v>
      </c>
      <c r="G356" s="29">
        <v>1.0</v>
      </c>
      <c r="H356" s="31">
        <f t="shared" si="74"/>
        <v>0.04848157572</v>
      </c>
      <c r="I356" s="218">
        <f t="shared" si="75"/>
        <v>0.0002203707987</v>
      </c>
      <c r="J356" s="218">
        <f t="shared" si="77"/>
        <v>0.006929192481</v>
      </c>
      <c r="K356" s="18"/>
      <c r="L356" s="168">
        <v>1.0</v>
      </c>
      <c r="M356" s="168">
        <v>0.0</v>
      </c>
      <c r="N356" s="168">
        <v>0.0</v>
      </c>
      <c r="O356" s="18"/>
      <c r="P356" s="29" t="s">
        <v>257</v>
      </c>
      <c r="Q356" s="31">
        <v>2.7273</v>
      </c>
      <c r="R356" s="87">
        <v>1.0</v>
      </c>
      <c r="S356" s="29">
        <v>2.5</v>
      </c>
      <c r="T356" s="29">
        <v>1.0</v>
      </c>
      <c r="U356" s="29">
        <v>16.8</v>
      </c>
      <c r="V356" s="219">
        <f t="shared" si="76"/>
        <v>0.0002082665455</v>
      </c>
      <c r="W356" s="218">
        <f t="shared" si="78"/>
        <v>0.006549982855</v>
      </c>
      <c r="X356" s="217"/>
    </row>
    <row r="357">
      <c r="A357" s="29" t="s">
        <v>258</v>
      </c>
      <c r="B357" s="31">
        <v>1.8182</v>
      </c>
      <c r="C357" s="168">
        <f t="shared" si="73"/>
        <v>1</v>
      </c>
      <c r="D357" s="29">
        <v>2.5</v>
      </c>
      <c r="E357" s="29">
        <v>0.0088882</v>
      </c>
      <c r="F357" s="29">
        <v>1.345E-4</v>
      </c>
      <c r="G357" s="29">
        <v>1.0</v>
      </c>
      <c r="H357" s="31">
        <f t="shared" si="74"/>
        <v>0.03232105048</v>
      </c>
      <c r="I357" s="218">
        <f t="shared" si="75"/>
        <v>0.0001469138658</v>
      </c>
      <c r="J357" s="218">
        <f t="shared" si="77"/>
        <v>0.007076106347</v>
      </c>
      <c r="K357" s="18"/>
      <c r="L357" s="168">
        <v>1.0</v>
      </c>
      <c r="M357" s="168">
        <v>0.0</v>
      </c>
      <c r="N357" s="168">
        <v>0.0</v>
      </c>
      <c r="O357" s="18"/>
      <c r="P357" s="29" t="s">
        <v>258</v>
      </c>
      <c r="Q357" s="31">
        <v>1.8182</v>
      </c>
      <c r="R357" s="87">
        <v>1.0</v>
      </c>
      <c r="S357" s="29">
        <v>2.5</v>
      </c>
      <c r="T357" s="29">
        <v>1.0</v>
      </c>
      <c r="U357" s="29">
        <v>16.8</v>
      </c>
      <c r="V357" s="219">
        <f t="shared" si="76"/>
        <v>0.0001388443636</v>
      </c>
      <c r="W357" s="218">
        <f t="shared" si="78"/>
        <v>0.006688827218</v>
      </c>
      <c r="X357" s="217"/>
    </row>
    <row r="358">
      <c r="A358" s="29" t="s">
        <v>259</v>
      </c>
      <c r="B358" s="31">
        <v>0.9091</v>
      </c>
      <c r="C358" s="168">
        <f t="shared" si="73"/>
        <v>1</v>
      </c>
      <c r="D358" s="29">
        <v>2.5</v>
      </c>
      <c r="E358" s="29">
        <v>0.0088882</v>
      </c>
      <c r="F358" s="29">
        <v>1.345E-4</v>
      </c>
      <c r="G358" s="29">
        <v>1.0</v>
      </c>
      <c r="H358" s="31">
        <f t="shared" si="74"/>
        <v>0.01616052524</v>
      </c>
      <c r="I358" s="218">
        <f t="shared" si="75"/>
        <v>0.00007345693291</v>
      </c>
      <c r="J358" s="218">
        <f t="shared" si="77"/>
        <v>0.00714956328</v>
      </c>
      <c r="K358" s="18"/>
      <c r="L358" s="168">
        <v>1.0</v>
      </c>
      <c r="M358" s="168">
        <v>0.0</v>
      </c>
      <c r="N358" s="168">
        <v>0.0</v>
      </c>
      <c r="O358" s="18"/>
      <c r="P358" s="29" t="s">
        <v>259</v>
      </c>
      <c r="Q358" s="31">
        <v>0.9091</v>
      </c>
      <c r="R358" s="87">
        <v>1.0</v>
      </c>
      <c r="S358" s="29">
        <v>2.5</v>
      </c>
      <c r="T358" s="29">
        <v>1.0</v>
      </c>
      <c r="U358" s="29">
        <v>16.8</v>
      </c>
      <c r="V358" s="219">
        <f t="shared" si="76"/>
        <v>0.00006942218182</v>
      </c>
      <c r="W358" s="218">
        <f t="shared" si="78"/>
        <v>0.0067582494</v>
      </c>
      <c r="X358" s="217"/>
    </row>
    <row r="359">
      <c r="A359" s="216" t="s">
        <v>214</v>
      </c>
      <c r="B359" s="7"/>
      <c r="C359" s="7"/>
      <c r="D359" s="7"/>
      <c r="E359" s="7"/>
      <c r="F359" s="7"/>
      <c r="G359" s="7"/>
      <c r="H359" s="7"/>
      <c r="I359" s="7"/>
      <c r="J359" s="7"/>
      <c r="K359" s="18"/>
      <c r="L359" s="18"/>
      <c r="M359" s="18"/>
      <c r="N359" s="18"/>
      <c r="O359" s="18"/>
      <c r="P359" s="216" t="s">
        <v>214</v>
      </c>
      <c r="Q359" s="7"/>
      <c r="R359" s="7"/>
      <c r="S359" s="7"/>
      <c r="T359" s="7"/>
      <c r="U359" s="7"/>
      <c r="V359" s="7"/>
      <c r="W359" s="8"/>
      <c r="X359" s="217"/>
    </row>
    <row r="360">
      <c r="A360" s="97" t="s">
        <v>260</v>
      </c>
      <c r="B360" s="97" t="s">
        <v>142</v>
      </c>
      <c r="C360" s="97" t="s">
        <v>143</v>
      </c>
      <c r="D360" s="97" t="s">
        <v>144</v>
      </c>
      <c r="E360" s="97" t="s">
        <v>145</v>
      </c>
      <c r="F360" s="97" t="s">
        <v>146</v>
      </c>
      <c r="G360" s="97" t="s">
        <v>45</v>
      </c>
      <c r="H360" s="97" t="s">
        <v>147</v>
      </c>
      <c r="I360" s="97" t="s">
        <v>148</v>
      </c>
      <c r="J360" s="97" t="s">
        <v>149</v>
      </c>
      <c r="K360" s="18"/>
      <c r="L360" s="166" t="s">
        <v>150</v>
      </c>
      <c r="M360" s="99" t="s">
        <v>151</v>
      </c>
      <c r="N360" s="99" t="s">
        <v>152</v>
      </c>
      <c r="O360" s="18"/>
      <c r="P360" s="97" t="s">
        <v>260</v>
      </c>
      <c r="Q360" s="97" t="s">
        <v>142</v>
      </c>
      <c r="R360" s="97" t="s">
        <v>143</v>
      </c>
      <c r="S360" s="97" t="s">
        <v>144</v>
      </c>
      <c r="T360" s="97" t="s">
        <v>45</v>
      </c>
      <c r="U360" s="97" t="s">
        <v>156</v>
      </c>
      <c r="V360" s="97" t="s">
        <v>148</v>
      </c>
      <c r="W360" s="97" t="s">
        <v>149</v>
      </c>
      <c r="X360" s="217"/>
    </row>
    <row r="361">
      <c r="A361" s="29" t="s">
        <v>261</v>
      </c>
      <c r="B361" s="31">
        <v>6.8182</v>
      </c>
      <c r="C361" s="168">
        <f>L361+(M361*1.5)+N361</f>
        <v>7.2</v>
      </c>
      <c r="D361" s="29">
        <v>2.5</v>
      </c>
      <c r="E361" s="29">
        <v>0.0088882</v>
      </c>
      <c r="F361" s="29">
        <v>1.345E-4</v>
      </c>
      <c r="G361" s="29">
        <v>0.9</v>
      </c>
      <c r="H361" s="31">
        <f>2*B361*C361*(E361*G361+F361*SIN(ACOS(G361)))</f>
        <v>0.7911519066</v>
      </c>
      <c r="I361" s="218">
        <f>H361/220</f>
        <v>0.00359614503</v>
      </c>
      <c r="J361" s="218">
        <f>I361</f>
        <v>0.00359614503</v>
      </c>
      <c r="K361" s="18"/>
      <c r="L361" s="168">
        <v>2.7</v>
      </c>
      <c r="M361" s="168">
        <v>2.0</v>
      </c>
      <c r="N361" s="168">
        <v>1.5</v>
      </c>
      <c r="O361" s="18"/>
      <c r="P361" s="29" t="s">
        <v>261</v>
      </c>
      <c r="Q361" s="31">
        <v>6.8182</v>
      </c>
      <c r="R361" s="87">
        <v>7.2</v>
      </c>
      <c r="S361" s="29">
        <v>2.5</v>
      </c>
      <c r="T361" s="29">
        <v>0.9</v>
      </c>
      <c r="U361" s="29">
        <v>16.8</v>
      </c>
      <c r="V361" s="219">
        <f>(U361*Q361*R361/1000)/220</f>
        <v>0.003748770327</v>
      </c>
      <c r="W361" s="218">
        <f>V361</f>
        <v>0.003748770327</v>
      </c>
      <c r="X361" s="217"/>
    </row>
    <row r="362">
      <c r="A362" s="216" t="s">
        <v>262</v>
      </c>
      <c r="B362" s="7"/>
      <c r="C362" s="7"/>
      <c r="D362" s="7"/>
      <c r="E362" s="7"/>
      <c r="F362" s="7"/>
      <c r="G362" s="7"/>
      <c r="H362" s="7"/>
      <c r="I362" s="7"/>
      <c r="J362" s="7"/>
      <c r="K362" s="18"/>
      <c r="L362" s="18"/>
      <c r="M362" s="18"/>
      <c r="N362" s="18"/>
      <c r="O362" s="18"/>
      <c r="P362" s="216" t="s">
        <v>262</v>
      </c>
      <c r="Q362" s="7"/>
      <c r="R362" s="7"/>
      <c r="S362" s="7"/>
      <c r="T362" s="7"/>
      <c r="U362" s="7"/>
      <c r="V362" s="7"/>
      <c r="W362" s="8"/>
      <c r="X362" s="217"/>
    </row>
    <row r="363">
      <c r="A363" s="97" t="s">
        <v>263</v>
      </c>
      <c r="B363" s="97" t="s">
        <v>142</v>
      </c>
      <c r="C363" s="97" t="s">
        <v>143</v>
      </c>
      <c r="D363" s="97" t="s">
        <v>144</v>
      </c>
      <c r="E363" s="97" t="s">
        <v>145</v>
      </c>
      <c r="F363" s="97" t="s">
        <v>146</v>
      </c>
      <c r="G363" s="97" t="s">
        <v>45</v>
      </c>
      <c r="H363" s="97" t="s">
        <v>147</v>
      </c>
      <c r="I363" s="97" t="s">
        <v>148</v>
      </c>
      <c r="J363" s="97" t="s">
        <v>149</v>
      </c>
      <c r="K363" s="18"/>
      <c r="L363" s="166" t="s">
        <v>150</v>
      </c>
      <c r="M363" s="99" t="s">
        <v>151</v>
      </c>
      <c r="N363" s="99" t="s">
        <v>152</v>
      </c>
      <c r="O363" s="18"/>
      <c r="P363" s="97" t="s">
        <v>263</v>
      </c>
      <c r="Q363" s="97" t="s">
        <v>142</v>
      </c>
      <c r="R363" s="97" t="s">
        <v>143</v>
      </c>
      <c r="S363" s="97" t="s">
        <v>144</v>
      </c>
      <c r="T363" s="97" t="s">
        <v>45</v>
      </c>
      <c r="U363" s="97" t="s">
        <v>156</v>
      </c>
      <c r="V363" s="97" t="s">
        <v>148</v>
      </c>
      <c r="W363" s="97" t="s">
        <v>149</v>
      </c>
      <c r="X363" s="217"/>
    </row>
    <row r="364">
      <c r="A364" s="29" t="s">
        <v>264</v>
      </c>
      <c r="B364" s="31">
        <v>7.2727</v>
      </c>
      <c r="C364" s="168">
        <f t="shared" ref="C364:C371" si="79">L364+(M364*1.5)+N364</f>
        <v>11.585</v>
      </c>
      <c r="D364" s="29">
        <v>2.5</v>
      </c>
      <c r="E364" s="29">
        <v>0.0088882</v>
      </c>
      <c r="F364" s="29">
        <v>1.345E-4</v>
      </c>
      <c r="G364" s="29">
        <v>1.0</v>
      </c>
      <c r="H364" s="31">
        <f t="shared" ref="H364:H371" si="80">2*B364*C364*(E364*G364+F364*SIN(ACOS(G364)))</f>
        <v>1.497736885</v>
      </c>
      <c r="I364" s="218">
        <f t="shared" ref="I364:I371" si="81">H364/220</f>
        <v>0.006807894933</v>
      </c>
      <c r="J364" s="218">
        <f>I364</f>
        <v>0.006807894933</v>
      </c>
      <c r="K364" s="18"/>
      <c r="L364" s="168">
        <v>7.085</v>
      </c>
      <c r="M364" s="168">
        <v>2.0</v>
      </c>
      <c r="N364" s="168">
        <v>1.5</v>
      </c>
      <c r="O364" s="18"/>
      <c r="P364" s="29" t="s">
        <v>264</v>
      </c>
      <c r="Q364" s="31">
        <v>7.2727</v>
      </c>
      <c r="R364" s="87">
        <v>11.59</v>
      </c>
      <c r="S364" s="29">
        <v>2.5</v>
      </c>
      <c r="T364" s="29">
        <v>1.0</v>
      </c>
      <c r="U364" s="29">
        <v>16.8</v>
      </c>
      <c r="V364" s="219">
        <f t="shared" ref="V364:V371" si="82">(U364*Q364*R364/1000)/220</f>
        <v>0.006436736193</v>
      </c>
      <c r="W364" s="218">
        <f>V364</f>
        <v>0.006436736193</v>
      </c>
      <c r="X364" s="217"/>
    </row>
    <row r="365">
      <c r="A365" s="29" t="s">
        <v>265</v>
      </c>
      <c r="B365" s="31">
        <v>6.3636</v>
      </c>
      <c r="C365" s="168">
        <f t="shared" si="79"/>
        <v>1</v>
      </c>
      <c r="D365" s="29">
        <v>2.5</v>
      </c>
      <c r="E365" s="29">
        <v>0.0088882</v>
      </c>
      <c r="F365" s="29">
        <v>1.345E-4</v>
      </c>
      <c r="G365" s="29">
        <v>1.0</v>
      </c>
      <c r="H365" s="31">
        <f t="shared" si="80"/>
        <v>0.113121899</v>
      </c>
      <c r="I365" s="218">
        <f t="shared" si="81"/>
        <v>0.0005141904502</v>
      </c>
      <c r="J365" s="218">
        <f t="shared" ref="J365:J371" si="83">J364+I365</f>
        <v>0.007322085383</v>
      </c>
      <c r="K365" s="18"/>
      <c r="L365" s="168">
        <v>1.0</v>
      </c>
      <c r="M365" s="168">
        <v>0.0</v>
      </c>
      <c r="N365" s="168">
        <v>0.0</v>
      </c>
      <c r="O365" s="18"/>
      <c r="P365" s="29" t="s">
        <v>265</v>
      </c>
      <c r="Q365" s="31">
        <v>6.3636</v>
      </c>
      <c r="R365" s="87">
        <v>1.0</v>
      </c>
      <c r="S365" s="29">
        <v>2.5</v>
      </c>
      <c r="T365" s="29">
        <v>1.0</v>
      </c>
      <c r="U365" s="29">
        <v>16.8</v>
      </c>
      <c r="V365" s="219">
        <f t="shared" si="82"/>
        <v>0.0004859476364</v>
      </c>
      <c r="W365" s="218">
        <f t="shared" ref="W365:W371" si="84">W364+V365</f>
        <v>0.006922683829</v>
      </c>
      <c r="X365" s="217"/>
    </row>
    <row r="366">
      <c r="A366" s="29" t="s">
        <v>266</v>
      </c>
      <c r="B366" s="31">
        <v>5.4545</v>
      </c>
      <c r="C366" s="168">
        <f t="shared" si="79"/>
        <v>1</v>
      </c>
      <c r="D366" s="29">
        <v>2.5</v>
      </c>
      <c r="E366" s="29">
        <v>0.0088882</v>
      </c>
      <c r="F366" s="29">
        <v>1.345E-4</v>
      </c>
      <c r="G366" s="29">
        <v>1.0</v>
      </c>
      <c r="H366" s="31">
        <f t="shared" si="80"/>
        <v>0.0969613738</v>
      </c>
      <c r="I366" s="218">
        <f t="shared" si="81"/>
        <v>0.0004407335173</v>
      </c>
      <c r="J366" s="218">
        <f t="shared" si="83"/>
        <v>0.007762818901</v>
      </c>
      <c r="K366" s="18"/>
      <c r="L366" s="168">
        <v>1.0</v>
      </c>
      <c r="M366" s="168">
        <v>0.0</v>
      </c>
      <c r="N366" s="168">
        <v>0.0</v>
      </c>
      <c r="O366" s="18"/>
      <c r="P366" s="29" t="s">
        <v>266</v>
      </c>
      <c r="Q366" s="31">
        <v>5.4545</v>
      </c>
      <c r="R366" s="87">
        <v>1.0</v>
      </c>
      <c r="S366" s="29">
        <v>2.5</v>
      </c>
      <c r="T366" s="29">
        <v>1.0</v>
      </c>
      <c r="U366" s="29">
        <v>16.8</v>
      </c>
      <c r="V366" s="219">
        <f t="shared" si="82"/>
        <v>0.0004165254545</v>
      </c>
      <c r="W366" s="218">
        <f t="shared" si="84"/>
        <v>0.007339209284</v>
      </c>
      <c r="X366" s="217"/>
    </row>
    <row r="367">
      <c r="A367" s="29" t="s">
        <v>267</v>
      </c>
      <c r="B367" s="31">
        <v>4.5455</v>
      </c>
      <c r="C367" s="168">
        <f t="shared" si="79"/>
        <v>1</v>
      </c>
      <c r="D367" s="29">
        <v>2.5</v>
      </c>
      <c r="E367" s="29">
        <v>0.0088882</v>
      </c>
      <c r="F367" s="29">
        <v>1.345E-4</v>
      </c>
      <c r="G367" s="29">
        <v>1.0</v>
      </c>
      <c r="H367" s="31">
        <f t="shared" si="80"/>
        <v>0.0808026262</v>
      </c>
      <c r="I367" s="218">
        <f t="shared" si="81"/>
        <v>0.0003672846645</v>
      </c>
      <c r="J367" s="218">
        <f t="shared" si="83"/>
        <v>0.008130103565</v>
      </c>
      <c r="K367" s="18"/>
      <c r="L367" s="168">
        <v>1.0</v>
      </c>
      <c r="M367" s="168">
        <v>0.0</v>
      </c>
      <c r="N367" s="168">
        <v>0.0</v>
      </c>
      <c r="O367" s="18"/>
      <c r="P367" s="29" t="s">
        <v>267</v>
      </c>
      <c r="Q367" s="31">
        <v>4.5455</v>
      </c>
      <c r="R367" s="87">
        <v>1.0</v>
      </c>
      <c r="S367" s="29">
        <v>2.5</v>
      </c>
      <c r="T367" s="29">
        <v>1.0</v>
      </c>
      <c r="U367" s="29">
        <v>16.8</v>
      </c>
      <c r="V367" s="219">
        <f t="shared" si="82"/>
        <v>0.0003471109091</v>
      </c>
      <c r="W367" s="218">
        <f t="shared" si="84"/>
        <v>0.007686320193</v>
      </c>
      <c r="X367" s="217"/>
    </row>
    <row r="368">
      <c r="A368" s="29" t="s">
        <v>268</v>
      </c>
      <c r="B368" s="31">
        <v>3.6364</v>
      </c>
      <c r="C368" s="168">
        <f t="shared" si="79"/>
        <v>1</v>
      </c>
      <c r="D368" s="29">
        <v>2.5</v>
      </c>
      <c r="E368" s="29">
        <v>0.0088882</v>
      </c>
      <c r="F368" s="29">
        <v>1.345E-4</v>
      </c>
      <c r="G368" s="29">
        <v>1.0</v>
      </c>
      <c r="H368" s="31">
        <f t="shared" si="80"/>
        <v>0.06464210096</v>
      </c>
      <c r="I368" s="218">
        <f t="shared" si="81"/>
        <v>0.0002938277316</v>
      </c>
      <c r="J368" s="218">
        <f t="shared" si="83"/>
        <v>0.008423931297</v>
      </c>
      <c r="K368" s="18"/>
      <c r="L368" s="168">
        <v>1.0</v>
      </c>
      <c r="M368" s="168">
        <v>0.0</v>
      </c>
      <c r="N368" s="168">
        <v>0.0</v>
      </c>
      <c r="O368" s="18"/>
      <c r="P368" s="29" t="s">
        <v>268</v>
      </c>
      <c r="Q368" s="31">
        <v>3.6364</v>
      </c>
      <c r="R368" s="87">
        <v>1.0</v>
      </c>
      <c r="S368" s="29">
        <v>2.5</v>
      </c>
      <c r="T368" s="29">
        <v>1.0</v>
      </c>
      <c r="U368" s="29">
        <v>16.8</v>
      </c>
      <c r="V368" s="219">
        <f t="shared" si="82"/>
        <v>0.0002776887273</v>
      </c>
      <c r="W368" s="218">
        <f t="shared" si="84"/>
        <v>0.00796400892</v>
      </c>
      <c r="X368" s="217"/>
    </row>
    <row r="369">
      <c r="A369" s="29" t="s">
        <v>269</v>
      </c>
      <c r="B369" s="31">
        <v>2.7273</v>
      </c>
      <c r="C369" s="168">
        <f t="shared" si="79"/>
        <v>4.331</v>
      </c>
      <c r="D369" s="29">
        <v>2.5</v>
      </c>
      <c r="E369" s="29">
        <v>0.0088882</v>
      </c>
      <c r="F369" s="29">
        <v>1.345E-4</v>
      </c>
      <c r="G369" s="29">
        <v>1.0</v>
      </c>
      <c r="H369" s="31">
        <f t="shared" si="80"/>
        <v>0.2099737044</v>
      </c>
      <c r="I369" s="218">
        <f t="shared" si="81"/>
        <v>0.0009544259293</v>
      </c>
      <c r="J369" s="218">
        <f t="shared" si="83"/>
        <v>0.009378357226</v>
      </c>
      <c r="K369" s="18"/>
      <c r="L369" s="168">
        <v>1.331</v>
      </c>
      <c r="M369" s="168">
        <v>2.0</v>
      </c>
      <c r="N369" s="168">
        <v>0.0</v>
      </c>
      <c r="O369" s="18"/>
      <c r="P369" s="29" t="s">
        <v>269</v>
      </c>
      <c r="Q369" s="31">
        <v>2.7273</v>
      </c>
      <c r="R369" s="87">
        <v>4.33</v>
      </c>
      <c r="S369" s="29">
        <v>2.5</v>
      </c>
      <c r="T369" s="29">
        <v>1.0</v>
      </c>
      <c r="U369" s="29">
        <v>16.8</v>
      </c>
      <c r="V369" s="219">
        <f t="shared" si="82"/>
        <v>0.0009017941418</v>
      </c>
      <c r="W369" s="218">
        <f t="shared" si="84"/>
        <v>0.008865803062</v>
      </c>
      <c r="X369" s="217"/>
    </row>
    <row r="370">
      <c r="A370" s="29" t="s">
        <v>270</v>
      </c>
      <c r="B370" s="31">
        <v>1.8182</v>
      </c>
      <c r="C370" s="168">
        <f t="shared" si="79"/>
        <v>4.4</v>
      </c>
      <c r="D370" s="29">
        <v>2.5</v>
      </c>
      <c r="E370" s="29">
        <v>0.0088882</v>
      </c>
      <c r="F370" s="29">
        <v>1.345E-4</v>
      </c>
      <c r="G370" s="29">
        <v>1.0</v>
      </c>
      <c r="H370" s="31">
        <f t="shared" si="80"/>
        <v>0.1422126221</v>
      </c>
      <c r="I370" s="218">
        <f t="shared" si="81"/>
        <v>0.0006464210096</v>
      </c>
      <c r="J370" s="218">
        <f t="shared" si="83"/>
        <v>0.01002477824</v>
      </c>
      <c r="K370" s="18"/>
      <c r="L370" s="168">
        <v>1.4</v>
      </c>
      <c r="M370" s="168">
        <v>2.0</v>
      </c>
      <c r="N370" s="168">
        <v>0.0</v>
      </c>
      <c r="O370" s="18"/>
      <c r="P370" s="29" t="s">
        <v>270</v>
      </c>
      <c r="Q370" s="31">
        <v>1.8182</v>
      </c>
      <c r="R370" s="87">
        <v>4.4</v>
      </c>
      <c r="S370" s="29">
        <v>2.5</v>
      </c>
      <c r="T370" s="29">
        <v>1.0</v>
      </c>
      <c r="U370" s="29">
        <v>16.8</v>
      </c>
      <c r="V370" s="219">
        <f t="shared" si="82"/>
        <v>0.0006109152</v>
      </c>
      <c r="W370" s="218">
        <f t="shared" si="84"/>
        <v>0.009476718262</v>
      </c>
      <c r="X370" s="217"/>
    </row>
    <row r="371">
      <c r="A371" s="29" t="s">
        <v>271</v>
      </c>
      <c r="B371" s="31">
        <v>0.9091</v>
      </c>
      <c r="C371" s="168">
        <f t="shared" si="79"/>
        <v>5.1</v>
      </c>
      <c r="D371" s="29">
        <v>2.5</v>
      </c>
      <c r="E371" s="29">
        <v>0.0088882</v>
      </c>
      <c r="F371" s="29">
        <v>1.345E-4</v>
      </c>
      <c r="G371" s="29">
        <v>1.0</v>
      </c>
      <c r="H371" s="31">
        <f t="shared" si="80"/>
        <v>0.08241867872</v>
      </c>
      <c r="I371" s="218">
        <f t="shared" si="81"/>
        <v>0.0003746303578</v>
      </c>
      <c r="J371" s="218">
        <f t="shared" si="83"/>
        <v>0.01039940859</v>
      </c>
      <c r="K371" s="18"/>
      <c r="L371" s="168">
        <v>2.1</v>
      </c>
      <c r="M371" s="168">
        <v>2.0</v>
      </c>
      <c r="N371" s="168">
        <v>0.0</v>
      </c>
      <c r="O371" s="18"/>
      <c r="P371" s="29" t="s">
        <v>271</v>
      </c>
      <c r="Q371" s="31">
        <v>0.9091</v>
      </c>
      <c r="R371" s="87">
        <v>5.1</v>
      </c>
      <c r="S371" s="29">
        <v>2.5</v>
      </c>
      <c r="T371" s="29">
        <v>1.0</v>
      </c>
      <c r="U371" s="29">
        <v>16.8</v>
      </c>
      <c r="V371" s="219">
        <f t="shared" si="82"/>
        <v>0.0003540531273</v>
      </c>
      <c r="W371" s="218">
        <f t="shared" si="84"/>
        <v>0.009830771389</v>
      </c>
      <c r="X371" s="217"/>
    </row>
    <row r="372">
      <c r="A372" s="216" t="s">
        <v>272</v>
      </c>
      <c r="B372" s="7"/>
      <c r="C372" s="7"/>
      <c r="D372" s="7"/>
      <c r="E372" s="7"/>
      <c r="F372" s="7"/>
      <c r="G372" s="7"/>
      <c r="H372" s="7"/>
      <c r="I372" s="7"/>
      <c r="J372" s="7"/>
      <c r="K372" s="18"/>
      <c r="L372" s="18"/>
      <c r="M372" s="18"/>
      <c r="N372" s="18"/>
      <c r="O372" s="18"/>
      <c r="P372" s="216" t="s">
        <v>272</v>
      </c>
      <c r="Q372" s="7"/>
      <c r="R372" s="7"/>
      <c r="S372" s="7"/>
      <c r="T372" s="7"/>
      <c r="U372" s="7"/>
      <c r="V372" s="7"/>
      <c r="W372" s="8"/>
      <c r="X372" s="217"/>
    </row>
    <row r="373">
      <c r="A373" s="97" t="s">
        <v>273</v>
      </c>
      <c r="B373" s="97" t="s">
        <v>142</v>
      </c>
      <c r="C373" s="97" t="s">
        <v>143</v>
      </c>
      <c r="D373" s="97" t="s">
        <v>144</v>
      </c>
      <c r="E373" s="97" t="s">
        <v>145</v>
      </c>
      <c r="F373" s="97" t="s">
        <v>146</v>
      </c>
      <c r="G373" s="97" t="s">
        <v>45</v>
      </c>
      <c r="H373" s="97" t="s">
        <v>147</v>
      </c>
      <c r="I373" s="97" t="s">
        <v>148</v>
      </c>
      <c r="J373" s="97" t="s">
        <v>149</v>
      </c>
      <c r="K373" s="18"/>
      <c r="L373" s="166" t="s">
        <v>150</v>
      </c>
      <c r="M373" s="99" t="s">
        <v>151</v>
      </c>
      <c r="N373" s="99" t="s">
        <v>152</v>
      </c>
      <c r="O373" s="18"/>
      <c r="P373" s="97" t="s">
        <v>273</v>
      </c>
      <c r="Q373" s="97" t="s">
        <v>142</v>
      </c>
      <c r="R373" s="97" t="s">
        <v>143</v>
      </c>
      <c r="S373" s="97" t="s">
        <v>144</v>
      </c>
      <c r="T373" s="97" t="s">
        <v>45</v>
      </c>
      <c r="U373" s="97" t="s">
        <v>156</v>
      </c>
      <c r="V373" s="97" t="s">
        <v>148</v>
      </c>
      <c r="W373" s="97" t="s">
        <v>149</v>
      </c>
      <c r="X373" s="217"/>
    </row>
    <row r="374">
      <c r="A374" s="29" t="s">
        <v>274</v>
      </c>
      <c r="B374" s="31">
        <v>7.2727</v>
      </c>
      <c r="C374" s="168">
        <f t="shared" ref="C374:C383" si="85">L374+(M374*1.5)+N374</f>
        <v>4.691</v>
      </c>
      <c r="D374" s="29">
        <v>2.5</v>
      </c>
      <c r="E374" s="29">
        <v>0.0088882</v>
      </c>
      <c r="F374" s="29">
        <v>1.345E-4</v>
      </c>
      <c r="G374" s="29">
        <v>1.0</v>
      </c>
      <c r="H374" s="31">
        <f t="shared" ref="H374:H383" si="86">2*B374*C374*(E374*G374+F374*SIN(ACOS(G374)))</f>
        <v>0.6064638523</v>
      </c>
      <c r="I374" s="218">
        <f t="shared" ref="I374:I383" si="87">H374/220</f>
        <v>0.002756653874</v>
      </c>
      <c r="J374" s="218">
        <f>I374</f>
        <v>0.002756653874</v>
      </c>
      <c r="K374" s="18"/>
      <c r="L374" s="168">
        <v>1.691</v>
      </c>
      <c r="M374" s="168">
        <v>1.0</v>
      </c>
      <c r="N374" s="168">
        <v>1.5</v>
      </c>
      <c r="O374" s="18"/>
      <c r="P374" s="29" t="s">
        <v>275</v>
      </c>
      <c r="Q374" s="31">
        <v>7.2727</v>
      </c>
      <c r="R374" s="87">
        <v>4.77</v>
      </c>
      <c r="S374" s="29">
        <v>2.5</v>
      </c>
      <c r="T374" s="29">
        <v>1.0</v>
      </c>
      <c r="U374" s="29">
        <v>16.8</v>
      </c>
      <c r="V374" s="219">
        <f t="shared" ref="V374:V383" si="88">(U374*Q374*R374/1000)/220</f>
        <v>0.002649114033</v>
      </c>
      <c r="W374" s="218">
        <f>V374</f>
        <v>0.002649114033</v>
      </c>
      <c r="X374" s="217"/>
    </row>
    <row r="375">
      <c r="A375" s="29" t="s">
        <v>276</v>
      </c>
      <c r="B375" s="31">
        <v>6.3636</v>
      </c>
      <c r="C375" s="168">
        <f t="shared" si="85"/>
        <v>0.688</v>
      </c>
      <c r="D375" s="29">
        <v>2.5</v>
      </c>
      <c r="E375" s="29">
        <v>0.0088882</v>
      </c>
      <c r="F375" s="29">
        <v>1.345E-4</v>
      </c>
      <c r="G375" s="29">
        <v>1.0</v>
      </c>
      <c r="H375" s="31">
        <f t="shared" si="86"/>
        <v>0.07782786654</v>
      </c>
      <c r="I375" s="218">
        <f t="shared" si="87"/>
        <v>0.0003537630297</v>
      </c>
      <c r="J375" s="218">
        <f t="shared" ref="J375:J377" si="89">J374+I375</f>
        <v>0.003110416904</v>
      </c>
      <c r="K375" s="18"/>
      <c r="L375" s="168">
        <v>0.688</v>
      </c>
      <c r="M375" s="168">
        <v>0.0</v>
      </c>
      <c r="N375" s="168">
        <v>0.0</v>
      </c>
      <c r="O375" s="18"/>
      <c r="P375" s="29" t="s">
        <v>277</v>
      </c>
      <c r="Q375" s="31">
        <v>6.3636</v>
      </c>
      <c r="R375" s="87">
        <v>5.46</v>
      </c>
      <c r="S375" s="29">
        <v>2.5</v>
      </c>
      <c r="T375" s="29">
        <v>1.0</v>
      </c>
      <c r="U375" s="29">
        <v>16.8</v>
      </c>
      <c r="V375" s="219">
        <f t="shared" si="88"/>
        <v>0.002653274095</v>
      </c>
      <c r="W375" s="218">
        <f t="shared" ref="W375:W383" si="90">W374+V375</f>
        <v>0.005302388127</v>
      </c>
      <c r="X375" s="217"/>
    </row>
    <row r="376">
      <c r="A376" s="29" t="s">
        <v>278</v>
      </c>
      <c r="B376" s="31">
        <v>5.4545</v>
      </c>
      <c r="C376" s="168">
        <f t="shared" si="85"/>
        <v>0.502</v>
      </c>
      <c r="D376" s="29">
        <v>2.5</v>
      </c>
      <c r="E376" s="29">
        <v>0.0088882</v>
      </c>
      <c r="F376" s="29">
        <v>1.345E-4</v>
      </c>
      <c r="G376" s="29">
        <v>1.0</v>
      </c>
      <c r="H376" s="31">
        <f t="shared" si="86"/>
        <v>0.04867460965</v>
      </c>
      <c r="I376" s="218">
        <f t="shared" si="87"/>
        <v>0.0002212482257</v>
      </c>
      <c r="J376" s="218">
        <f t="shared" si="89"/>
        <v>0.003331665129</v>
      </c>
      <c r="K376" s="18"/>
      <c r="L376" s="168">
        <v>0.502</v>
      </c>
      <c r="M376" s="168">
        <v>0.0</v>
      </c>
      <c r="N376" s="168">
        <v>0.0</v>
      </c>
      <c r="O376" s="18"/>
      <c r="P376" s="29" t="s">
        <v>279</v>
      </c>
      <c r="Q376" s="31">
        <v>5.4545</v>
      </c>
      <c r="R376" s="87">
        <v>6.98</v>
      </c>
      <c r="S376" s="29">
        <v>2.5</v>
      </c>
      <c r="T376" s="29">
        <v>1.0</v>
      </c>
      <c r="U376" s="29">
        <v>16.8</v>
      </c>
      <c r="V376" s="219">
        <f t="shared" si="88"/>
        <v>0.002907347673</v>
      </c>
      <c r="W376" s="218">
        <f t="shared" si="90"/>
        <v>0.0082097358</v>
      </c>
      <c r="X376" s="217"/>
    </row>
    <row r="377">
      <c r="A377" s="29" t="s">
        <v>280</v>
      </c>
      <c r="B377" s="31">
        <v>2.7273</v>
      </c>
      <c r="C377" s="168">
        <f t="shared" si="85"/>
        <v>6.581</v>
      </c>
      <c r="D377" s="29">
        <v>2.5</v>
      </c>
      <c r="E377" s="29">
        <v>0.0088882</v>
      </c>
      <c r="F377" s="29">
        <v>1.345E-4</v>
      </c>
      <c r="G377" s="29">
        <v>1.0</v>
      </c>
      <c r="H377" s="31">
        <f t="shared" si="86"/>
        <v>0.3190572498</v>
      </c>
      <c r="I377" s="218">
        <f t="shared" si="87"/>
        <v>0.001450260226</v>
      </c>
      <c r="J377" s="218">
        <f t="shared" si="89"/>
        <v>0.004781925356</v>
      </c>
      <c r="K377" s="18"/>
      <c r="L377" s="168">
        <v>5.081</v>
      </c>
      <c r="M377" s="168">
        <v>1.0</v>
      </c>
      <c r="N377" s="168">
        <v>0.0</v>
      </c>
      <c r="O377" s="18"/>
      <c r="P377" s="29" t="s">
        <v>281</v>
      </c>
      <c r="Q377" s="31">
        <v>4.5455</v>
      </c>
      <c r="R377" s="87">
        <v>9.31</v>
      </c>
      <c r="S377" s="29">
        <v>2.5</v>
      </c>
      <c r="T377" s="29">
        <v>1.0</v>
      </c>
      <c r="U377" s="29">
        <v>16.8</v>
      </c>
      <c r="V377" s="219">
        <f t="shared" si="88"/>
        <v>0.003231602564</v>
      </c>
      <c r="W377" s="218">
        <f t="shared" si="90"/>
        <v>0.01144133836</v>
      </c>
      <c r="X377" s="217"/>
    </row>
    <row r="378">
      <c r="A378" s="29" t="s">
        <v>282</v>
      </c>
      <c r="B378" s="31">
        <v>2.7273</v>
      </c>
      <c r="C378" s="168">
        <f t="shared" si="85"/>
        <v>1.1</v>
      </c>
      <c r="D378" s="29">
        <v>2.5</v>
      </c>
      <c r="E378" s="29">
        <v>0.0088882</v>
      </c>
      <c r="F378" s="29">
        <v>1.345E-4</v>
      </c>
      <c r="G378" s="29">
        <v>1.0</v>
      </c>
      <c r="H378" s="31">
        <f t="shared" si="86"/>
        <v>0.05332973329</v>
      </c>
      <c r="I378" s="218">
        <f t="shared" si="87"/>
        <v>0.0002424078786</v>
      </c>
      <c r="J378" s="218">
        <f>J376+I378</f>
        <v>0.003574073008</v>
      </c>
      <c r="K378" s="18"/>
      <c r="L378" s="168">
        <v>1.1</v>
      </c>
      <c r="M378" s="168">
        <v>0.0</v>
      </c>
      <c r="N378" s="168">
        <v>0.0</v>
      </c>
      <c r="O378" s="18"/>
      <c r="P378" s="29" t="s">
        <v>283</v>
      </c>
      <c r="Q378" s="31">
        <v>3.6364</v>
      </c>
      <c r="R378" s="87">
        <v>10.31</v>
      </c>
      <c r="S378" s="29">
        <v>2.5</v>
      </c>
      <c r="T378" s="29">
        <v>1.0</v>
      </c>
      <c r="U378" s="29">
        <v>16.8</v>
      </c>
      <c r="V378" s="219">
        <f t="shared" si="88"/>
        <v>0.002862970778</v>
      </c>
      <c r="W378" s="218">
        <f t="shared" si="90"/>
        <v>0.01430430914</v>
      </c>
      <c r="X378" s="217"/>
    </row>
    <row r="379">
      <c r="A379" s="29" t="s">
        <v>284</v>
      </c>
      <c r="B379" s="31">
        <v>1.8182</v>
      </c>
      <c r="C379" s="168">
        <f t="shared" si="85"/>
        <v>1.673</v>
      </c>
      <c r="D379" s="29">
        <v>2.5</v>
      </c>
      <c r="E379" s="29">
        <v>0.0088882</v>
      </c>
      <c r="F379" s="29">
        <v>1.345E-4</v>
      </c>
      <c r="G379" s="29">
        <v>1.0</v>
      </c>
      <c r="H379" s="31">
        <f t="shared" si="86"/>
        <v>0.05407311745</v>
      </c>
      <c r="I379" s="218">
        <f t="shared" si="87"/>
        <v>0.0002457868975</v>
      </c>
      <c r="J379" s="218">
        <f t="shared" ref="J379:J381" si="91">J378+I379</f>
        <v>0.003819859906</v>
      </c>
      <c r="K379" s="18"/>
      <c r="L379" s="168">
        <v>1.673</v>
      </c>
      <c r="M379" s="168">
        <v>0.0</v>
      </c>
      <c r="N379" s="168">
        <v>0.0</v>
      </c>
      <c r="O379" s="18"/>
      <c r="P379" s="29" t="s">
        <v>285</v>
      </c>
      <c r="Q379" s="31">
        <v>2.7273</v>
      </c>
      <c r="R379" s="87">
        <v>15.42</v>
      </c>
      <c r="S379" s="29">
        <v>2.5</v>
      </c>
      <c r="T379" s="29">
        <v>1.0</v>
      </c>
      <c r="U379" s="29">
        <v>16.8</v>
      </c>
      <c r="V379" s="219">
        <f t="shared" si="88"/>
        <v>0.003211470131</v>
      </c>
      <c r="W379" s="218">
        <f t="shared" si="90"/>
        <v>0.01751577927</v>
      </c>
      <c r="X379" s="217"/>
    </row>
    <row r="380">
      <c r="A380" s="29" t="s">
        <v>286</v>
      </c>
      <c r="B380" s="31">
        <v>1.8182</v>
      </c>
      <c r="C380" s="168">
        <f t="shared" si="85"/>
        <v>2.075</v>
      </c>
      <c r="D380" s="29">
        <v>2.5</v>
      </c>
      <c r="E380" s="29">
        <v>0.0088882</v>
      </c>
      <c r="F380" s="29">
        <v>1.345E-4</v>
      </c>
      <c r="G380" s="29">
        <v>1.0</v>
      </c>
      <c r="H380" s="31">
        <f t="shared" si="86"/>
        <v>0.06706617975</v>
      </c>
      <c r="I380" s="218">
        <f t="shared" si="87"/>
        <v>0.0003048462716</v>
      </c>
      <c r="J380" s="218">
        <f t="shared" si="91"/>
        <v>0.004124706177</v>
      </c>
      <c r="K380" s="18"/>
      <c r="L380" s="168">
        <v>0.575</v>
      </c>
      <c r="M380" s="168">
        <v>1.0</v>
      </c>
      <c r="N380" s="168">
        <v>0.0</v>
      </c>
      <c r="O380" s="18"/>
      <c r="P380" s="29" t="s">
        <v>287</v>
      </c>
      <c r="Q380" s="31">
        <v>1.8182</v>
      </c>
      <c r="R380" s="87">
        <v>14.75</v>
      </c>
      <c r="S380" s="29">
        <v>2.5</v>
      </c>
      <c r="T380" s="29">
        <v>1.0</v>
      </c>
      <c r="U380" s="29">
        <v>16.8</v>
      </c>
      <c r="V380" s="219">
        <f t="shared" si="88"/>
        <v>0.002047954364</v>
      </c>
      <c r="W380" s="218">
        <f t="shared" si="90"/>
        <v>0.01956373364</v>
      </c>
      <c r="X380" s="217"/>
    </row>
    <row r="381">
      <c r="A381" s="29" t="s">
        <v>288</v>
      </c>
      <c r="B381" s="31">
        <v>0.9091</v>
      </c>
      <c r="C381" s="168">
        <f t="shared" si="85"/>
        <v>1</v>
      </c>
      <c r="D381" s="29">
        <v>2.5</v>
      </c>
      <c r="E381" s="29">
        <v>0.0088882</v>
      </c>
      <c r="F381" s="29">
        <v>1.345E-4</v>
      </c>
      <c r="G381" s="29">
        <v>1.0</v>
      </c>
      <c r="H381" s="31">
        <f t="shared" si="86"/>
        <v>0.01616052524</v>
      </c>
      <c r="I381" s="218">
        <f t="shared" si="87"/>
        <v>0.00007345693291</v>
      </c>
      <c r="J381" s="218">
        <f t="shared" si="91"/>
        <v>0.00419816311</v>
      </c>
      <c r="K381" s="18"/>
      <c r="L381" s="168">
        <v>1.0</v>
      </c>
      <c r="M381" s="168">
        <v>0.0</v>
      </c>
      <c r="N381" s="168">
        <v>0.0</v>
      </c>
      <c r="O381" s="18"/>
      <c r="P381" s="29" t="s">
        <v>289</v>
      </c>
      <c r="Q381" s="31">
        <v>0.9091</v>
      </c>
      <c r="R381" s="87">
        <v>16.44</v>
      </c>
      <c r="S381" s="29">
        <v>2.5</v>
      </c>
      <c r="T381" s="29">
        <v>1.0</v>
      </c>
      <c r="U381" s="29">
        <v>16.8</v>
      </c>
      <c r="V381" s="219">
        <f t="shared" si="88"/>
        <v>0.001141300669</v>
      </c>
      <c r="W381" s="218">
        <f t="shared" si="90"/>
        <v>0.02070503431</v>
      </c>
      <c r="X381" s="217"/>
    </row>
    <row r="382">
      <c r="A382" s="18" t="s">
        <v>290</v>
      </c>
      <c r="B382" s="168">
        <v>1.8182</v>
      </c>
      <c r="C382" s="168">
        <f t="shared" si="85"/>
        <v>2.148</v>
      </c>
      <c r="D382" s="168">
        <v>2.5</v>
      </c>
      <c r="E382" s="168">
        <v>0.0088882</v>
      </c>
      <c r="F382" s="168">
        <v>1.345E-4</v>
      </c>
      <c r="G382" s="168">
        <v>1.0</v>
      </c>
      <c r="H382" s="168">
        <f t="shared" si="86"/>
        <v>0.06942561643</v>
      </c>
      <c r="I382" s="168">
        <f t="shared" si="87"/>
        <v>0.0003155709838</v>
      </c>
      <c r="J382" s="220">
        <f>J377+I382</f>
        <v>0.00509749634</v>
      </c>
      <c r="K382" s="18"/>
      <c r="L382" s="168">
        <v>2.148</v>
      </c>
      <c r="M382" s="168">
        <v>0.0</v>
      </c>
      <c r="N382" s="168">
        <v>0.0</v>
      </c>
      <c r="O382" s="18"/>
      <c r="P382" s="29" t="s">
        <v>290</v>
      </c>
      <c r="Q382" s="31">
        <v>1.818</v>
      </c>
      <c r="R382" s="87">
        <v>2.15</v>
      </c>
      <c r="S382" s="29">
        <v>2.5</v>
      </c>
      <c r="T382" s="29">
        <v>1.0</v>
      </c>
      <c r="U382" s="29">
        <v>16.8</v>
      </c>
      <c r="V382" s="219">
        <f t="shared" si="88"/>
        <v>0.0002984825455</v>
      </c>
      <c r="W382" s="218">
        <f t="shared" si="90"/>
        <v>0.02100351685</v>
      </c>
      <c r="X382" s="217"/>
    </row>
    <row r="383">
      <c r="A383" s="18" t="s">
        <v>291</v>
      </c>
      <c r="B383" s="168">
        <v>0.9091</v>
      </c>
      <c r="C383" s="168">
        <f t="shared" si="85"/>
        <v>1.69</v>
      </c>
      <c r="D383" s="168">
        <v>2.5</v>
      </c>
      <c r="E383" s="168">
        <v>0.0088882</v>
      </c>
      <c r="F383" s="168">
        <v>1.345E-4</v>
      </c>
      <c r="G383" s="168">
        <v>1.0</v>
      </c>
      <c r="H383" s="168">
        <f t="shared" si="86"/>
        <v>0.02731128766</v>
      </c>
      <c r="I383" s="168">
        <f t="shared" si="87"/>
        <v>0.0001241422166</v>
      </c>
      <c r="J383" s="220">
        <f>J382+I383</f>
        <v>0.005221638556</v>
      </c>
      <c r="K383" s="18"/>
      <c r="L383" s="168">
        <v>1.69</v>
      </c>
      <c r="M383" s="168">
        <v>0.0</v>
      </c>
      <c r="N383" s="168">
        <v>0.0</v>
      </c>
      <c r="O383" s="18"/>
      <c r="P383" s="29" t="s">
        <v>291</v>
      </c>
      <c r="Q383" s="31">
        <v>0.9091</v>
      </c>
      <c r="R383" s="87">
        <v>1.69</v>
      </c>
      <c r="S383" s="29">
        <v>2.5</v>
      </c>
      <c r="T383" s="29">
        <v>1.0</v>
      </c>
      <c r="U383" s="29">
        <v>16.8</v>
      </c>
      <c r="V383" s="219">
        <f t="shared" si="88"/>
        <v>0.0001173234873</v>
      </c>
      <c r="W383" s="218">
        <f t="shared" si="90"/>
        <v>0.02112084034</v>
      </c>
      <c r="X383" s="217"/>
    </row>
    <row r="384">
      <c r="A384" s="216" t="s">
        <v>262</v>
      </c>
      <c r="B384" s="7"/>
      <c r="C384" s="7"/>
      <c r="D384" s="7"/>
      <c r="E384" s="7"/>
      <c r="F384" s="7"/>
      <c r="G384" s="7"/>
      <c r="H384" s="7"/>
      <c r="I384" s="7"/>
      <c r="J384" s="7"/>
      <c r="K384" s="18"/>
      <c r="L384" s="18"/>
      <c r="M384" s="18"/>
      <c r="N384" s="18"/>
      <c r="O384" s="18"/>
      <c r="P384" s="216" t="s">
        <v>262</v>
      </c>
      <c r="Q384" s="7"/>
      <c r="R384" s="7"/>
      <c r="S384" s="7"/>
      <c r="T384" s="7"/>
      <c r="U384" s="7"/>
      <c r="V384" s="7"/>
      <c r="W384" s="8"/>
      <c r="X384" s="217"/>
    </row>
    <row r="385">
      <c r="A385" s="97" t="s">
        <v>292</v>
      </c>
      <c r="B385" s="97" t="s">
        <v>142</v>
      </c>
      <c r="C385" s="97" t="s">
        <v>143</v>
      </c>
      <c r="D385" s="97" t="s">
        <v>144</v>
      </c>
      <c r="E385" s="97" t="s">
        <v>145</v>
      </c>
      <c r="F385" s="97" t="s">
        <v>146</v>
      </c>
      <c r="G385" s="97" t="s">
        <v>45</v>
      </c>
      <c r="H385" s="97" t="s">
        <v>147</v>
      </c>
      <c r="I385" s="97" t="s">
        <v>148</v>
      </c>
      <c r="J385" s="97" t="s">
        <v>149</v>
      </c>
      <c r="K385" s="18"/>
      <c r="L385" s="166" t="s">
        <v>150</v>
      </c>
      <c r="M385" s="99" t="s">
        <v>151</v>
      </c>
      <c r="N385" s="99" t="s">
        <v>152</v>
      </c>
      <c r="O385" s="18"/>
      <c r="P385" s="97" t="s">
        <v>292</v>
      </c>
      <c r="Q385" s="97" t="s">
        <v>142</v>
      </c>
      <c r="R385" s="97" t="s">
        <v>143</v>
      </c>
      <c r="S385" s="97" t="s">
        <v>144</v>
      </c>
      <c r="T385" s="97" t="s">
        <v>45</v>
      </c>
      <c r="U385" s="97" t="s">
        <v>156</v>
      </c>
      <c r="V385" s="97" t="s">
        <v>148</v>
      </c>
      <c r="W385" s="97" t="s">
        <v>149</v>
      </c>
      <c r="X385" s="217"/>
    </row>
    <row r="386">
      <c r="A386" s="29" t="s">
        <v>293</v>
      </c>
      <c r="B386" s="31">
        <v>6.8182</v>
      </c>
      <c r="C386" s="168">
        <f>L386+(M386*1.5)+N386</f>
        <v>13.462</v>
      </c>
      <c r="D386" s="29">
        <v>2.5</v>
      </c>
      <c r="E386" s="29">
        <v>0.0088882</v>
      </c>
      <c r="F386" s="29">
        <v>1.345E-4</v>
      </c>
      <c r="G386" s="29">
        <v>0.9</v>
      </c>
      <c r="H386" s="31">
        <f>2*B386*C386*(E386*G386+F386*SIN(ACOS(G386)))</f>
        <v>1.479234301</v>
      </c>
      <c r="I386" s="218">
        <f>H386/220</f>
        <v>0.006723792277</v>
      </c>
      <c r="J386" s="218">
        <f>I386</f>
        <v>0.006723792277</v>
      </c>
      <c r="K386" s="18"/>
      <c r="L386" s="168">
        <v>8.962</v>
      </c>
      <c r="M386" s="168">
        <v>2.0</v>
      </c>
      <c r="N386" s="168">
        <v>1.5</v>
      </c>
      <c r="O386" s="18"/>
      <c r="P386" s="29" t="s">
        <v>293</v>
      </c>
      <c r="Q386" s="31">
        <v>6.8182</v>
      </c>
      <c r="R386" s="87">
        <v>13.46</v>
      </c>
      <c r="S386" s="29">
        <v>2.5</v>
      </c>
      <c r="T386" s="29">
        <v>0.9</v>
      </c>
      <c r="U386" s="29">
        <v>16.8</v>
      </c>
      <c r="V386" s="219">
        <f>(U386*Q386*R386/1000)/220</f>
        <v>0.007008117862</v>
      </c>
      <c r="W386" s="218">
        <f>V386</f>
        <v>0.007008117862</v>
      </c>
      <c r="X386" s="217"/>
    </row>
    <row r="387">
      <c r="A387" s="216" t="s">
        <v>272</v>
      </c>
      <c r="B387" s="7"/>
      <c r="C387" s="7"/>
      <c r="D387" s="7"/>
      <c r="E387" s="7"/>
      <c r="F387" s="7"/>
      <c r="G387" s="7"/>
      <c r="H387" s="7"/>
      <c r="I387" s="7"/>
      <c r="J387" s="7"/>
      <c r="K387" s="18"/>
      <c r="L387" s="18"/>
      <c r="M387" s="18"/>
      <c r="N387" s="18"/>
      <c r="O387" s="18"/>
      <c r="P387" s="216" t="s">
        <v>272</v>
      </c>
      <c r="Q387" s="7"/>
      <c r="R387" s="7"/>
      <c r="S387" s="7"/>
      <c r="T387" s="7"/>
      <c r="U387" s="7"/>
      <c r="V387" s="7"/>
      <c r="W387" s="8"/>
      <c r="X387" s="217"/>
    </row>
    <row r="388">
      <c r="A388" s="97" t="s">
        <v>294</v>
      </c>
      <c r="B388" s="97" t="s">
        <v>142</v>
      </c>
      <c r="C388" s="97" t="s">
        <v>143</v>
      </c>
      <c r="D388" s="97" t="s">
        <v>144</v>
      </c>
      <c r="E388" s="97" t="s">
        <v>145</v>
      </c>
      <c r="F388" s="97" t="s">
        <v>146</v>
      </c>
      <c r="G388" s="97" t="s">
        <v>45</v>
      </c>
      <c r="H388" s="97" t="s">
        <v>147</v>
      </c>
      <c r="I388" s="97" t="s">
        <v>148</v>
      </c>
      <c r="J388" s="97" t="s">
        <v>149</v>
      </c>
      <c r="K388" s="18"/>
      <c r="L388" s="166" t="s">
        <v>150</v>
      </c>
      <c r="M388" s="99" t="s">
        <v>151</v>
      </c>
      <c r="N388" s="99" t="s">
        <v>152</v>
      </c>
      <c r="O388" s="18"/>
      <c r="P388" s="97" t="s">
        <v>294</v>
      </c>
      <c r="Q388" s="97" t="s">
        <v>142</v>
      </c>
      <c r="R388" s="97" t="s">
        <v>143</v>
      </c>
      <c r="S388" s="97" t="s">
        <v>144</v>
      </c>
      <c r="T388" s="97" t="s">
        <v>45</v>
      </c>
      <c r="U388" s="97" t="s">
        <v>156</v>
      </c>
      <c r="V388" s="97" t="s">
        <v>148</v>
      </c>
      <c r="W388" s="97" t="s">
        <v>149</v>
      </c>
      <c r="X388" s="217"/>
    </row>
    <row r="389">
      <c r="A389" s="29" t="s">
        <v>295</v>
      </c>
      <c r="B389" s="31">
        <v>6.8182</v>
      </c>
      <c r="C389" s="168">
        <f>L389+(M389*1.5)+N389</f>
        <v>12.462</v>
      </c>
      <c r="D389" s="29">
        <v>2.5</v>
      </c>
      <c r="E389" s="29">
        <v>0.0088882</v>
      </c>
      <c r="F389" s="29">
        <v>1.345E-4</v>
      </c>
      <c r="G389" s="29">
        <v>0.9</v>
      </c>
      <c r="H389" s="31">
        <f>2*B389*C389*(E389*G389+F389*SIN(ACOS(G389)))</f>
        <v>1.369352092</v>
      </c>
      <c r="I389" s="218">
        <f>H389/220</f>
        <v>0.00622432769</v>
      </c>
      <c r="J389" s="218">
        <f>I389</f>
        <v>0.00622432769</v>
      </c>
      <c r="K389" s="18"/>
      <c r="L389" s="168">
        <v>7.962</v>
      </c>
      <c r="M389" s="168">
        <v>2.0</v>
      </c>
      <c r="N389" s="168">
        <v>1.5</v>
      </c>
      <c r="O389" s="18"/>
      <c r="P389" s="29" t="s">
        <v>295</v>
      </c>
      <c r="Q389" s="31">
        <v>6.8182</v>
      </c>
      <c r="R389" s="87">
        <v>12.46</v>
      </c>
      <c r="S389" s="29">
        <v>2.5</v>
      </c>
      <c r="T389" s="29">
        <v>0.9</v>
      </c>
      <c r="U389" s="29">
        <v>16.8</v>
      </c>
      <c r="V389" s="219">
        <f>(U389*Q389*R389/1000)/220</f>
        <v>0.006487455316</v>
      </c>
      <c r="W389" s="218">
        <f>V389</f>
        <v>0.006487455316</v>
      </c>
      <c r="X389" s="217"/>
    </row>
    <row r="390">
      <c r="A390" s="216" t="s">
        <v>219</v>
      </c>
      <c r="B390" s="7"/>
      <c r="C390" s="7"/>
      <c r="D390" s="7"/>
      <c r="E390" s="7"/>
      <c r="F390" s="7"/>
      <c r="G390" s="7"/>
      <c r="H390" s="7"/>
      <c r="I390" s="7"/>
      <c r="J390" s="7"/>
      <c r="K390" s="18"/>
      <c r="L390" s="18"/>
      <c r="M390" s="18"/>
      <c r="N390" s="18"/>
      <c r="O390" s="18"/>
      <c r="P390" s="216" t="s">
        <v>219</v>
      </c>
      <c r="Q390" s="7"/>
      <c r="R390" s="7"/>
      <c r="S390" s="7"/>
      <c r="T390" s="7"/>
      <c r="U390" s="7"/>
      <c r="V390" s="7"/>
      <c r="W390" s="8"/>
      <c r="X390" s="217"/>
    </row>
    <row r="391">
      <c r="A391" s="97" t="s">
        <v>296</v>
      </c>
      <c r="B391" s="97" t="s">
        <v>142</v>
      </c>
      <c r="C391" s="97" t="s">
        <v>143</v>
      </c>
      <c r="D391" s="97" t="s">
        <v>144</v>
      </c>
      <c r="E391" s="97" t="s">
        <v>145</v>
      </c>
      <c r="F391" s="97" t="s">
        <v>146</v>
      </c>
      <c r="G391" s="97" t="s">
        <v>45</v>
      </c>
      <c r="H391" s="97" t="s">
        <v>147</v>
      </c>
      <c r="I391" s="97" t="s">
        <v>148</v>
      </c>
      <c r="J391" s="97" t="s">
        <v>149</v>
      </c>
      <c r="K391" s="18"/>
      <c r="L391" s="166" t="s">
        <v>150</v>
      </c>
      <c r="M391" s="99" t="s">
        <v>151</v>
      </c>
      <c r="N391" s="99" t="s">
        <v>152</v>
      </c>
      <c r="O391" s="18"/>
      <c r="P391" s="97" t="s">
        <v>296</v>
      </c>
      <c r="Q391" s="97" t="s">
        <v>142</v>
      </c>
      <c r="R391" s="97" t="s">
        <v>143</v>
      </c>
      <c r="S391" s="97" t="s">
        <v>144</v>
      </c>
      <c r="T391" s="97" t="s">
        <v>45</v>
      </c>
      <c r="U391" s="97" t="s">
        <v>156</v>
      </c>
      <c r="V391" s="97" t="s">
        <v>148</v>
      </c>
      <c r="W391" s="97" t="s">
        <v>149</v>
      </c>
      <c r="X391" s="217"/>
    </row>
    <row r="392">
      <c r="A392" s="29" t="s">
        <v>297</v>
      </c>
      <c r="B392" s="31">
        <v>2.7273</v>
      </c>
      <c r="C392" s="168">
        <f>L392+(M392*1.5)+N392</f>
        <v>5.215</v>
      </c>
      <c r="D392" s="29">
        <v>2.5</v>
      </c>
      <c r="E392" s="29">
        <v>0.0088882</v>
      </c>
      <c r="F392" s="29">
        <v>1.345E-4</v>
      </c>
      <c r="G392" s="29">
        <v>1.0</v>
      </c>
      <c r="H392" s="31">
        <f>2*B392*C392*(E392*G392+F392*SIN(ACOS(G392)))</f>
        <v>0.2528314174</v>
      </c>
      <c r="I392" s="218">
        <f>H392/220</f>
        <v>0.001149233715</v>
      </c>
      <c r="J392" s="218">
        <f>I392</f>
        <v>0.001149233715</v>
      </c>
      <c r="K392" s="18"/>
      <c r="L392" s="168">
        <v>2.215</v>
      </c>
      <c r="M392" s="168">
        <v>1.0</v>
      </c>
      <c r="N392" s="168">
        <v>1.5</v>
      </c>
      <c r="O392" s="18"/>
      <c r="P392" s="29" t="s">
        <v>297</v>
      </c>
      <c r="Q392" s="31">
        <v>2.7273</v>
      </c>
      <c r="R392" s="87">
        <v>5.21</v>
      </c>
      <c r="S392" s="29">
        <v>2.5</v>
      </c>
      <c r="T392" s="29">
        <v>1.0</v>
      </c>
      <c r="U392" s="29">
        <v>16.8</v>
      </c>
      <c r="V392" s="219">
        <f>(U392*Q392*R392/1000)/220</f>
        <v>0.001085068702</v>
      </c>
      <c r="W392" s="218">
        <f>V392</f>
        <v>0.001085068702</v>
      </c>
      <c r="X392" s="217"/>
    </row>
    <row r="393">
      <c r="A393" s="216" t="s">
        <v>219</v>
      </c>
      <c r="B393" s="7"/>
      <c r="C393" s="7"/>
      <c r="D393" s="7"/>
      <c r="E393" s="7"/>
      <c r="F393" s="7"/>
      <c r="G393" s="7"/>
      <c r="H393" s="7"/>
      <c r="I393" s="7"/>
      <c r="J393" s="7"/>
      <c r="K393" s="18"/>
      <c r="L393" s="18"/>
      <c r="M393" s="18"/>
      <c r="N393" s="18"/>
      <c r="O393" s="18"/>
      <c r="P393" s="216" t="s">
        <v>219</v>
      </c>
      <c r="Q393" s="7"/>
      <c r="R393" s="7"/>
      <c r="S393" s="7"/>
      <c r="T393" s="7"/>
      <c r="U393" s="7"/>
      <c r="V393" s="7"/>
      <c r="W393" s="8"/>
      <c r="X393" s="217"/>
    </row>
    <row r="394">
      <c r="A394" s="97" t="s">
        <v>298</v>
      </c>
      <c r="B394" s="97" t="s">
        <v>142</v>
      </c>
      <c r="C394" s="97" t="s">
        <v>143</v>
      </c>
      <c r="D394" s="97" t="s">
        <v>144</v>
      </c>
      <c r="E394" s="97" t="s">
        <v>145</v>
      </c>
      <c r="F394" s="97" t="s">
        <v>146</v>
      </c>
      <c r="G394" s="97" t="s">
        <v>45</v>
      </c>
      <c r="H394" s="97" t="s">
        <v>147</v>
      </c>
      <c r="I394" s="97" t="s">
        <v>148</v>
      </c>
      <c r="J394" s="97" t="s">
        <v>149</v>
      </c>
      <c r="K394" s="18"/>
      <c r="L394" s="166" t="s">
        <v>150</v>
      </c>
      <c r="M394" s="99" t="s">
        <v>151</v>
      </c>
      <c r="N394" s="99" t="s">
        <v>152</v>
      </c>
      <c r="O394" s="18"/>
      <c r="P394" s="97" t="s">
        <v>298</v>
      </c>
      <c r="Q394" s="97" t="s">
        <v>142</v>
      </c>
      <c r="R394" s="97" t="s">
        <v>143</v>
      </c>
      <c r="S394" s="97" t="s">
        <v>144</v>
      </c>
      <c r="T394" s="97" t="s">
        <v>45</v>
      </c>
      <c r="U394" s="97" t="s">
        <v>156</v>
      </c>
      <c r="V394" s="97" t="s">
        <v>148</v>
      </c>
      <c r="W394" s="97" t="s">
        <v>149</v>
      </c>
      <c r="X394" s="217"/>
    </row>
    <row r="395">
      <c r="A395" s="29" t="s">
        <v>299</v>
      </c>
      <c r="B395" s="31">
        <v>40.9091</v>
      </c>
      <c r="C395" s="168">
        <f>L395+(M395*1.5)+N395</f>
        <v>8.363</v>
      </c>
      <c r="D395" s="29">
        <v>16.0</v>
      </c>
      <c r="E395" s="29">
        <v>0.0013888</v>
      </c>
      <c r="F395" s="29">
        <v>1.168E-4</v>
      </c>
      <c r="G395" s="29">
        <v>1.0</v>
      </c>
      <c r="H395" s="31">
        <f>2*B395*C395*(E395*G395+F395*SIN(ACOS(G395)))</f>
        <v>0.9502802984</v>
      </c>
      <c r="I395" s="218">
        <f>H395/220</f>
        <v>0.004319455902</v>
      </c>
      <c r="J395" s="218">
        <f>I395</f>
        <v>0.004319455902</v>
      </c>
      <c r="K395" s="18"/>
      <c r="L395" s="168">
        <v>5.363</v>
      </c>
      <c r="M395" s="168">
        <v>1.0</v>
      </c>
      <c r="N395" s="168">
        <v>1.5</v>
      </c>
      <c r="O395" s="18"/>
      <c r="P395" s="29" t="s">
        <v>299</v>
      </c>
      <c r="Q395" s="31">
        <v>40.9091</v>
      </c>
      <c r="R395" s="87">
        <v>8.36</v>
      </c>
      <c r="S395" s="29">
        <v>16.0</v>
      </c>
      <c r="T395" s="29">
        <v>1.0</v>
      </c>
      <c r="U395" s="29">
        <v>2.27</v>
      </c>
      <c r="V395" s="219">
        <f>(U395*Q395*R395/1000)/220</f>
        <v>0.003528818966</v>
      </c>
      <c r="W395" s="218">
        <f>V395</f>
        <v>0.003528818966</v>
      </c>
      <c r="X395" s="217"/>
    </row>
    <row r="396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17"/>
    </row>
    <row r="397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17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</sheetData>
  <mergeCells count="67">
    <mergeCell ref="A282:G283"/>
    <mergeCell ref="N282:T283"/>
    <mergeCell ref="P305:W305"/>
    <mergeCell ref="A306:J306"/>
    <mergeCell ref="P306:W306"/>
    <mergeCell ref="A320:I320"/>
    <mergeCell ref="P321:R321"/>
    <mergeCell ref="A322:I322"/>
    <mergeCell ref="A323:I323"/>
    <mergeCell ref="A325:H325"/>
    <mergeCell ref="A336:G337"/>
    <mergeCell ref="A339:G340"/>
    <mergeCell ref="N339:T340"/>
    <mergeCell ref="A344:J344"/>
    <mergeCell ref="A21:G21"/>
    <mergeCell ref="A28:J28"/>
    <mergeCell ref="P28:W28"/>
    <mergeCell ref="P29:W29"/>
    <mergeCell ref="P37:W37"/>
    <mergeCell ref="A38:J38"/>
    <mergeCell ref="P38:W38"/>
    <mergeCell ref="A52:I52"/>
    <mergeCell ref="P53:R53"/>
    <mergeCell ref="A54:I54"/>
    <mergeCell ref="A55:I55"/>
    <mergeCell ref="A57:H57"/>
    <mergeCell ref="A98:G99"/>
    <mergeCell ref="A101:G102"/>
    <mergeCell ref="N101:T102"/>
    <mergeCell ref="P129:W129"/>
    <mergeCell ref="A130:J130"/>
    <mergeCell ref="P130:W130"/>
    <mergeCell ref="A144:I144"/>
    <mergeCell ref="P145:R145"/>
    <mergeCell ref="A146:I146"/>
    <mergeCell ref="A147:I147"/>
    <mergeCell ref="A149:H149"/>
    <mergeCell ref="A190:G191"/>
    <mergeCell ref="A193:G194"/>
    <mergeCell ref="N193:T194"/>
    <mergeCell ref="P218:W218"/>
    <mergeCell ref="P219:W219"/>
    <mergeCell ref="A219:J219"/>
    <mergeCell ref="A233:I233"/>
    <mergeCell ref="P234:R234"/>
    <mergeCell ref="A235:I235"/>
    <mergeCell ref="A236:I236"/>
    <mergeCell ref="A238:H238"/>
    <mergeCell ref="A279:G280"/>
    <mergeCell ref="A352:J352"/>
    <mergeCell ref="A359:J359"/>
    <mergeCell ref="A362:J362"/>
    <mergeCell ref="A372:J372"/>
    <mergeCell ref="A384:J384"/>
    <mergeCell ref="A387:J387"/>
    <mergeCell ref="A390:J390"/>
    <mergeCell ref="A393:J393"/>
    <mergeCell ref="P387:W387"/>
    <mergeCell ref="P390:W390"/>
    <mergeCell ref="P393:W393"/>
    <mergeCell ref="P343:W343"/>
    <mergeCell ref="P344:W344"/>
    <mergeCell ref="P352:W352"/>
    <mergeCell ref="P359:W359"/>
    <mergeCell ref="P362:W362"/>
    <mergeCell ref="P372:W372"/>
    <mergeCell ref="P384:W384"/>
  </mergeCells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</cols>
  <sheetData>
    <row r="1">
      <c r="A1" s="84" t="s">
        <v>127</v>
      </c>
    </row>
    <row r="2">
      <c r="A2" s="60"/>
      <c r="B2" s="60"/>
      <c r="C2" s="60"/>
      <c r="D2" s="60"/>
      <c r="E2" s="6" t="s">
        <v>128</v>
      </c>
      <c r="F2" s="7"/>
      <c r="G2" s="8"/>
    </row>
    <row r="3">
      <c r="A3" s="9" t="s">
        <v>18</v>
      </c>
      <c r="B3" s="9" t="s">
        <v>20</v>
      </c>
      <c r="C3" s="9" t="s">
        <v>21</v>
      </c>
      <c r="D3" s="85" t="s">
        <v>129</v>
      </c>
      <c r="E3" s="86" t="s">
        <v>130</v>
      </c>
      <c r="F3" s="86" t="s">
        <v>131</v>
      </c>
      <c r="G3" s="86" t="s">
        <v>132</v>
      </c>
    </row>
    <row r="4">
      <c r="A4" s="11" t="s">
        <v>51</v>
      </c>
      <c r="B4" s="21" t="s">
        <v>53</v>
      </c>
      <c r="C4" s="22" t="s">
        <v>54</v>
      </c>
      <c r="D4" s="87">
        <f>QDF!K3</f>
        <v>800</v>
      </c>
      <c r="E4" s="88">
        <v>800.0</v>
      </c>
      <c r="F4" s="47" t="s">
        <v>133</v>
      </c>
      <c r="G4" s="47" t="s">
        <v>133</v>
      </c>
    </row>
    <row r="5">
      <c r="A5" s="32" t="s">
        <v>69</v>
      </c>
      <c r="B5" s="21" t="s">
        <v>71</v>
      </c>
      <c r="C5" s="33" t="s">
        <v>10</v>
      </c>
      <c r="D5" s="87">
        <f>QDF!K4</f>
        <v>800</v>
      </c>
      <c r="E5" s="47" t="s">
        <v>133</v>
      </c>
      <c r="F5" s="88" t="s">
        <v>133</v>
      </c>
      <c r="G5" s="49">
        <v>800.0</v>
      </c>
    </row>
    <row r="6">
      <c r="A6" s="36"/>
      <c r="B6" s="21" t="s">
        <v>72</v>
      </c>
      <c r="C6" s="36"/>
      <c r="D6" s="87">
        <f>QDF!K5</f>
        <v>1000</v>
      </c>
      <c r="E6" s="47">
        <f>D6/3</f>
        <v>333.3333333</v>
      </c>
      <c r="F6" s="47">
        <f>D6/3</f>
        <v>333.3333333</v>
      </c>
      <c r="G6" s="47">
        <f>D6/3</f>
        <v>333.3333333</v>
      </c>
      <c r="H6" s="50" t="s">
        <v>135</v>
      </c>
    </row>
    <row r="7">
      <c r="A7" s="32" t="s">
        <v>75</v>
      </c>
      <c r="B7" s="21" t="s">
        <v>76</v>
      </c>
      <c r="C7" s="33" t="s">
        <v>17</v>
      </c>
      <c r="D7" s="87">
        <f>QDF!K6</f>
        <v>400</v>
      </c>
      <c r="E7" s="88" t="s">
        <v>133</v>
      </c>
      <c r="F7" s="49">
        <v>400.0</v>
      </c>
      <c r="G7" s="47" t="s">
        <v>133</v>
      </c>
    </row>
    <row r="8" ht="27.75" customHeight="1">
      <c r="A8" s="36"/>
      <c r="B8" s="21" t="s">
        <v>77</v>
      </c>
      <c r="C8" s="36"/>
      <c r="D8" s="87">
        <f>QDF!K7</f>
        <v>1000</v>
      </c>
      <c r="E8" s="47">
        <f>D8/3</f>
        <v>333.3333333</v>
      </c>
      <c r="F8" s="88">
        <f>D8/3</f>
        <v>333.3333333</v>
      </c>
      <c r="G8" s="47">
        <f>D8/3</f>
        <v>333.3333333</v>
      </c>
      <c r="H8" s="50" t="s">
        <v>137</v>
      </c>
    </row>
    <row r="9">
      <c r="A9" s="32" t="s">
        <v>78</v>
      </c>
      <c r="B9" s="21" t="s">
        <v>79</v>
      </c>
      <c r="C9" s="37" t="s">
        <v>80</v>
      </c>
      <c r="D9" s="87">
        <f>QDF!K8</f>
        <v>800</v>
      </c>
      <c r="E9" s="49" t="s">
        <v>133</v>
      </c>
      <c r="F9" s="49">
        <v>800.0</v>
      </c>
      <c r="G9" s="88" t="s">
        <v>133</v>
      </c>
    </row>
    <row r="10">
      <c r="A10" s="36"/>
      <c r="B10" s="21" t="s">
        <v>82</v>
      </c>
      <c r="C10" s="36"/>
      <c r="D10" s="87">
        <f>QDF!K9</f>
        <v>1000</v>
      </c>
      <c r="E10" s="47">
        <f>D10/3</f>
        <v>333.3333333</v>
      </c>
      <c r="F10" s="47">
        <f>D10/3</f>
        <v>333.3333333</v>
      </c>
      <c r="G10" s="49">
        <f>D10/3</f>
        <v>333.3333333</v>
      </c>
      <c r="H10" s="50" t="s">
        <v>137</v>
      </c>
    </row>
    <row r="11">
      <c r="A11" s="32" t="s">
        <v>83</v>
      </c>
      <c r="B11" s="21" t="s">
        <v>84</v>
      </c>
      <c r="C11" s="33" t="s">
        <v>50</v>
      </c>
      <c r="D11" s="87">
        <f>QDF!K10</f>
        <v>1200</v>
      </c>
      <c r="E11" s="49">
        <v>1200.0</v>
      </c>
      <c r="F11" s="49" t="s">
        <v>133</v>
      </c>
      <c r="G11" s="49" t="s">
        <v>133</v>
      </c>
    </row>
    <row r="12">
      <c r="A12" s="40"/>
      <c r="B12" s="21" t="s">
        <v>85</v>
      </c>
      <c r="C12" s="36"/>
      <c r="D12" s="87">
        <f>QDF!K11</f>
        <v>1000</v>
      </c>
      <c r="E12" s="49">
        <f>D12/3</f>
        <v>333.3333333</v>
      </c>
      <c r="F12" s="49">
        <f>D12/3</f>
        <v>333.3333333</v>
      </c>
      <c r="G12" s="49">
        <f>D12/3</f>
        <v>333.3333333</v>
      </c>
      <c r="H12" s="50" t="s">
        <v>137</v>
      </c>
    </row>
    <row r="13">
      <c r="A13" s="40"/>
      <c r="B13" s="23" t="s">
        <v>87</v>
      </c>
      <c r="C13" s="43"/>
      <c r="D13" s="47"/>
      <c r="E13" s="47"/>
      <c r="F13" s="47"/>
      <c r="G13" s="47"/>
    </row>
    <row r="14">
      <c r="A14" s="36"/>
      <c r="B14" s="23" t="s">
        <v>91</v>
      </c>
      <c r="C14" s="47"/>
      <c r="D14" s="47"/>
      <c r="E14" s="47"/>
      <c r="F14" s="47"/>
      <c r="G14" s="47"/>
    </row>
    <row r="15">
      <c r="A15" s="45" t="s">
        <v>92</v>
      </c>
      <c r="B15" s="48" t="s">
        <v>93</v>
      </c>
      <c r="C15" s="43" t="s">
        <v>68</v>
      </c>
      <c r="D15" s="100">
        <f>QDF!K14</f>
        <v>1200</v>
      </c>
      <c r="E15" s="100">
        <f>QDF!K14</f>
        <v>1200</v>
      </c>
      <c r="F15" s="87" t="s">
        <v>133</v>
      </c>
      <c r="G15" s="47" t="s">
        <v>133</v>
      </c>
    </row>
    <row r="16">
      <c r="A16" s="36"/>
      <c r="B16" s="48" t="s">
        <v>94</v>
      </c>
      <c r="C16" s="47" t="s">
        <v>68</v>
      </c>
      <c r="D16" s="100">
        <f>QDF!K15</f>
        <v>1000</v>
      </c>
      <c r="E16" s="47" t="s">
        <v>133</v>
      </c>
      <c r="F16" s="100">
        <f>QDF!K15</f>
        <v>1000</v>
      </c>
      <c r="G16" s="47" t="s">
        <v>133</v>
      </c>
    </row>
    <row r="17">
      <c r="A17" s="32" t="s">
        <v>95</v>
      </c>
      <c r="B17" s="48" t="s">
        <v>96</v>
      </c>
      <c r="C17" s="47" t="s">
        <v>98</v>
      </c>
      <c r="D17" s="87">
        <f>QDF!K16</f>
        <v>1500</v>
      </c>
      <c r="E17" s="87">
        <f>QDF!K16</f>
        <v>1500</v>
      </c>
      <c r="F17" s="87" t="s">
        <v>133</v>
      </c>
      <c r="G17" s="47" t="s">
        <v>133</v>
      </c>
    </row>
    <row r="18">
      <c r="A18" s="40"/>
      <c r="B18" s="48" t="s">
        <v>97</v>
      </c>
      <c r="C18" s="43" t="s">
        <v>98</v>
      </c>
      <c r="D18" s="87">
        <f>QDF!K17</f>
        <v>1600</v>
      </c>
      <c r="E18" s="87">
        <f>QDF!K17</f>
        <v>1600</v>
      </c>
      <c r="F18" s="87" t="s">
        <v>133</v>
      </c>
      <c r="G18" s="47" t="s">
        <v>133</v>
      </c>
    </row>
    <row r="19">
      <c r="A19" s="40"/>
      <c r="B19" s="43" t="s">
        <v>99</v>
      </c>
      <c r="C19" s="43" t="s">
        <v>63</v>
      </c>
      <c r="D19" s="87">
        <f>QDF!K18</f>
        <v>1600</v>
      </c>
      <c r="E19" s="47" t="s">
        <v>133</v>
      </c>
      <c r="F19" s="87">
        <f>QDF!K18</f>
        <v>1600</v>
      </c>
      <c r="G19" s="47" t="s">
        <v>133</v>
      </c>
    </row>
    <row r="20">
      <c r="A20" s="36"/>
      <c r="B20" s="43" t="s">
        <v>100</v>
      </c>
      <c r="C20" s="43" t="s">
        <v>63</v>
      </c>
      <c r="D20" s="87">
        <f>QDF!K19</f>
        <v>1500</v>
      </c>
      <c r="E20" s="47" t="s">
        <v>133</v>
      </c>
      <c r="F20" s="87">
        <f>QDF!K19</f>
        <v>1500</v>
      </c>
      <c r="G20" s="47" t="s">
        <v>133</v>
      </c>
    </row>
    <row r="21">
      <c r="A21" s="32" t="s">
        <v>102</v>
      </c>
      <c r="B21" s="43" t="s">
        <v>103</v>
      </c>
      <c r="C21" s="43" t="s">
        <v>105</v>
      </c>
      <c r="D21" s="87">
        <f>QDF!K20</f>
        <v>1500</v>
      </c>
      <c r="E21" s="47" t="s">
        <v>133</v>
      </c>
      <c r="F21" s="87">
        <f>QDF!K20</f>
        <v>1500</v>
      </c>
      <c r="G21" s="47" t="s">
        <v>133</v>
      </c>
    </row>
    <row r="22">
      <c r="A22" s="40"/>
      <c r="B22" s="43" t="s">
        <v>104</v>
      </c>
      <c r="C22" s="43" t="s">
        <v>105</v>
      </c>
      <c r="D22" s="87">
        <f>QDF!K21</f>
        <v>600</v>
      </c>
      <c r="E22" s="87">
        <f>QDF!K21</f>
        <v>600</v>
      </c>
      <c r="F22" s="87" t="s">
        <v>133</v>
      </c>
      <c r="G22" s="47" t="s">
        <v>133</v>
      </c>
    </row>
    <row r="23">
      <c r="A23" s="40"/>
      <c r="B23" s="43" t="s">
        <v>106</v>
      </c>
      <c r="C23" s="47" t="s">
        <v>105</v>
      </c>
      <c r="D23" s="87">
        <f>QDF!K22</f>
        <v>9000</v>
      </c>
      <c r="E23" s="47" t="s">
        <v>133</v>
      </c>
      <c r="F23" s="87" t="s">
        <v>133</v>
      </c>
      <c r="G23" s="87">
        <f>QDF!K22</f>
        <v>9000</v>
      </c>
    </row>
    <row r="24">
      <c r="A24" s="36"/>
      <c r="B24" s="47" t="s">
        <v>108</v>
      </c>
      <c r="C24" s="47" t="s">
        <v>105</v>
      </c>
      <c r="D24" s="87" t="str">
        <f>QDF!K23</f>
        <v/>
      </c>
      <c r="E24" s="47" t="s">
        <v>133</v>
      </c>
      <c r="F24" s="87" t="str">
        <f>QDF!K23</f>
        <v/>
      </c>
      <c r="G24" s="47" t="s">
        <v>133</v>
      </c>
    </row>
    <row r="25">
      <c r="A25" s="13"/>
      <c r="B25" s="114"/>
      <c r="C25" s="47"/>
      <c r="D25" s="87"/>
      <c r="E25" s="47"/>
      <c r="F25" s="47"/>
      <c r="G25" s="87"/>
    </row>
    <row r="26">
      <c r="A26" s="47"/>
      <c r="B26" s="47"/>
      <c r="C26" s="47"/>
      <c r="D26" s="47"/>
      <c r="E26" s="47"/>
      <c r="F26" s="47"/>
      <c r="G26" s="47"/>
    </row>
    <row r="27">
      <c r="A27" s="117" t="s">
        <v>162</v>
      </c>
      <c r="B27" s="7"/>
      <c r="C27" s="7"/>
      <c r="D27" s="8"/>
      <c r="E27" s="87">
        <f t="shared" ref="E27:G27" si="1">SUM(E2:E26)</f>
        <v>8233.333333</v>
      </c>
      <c r="F27" s="87">
        <f t="shared" si="1"/>
        <v>8133.333333</v>
      </c>
      <c r="G27" s="87">
        <f t="shared" si="1"/>
        <v>11133.33333</v>
      </c>
    </row>
    <row r="28">
      <c r="A28" s="117" t="s">
        <v>163</v>
      </c>
      <c r="B28" s="7"/>
      <c r="C28" s="7"/>
      <c r="D28" s="8"/>
      <c r="E28" s="125">
        <f>SUM(E27:G27)</f>
        <v>27500</v>
      </c>
      <c r="F28" s="7"/>
      <c r="G28" s="8"/>
    </row>
    <row r="29">
      <c r="A29" s="47"/>
      <c r="B29" s="47"/>
      <c r="C29" s="47" t="s">
        <v>164</v>
      </c>
      <c r="D29" s="47"/>
      <c r="E29" s="127">
        <f>E28/3</f>
        <v>9166.666667</v>
      </c>
      <c r="F29" s="7"/>
      <c r="G29" s="8"/>
    </row>
    <row r="30">
      <c r="A30" s="47"/>
      <c r="B30" s="47"/>
      <c r="C30" s="47" t="s">
        <v>165</v>
      </c>
      <c r="D30" s="47"/>
      <c r="E30" s="127">
        <f>G27/220</f>
        <v>50.60606061</v>
      </c>
      <c r="F30" s="7"/>
      <c r="G30" s="8"/>
    </row>
    <row r="35">
      <c r="C35" s="18" t="s">
        <v>167</v>
      </c>
    </row>
  </sheetData>
  <mergeCells count="23">
    <mergeCell ref="H10:M10"/>
    <mergeCell ref="H12:M12"/>
    <mergeCell ref="A1:G1"/>
    <mergeCell ref="E2:G2"/>
    <mergeCell ref="A5:A6"/>
    <mergeCell ref="C5:C6"/>
    <mergeCell ref="H6:M6"/>
    <mergeCell ref="C7:C8"/>
    <mergeCell ref="H8:M8"/>
    <mergeCell ref="A21:A24"/>
    <mergeCell ref="A27:D27"/>
    <mergeCell ref="A28:D28"/>
    <mergeCell ref="E28:G28"/>
    <mergeCell ref="E29:G29"/>
    <mergeCell ref="E30:G30"/>
    <mergeCell ref="C35:L35"/>
    <mergeCell ref="A7:A8"/>
    <mergeCell ref="A9:A10"/>
    <mergeCell ref="C9:C10"/>
    <mergeCell ref="A11:A14"/>
    <mergeCell ref="C11:C12"/>
    <mergeCell ref="A15:A16"/>
    <mergeCell ref="A17:A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3.0"/>
    <col customWidth="1" min="5" max="5" width="36.13"/>
  </cols>
  <sheetData>
    <row r="1">
      <c r="A1" s="108" t="s">
        <v>139</v>
      </c>
      <c r="B1" s="109"/>
      <c r="C1" s="109"/>
      <c r="D1" s="109"/>
      <c r="E1" s="109"/>
      <c r="F1" s="109"/>
      <c r="G1" s="109"/>
      <c r="H1" s="110"/>
      <c r="I1" s="18"/>
      <c r="J1" s="18"/>
      <c r="K1" s="18"/>
      <c r="L1" s="18"/>
      <c r="M1" s="18"/>
      <c r="N1" s="18"/>
      <c r="O1" s="18"/>
    </row>
    <row r="2">
      <c r="A2" s="113" t="s">
        <v>155</v>
      </c>
      <c r="B2" s="113" t="s">
        <v>21</v>
      </c>
      <c r="C2" s="113" t="s">
        <v>158</v>
      </c>
      <c r="D2" s="113" t="s">
        <v>159</v>
      </c>
      <c r="E2" s="113" t="s">
        <v>160</v>
      </c>
      <c r="F2" s="116" t="s">
        <v>161</v>
      </c>
      <c r="G2" s="7"/>
      <c r="H2" s="118"/>
      <c r="I2" s="18"/>
      <c r="J2" s="18"/>
      <c r="K2" s="18"/>
      <c r="L2" s="18"/>
      <c r="M2" s="18"/>
      <c r="N2" s="18"/>
      <c r="O2" s="18"/>
    </row>
    <row r="3">
      <c r="A3" s="119"/>
      <c r="B3" s="119"/>
      <c r="C3" s="119"/>
      <c r="D3" s="119"/>
      <c r="E3" s="119"/>
      <c r="F3" s="121" t="s">
        <v>130</v>
      </c>
      <c r="G3" s="121" t="s">
        <v>131</v>
      </c>
      <c r="H3" s="123" t="s">
        <v>132</v>
      </c>
      <c r="I3" s="18"/>
      <c r="J3" s="18"/>
      <c r="K3" s="18"/>
      <c r="L3" s="18"/>
      <c r="M3" s="18"/>
      <c r="N3" s="18"/>
      <c r="O3" s="18"/>
    </row>
    <row r="4">
      <c r="A4" s="126" t="str">
        <f>QDF!B3</f>
        <v>T0</v>
      </c>
      <c r="B4" s="126" t="str">
        <f>QDF!C3</f>
        <v>SUBESTAÇÃO</v>
      </c>
      <c r="C4" s="128">
        <f>DISJUNTORES!E3</f>
        <v>16</v>
      </c>
      <c r="D4" s="130" t="s">
        <v>166</v>
      </c>
      <c r="E4" s="29">
        <v>5.0</v>
      </c>
      <c r="F4" s="121">
        <f>'QDF-BALANÇO TOTAL'!E4</f>
        <v>800</v>
      </c>
      <c r="G4" s="132"/>
      <c r="H4" s="132"/>
      <c r="I4" s="18"/>
      <c r="J4" s="18"/>
      <c r="K4" s="18"/>
      <c r="L4" s="18"/>
      <c r="M4" s="18"/>
      <c r="N4" s="18"/>
      <c r="O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>
      <c r="A6" s="133"/>
      <c r="B6" s="133"/>
      <c r="C6" s="133"/>
      <c r="D6" s="133"/>
      <c r="E6" s="133"/>
      <c r="F6" s="133"/>
      <c r="G6" s="133"/>
      <c r="H6" s="133"/>
      <c r="I6" s="134"/>
      <c r="J6" s="134"/>
      <c r="K6" s="134"/>
      <c r="L6" s="18"/>
      <c r="M6" s="18"/>
      <c r="N6" s="18"/>
      <c r="O6" s="18"/>
    </row>
    <row r="7">
      <c r="A7" s="136" t="s">
        <v>168</v>
      </c>
      <c r="B7" s="7"/>
      <c r="C7" s="7"/>
      <c r="D7" s="7"/>
      <c r="E7" s="7"/>
      <c r="F7" s="7"/>
      <c r="G7" s="7"/>
      <c r="H7" s="8"/>
      <c r="I7" s="18"/>
      <c r="J7" s="18"/>
      <c r="K7" s="18"/>
      <c r="L7" s="18"/>
      <c r="M7" s="18"/>
      <c r="N7" s="41" t="s">
        <v>86</v>
      </c>
      <c r="O7" s="18"/>
    </row>
    <row r="8">
      <c r="A8" s="138" t="s">
        <v>155</v>
      </c>
      <c r="B8" s="138" t="s">
        <v>21</v>
      </c>
      <c r="C8" s="138" t="s">
        <v>158</v>
      </c>
      <c r="D8" s="138" t="s">
        <v>159</v>
      </c>
      <c r="E8" s="138" t="s">
        <v>160</v>
      </c>
      <c r="F8" s="141" t="s">
        <v>161</v>
      </c>
      <c r="G8" s="7"/>
      <c r="H8" s="8"/>
      <c r="I8" s="18"/>
      <c r="J8" s="18"/>
      <c r="K8" s="41" t="s">
        <v>169</v>
      </c>
      <c r="L8" s="18"/>
      <c r="M8" s="18"/>
      <c r="N8" s="18"/>
      <c r="O8" s="18"/>
    </row>
    <row r="9">
      <c r="A9" s="36"/>
      <c r="B9" s="36"/>
      <c r="C9" s="36"/>
      <c r="D9" s="36"/>
      <c r="E9" s="36"/>
      <c r="F9" s="29" t="s">
        <v>130</v>
      </c>
      <c r="G9" s="29" t="s">
        <v>131</v>
      </c>
      <c r="H9" s="31" t="s">
        <v>132</v>
      </c>
      <c r="I9" s="18"/>
      <c r="J9" s="18"/>
      <c r="K9" s="18"/>
      <c r="L9" s="18"/>
      <c r="M9" s="18"/>
      <c r="N9" s="18"/>
      <c r="O9" s="18"/>
    </row>
    <row r="10">
      <c r="A10" s="29" t="str">
        <f>QDF!B4</f>
        <v>T1</v>
      </c>
      <c r="B10" s="144" t="str">
        <f>QDF!C4</f>
        <v>SALA DE CALDEIRAS</v>
      </c>
      <c r="C10" s="145">
        <f>DISJUNTORES!E4</f>
        <v>10</v>
      </c>
      <c r="D10" s="146" t="s">
        <v>170</v>
      </c>
      <c r="E10" s="29">
        <v>5.0</v>
      </c>
      <c r="F10" s="29" t="str">
        <f>'QDF-BALANÇO TOTAL'!E5</f>
        <v>-</v>
      </c>
      <c r="G10" s="29" t="str">
        <f>'QDF-BALANÇO TOTAL'!F5</f>
        <v>-</v>
      </c>
      <c r="H10" s="29">
        <f>'QDF-BALANÇO TOTAL'!G5</f>
        <v>800</v>
      </c>
      <c r="I10" s="18"/>
      <c r="J10" s="18"/>
      <c r="K10" s="18"/>
      <c r="L10" s="18"/>
      <c r="M10" s="18"/>
      <c r="N10" s="18"/>
      <c r="O10" s="18"/>
    </row>
    <row r="11">
      <c r="A11" s="29" t="str">
        <f>QDF!B5</f>
        <v>T2</v>
      </c>
      <c r="B11" s="36"/>
      <c r="C11" s="145">
        <f>DISJUNTORES!E5</f>
        <v>10</v>
      </c>
      <c r="D11" s="146" t="s">
        <v>170</v>
      </c>
      <c r="E11" s="29">
        <v>5.0</v>
      </c>
      <c r="F11" s="29">
        <f>'QDF-BALANÇO TOTAL'!E6</f>
        <v>333.3333333</v>
      </c>
      <c r="G11" s="29">
        <f>'QDF-BALANÇO TOTAL'!F6</f>
        <v>333.3333333</v>
      </c>
      <c r="H11" s="29">
        <f>'QDF-BALANÇO TOTAL'!G6</f>
        <v>333.3333333</v>
      </c>
      <c r="I11" s="18"/>
      <c r="J11" s="18"/>
      <c r="K11" s="18"/>
      <c r="L11" s="18"/>
      <c r="M11" s="18"/>
      <c r="N11" s="18"/>
      <c r="O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O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63" t="s">
        <v>173</v>
      </c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 t="s">
        <v>160</v>
      </c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83" t="s">
        <v>175</v>
      </c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16" t="s">
        <v>176</v>
      </c>
      <c r="K68" s="7"/>
      <c r="L68" s="7"/>
      <c r="M68" s="7"/>
      <c r="N68" s="118"/>
      <c r="O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3">
      <c r="A73" s="136" t="s">
        <v>177</v>
      </c>
      <c r="B73" s="7"/>
      <c r="C73" s="7"/>
      <c r="D73" s="7"/>
      <c r="E73" s="7"/>
      <c r="F73" s="7"/>
      <c r="G73" s="7"/>
      <c r="H73" s="8"/>
    </row>
    <row r="74">
      <c r="A74" s="138" t="s">
        <v>155</v>
      </c>
      <c r="B74" s="138" t="s">
        <v>21</v>
      </c>
      <c r="C74" s="138" t="s">
        <v>158</v>
      </c>
      <c r="D74" s="138" t="s">
        <v>159</v>
      </c>
      <c r="E74" s="138" t="s">
        <v>160</v>
      </c>
      <c r="F74" s="141" t="s">
        <v>161</v>
      </c>
      <c r="G74" s="7"/>
      <c r="H74" s="8"/>
    </row>
    <row r="75">
      <c r="A75" s="36"/>
      <c r="B75" s="36"/>
      <c r="C75" s="36"/>
      <c r="D75" s="36"/>
      <c r="E75" s="36"/>
      <c r="F75" s="29" t="s">
        <v>130</v>
      </c>
      <c r="G75" s="29" t="s">
        <v>131</v>
      </c>
      <c r="H75" s="31" t="s">
        <v>132</v>
      </c>
    </row>
    <row r="76">
      <c r="A76" s="29" t="str">
        <f>QDF!B6</f>
        <v>T3</v>
      </c>
      <c r="B76" s="144" t="str">
        <f>QDF!C6</f>
        <v>COMPRESSOR (BOMBAS E PRENSA)</v>
      </c>
      <c r="C76" s="145">
        <f>DISJUNTORES!E6</f>
        <v>6</v>
      </c>
      <c r="D76" s="130" t="s">
        <v>182</v>
      </c>
      <c r="E76" s="29">
        <v>5.0</v>
      </c>
      <c r="F76" s="29" t="str">
        <f>'QDF-BALANÇO TOTAL'!E7</f>
        <v>-</v>
      </c>
      <c r="G76" s="29">
        <f>'QDF-BALANÇO TOTAL'!F7</f>
        <v>400</v>
      </c>
      <c r="H76" s="29" t="str">
        <f>'QDF-BALANÇO TOTAL'!G7</f>
        <v>-</v>
      </c>
    </row>
    <row r="77">
      <c r="A77" s="29" t="str">
        <f>QDF!B7</f>
        <v>T4</v>
      </c>
      <c r="B77" s="36"/>
      <c r="C77" s="145">
        <f>DISJUNTORES!E7</f>
        <v>10</v>
      </c>
      <c r="D77" s="146" t="s">
        <v>170</v>
      </c>
      <c r="E77" s="29">
        <v>5.0</v>
      </c>
      <c r="F77" s="29">
        <f>'QDF-BALANÇO TOTAL'!E8</f>
        <v>333.3333333</v>
      </c>
      <c r="G77" s="29">
        <f>'QDF-BALANÇO TOTAL'!F8</f>
        <v>333.3333333</v>
      </c>
      <c r="H77" s="29">
        <f>'QDF-BALANÇO TOTAL'!G8</f>
        <v>333.3333333</v>
      </c>
    </row>
    <row r="79">
      <c r="J79" s="18"/>
      <c r="K79" s="18"/>
      <c r="L79" s="18"/>
      <c r="M79" s="18"/>
      <c r="N79" s="18"/>
      <c r="O79" s="18"/>
    </row>
    <row r="80">
      <c r="J80" s="18"/>
      <c r="K80" s="18"/>
      <c r="L80" s="18"/>
      <c r="M80" s="18"/>
      <c r="N80" s="18"/>
      <c r="O80" s="18"/>
    </row>
    <row r="81">
      <c r="J81" s="18"/>
      <c r="K81" s="18"/>
      <c r="L81" s="18"/>
      <c r="M81" s="18"/>
      <c r="N81" s="18"/>
      <c r="O81" s="18"/>
    </row>
    <row r="82">
      <c r="J82" s="18"/>
      <c r="K82" s="18"/>
      <c r="L82" s="18"/>
      <c r="M82" s="18"/>
      <c r="N82" s="18"/>
      <c r="O82" s="18"/>
    </row>
    <row r="83">
      <c r="J83" s="18"/>
      <c r="K83" s="18"/>
      <c r="L83" s="18"/>
      <c r="M83" s="18"/>
      <c r="N83" s="18"/>
      <c r="O83" s="18"/>
    </row>
    <row r="84">
      <c r="J84" s="18"/>
      <c r="K84" s="18"/>
      <c r="L84" s="18"/>
      <c r="M84" s="18"/>
      <c r="N84" s="18"/>
      <c r="O84" s="18"/>
    </row>
    <row r="85">
      <c r="J85" s="18"/>
      <c r="K85" s="18"/>
      <c r="L85" s="18"/>
      <c r="M85" s="18"/>
      <c r="N85" s="18"/>
      <c r="O85" s="18"/>
    </row>
    <row r="86">
      <c r="J86" s="18"/>
      <c r="K86" s="18"/>
      <c r="L86" s="18"/>
      <c r="M86" s="18"/>
      <c r="N86" s="18"/>
      <c r="O86" s="18"/>
    </row>
    <row r="87">
      <c r="J87" s="18"/>
      <c r="K87" s="18"/>
      <c r="L87" s="18"/>
      <c r="M87" s="18"/>
      <c r="N87" s="18"/>
      <c r="O87" s="18"/>
    </row>
    <row r="88">
      <c r="J88" s="18"/>
      <c r="K88" s="18"/>
      <c r="L88" s="18"/>
      <c r="M88" s="18"/>
      <c r="N88" s="18"/>
      <c r="O88" s="18"/>
    </row>
    <row r="89">
      <c r="J89" s="18"/>
      <c r="K89" s="18"/>
      <c r="L89" s="18"/>
      <c r="M89" s="18"/>
      <c r="N89" s="18"/>
      <c r="O89" s="18"/>
    </row>
    <row r="90">
      <c r="J90" s="18"/>
      <c r="K90" s="18"/>
      <c r="L90" s="18"/>
      <c r="M90" s="18"/>
      <c r="N90" s="18"/>
      <c r="O90" s="18"/>
    </row>
    <row r="91">
      <c r="O91" s="18"/>
    </row>
    <row r="92">
      <c r="J92" s="18"/>
      <c r="K92" s="18"/>
      <c r="L92" s="18"/>
      <c r="M92" s="18"/>
      <c r="N92" s="18"/>
      <c r="O92" s="18"/>
    </row>
    <row r="93">
      <c r="J93" s="18"/>
      <c r="K93" s="18"/>
      <c r="L93" s="18"/>
      <c r="M93" s="18"/>
      <c r="N93" s="18"/>
      <c r="O93" s="18"/>
    </row>
    <row r="94">
      <c r="J94" s="18"/>
      <c r="K94" s="163" t="s">
        <v>173</v>
      </c>
    </row>
    <row r="95">
      <c r="J95" s="18"/>
      <c r="K95" s="18"/>
      <c r="L95" s="18"/>
      <c r="M95" s="18"/>
      <c r="N95" s="18"/>
      <c r="O95" s="18"/>
    </row>
    <row r="96">
      <c r="J96" s="18"/>
      <c r="K96" s="18"/>
      <c r="L96" s="18"/>
      <c r="M96" s="18"/>
      <c r="N96" s="18"/>
      <c r="O96" s="18"/>
    </row>
    <row r="97">
      <c r="J97" s="18"/>
      <c r="K97" s="18"/>
      <c r="L97" s="18"/>
      <c r="M97" s="18"/>
      <c r="N97" s="18"/>
      <c r="O97" s="18"/>
    </row>
    <row r="98">
      <c r="J98" s="18"/>
      <c r="K98" s="18"/>
      <c r="L98" s="18"/>
      <c r="M98" s="18"/>
      <c r="N98" s="18"/>
      <c r="O98" s="18"/>
    </row>
    <row r="99">
      <c r="J99" s="18"/>
      <c r="K99" s="18"/>
      <c r="L99" s="18"/>
      <c r="M99" s="18"/>
      <c r="N99" s="18"/>
      <c r="O99" s="18"/>
    </row>
    <row r="100">
      <c r="J100" s="18"/>
      <c r="K100" s="18"/>
      <c r="L100" s="18"/>
      <c r="M100" s="18"/>
      <c r="N100" s="18"/>
      <c r="O100" s="18"/>
    </row>
    <row r="101">
      <c r="J101" s="18"/>
    </row>
    <row r="102">
      <c r="J102" s="18"/>
      <c r="K102" s="18"/>
      <c r="L102" s="18"/>
      <c r="M102" s="18"/>
      <c r="N102" s="18"/>
      <c r="O102" s="18"/>
    </row>
    <row r="103">
      <c r="J103" s="18"/>
      <c r="K103" s="18"/>
      <c r="L103" s="18"/>
      <c r="M103" s="18"/>
      <c r="N103" s="18"/>
      <c r="O103" s="18"/>
    </row>
    <row r="104">
      <c r="J104" s="18"/>
      <c r="K104" s="18"/>
      <c r="L104" s="18"/>
      <c r="M104" s="18"/>
      <c r="N104" s="18"/>
      <c r="O104" s="18"/>
    </row>
    <row r="105">
      <c r="J105" s="18"/>
      <c r="K105" s="18"/>
      <c r="L105" s="18"/>
      <c r="M105" s="18"/>
      <c r="N105" s="18"/>
      <c r="O105" s="18"/>
    </row>
    <row r="106">
      <c r="J106" s="18"/>
      <c r="K106" s="18"/>
      <c r="L106" s="18"/>
      <c r="M106" s="18"/>
      <c r="N106" s="18"/>
      <c r="O106" s="18"/>
    </row>
    <row r="107">
      <c r="J107" s="18"/>
      <c r="K107" s="18"/>
      <c r="L107" s="18"/>
      <c r="M107" s="18"/>
      <c r="N107" s="18"/>
      <c r="O107" s="18"/>
    </row>
    <row r="108">
      <c r="J108" s="18"/>
      <c r="K108" s="18"/>
      <c r="L108" s="18"/>
      <c r="M108" s="18"/>
      <c r="N108" s="18"/>
      <c r="O108" s="18"/>
    </row>
    <row r="109">
      <c r="J109" s="18"/>
      <c r="K109" s="18"/>
      <c r="L109" s="18"/>
      <c r="M109" s="18"/>
      <c r="N109" s="18"/>
      <c r="O109" s="18"/>
    </row>
    <row r="110">
      <c r="J110" s="18"/>
      <c r="K110" s="18"/>
      <c r="L110" s="18"/>
      <c r="M110" s="18"/>
      <c r="N110" s="18"/>
      <c r="O110" s="18"/>
    </row>
    <row r="111">
      <c r="J111" s="18"/>
      <c r="K111" s="18"/>
      <c r="L111" s="18"/>
      <c r="M111" s="18"/>
      <c r="N111" s="18"/>
      <c r="O111" s="18"/>
    </row>
    <row r="112">
      <c r="J112" s="18"/>
      <c r="K112" s="18"/>
      <c r="L112" s="18"/>
      <c r="M112" s="18"/>
      <c r="N112" s="18"/>
      <c r="O112" s="18"/>
    </row>
    <row r="113">
      <c r="J113" s="18"/>
      <c r="K113" s="18"/>
      <c r="L113" s="18"/>
      <c r="M113" s="18"/>
      <c r="N113" s="18"/>
      <c r="O113" s="18"/>
    </row>
    <row r="114">
      <c r="J114" s="18" t="s">
        <v>160</v>
      </c>
    </row>
    <row r="115">
      <c r="J115" s="18"/>
      <c r="K115" s="18"/>
      <c r="L115" s="18"/>
      <c r="M115" s="18"/>
      <c r="N115" s="18"/>
      <c r="O115" s="18"/>
    </row>
    <row r="116">
      <c r="J116" s="83" t="s">
        <v>175</v>
      </c>
    </row>
    <row r="117">
      <c r="J117" s="18"/>
      <c r="K117" s="18"/>
      <c r="L117" s="18"/>
      <c r="M117" s="18"/>
      <c r="N117" s="18"/>
      <c r="O117" s="18"/>
    </row>
    <row r="118">
      <c r="J118" s="18"/>
      <c r="K118" s="18"/>
      <c r="L118" s="18"/>
      <c r="M118" s="18"/>
      <c r="N118" s="18"/>
      <c r="O118" s="18"/>
    </row>
    <row r="119">
      <c r="J119" s="18"/>
      <c r="K119" s="18"/>
      <c r="L119" s="18"/>
      <c r="M119" s="18"/>
      <c r="N119" s="18"/>
      <c r="O119" s="18"/>
    </row>
    <row r="120">
      <c r="J120" s="18"/>
      <c r="K120" s="18"/>
      <c r="L120" s="18"/>
      <c r="M120" s="18"/>
      <c r="N120" s="18"/>
      <c r="O120" s="18"/>
    </row>
    <row r="121">
      <c r="J121" s="18"/>
      <c r="K121" s="18"/>
      <c r="L121" s="18"/>
      <c r="M121" s="18"/>
      <c r="N121" s="18"/>
      <c r="O121" s="18"/>
    </row>
    <row r="122">
      <c r="J122" s="18"/>
      <c r="K122" s="18"/>
      <c r="L122" s="18"/>
      <c r="M122" s="18"/>
      <c r="N122" s="18"/>
      <c r="O122" s="18"/>
    </row>
    <row r="123">
      <c r="J123" s="18"/>
      <c r="K123" s="18"/>
      <c r="L123" s="18"/>
      <c r="M123" s="18"/>
      <c r="N123" s="18"/>
      <c r="O123" s="18"/>
    </row>
    <row r="124">
      <c r="J124" s="18"/>
      <c r="K124" s="18"/>
      <c r="L124" s="18"/>
      <c r="M124" s="18"/>
      <c r="N124" s="18"/>
      <c r="O124" s="18"/>
    </row>
    <row r="125">
      <c r="J125" s="18"/>
      <c r="K125" s="18"/>
      <c r="L125" s="18"/>
      <c r="M125" s="18"/>
      <c r="N125" s="18"/>
      <c r="O125" s="18"/>
    </row>
    <row r="126">
      <c r="J126" s="18"/>
      <c r="K126" s="18"/>
      <c r="L126" s="18"/>
      <c r="M126" s="18"/>
      <c r="N126" s="18"/>
      <c r="O126" s="18"/>
    </row>
    <row r="127">
      <c r="J127" s="18"/>
      <c r="K127" s="18"/>
      <c r="L127" s="18"/>
      <c r="M127" s="18"/>
      <c r="N127" s="18"/>
      <c r="O127" s="18"/>
    </row>
    <row r="128">
      <c r="J128" s="18"/>
      <c r="K128" s="18"/>
      <c r="L128" s="18"/>
      <c r="M128" s="18"/>
      <c r="N128" s="18"/>
      <c r="O128" s="18"/>
    </row>
    <row r="129">
      <c r="J129" s="18"/>
      <c r="K129" s="18"/>
      <c r="L129" s="18"/>
      <c r="M129" s="18"/>
      <c r="N129" s="18"/>
      <c r="O129" s="18"/>
    </row>
    <row r="130">
      <c r="J130" s="18"/>
      <c r="K130" s="18"/>
      <c r="L130" s="18"/>
      <c r="M130" s="18"/>
      <c r="N130" s="18"/>
      <c r="O130" s="18"/>
    </row>
    <row r="131">
      <c r="J131" s="18"/>
      <c r="K131" s="18"/>
      <c r="L131" s="18"/>
      <c r="M131" s="18"/>
      <c r="N131" s="18"/>
      <c r="O131" s="18"/>
    </row>
    <row r="132">
      <c r="J132" s="18"/>
      <c r="K132" s="18"/>
      <c r="L132" s="18"/>
      <c r="M132" s="18"/>
      <c r="N132" s="18"/>
      <c r="O132" s="18"/>
    </row>
    <row r="133">
      <c r="J133" s="18"/>
      <c r="K133" s="18"/>
      <c r="L133" s="18"/>
      <c r="M133" s="18"/>
      <c r="N133" s="18"/>
      <c r="O133" s="18"/>
    </row>
    <row r="134">
      <c r="J134" s="18"/>
      <c r="K134" s="18"/>
      <c r="L134" s="18"/>
      <c r="M134" s="18"/>
      <c r="N134" s="18"/>
      <c r="O134" s="18"/>
    </row>
    <row r="135">
      <c r="J135" s="18"/>
      <c r="K135" s="18"/>
      <c r="L135" s="18"/>
      <c r="M135" s="18"/>
      <c r="N135" s="18"/>
      <c r="O135" s="18"/>
    </row>
    <row r="136">
      <c r="J136" s="116" t="s">
        <v>176</v>
      </c>
      <c r="K136" s="7"/>
      <c r="L136" s="7"/>
      <c r="M136" s="7"/>
      <c r="N136" s="118"/>
      <c r="O136" s="18"/>
    </row>
    <row r="137">
      <c r="J137" s="18"/>
      <c r="K137" s="18"/>
      <c r="L137" s="18"/>
      <c r="M137" s="18"/>
      <c r="N137" s="18"/>
      <c r="O137" s="18"/>
    </row>
    <row r="139">
      <c r="A139" s="136" t="s">
        <v>204</v>
      </c>
      <c r="B139" s="7"/>
      <c r="C139" s="7"/>
      <c r="D139" s="7"/>
      <c r="E139" s="7"/>
      <c r="F139" s="7"/>
      <c r="G139" s="7"/>
      <c r="H139" s="8"/>
    </row>
    <row r="140">
      <c r="A140" s="138" t="s">
        <v>155</v>
      </c>
      <c r="B140" s="138" t="s">
        <v>21</v>
      </c>
      <c r="C140" s="138" t="s">
        <v>158</v>
      </c>
      <c r="D140" s="138" t="s">
        <v>159</v>
      </c>
      <c r="E140" s="138" t="s">
        <v>160</v>
      </c>
      <c r="F140" s="141" t="s">
        <v>161</v>
      </c>
      <c r="G140" s="7"/>
      <c r="H140" s="8"/>
    </row>
    <row r="141">
      <c r="A141" s="36"/>
      <c r="B141" s="36"/>
      <c r="C141" s="36"/>
      <c r="D141" s="36"/>
      <c r="E141" s="36"/>
      <c r="F141" s="29" t="s">
        <v>130</v>
      </c>
      <c r="G141" s="29" t="s">
        <v>131</v>
      </c>
      <c r="H141" s="31" t="s">
        <v>132</v>
      </c>
    </row>
    <row r="142">
      <c r="A142" s="29" t="str">
        <f>QDF!B8</f>
        <v>T5</v>
      </c>
      <c r="B142" s="144" t="str">
        <f>QDF!C8</f>
        <v>DEPÓSITO DE CARCAÇAS</v>
      </c>
      <c r="C142" s="145">
        <f>DISJUNTORES!E8</f>
        <v>10</v>
      </c>
      <c r="D142" s="130" t="s">
        <v>170</v>
      </c>
      <c r="E142" s="29">
        <v>5.0</v>
      </c>
      <c r="F142" s="29" t="str">
        <f>'QDF-BALANÇO TOTAL'!E9</f>
        <v>-</v>
      </c>
      <c r="G142" s="29">
        <f>'QDF-BALANÇO TOTAL'!F9</f>
        <v>800</v>
      </c>
      <c r="H142" s="29" t="str">
        <f>'QDF-BALANÇO TOTAL'!G9</f>
        <v>-</v>
      </c>
    </row>
    <row r="143">
      <c r="A143" s="29" t="str">
        <f>QDF!B9</f>
        <v>T6</v>
      </c>
      <c r="B143" s="36"/>
      <c r="C143" s="145">
        <f>DISJUNTORES!E9</f>
        <v>10</v>
      </c>
      <c r="D143" s="146" t="s">
        <v>170</v>
      </c>
      <c r="E143" s="29">
        <v>5.0</v>
      </c>
      <c r="F143" s="29">
        <f>'QDF-BALANÇO TOTAL'!E10</f>
        <v>333.3333333</v>
      </c>
      <c r="G143" s="29">
        <f>'QDF-BALANÇO TOTAL'!F10</f>
        <v>333.3333333</v>
      </c>
      <c r="H143" s="29">
        <f>'QDF-BALANÇO TOTAL'!G10</f>
        <v>333.3333333</v>
      </c>
    </row>
    <row r="146">
      <c r="K146" s="18"/>
      <c r="L146" s="18"/>
      <c r="M146" s="18"/>
      <c r="N146" s="18"/>
      <c r="O146" s="18"/>
      <c r="P146" s="18"/>
    </row>
    <row r="147">
      <c r="K147" s="18"/>
      <c r="L147" s="18"/>
      <c r="M147" s="18"/>
      <c r="N147" s="18"/>
      <c r="O147" s="18"/>
      <c r="P147" s="18"/>
    </row>
    <row r="148">
      <c r="K148" s="18"/>
      <c r="L148" s="18"/>
      <c r="M148" s="18"/>
      <c r="N148" s="18"/>
      <c r="O148" s="18"/>
      <c r="P148" s="18"/>
    </row>
    <row r="149">
      <c r="K149" s="18"/>
      <c r="L149" s="18"/>
      <c r="M149" s="18"/>
      <c r="N149" s="18"/>
      <c r="O149" s="18"/>
      <c r="P149" s="18"/>
    </row>
    <row r="150">
      <c r="K150" s="18"/>
      <c r="L150" s="18"/>
      <c r="M150" s="18"/>
      <c r="N150" s="18"/>
      <c r="O150" s="18"/>
      <c r="P150" s="18"/>
    </row>
    <row r="151">
      <c r="K151" s="18"/>
      <c r="L151" s="18"/>
      <c r="M151" s="18"/>
      <c r="N151" s="18"/>
      <c r="O151" s="18"/>
      <c r="P151" s="18"/>
    </row>
    <row r="152">
      <c r="K152" s="18"/>
      <c r="L152" s="18"/>
      <c r="M152" s="18"/>
      <c r="N152" s="18"/>
      <c r="O152" s="18"/>
      <c r="P152" s="18"/>
    </row>
    <row r="153">
      <c r="K153" s="18"/>
      <c r="L153" s="18"/>
      <c r="M153" s="18"/>
      <c r="N153" s="18"/>
      <c r="O153" s="18"/>
      <c r="P153" s="18"/>
    </row>
    <row r="154">
      <c r="K154" s="18"/>
      <c r="L154" s="18"/>
      <c r="M154" s="18"/>
      <c r="N154" s="18"/>
      <c r="O154" s="18"/>
      <c r="P154" s="18"/>
    </row>
    <row r="155">
      <c r="K155" s="18"/>
      <c r="L155" s="18"/>
      <c r="M155" s="18"/>
      <c r="N155" s="18"/>
      <c r="O155" s="18"/>
      <c r="P155" s="18"/>
    </row>
    <row r="156">
      <c r="K156" s="18"/>
      <c r="L156" s="18"/>
      <c r="M156" s="18"/>
      <c r="N156" s="18"/>
      <c r="O156" s="18"/>
      <c r="P156" s="18"/>
    </row>
    <row r="157">
      <c r="K157" s="18"/>
      <c r="L157" s="18"/>
      <c r="M157" s="18"/>
      <c r="N157" s="18"/>
      <c r="O157" s="18"/>
      <c r="P157" s="18"/>
    </row>
    <row r="158">
      <c r="P158" s="18"/>
    </row>
    <row r="159">
      <c r="K159" s="18"/>
      <c r="L159" s="18"/>
      <c r="M159" s="18"/>
      <c r="N159" s="18"/>
      <c r="O159" s="18"/>
      <c r="P159" s="18"/>
    </row>
    <row r="160">
      <c r="K160" s="18"/>
      <c r="L160" s="18"/>
      <c r="M160" s="18"/>
      <c r="N160" s="18"/>
      <c r="O160" s="18"/>
      <c r="P160" s="18"/>
    </row>
    <row r="161">
      <c r="K161" s="18"/>
      <c r="L161" s="163" t="s">
        <v>173</v>
      </c>
    </row>
    <row r="162">
      <c r="K162" s="18"/>
      <c r="L162" s="18"/>
      <c r="M162" s="18"/>
      <c r="N162" s="18"/>
      <c r="O162" s="18"/>
      <c r="P162" s="18"/>
    </row>
    <row r="163">
      <c r="K163" s="18"/>
      <c r="L163" s="18"/>
      <c r="M163" s="18"/>
      <c r="N163" s="18"/>
      <c r="O163" s="18"/>
      <c r="P163" s="18"/>
    </row>
    <row r="164">
      <c r="K164" s="18"/>
      <c r="L164" s="18"/>
      <c r="M164" s="18"/>
      <c r="N164" s="18"/>
      <c r="O164" s="18"/>
      <c r="P164" s="18"/>
    </row>
    <row r="165">
      <c r="K165" s="18"/>
      <c r="L165" s="18"/>
      <c r="M165" s="18"/>
      <c r="N165" s="18"/>
      <c r="O165" s="18"/>
      <c r="P165" s="18"/>
    </row>
    <row r="166">
      <c r="K166" s="18"/>
      <c r="L166" s="18"/>
      <c r="M166" s="18"/>
      <c r="N166" s="18"/>
      <c r="O166" s="18"/>
      <c r="P166" s="18"/>
    </row>
    <row r="167">
      <c r="K167" s="18"/>
      <c r="L167" s="18"/>
      <c r="M167" s="18"/>
      <c r="N167" s="18"/>
      <c r="O167" s="18"/>
      <c r="P167" s="18"/>
    </row>
    <row r="168">
      <c r="K168" s="18"/>
    </row>
    <row r="169">
      <c r="K169" s="18"/>
      <c r="L169" s="18"/>
      <c r="M169" s="18"/>
      <c r="N169" s="18"/>
      <c r="O169" s="18"/>
      <c r="P169" s="18"/>
    </row>
    <row r="170">
      <c r="K170" s="18"/>
      <c r="L170" s="18"/>
      <c r="M170" s="18"/>
      <c r="N170" s="18"/>
      <c r="O170" s="18"/>
      <c r="P170" s="18"/>
    </row>
    <row r="171">
      <c r="K171" s="18"/>
      <c r="L171" s="18"/>
      <c r="M171" s="18"/>
      <c r="N171" s="18"/>
      <c r="O171" s="18"/>
      <c r="P171" s="18"/>
    </row>
    <row r="172">
      <c r="K172" s="18"/>
      <c r="L172" s="18"/>
      <c r="M172" s="18"/>
      <c r="N172" s="18"/>
      <c r="O172" s="18"/>
      <c r="P172" s="18"/>
    </row>
    <row r="173">
      <c r="K173" s="18"/>
      <c r="L173" s="18"/>
      <c r="M173" s="18"/>
      <c r="N173" s="18"/>
      <c r="O173" s="18"/>
      <c r="P173" s="18"/>
    </row>
    <row r="174">
      <c r="K174" s="18"/>
      <c r="L174" s="18"/>
      <c r="M174" s="18"/>
      <c r="N174" s="18"/>
      <c r="O174" s="18"/>
      <c r="P174" s="18"/>
    </row>
    <row r="175">
      <c r="K175" s="18"/>
      <c r="L175" s="18"/>
      <c r="M175" s="18"/>
      <c r="N175" s="18"/>
      <c r="O175" s="18"/>
      <c r="P175" s="18"/>
    </row>
    <row r="176">
      <c r="K176" s="18"/>
      <c r="L176" s="18"/>
      <c r="M176" s="18"/>
      <c r="N176" s="18"/>
      <c r="O176" s="18"/>
      <c r="P176" s="18"/>
    </row>
    <row r="177">
      <c r="K177" s="18"/>
      <c r="L177" s="18"/>
      <c r="M177" s="18"/>
      <c r="N177" s="18"/>
      <c r="O177" s="18"/>
      <c r="P177" s="18"/>
    </row>
    <row r="178">
      <c r="K178" s="18"/>
      <c r="L178" s="18"/>
      <c r="M178" s="18"/>
      <c r="N178" s="18"/>
      <c r="O178" s="18"/>
      <c r="P178" s="18"/>
    </row>
    <row r="179">
      <c r="K179" s="18"/>
      <c r="L179" s="18"/>
      <c r="M179" s="18"/>
      <c r="N179" s="18"/>
      <c r="O179" s="18"/>
      <c r="P179" s="18"/>
    </row>
    <row r="180">
      <c r="K180" s="18"/>
      <c r="L180" s="18"/>
      <c r="M180" s="18"/>
      <c r="N180" s="18"/>
      <c r="O180" s="18"/>
      <c r="P180" s="18"/>
    </row>
    <row r="181">
      <c r="K181" s="18" t="s">
        <v>160</v>
      </c>
    </row>
    <row r="182">
      <c r="K182" s="18"/>
      <c r="L182" s="18"/>
      <c r="M182" s="18"/>
      <c r="N182" s="18"/>
      <c r="O182" s="18"/>
      <c r="P182" s="18"/>
    </row>
    <row r="183">
      <c r="K183" s="83" t="s">
        <v>175</v>
      </c>
    </row>
    <row r="184">
      <c r="K184" s="18"/>
      <c r="L184" s="18"/>
      <c r="M184" s="18"/>
      <c r="N184" s="18"/>
      <c r="O184" s="18"/>
      <c r="P184" s="18"/>
    </row>
    <row r="185">
      <c r="K185" s="18"/>
      <c r="L185" s="18"/>
      <c r="M185" s="18"/>
      <c r="N185" s="18"/>
      <c r="O185" s="18"/>
      <c r="P185" s="18"/>
    </row>
    <row r="186">
      <c r="K186" s="18"/>
      <c r="L186" s="18"/>
      <c r="M186" s="18"/>
      <c r="N186" s="18"/>
      <c r="O186" s="18"/>
      <c r="P186" s="18"/>
    </row>
    <row r="187">
      <c r="K187" s="18"/>
      <c r="L187" s="18"/>
      <c r="M187" s="18"/>
      <c r="N187" s="18"/>
      <c r="O187" s="18"/>
      <c r="P187" s="18"/>
    </row>
    <row r="188">
      <c r="K188" s="18"/>
      <c r="L188" s="18"/>
      <c r="M188" s="18"/>
      <c r="N188" s="18"/>
      <c r="O188" s="18"/>
      <c r="P188" s="18"/>
    </row>
    <row r="189">
      <c r="K189" s="18"/>
      <c r="L189" s="18"/>
      <c r="M189" s="18"/>
      <c r="N189" s="18"/>
      <c r="O189" s="18"/>
      <c r="P189" s="18"/>
    </row>
    <row r="190">
      <c r="K190" s="18"/>
      <c r="L190" s="18"/>
      <c r="M190" s="18"/>
      <c r="N190" s="18"/>
      <c r="O190" s="18"/>
      <c r="P190" s="18"/>
    </row>
    <row r="191">
      <c r="K191" s="18"/>
      <c r="L191" s="18"/>
      <c r="M191" s="18"/>
      <c r="N191" s="18"/>
      <c r="O191" s="18"/>
      <c r="P191" s="18"/>
    </row>
    <row r="192">
      <c r="K192" s="18"/>
      <c r="L192" s="18"/>
      <c r="M192" s="18"/>
      <c r="N192" s="18"/>
      <c r="O192" s="18"/>
      <c r="P192" s="18"/>
    </row>
    <row r="193">
      <c r="K193" s="18"/>
      <c r="L193" s="18"/>
      <c r="M193" s="18"/>
      <c r="N193" s="18"/>
      <c r="O193" s="18"/>
      <c r="P193" s="18"/>
    </row>
    <row r="194">
      <c r="K194" s="18"/>
      <c r="L194" s="18"/>
      <c r="M194" s="18"/>
      <c r="N194" s="18"/>
      <c r="O194" s="18"/>
      <c r="P194" s="18"/>
    </row>
    <row r="195">
      <c r="K195" s="18"/>
      <c r="L195" s="18"/>
      <c r="M195" s="18"/>
      <c r="N195" s="18"/>
      <c r="O195" s="18"/>
      <c r="P195" s="18"/>
    </row>
    <row r="196">
      <c r="K196" s="18"/>
      <c r="L196" s="18"/>
      <c r="M196" s="18"/>
      <c r="N196" s="18"/>
      <c r="O196" s="18"/>
      <c r="P196" s="18"/>
    </row>
    <row r="197">
      <c r="K197" s="18"/>
      <c r="L197" s="18"/>
      <c r="M197" s="18"/>
      <c r="N197" s="18"/>
      <c r="O197" s="18"/>
      <c r="P197" s="18"/>
    </row>
    <row r="198">
      <c r="K198" s="18"/>
      <c r="L198" s="18"/>
      <c r="M198" s="18"/>
      <c r="N198" s="18"/>
      <c r="O198" s="18"/>
      <c r="P198" s="18"/>
    </row>
    <row r="199">
      <c r="K199" s="18"/>
      <c r="L199" s="18"/>
      <c r="M199" s="18"/>
      <c r="N199" s="18"/>
      <c r="O199" s="18"/>
      <c r="P199" s="18"/>
    </row>
    <row r="200">
      <c r="K200" s="18"/>
      <c r="L200" s="18"/>
      <c r="M200" s="18"/>
      <c r="N200" s="18"/>
      <c r="O200" s="18"/>
      <c r="P200" s="18"/>
    </row>
    <row r="201">
      <c r="K201" s="18"/>
      <c r="L201" s="18"/>
      <c r="M201" s="18"/>
      <c r="N201" s="18"/>
      <c r="O201" s="18"/>
      <c r="P201" s="18"/>
    </row>
    <row r="202">
      <c r="K202" s="18"/>
      <c r="L202" s="18"/>
      <c r="M202" s="18"/>
      <c r="N202" s="18"/>
      <c r="O202" s="18"/>
      <c r="P202" s="18"/>
    </row>
    <row r="203">
      <c r="K203" s="116" t="s">
        <v>176</v>
      </c>
      <c r="L203" s="7"/>
      <c r="M203" s="7"/>
      <c r="N203" s="7"/>
      <c r="O203" s="118"/>
      <c r="P203" s="18"/>
    </row>
    <row r="206">
      <c r="A206" s="136" t="s">
        <v>213</v>
      </c>
      <c r="B206" s="7"/>
      <c r="C206" s="7"/>
      <c r="D206" s="7"/>
      <c r="E206" s="7"/>
      <c r="F206" s="7"/>
      <c r="G206" s="7"/>
      <c r="H206" s="8"/>
    </row>
    <row r="207">
      <c r="A207" s="138" t="s">
        <v>155</v>
      </c>
      <c r="B207" s="138" t="s">
        <v>21</v>
      </c>
      <c r="C207" s="138" t="s">
        <v>158</v>
      </c>
      <c r="D207" s="138" t="s">
        <v>159</v>
      </c>
      <c r="E207" s="138" t="s">
        <v>160</v>
      </c>
      <c r="F207" s="141" t="s">
        <v>161</v>
      </c>
      <c r="G207" s="7"/>
      <c r="H207" s="8"/>
    </row>
    <row r="208">
      <c r="A208" s="36"/>
      <c r="B208" s="36"/>
      <c r="C208" s="36"/>
      <c r="D208" s="36"/>
      <c r="E208" s="36"/>
      <c r="F208" s="29" t="s">
        <v>130</v>
      </c>
      <c r="G208" s="29" t="s">
        <v>131</v>
      </c>
      <c r="H208" s="31" t="s">
        <v>132</v>
      </c>
    </row>
    <row r="209">
      <c r="A209" s="29" t="str">
        <f>QDF!B10</f>
        <v>T7</v>
      </c>
      <c r="B209" s="144" t="str">
        <f>QDF!C10</f>
        <v>RASPA</v>
      </c>
      <c r="C209" s="145">
        <f>DISJUNTORES!E10</f>
        <v>10</v>
      </c>
      <c r="D209" s="130" t="s">
        <v>170</v>
      </c>
      <c r="E209" s="29">
        <v>5.0</v>
      </c>
      <c r="F209" s="29">
        <f>'QDF-BALANÇO TOTAL'!E11</f>
        <v>1200</v>
      </c>
      <c r="G209" s="29" t="str">
        <f>'QDF-BALANÇO TOTAL'!F11</f>
        <v>-</v>
      </c>
      <c r="H209" s="29" t="str">
        <f>'QDF-BALANÇO TOTAL'!G11</f>
        <v>-</v>
      </c>
    </row>
    <row r="210">
      <c r="A210" s="29" t="str">
        <f>QDF!B11</f>
        <v>T8</v>
      </c>
      <c r="B210" s="36"/>
      <c r="C210" s="145">
        <f>DISJUNTORES!E11</f>
        <v>10</v>
      </c>
      <c r="D210" s="146" t="s">
        <v>170</v>
      </c>
      <c r="E210" s="29">
        <v>5.0</v>
      </c>
      <c r="F210" s="29">
        <f>'QDF-BALANÇO TOTAL'!E12</f>
        <v>333.3333333</v>
      </c>
      <c r="G210" s="29">
        <f>'QDF-BALANÇO TOTAL'!F12</f>
        <v>333.3333333</v>
      </c>
      <c r="H210" s="29">
        <f>'QDF-BALANÇO TOTAL'!G12</f>
        <v>333.3333333</v>
      </c>
    </row>
    <row r="214">
      <c r="A214" s="141" t="s">
        <v>214</v>
      </c>
      <c r="B214" s="7"/>
      <c r="C214" s="7"/>
      <c r="D214" s="7"/>
      <c r="E214" s="7"/>
      <c r="F214" s="7"/>
      <c r="G214" s="7"/>
      <c r="H214" s="8"/>
    </row>
    <row r="215">
      <c r="A215" s="138" t="s">
        <v>155</v>
      </c>
      <c r="B215" s="138" t="s">
        <v>20</v>
      </c>
      <c r="C215" s="138" t="s">
        <v>158</v>
      </c>
      <c r="D215" s="138" t="s">
        <v>159</v>
      </c>
      <c r="E215" s="138" t="s">
        <v>160</v>
      </c>
      <c r="F215" s="141" t="s">
        <v>161</v>
      </c>
      <c r="G215" s="7"/>
      <c r="H215" s="8"/>
    </row>
    <row r="216">
      <c r="A216" s="208" t="s">
        <v>215</v>
      </c>
      <c r="B216" s="208" t="s">
        <v>215</v>
      </c>
      <c r="C216" s="208" t="s">
        <v>215</v>
      </c>
      <c r="D216" s="208" t="s">
        <v>215</v>
      </c>
      <c r="E216" s="208" t="s">
        <v>215</v>
      </c>
      <c r="F216" s="29" t="s">
        <v>130</v>
      </c>
      <c r="G216" s="29" t="s">
        <v>131</v>
      </c>
      <c r="H216" s="31" t="s">
        <v>132</v>
      </c>
    </row>
    <row r="217">
      <c r="A217" s="29" t="str">
        <f>QDF!B15</f>
        <v>T12</v>
      </c>
      <c r="B217" s="144" t="str">
        <f>QDF!C15</f>
        <v>ESCRITÓRIO</v>
      </c>
      <c r="C217" s="145">
        <f>DISJUNTORES!E15</f>
        <v>10</v>
      </c>
      <c r="D217" s="146" t="s">
        <v>170</v>
      </c>
      <c r="E217" s="29">
        <v>5.0</v>
      </c>
      <c r="F217" s="29" t="str">
        <f>'QDF-BALANÇO TOTAL'!E16</f>
        <v>-</v>
      </c>
      <c r="G217" s="31">
        <f>'QDF-BALANÇO TOTAL'!F16</f>
        <v>1000</v>
      </c>
      <c r="H217" s="29" t="str">
        <f>'QDF-BALANÇO TOTAL'!G16</f>
        <v>-</v>
      </c>
    </row>
    <row r="218">
      <c r="A218" s="29" t="str">
        <f>QDF!B16</f>
        <v>T13</v>
      </c>
      <c r="B218" s="144" t="str">
        <f>QDF!C16</f>
        <v>ESCRITÓRIO</v>
      </c>
      <c r="C218" s="145">
        <f>DISJUNTORES!E16</f>
        <v>10</v>
      </c>
      <c r="D218" s="146" t="s">
        <v>170</v>
      </c>
      <c r="E218" s="29">
        <v>5.0</v>
      </c>
      <c r="F218" s="29">
        <f>'QDF-BALANÇO TOTAL'!E17</f>
        <v>1500</v>
      </c>
      <c r="G218" s="29" t="str">
        <f>'QDF-BALANÇO TOTAL'!F17</f>
        <v>-</v>
      </c>
      <c r="H218" s="29" t="str">
        <f>'QDF-BALANÇO TOTAL'!G17</f>
        <v>-</v>
      </c>
    </row>
    <row r="219">
      <c r="A219" s="29" t="str">
        <f>QDF!B17</f>
        <v>T14</v>
      </c>
      <c r="B219" s="144" t="str">
        <f>QDF!C17</f>
        <v>SAIDA DE PRODUTOS</v>
      </c>
      <c r="C219" s="145">
        <f>DISJUNTORES!E17</f>
        <v>10</v>
      </c>
      <c r="D219" s="146" t="s">
        <v>170</v>
      </c>
      <c r="E219" s="29">
        <v>5.0</v>
      </c>
      <c r="F219" s="29">
        <f>'QDF-BALANÇO TOTAL'!E18</f>
        <v>1600</v>
      </c>
      <c r="G219" s="29" t="str">
        <f>'QDF-BALANÇO TOTAL'!F18</f>
        <v>-</v>
      </c>
      <c r="H219" s="29" t="str">
        <f>'QDF-BALANÇO TOTAL'!G18</f>
        <v>-</v>
      </c>
    </row>
    <row r="220">
      <c r="A220" s="18"/>
      <c r="B220" s="18"/>
      <c r="C220" s="18"/>
      <c r="D220" s="18"/>
      <c r="E220" s="18"/>
      <c r="F220" s="18"/>
      <c r="G220" s="18"/>
      <c r="H220" s="18"/>
    </row>
    <row r="221">
      <c r="A221" s="141" t="s">
        <v>217</v>
      </c>
      <c r="B221" s="7"/>
      <c r="C221" s="7"/>
      <c r="D221" s="7"/>
      <c r="E221" s="7"/>
      <c r="F221" s="7"/>
      <c r="G221" s="7"/>
      <c r="H221" s="8"/>
    </row>
    <row r="222">
      <c r="A222" s="138" t="s">
        <v>155</v>
      </c>
      <c r="B222" s="138" t="s">
        <v>20</v>
      </c>
      <c r="C222" s="138" t="s">
        <v>158</v>
      </c>
      <c r="D222" s="138" t="s">
        <v>159</v>
      </c>
      <c r="E222" s="138" t="s">
        <v>160</v>
      </c>
      <c r="F222" s="141" t="s">
        <v>161</v>
      </c>
      <c r="G222" s="7"/>
      <c r="H222" s="8"/>
    </row>
    <row r="223">
      <c r="A223" s="208" t="s">
        <v>215</v>
      </c>
      <c r="B223" s="208" t="s">
        <v>215</v>
      </c>
      <c r="C223" s="208" t="s">
        <v>215</v>
      </c>
      <c r="D223" s="208" t="s">
        <v>215</v>
      </c>
      <c r="E223" s="208" t="s">
        <v>215</v>
      </c>
      <c r="F223" s="29" t="s">
        <v>130</v>
      </c>
      <c r="G223" s="29" t="s">
        <v>131</v>
      </c>
      <c r="H223" s="31" t="s">
        <v>132</v>
      </c>
    </row>
    <row r="224">
      <c r="A224" s="29" t="str">
        <f>QDF!B18</f>
        <v>T15</v>
      </c>
      <c r="B224" s="144" t="str">
        <f>QDF!C18</f>
        <v>CONTROLE DE QUALIDADE</v>
      </c>
      <c r="C224" s="145">
        <f>DISJUNTORES!E18</f>
        <v>10</v>
      </c>
      <c r="D224" s="146" t="s">
        <v>170</v>
      </c>
      <c r="E224" s="29">
        <v>5.0</v>
      </c>
      <c r="F224" s="29" t="str">
        <f>'QDF-BALANÇO TOTAL'!E19</f>
        <v>-</v>
      </c>
      <c r="G224" s="29">
        <f>'QDF-BALANÇO TOTAL'!F19</f>
        <v>1600</v>
      </c>
      <c r="H224" s="29" t="str">
        <f>'QDF-BALANÇO TOTAL'!G19</f>
        <v>-</v>
      </c>
    </row>
    <row r="225">
      <c r="A225" s="29" t="str">
        <f>QDF!B19</f>
        <v>T16</v>
      </c>
      <c r="B225" s="144" t="str">
        <f>QDF!C19</f>
        <v>SAIDA DE PRODUTOS</v>
      </c>
      <c r="C225" s="145">
        <f>DISJUNTORES!E19</f>
        <v>10</v>
      </c>
      <c r="D225" s="146" t="s">
        <v>170</v>
      </c>
      <c r="E225" s="29">
        <v>5.0</v>
      </c>
      <c r="F225" s="29" t="str">
        <f>'QDF-BALANÇO TOTAL'!E20</f>
        <v>-</v>
      </c>
      <c r="G225" s="29">
        <f>'QDF-BALANÇO TOTAL'!F20</f>
        <v>1500</v>
      </c>
      <c r="H225" s="29" t="str">
        <f>'QDF-BALANÇO TOTAL'!G20</f>
        <v>-</v>
      </c>
    </row>
    <row r="226">
      <c r="A226" s="29" t="str">
        <f>QDF!B20</f>
        <v>T17</v>
      </c>
      <c r="B226" s="144" t="str">
        <f>QDF!C20</f>
        <v>CONTROLE DE QUALIDADE</v>
      </c>
      <c r="C226" s="145">
        <f>DISJUNTORES!E20</f>
        <v>10</v>
      </c>
      <c r="D226" s="146" t="s">
        <v>170</v>
      </c>
      <c r="E226" s="29">
        <v>5.0</v>
      </c>
      <c r="F226" s="29" t="str">
        <f>'QDF-BALANÇO TOTAL'!E21</f>
        <v>-</v>
      </c>
      <c r="G226" s="29">
        <f>'QDF-BALANÇO TOTAL'!F21</f>
        <v>1500</v>
      </c>
      <c r="H226" s="29" t="str">
        <f>'QDF-BALANÇO TOTAL'!G21</f>
        <v>-</v>
      </c>
    </row>
    <row r="227">
      <c r="A227" s="29" t="str">
        <f>QDF!B21</f>
        <v>T18</v>
      </c>
      <c r="B227" s="144" t="str">
        <f>QDF!C21</f>
        <v>BANHEIRO (VESTUARIO)</v>
      </c>
      <c r="C227" s="145">
        <f>DISJUNTORES!E21</f>
        <v>10</v>
      </c>
      <c r="D227" s="146" t="s">
        <v>170</v>
      </c>
      <c r="E227" s="29">
        <v>5.0</v>
      </c>
      <c r="F227" s="29">
        <f>'QDF-BALANÇO TOTAL'!E22</f>
        <v>600</v>
      </c>
      <c r="G227" s="29" t="str">
        <f>'QDF-BALANÇO TOTAL'!F22</f>
        <v>-</v>
      </c>
      <c r="H227" s="29" t="str">
        <f>'QDF-BALANÇO TOTAL'!G22</f>
        <v>-</v>
      </c>
    </row>
    <row r="228">
      <c r="A228" s="18"/>
      <c r="B228" s="18"/>
      <c r="C228" s="18"/>
      <c r="D228" s="18"/>
      <c r="E228" s="18"/>
      <c r="F228" s="18"/>
      <c r="G228" s="18"/>
      <c r="H228" s="18"/>
    </row>
    <row r="229">
      <c r="A229" s="141" t="s">
        <v>219</v>
      </c>
      <c r="B229" s="7"/>
      <c r="C229" s="7"/>
      <c r="D229" s="7"/>
      <c r="E229" s="7"/>
      <c r="F229" s="7"/>
      <c r="G229" s="7"/>
      <c r="H229" s="8"/>
    </row>
    <row r="230">
      <c r="A230" s="138" t="s">
        <v>155</v>
      </c>
      <c r="B230" s="138" t="s">
        <v>20</v>
      </c>
      <c r="C230" s="138" t="s">
        <v>158</v>
      </c>
      <c r="D230" s="138" t="s">
        <v>159</v>
      </c>
      <c r="E230" s="138" t="s">
        <v>160</v>
      </c>
      <c r="F230" s="141" t="s">
        <v>161</v>
      </c>
      <c r="G230" s="7"/>
      <c r="H230" s="8"/>
    </row>
    <row r="231">
      <c r="A231" s="208" t="s">
        <v>215</v>
      </c>
      <c r="B231" s="208" t="s">
        <v>215</v>
      </c>
      <c r="C231" s="208" t="s">
        <v>215</v>
      </c>
      <c r="D231" s="208" t="s">
        <v>215</v>
      </c>
      <c r="E231" s="208" t="s">
        <v>215</v>
      </c>
      <c r="F231" s="29" t="s">
        <v>130</v>
      </c>
      <c r="G231" s="29" t="s">
        <v>131</v>
      </c>
      <c r="H231" s="31" t="s">
        <v>132</v>
      </c>
    </row>
    <row r="232">
      <c r="A232" s="29" t="str">
        <f>QDF!B22</f>
        <v>T19</v>
      </c>
      <c r="B232" s="144" t="str">
        <f>QDF!C22</f>
        <v>BANHEIRO (VESTUARIO)</v>
      </c>
      <c r="C232" s="145">
        <f>DISJUNTORES!E22</f>
        <v>50</v>
      </c>
      <c r="D232" s="146" t="s">
        <v>170</v>
      </c>
      <c r="E232" s="29">
        <v>5.0</v>
      </c>
      <c r="F232" s="29" t="str">
        <f>'QDF-BALANÇO TOTAL'!E23</f>
        <v>-</v>
      </c>
      <c r="G232" s="29" t="str">
        <f>'QDF-BALANÇO TOTAL'!F23</f>
        <v>-</v>
      </c>
      <c r="H232" s="29">
        <f>'QDF-BALANÇO TOTAL'!G23</f>
        <v>9000</v>
      </c>
    </row>
    <row r="233">
      <c r="A233" s="29" t="str">
        <f>QDF!B23</f>
        <v>T20</v>
      </c>
      <c r="B233" s="144" t="str">
        <f>QDF!C23</f>
        <v>RESERVA</v>
      </c>
      <c r="C233" s="145" t="str">
        <f>DISJUNTORES!E23</f>
        <v/>
      </c>
      <c r="D233" s="146" t="s">
        <v>220</v>
      </c>
      <c r="E233" s="29">
        <v>5.0</v>
      </c>
      <c r="F233" s="29" t="str">
        <f>'QDF-BALANÇO TOTAL'!E24</f>
        <v>-</v>
      </c>
      <c r="G233" s="29" t="str">
        <f>'QDF-BALANÇO TOTAL'!F24</f>
        <v/>
      </c>
      <c r="H233" s="29" t="str">
        <f>'QDF-BALANÇO TOTAL'!G24</f>
        <v>-</v>
      </c>
    </row>
  </sheetData>
  <mergeCells count="57">
    <mergeCell ref="E207:E208"/>
    <mergeCell ref="F207:H207"/>
    <mergeCell ref="L161:P161"/>
    <mergeCell ref="K181:P181"/>
    <mergeCell ref="K183:P183"/>
    <mergeCell ref="K203:O203"/>
    <mergeCell ref="A206:H206"/>
    <mergeCell ref="A207:A208"/>
    <mergeCell ref="B207:B208"/>
    <mergeCell ref="A1:H1"/>
    <mergeCell ref="B2:B3"/>
    <mergeCell ref="C2:C3"/>
    <mergeCell ref="D2:D3"/>
    <mergeCell ref="E2:E3"/>
    <mergeCell ref="F2:H2"/>
    <mergeCell ref="A7:H7"/>
    <mergeCell ref="F8:H8"/>
    <mergeCell ref="A2:A3"/>
    <mergeCell ref="A8:A9"/>
    <mergeCell ref="B8:B9"/>
    <mergeCell ref="C8:C9"/>
    <mergeCell ref="D8:D9"/>
    <mergeCell ref="E8:E9"/>
    <mergeCell ref="B10:B11"/>
    <mergeCell ref="C74:C75"/>
    <mergeCell ref="D74:D75"/>
    <mergeCell ref="B76:B77"/>
    <mergeCell ref="K26:O26"/>
    <mergeCell ref="J46:O46"/>
    <mergeCell ref="J48:O48"/>
    <mergeCell ref="J68:N68"/>
    <mergeCell ref="A73:H73"/>
    <mergeCell ref="A74:A75"/>
    <mergeCell ref="B74:B75"/>
    <mergeCell ref="E74:E75"/>
    <mergeCell ref="F74:H74"/>
    <mergeCell ref="K94:O94"/>
    <mergeCell ref="J114:O114"/>
    <mergeCell ref="J116:O116"/>
    <mergeCell ref="J136:N136"/>
    <mergeCell ref="A139:H139"/>
    <mergeCell ref="A140:A141"/>
    <mergeCell ref="B140:B141"/>
    <mergeCell ref="C140:C141"/>
    <mergeCell ref="D140:D141"/>
    <mergeCell ref="E140:E141"/>
    <mergeCell ref="F140:H140"/>
    <mergeCell ref="B142:B143"/>
    <mergeCell ref="A229:H229"/>
    <mergeCell ref="F230:H230"/>
    <mergeCell ref="C207:C208"/>
    <mergeCell ref="D207:D208"/>
    <mergeCell ref="B209:B210"/>
    <mergeCell ref="A214:H214"/>
    <mergeCell ref="F215:H215"/>
    <mergeCell ref="A221:H221"/>
    <mergeCell ref="F222:H2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16.88"/>
    <col customWidth="1" min="5" max="5" width="16.75"/>
  </cols>
  <sheetData>
    <row r="1">
      <c r="A1" s="165"/>
      <c r="B1" s="165"/>
      <c r="C1" s="165"/>
      <c r="D1" s="165"/>
      <c r="E1" s="18"/>
      <c r="F1" s="18"/>
      <c r="G1" s="18"/>
      <c r="H1" s="18"/>
      <c r="I1" s="18"/>
      <c r="J1" s="18"/>
      <c r="K1" s="18"/>
    </row>
    <row r="2">
      <c r="A2" s="9" t="s">
        <v>18</v>
      </c>
      <c r="B2" s="9" t="s">
        <v>20</v>
      </c>
      <c r="C2" s="9" t="s">
        <v>21</v>
      </c>
      <c r="D2" s="13" t="s">
        <v>129</v>
      </c>
      <c r="E2" s="167"/>
      <c r="F2" s="18"/>
      <c r="G2" s="18"/>
      <c r="H2" s="18"/>
      <c r="I2" s="18"/>
      <c r="J2" s="18"/>
      <c r="K2" s="18"/>
    </row>
    <row r="3">
      <c r="A3" s="11" t="s">
        <v>51</v>
      </c>
      <c r="B3" s="21" t="s">
        <v>53</v>
      </c>
      <c r="C3" s="22" t="s">
        <v>54</v>
      </c>
      <c r="D3" s="24">
        <f>QDF!K3</f>
        <v>800</v>
      </c>
      <c r="E3" s="168"/>
      <c r="F3" s="18"/>
      <c r="G3" s="18"/>
      <c r="H3" s="18"/>
      <c r="I3" s="18"/>
      <c r="J3" s="18"/>
      <c r="K3" s="18"/>
    </row>
    <row r="4">
      <c r="A4" s="32" t="s">
        <v>69</v>
      </c>
      <c r="B4" s="21" t="s">
        <v>71</v>
      </c>
      <c r="C4" s="33" t="s">
        <v>10</v>
      </c>
      <c r="D4" s="24">
        <f>QDF!K4</f>
        <v>800</v>
      </c>
      <c r="E4" s="168"/>
      <c r="F4" s="18"/>
      <c r="G4" s="18"/>
      <c r="H4" s="18"/>
      <c r="I4" s="18"/>
      <c r="J4" s="18"/>
      <c r="K4" s="18"/>
    </row>
    <row r="5">
      <c r="A5" s="36"/>
      <c r="B5" s="21" t="s">
        <v>72</v>
      </c>
      <c r="C5" s="36"/>
      <c r="D5" s="24">
        <f>QDF!K5</f>
        <v>1000</v>
      </c>
      <c r="E5" s="168"/>
      <c r="F5" s="18"/>
      <c r="G5" s="18"/>
      <c r="H5" s="18"/>
      <c r="I5" s="18"/>
      <c r="J5" s="18"/>
      <c r="K5" s="18"/>
    </row>
    <row r="6">
      <c r="A6" s="32" t="s">
        <v>75</v>
      </c>
      <c r="B6" s="21" t="s">
        <v>76</v>
      </c>
      <c r="C6" s="33" t="s">
        <v>17</v>
      </c>
      <c r="D6" s="24">
        <f>QDF!K6</f>
        <v>400</v>
      </c>
      <c r="E6" s="168"/>
      <c r="F6" s="18"/>
      <c r="G6" s="18"/>
      <c r="H6" s="18"/>
      <c r="I6" s="18"/>
      <c r="J6" s="18"/>
      <c r="K6" s="18"/>
    </row>
    <row r="7" ht="27.0" customHeight="1">
      <c r="A7" s="36"/>
      <c r="B7" s="21" t="s">
        <v>77</v>
      </c>
      <c r="C7" s="36"/>
      <c r="D7" s="24">
        <f>QDF!K7</f>
        <v>1000</v>
      </c>
      <c r="E7" s="168"/>
      <c r="F7" s="18"/>
      <c r="G7" s="18"/>
      <c r="H7" s="18"/>
      <c r="I7" s="18"/>
      <c r="J7" s="18"/>
      <c r="K7" s="18"/>
    </row>
    <row r="8">
      <c r="A8" s="32" t="s">
        <v>78</v>
      </c>
      <c r="B8" s="21" t="s">
        <v>79</v>
      </c>
      <c r="C8" s="37" t="s">
        <v>80</v>
      </c>
      <c r="D8" s="24">
        <f>QDF!K8</f>
        <v>800</v>
      </c>
      <c r="E8" s="168"/>
      <c r="F8" s="18"/>
      <c r="G8" s="18"/>
      <c r="H8" s="18"/>
      <c r="I8" s="18"/>
      <c r="J8" s="18"/>
      <c r="K8" s="18"/>
    </row>
    <row r="9">
      <c r="A9" s="36"/>
      <c r="B9" s="21" t="s">
        <v>82</v>
      </c>
      <c r="C9" s="36"/>
      <c r="D9" s="24">
        <f>QDF!K9</f>
        <v>1000</v>
      </c>
      <c r="E9" s="18"/>
      <c r="F9" s="18"/>
      <c r="G9" s="18"/>
      <c r="H9" s="18"/>
      <c r="I9" s="18"/>
      <c r="J9" s="18"/>
      <c r="K9" s="18"/>
    </row>
    <row r="10">
      <c r="A10" s="32" t="s">
        <v>83</v>
      </c>
      <c r="B10" s="21" t="s">
        <v>84</v>
      </c>
      <c r="C10" s="33" t="s">
        <v>50</v>
      </c>
      <c r="D10" s="24">
        <f>QDF!K10</f>
        <v>1200</v>
      </c>
      <c r="E10" s="18"/>
      <c r="F10" s="18"/>
      <c r="G10" s="18"/>
      <c r="H10" s="18"/>
      <c r="I10" s="18"/>
      <c r="J10" s="18"/>
      <c r="K10" s="18"/>
    </row>
    <row r="11">
      <c r="A11" s="40"/>
      <c r="B11" s="21" t="s">
        <v>85</v>
      </c>
      <c r="C11" s="36"/>
      <c r="D11" s="24">
        <f>QDF!K11</f>
        <v>1000</v>
      </c>
      <c r="E11" s="18"/>
      <c r="F11" s="18"/>
      <c r="G11" s="18"/>
      <c r="H11" s="18"/>
      <c r="I11" s="18"/>
      <c r="J11" s="18"/>
      <c r="K11" s="18"/>
    </row>
    <row r="12">
      <c r="A12" s="40"/>
      <c r="B12" s="23" t="s">
        <v>87</v>
      </c>
      <c r="C12" s="43"/>
      <c r="D12" s="28">
        <v>0.0</v>
      </c>
      <c r="E12" s="18"/>
      <c r="F12" s="18"/>
      <c r="G12" s="18"/>
      <c r="H12" s="18"/>
      <c r="I12" s="18"/>
      <c r="J12" s="18"/>
      <c r="K12" s="18"/>
    </row>
    <row r="13">
      <c r="A13" s="36"/>
      <c r="B13" s="23" t="s">
        <v>91</v>
      </c>
      <c r="C13" s="24"/>
      <c r="D13" s="28">
        <v>0.0</v>
      </c>
      <c r="E13" s="18"/>
      <c r="F13" s="18"/>
      <c r="G13" s="18"/>
      <c r="H13" s="18"/>
      <c r="I13" s="18"/>
      <c r="J13" s="18"/>
      <c r="K13" s="18"/>
    </row>
    <row r="14">
      <c r="A14" s="45" t="s">
        <v>92</v>
      </c>
      <c r="B14" s="48" t="s">
        <v>93</v>
      </c>
      <c r="C14" s="43" t="s">
        <v>68</v>
      </c>
      <c r="D14" s="30">
        <f>QDF!K14</f>
        <v>1200</v>
      </c>
      <c r="E14" s="18"/>
      <c r="F14" s="18"/>
      <c r="G14" s="18"/>
      <c r="H14" s="18"/>
      <c r="I14" s="18"/>
      <c r="J14" s="18"/>
      <c r="K14" s="18"/>
    </row>
    <row r="15">
      <c r="A15" s="40"/>
      <c r="B15" s="48" t="s">
        <v>94</v>
      </c>
      <c r="C15" s="24" t="s">
        <v>68</v>
      </c>
      <c r="D15" s="30">
        <f>QDF!K15</f>
        <v>1000</v>
      </c>
      <c r="E15" s="18"/>
      <c r="F15" s="18"/>
      <c r="G15" s="18"/>
      <c r="H15" s="18"/>
      <c r="I15" s="18"/>
      <c r="J15" s="18"/>
      <c r="K15" s="18"/>
    </row>
    <row r="16">
      <c r="A16" s="40"/>
      <c r="B16" s="48" t="s">
        <v>96</v>
      </c>
      <c r="C16" s="24" t="s">
        <v>68</v>
      </c>
      <c r="D16" s="24">
        <f>QDF!K16</f>
        <v>1500</v>
      </c>
      <c r="E16" s="18"/>
      <c r="F16" s="18"/>
      <c r="G16" s="18"/>
      <c r="H16" s="18"/>
      <c r="I16" s="18"/>
      <c r="J16" s="18"/>
      <c r="K16" s="18"/>
    </row>
    <row r="17">
      <c r="A17" s="36"/>
      <c r="B17" s="48" t="s">
        <v>97</v>
      </c>
      <c r="C17" s="43" t="s">
        <v>98</v>
      </c>
      <c r="D17" s="24">
        <f>QDF!K17</f>
        <v>1600</v>
      </c>
      <c r="E17" s="18"/>
      <c r="F17" s="18"/>
      <c r="G17" s="18"/>
      <c r="H17" s="18"/>
      <c r="I17" s="18"/>
      <c r="J17" s="18"/>
      <c r="K17" s="18"/>
    </row>
    <row r="18">
      <c r="A18" s="45" t="s">
        <v>95</v>
      </c>
      <c r="B18" s="43" t="s">
        <v>99</v>
      </c>
      <c r="C18" s="43" t="s">
        <v>63</v>
      </c>
      <c r="D18" s="24">
        <f>QDF!K18</f>
        <v>1600</v>
      </c>
      <c r="E18" s="18"/>
      <c r="F18" s="18"/>
      <c r="G18" s="18"/>
      <c r="H18" s="18"/>
      <c r="I18" s="18"/>
      <c r="J18" s="18"/>
      <c r="K18" s="18"/>
    </row>
    <row r="19">
      <c r="A19" s="40"/>
      <c r="B19" s="43" t="s">
        <v>100</v>
      </c>
      <c r="C19" s="43" t="s">
        <v>98</v>
      </c>
      <c r="D19" s="24">
        <f>QDF!K19</f>
        <v>1500</v>
      </c>
      <c r="E19" s="18"/>
      <c r="F19" s="18"/>
      <c r="G19" s="18"/>
      <c r="H19" s="18"/>
      <c r="I19" s="18"/>
      <c r="J19" s="18"/>
      <c r="K19" s="18"/>
    </row>
    <row r="20">
      <c r="A20" s="40"/>
      <c r="B20" s="43" t="s">
        <v>103</v>
      </c>
      <c r="C20" s="43" t="s">
        <v>63</v>
      </c>
      <c r="D20" s="24">
        <f>QDF!K20</f>
        <v>1500</v>
      </c>
      <c r="E20" s="18"/>
      <c r="F20" s="18"/>
      <c r="G20" s="18"/>
      <c r="H20" s="18"/>
      <c r="I20" s="18"/>
      <c r="J20" s="18"/>
      <c r="K20" s="18"/>
    </row>
    <row r="21">
      <c r="A21" s="36"/>
      <c r="B21" s="43" t="s">
        <v>104</v>
      </c>
      <c r="C21" s="24" t="s">
        <v>105</v>
      </c>
      <c r="D21" s="24">
        <f>QDF!K21</f>
        <v>600</v>
      </c>
      <c r="E21" s="168"/>
      <c r="F21" s="90"/>
      <c r="G21" s="18"/>
      <c r="H21" s="18"/>
      <c r="I21" s="18"/>
      <c r="J21" s="18"/>
      <c r="K21" s="18"/>
    </row>
    <row r="22">
      <c r="A22" s="45" t="s">
        <v>102</v>
      </c>
      <c r="B22" s="43" t="s">
        <v>106</v>
      </c>
      <c r="C22" s="24" t="s">
        <v>105</v>
      </c>
      <c r="D22" s="24">
        <f>QDF!K22</f>
        <v>9000</v>
      </c>
      <c r="E22" s="168"/>
      <c r="F22" s="18"/>
      <c r="G22" s="18"/>
      <c r="H22" s="18"/>
      <c r="I22" s="18"/>
      <c r="J22" s="18"/>
      <c r="K22" s="18"/>
    </row>
    <row r="23">
      <c r="A23" s="36"/>
      <c r="B23" s="24" t="s">
        <v>108</v>
      </c>
      <c r="C23" s="24" t="s">
        <v>109</v>
      </c>
      <c r="D23" s="24">
        <v>0.0</v>
      </c>
      <c r="E23" s="168"/>
      <c r="F23" s="18"/>
      <c r="G23" s="18"/>
      <c r="H23" s="18"/>
      <c r="I23" s="18"/>
      <c r="J23" s="18"/>
      <c r="K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>
      <c r="A26" s="171" t="s">
        <v>155</v>
      </c>
      <c r="B26" s="171" t="s">
        <v>159</v>
      </c>
      <c r="C26" s="171" t="s">
        <v>179</v>
      </c>
      <c r="D26" s="171" t="s">
        <v>180</v>
      </c>
      <c r="E26" s="18"/>
      <c r="F26" s="18"/>
      <c r="G26" s="18"/>
      <c r="H26" s="18"/>
      <c r="I26" s="18"/>
      <c r="J26" s="18"/>
      <c r="K26" s="18"/>
    </row>
    <row r="27">
      <c r="A27" s="119"/>
      <c r="B27" s="119"/>
      <c r="C27" s="119"/>
      <c r="D27" s="119"/>
      <c r="E27" s="18"/>
      <c r="F27" s="18"/>
      <c r="G27" s="18"/>
      <c r="H27" s="18"/>
      <c r="I27" s="18"/>
      <c r="J27" s="18"/>
      <c r="K27" s="18"/>
    </row>
    <row r="28">
      <c r="A28" s="172" t="s">
        <v>181</v>
      </c>
      <c r="B28" s="18" t="s">
        <v>166</v>
      </c>
      <c r="C28" s="173">
        <v>16.0</v>
      </c>
      <c r="D28" s="174">
        <f>QDF!K3</f>
        <v>800</v>
      </c>
      <c r="E28" s="18"/>
      <c r="F28" s="18"/>
      <c r="G28" s="18"/>
      <c r="H28" s="18"/>
      <c r="I28" s="18"/>
      <c r="J28" s="18"/>
      <c r="K28" s="18"/>
    </row>
    <row r="29">
      <c r="A29" s="172" t="s">
        <v>183</v>
      </c>
      <c r="B29" s="41" t="s">
        <v>170</v>
      </c>
      <c r="C29" s="175">
        <v>10.0</v>
      </c>
      <c r="D29" s="174">
        <f>SUM(D4:D5)</f>
        <v>1800</v>
      </c>
      <c r="E29" s="18"/>
      <c r="F29" s="18"/>
      <c r="G29" s="18"/>
      <c r="H29" s="18"/>
      <c r="I29" s="18"/>
      <c r="J29" s="18"/>
      <c r="K29" s="18"/>
    </row>
    <row r="30">
      <c r="A30" s="172" t="s">
        <v>184</v>
      </c>
      <c r="B30" s="41" t="s">
        <v>170</v>
      </c>
      <c r="C30" s="175">
        <v>10.0</v>
      </c>
      <c r="D30" s="174">
        <f>SUM(D6:D7)</f>
        <v>1400</v>
      </c>
      <c r="E30" s="18"/>
      <c r="F30" s="18" t="s">
        <v>166</v>
      </c>
      <c r="G30" s="18"/>
      <c r="H30" s="90"/>
      <c r="I30" s="18"/>
      <c r="J30" s="18"/>
      <c r="K30" s="18"/>
    </row>
    <row r="31">
      <c r="A31" s="172" t="s">
        <v>185</v>
      </c>
      <c r="B31" s="18" t="s">
        <v>166</v>
      </c>
      <c r="C31" s="173">
        <v>16.0</v>
      </c>
      <c r="D31" s="174">
        <f>SUM(D8:D9)</f>
        <v>1800</v>
      </c>
      <c r="E31" s="18"/>
      <c r="F31" s="18"/>
      <c r="G31" s="18"/>
      <c r="H31" s="18"/>
      <c r="I31" s="18"/>
      <c r="J31" s="18"/>
      <c r="K31" s="18"/>
    </row>
    <row r="32">
      <c r="A32" s="172" t="s">
        <v>186</v>
      </c>
      <c r="B32" s="176" t="s">
        <v>133</v>
      </c>
      <c r="C32" s="134"/>
      <c r="D32" s="174"/>
      <c r="E32" s="18"/>
      <c r="F32" s="18"/>
      <c r="G32" s="18"/>
      <c r="H32" s="18"/>
      <c r="I32" s="18"/>
      <c r="J32" s="18"/>
      <c r="K32" s="18"/>
    </row>
    <row r="33">
      <c r="A33" s="177" t="s">
        <v>188</v>
      </c>
      <c r="B33" s="134" t="s">
        <v>189</v>
      </c>
      <c r="C33" s="173">
        <v>16.0</v>
      </c>
      <c r="D33" s="173">
        <v>2700.0</v>
      </c>
      <c r="E33" s="18"/>
      <c r="F33" s="18"/>
      <c r="G33" s="18"/>
      <c r="H33" s="18"/>
      <c r="I33" s="18"/>
      <c r="J33" s="18"/>
      <c r="K33" s="18"/>
    </row>
    <row r="34">
      <c r="A34" s="177" t="s">
        <v>190</v>
      </c>
      <c r="B34" s="134" t="s">
        <v>189</v>
      </c>
      <c r="C34" s="173">
        <v>16.0</v>
      </c>
      <c r="D34" s="173">
        <v>3100.0</v>
      </c>
      <c r="E34" s="18"/>
      <c r="F34" s="18"/>
      <c r="G34" s="18"/>
      <c r="H34" s="18"/>
      <c r="I34" s="18"/>
      <c r="J34" s="18"/>
      <c r="K34" s="18"/>
    </row>
    <row r="35">
      <c r="A35" s="177" t="s">
        <v>191</v>
      </c>
      <c r="B35" s="134" t="s">
        <v>192</v>
      </c>
      <c r="C35" s="173">
        <v>50.0</v>
      </c>
      <c r="D35" s="173">
        <v>9000.0</v>
      </c>
      <c r="E35" s="18"/>
      <c r="F35" s="18"/>
      <c r="G35" s="18"/>
      <c r="H35" s="18"/>
      <c r="I35" s="18"/>
      <c r="J35" s="18"/>
      <c r="K35" s="18"/>
    </row>
    <row r="36">
      <c r="A36" s="178" t="s">
        <v>193</v>
      </c>
      <c r="B36" s="102"/>
      <c r="C36" s="179"/>
      <c r="D36" s="180">
        <f>SUM(D28:D35)</f>
        <v>20600</v>
      </c>
      <c r="E36" s="18"/>
      <c r="F36" s="18"/>
      <c r="G36" s="18"/>
      <c r="H36" s="18"/>
      <c r="I36" s="18"/>
      <c r="J36" s="18"/>
      <c r="K36" s="18"/>
    </row>
    <row r="37">
      <c r="A37" s="181" t="s">
        <v>194</v>
      </c>
      <c r="B37" s="18"/>
      <c r="C37" s="18"/>
      <c r="D37" s="182">
        <f>'QDF-BALANÇO TOTAL'!E29</f>
        <v>9166.666667</v>
      </c>
      <c r="E37" s="41" t="s">
        <v>195</v>
      </c>
      <c r="F37" s="18"/>
      <c r="G37" s="18"/>
      <c r="H37" s="18"/>
      <c r="I37" s="18"/>
      <c r="J37" s="18"/>
      <c r="K37" s="18"/>
    </row>
    <row r="38">
      <c r="A38" s="181" t="s">
        <v>196</v>
      </c>
      <c r="B38" s="18"/>
      <c r="C38" s="18"/>
      <c r="D38" s="182">
        <f>D37</f>
        <v>9166.666667</v>
      </c>
      <c r="E38" s="18"/>
      <c r="F38" s="18"/>
      <c r="G38" s="18"/>
      <c r="H38" s="18"/>
      <c r="I38" s="18"/>
      <c r="J38" s="18"/>
      <c r="K38" s="18"/>
    </row>
    <row r="39">
      <c r="A39" s="181" t="s">
        <v>197</v>
      </c>
      <c r="B39" s="18"/>
      <c r="C39" s="18"/>
      <c r="D39" s="182">
        <f>D37</f>
        <v>9166.666667</v>
      </c>
      <c r="E39" s="18"/>
      <c r="F39" s="18"/>
      <c r="G39" s="18"/>
      <c r="H39" s="18"/>
      <c r="I39" s="18"/>
      <c r="J39" s="18"/>
      <c r="K39" s="18"/>
    </row>
    <row r="40">
      <c r="A40" s="183" t="s">
        <v>193</v>
      </c>
      <c r="B40" s="7"/>
      <c r="C40" s="8"/>
      <c r="D40" s="29">
        <f>SUM(D36:D39)</f>
        <v>48100</v>
      </c>
      <c r="E40" s="18"/>
      <c r="F40" s="18"/>
      <c r="G40" s="18"/>
      <c r="H40" s="18"/>
      <c r="I40" s="18"/>
      <c r="J40" s="18"/>
      <c r="K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>
      <c r="A43" s="184" t="s">
        <v>18</v>
      </c>
      <c r="B43" s="184" t="s">
        <v>29</v>
      </c>
      <c r="C43" s="184" t="s">
        <v>200</v>
      </c>
      <c r="D43" s="184" t="s">
        <v>201</v>
      </c>
      <c r="E43" s="184" t="s">
        <v>202</v>
      </c>
      <c r="F43" s="185"/>
      <c r="G43" s="18"/>
      <c r="H43" s="18"/>
      <c r="I43" s="18"/>
      <c r="J43" s="18"/>
      <c r="K43" s="18"/>
    </row>
    <row r="44">
      <c r="A44" s="172" t="s">
        <v>181</v>
      </c>
      <c r="B44" s="186">
        <v>380.0</v>
      </c>
      <c r="C44" s="187">
        <f t="shared" ref="C44:C51" si="1">D28/B44</f>
        <v>2.105263158</v>
      </c>
      <c r="D44" s="188">
        <v>13.0</v>
      </c>
      <c r="E44" s="186" t="s">
        <v>89</v>
      </c>
      <c r="F44" s="185"/>
      <c r="G44" s="18"/>
      <c r="H44" s="18"/>
      <c r="I44" s="18"/>
      <c r="J44" s="18"/>
      <c r="K44" s="18"/>
    </row>
    <row r="45">
      <c r="A45" s="172" t="s">
        <v>183</v>
      </c>
      <c r="B45" s="186">
        <v>380.0</v>
      </c>
      <c r="C45" s="189">
        <f t="shared" si="1"/>
        <v>4.736842105</v>
      </c>
      <c r="D45" s="190">
        <v>13.0</v>
      </c>
      <c r="E45" s="191" t="s">
        <v>89</v>
      </c>
      <c r="F45" s="185"/>
      <c r="G45" s="18"/>
      <c r="H45" s="18"/>
      <c r="I45" s="18"/>
      <c r="J45" s="18"/>
      <c r="K45" s="18"/>
    </row>
    <row r="46">
      <c r="A46" s="172" t="s">
        <v>184</v>
      </c>
      <c r="B46" s="186">
        <v>380.0</v>
      </c>
      <c r="C46" s="187">
        <f t="shared" si="1"/>
        <v>3.684210526</v>
      </c>
      <c r="D46" s="188">
        <v>13.0</v>
      </c>
      <c r="E46" s="191" t="s">
        <v>89</v>
      </c>
      <c r="F46" s="185"/>
      <c r="G46" s="18"/>
      <c r="H46" s="18"/>
      <c r="I46" s="18"/>
      <c r="J46" s="18"/>
      <c r="K46" s="18"/>
    </row>
    <row r="47">
      <c r="A47" s="172" t="s">
        <v>185</v>
      </c>
      <c r="B47" s="186">
        <v>380.0</v>
      </c>
      <c r="C47" s="189">
        <f t="shared" si="1"/>
        <v>4.736842105</v>
      </c>
      <c r="D47" s="190">
        <v>13.0</v>
      </c>
      <c r="E47" s="191" t="s">
        <v>89</v>
      </c>
      <c r="F47" s="185"/>
      <c r="G47" s="18"/>
      <c r="H47" s="18"/>
      <c r="I47" s="18"/>
      <c r="J47" s="18"/>
      <c r="K47" s="18"/>
    </row>
    <row r="48">
      <c r="A48" s="172" t="s">
        <v>186</v>
      </c>
      <c r="B48" s="186">
        <v>380.0</v>
      </c>
      <c r="C48" s="187">
        <f t="shared" si="1"/>
        <v>0</v>
      </c>
      <c r="D48" s="188">
        <v>13.0</v>
      </c>
      <c r="E48" s="191" t="s">
        <v>89</v>
      </c>
      <c r="F48" s="185"/>
      <c r="G48" s="18"/>
      <c r="H48" s="18"/>
      <c r="I48" s="18"/>
      <c r="J48" s="18"/>
      <c r="K48" s="18"/>
    </row>
    <row r="49">
      <c r="A49" s="172" t="s">
        <v>188</v>
      </c>
      <c r="B49" s="186">
        <v>380.0</v>
      </c>
      <c r="C49" s="187">
        <f t="shared" si="1"/>
        <v>7.105263158</v>
      </c>
      <c r="D49" s="191">
        <v>3.0</v>
      </c>
      <c r="E49" s="191" t="s">
        <v>89</v>
      </c>
      <c r="F49" s="185"/>
      <c r="G49" s="18"/>
      <c r="H49" s="18"/>
      <c r="I49" s="18"/>
      <c r="J49" s="18"/>
      <c r="K49" s="18"/>
    </row>
    <row r="50">
      <c r="A50" s="172" t="s">
        <v>190</v>
      </c>
      <c r="B50" s="186">
        <v>380.0</v>
      </c>
      <c r="C50" s="189">
        <f t="shared" si="1"/>
        <v>8.157894737</v>
      </c>
      <c r="D50" s="186">
        <v>3.0</v>
      </c>
      <c r="E50" s="191" t="s">
        <v>89</v>
      </c>
      <c r="F50" s="185"/>
      <c r="G50" s="18"/>
      <c r="H50" s="18"/>
      <c r="I50" s="18"/>
      <c r="J50" s="18"/>
      <c r="K50" s="18"/>
    </row>
    <row r="51">
      <c r="A51" s="172" t="s">
        <v>191</v>
      </c>
      <c r="B51" s="186">
        <v>380.0</v>
      </c>
      <c r="C51" s="187">
        <f t="shared" si="1"/>
        <v>23.68421053</v>
      </c>
      <c r="D51" s="191">
        <v>3.0</v>
      </c>
      <c r="E51" s="191" t="s">
        <v>89</v>
      </c>
      <c r="F51" s="192"/>
      <c r="G51" s="18"/>
      <c r="H51" s="18"/>
      <c r="I51" s="18"/>
      <c r="J51" s="18"/>
      <c r="K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>
      <c r="A55" s="18" t="s">
        <v>203</v>
      </c>
      <c r="G55" s="18"/>
      <c r="H55" s="18"/>
      <c r="I55" s="18"/>
      <c r="J55" s="18"/>
      <c r="K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>
      <c r="A57" s="10"/>
      <c r="B57" s="10"/>
      <c r="C57" s="56"/>
      <c r="D57" s="56"/>
      <c r="E57" s="10"/>
      <c r="F57" s="10"/>
      <c r="G57" s="10"/>
      <c r="H57" s="10"/>
      <c r="I57" s="194"/>
      <c r="J57" s="194"/>
      <c r="K57" s="194"/>
    </row>
    <row r="58">
      <c r="A58" s="57"/>
      <c r="B58" s="196"/>
      <c r="C58" s="197"/>
      <c r="D58" s="197"/>
      <c r="E58" s="199"/>
      <c r="F58" s="57"/>
      <c r="G58" s="57"/>
      <c r="H58" s="57"/>
      <c r="I58" s="57"/>
      <c r="J58" s="200"/>
      <c r="K58" s="200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</row>
    <row r="62">
      <c r="A62" s="63"/>
      <c r="B62" s="63"/>
      <c r="C62" s="56"/>
      <c r="D62" s="56"/>
      <c r="E62" s="63"/>
      <c r="F62" s="63"/>
      <c r="G62" s="63"/>
      <c r="H62" s="65"/>
      <c r="I62" s="63"/>
      <c r="J62" s="63"/>
      <c r="K62" s="63"/>
    </row>
    <row r="63">
      <c r="A63" s="57"/>
      <c r="B63" s="57"/>
      <c r="C63" s="56"/>
      <c r="D63" s="56"/>
      <c r="E63" s="57"/>
      <c r="F63" s="57"/>
      <c r="G63" s="58"/>
      <c r="H63" s="58"/>
      <c r="I63" s="203"/>
      <c r="J63" s="204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</row>
    <row r="66">
      <c r="A66" s="57"/>
      <c r="B66" s="57"/>
      <c r="E66" s="56"/>
      <c r="F66" s="56"/>
      <c r="G66" s="56"/>
      <c r="H66" s="56"/>
      <c r="I66" s="56"/>
      <c r="J66" s="56"/>
      <c r="K66" s="56"/>
    </row>
    <row r="67">
      <c r="A67" s="57"/>
      <c r="B67" s="56"/>
      <c r="C67" s="56"/>
      <c r="D67" s="56"/>
      <c r="E67" s="56"/>
      <c r="F67" s="56"/>
      <c r="G67" s="56"/>
      <c r="H67" s="56"/>
      <c r="I67" s="56"/>
      <c r="J67" s="56"/>
      <c r="K67" s="56"/>
    </row>
    <row r="68">
      <c r="A68" s="204"/>
      <c r="B68" s="56"/>
      <c r="C68" s="56"/>
      <c r="D68" s="56"/>
      <c r="E68" s="56"/>
      <c r="F68" s="205"/>
      <c r="G68" s="56"/>
      <c r="H68" s="56"/>
      <c r="I68" s="56"/>
      <c r="J68" s="56"/>
      <c r="K68" s="56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</row>
  </sheetData>
  <mergeCells count="19">
    <mergeCell ref="A4:A5"/>
    <mergeCell ref="C4:C5"/>
    <mergeCell ref="A6:A7"/>
    <mergeCell ref="C6:C7"/>
    <mergeCell ref="A8:A9"/>
    <mergeCell ref="C8:C9"/>
    <mergeCell ref="C10:C11"/>
    <mergeCell ref="C26:C27"/>
    <mergeCell ref="A36:C36"/>
    <mergeCell ref="A40:C40"/>
    <mergeCell ref="A55:F55"/>
    <mergeCell ref="B66:D66"/>
    <mergeCell ref="A10:A13"/>
    <mergeCell ref="A14:A17"/>
    <mergeCell ref="A18:A21"/>
    <mergeCell ref="A22:A23"/>
    <mergeCell ref="A26:A27"/>
    <mergeCell ref="B26:B27"/>
    <mergeCell ref="D26:D27"/>
  </mergeCells>
  <drawing r:id="rId1"/>
  <tableParts count="2">
    <tablePart r:id="rId4"/>
    <tablePart r:id="rId5"/>
  </tableParts>
</worksheet>
</file>