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  <sheet state="visible" name="LUM-SALA CALD" sheetId="2" r:id="rId6"/>
    <sheet state="visible" name="LUM-COM(B,P)" sheetId="3" r:id="rId7"/>
    <sheet state="visible" name="LUM-DEP CAR1" sheetId="4" r:id="rId8"/>
    <sheet state="visible" name="LUM-DEP CAR2" sheetId="5" r:id="rId9"/>
    <sheet state="visible" name="LUM-RASPA" sheetId="6" r:id="rId10"/>
    <sheet state="visible" name="RECAPAGEM" sheetId="7" r:id="rId11"/>
    <sheet state="visible" name="SUBESTAÇÃO" sheetId="8" r:id="rId12"/>
    <sheet state="visible" name="LUM-SP-CQ-B-E" sheetId="9" r:id="rId13"/>
  </sheets>
  <definedNames/>
  <calcPr/>
</workbook>
</file>

<file path=xl/sharedStrings.xml><?xml version="1.0" encoding="utf-8"?>
<sst xmlns="http://schemas.openxmlformats.org/spreadsheetml/2006/main" count="1115" uniqueCount="370">
  <si>
    <t>RESPONSÁVEL</t>
  </si>
  <si>
    <t>LOCAL</t>
  </si>
  <si>
    <t>ALTURA DE MANUSEIO TRABALHO Hpp (m)</t>
  </si>
  <si>
    <t>LARGURA L (m)</t>
  </si>
  <si>
    <t>COMPRIMENTO C (m)</t>
  </si>
  <si>
    <t>ÁREA (m²)</t>
  </si>
  <si>
    <t>PERÍMETRO (m)</t>
  </si>
  <si>
    <t>TETO</t>
  </si>
  <si>
    <t>PAREDE</t>
  </si>
  <si>
    <t>PISO</t>
  </si>
  <si>
    <t>ALTURA TOTAL/PÉ-DIREITO Htp (m)</t>
  </si>
  <si>
    <t>DANTE</t>
  </si>
  <si>
    <t>SALA DE CALDEIRAS</t>
  </si>
  <si>
    <t>DADOS DO LOCAL</t>
  </si>
  <si>
    <t>ZINCO</t>
  </si>
  <si>
    <t>CLARA</t>
  </si>
  <si>
    <t>CONCRETO</t>
  </si>
  <si>
    <t>COMPRESSOR (BOMBAS E PRENSA)</t>
  </si>
  <si>
    <t>ALTURA UTIL/ ALTURA DE TRABALHO Hlp (m)</t>
  </si>
  <si>
    <t xml:space="preserve"> LAMPADA UTILIZADA</t>
  </si>
  <si>
    <t>DEPÓSITO DE CARCAÇAS 1</t>
  </si>
  <si>
    <t>SALA DE CALDEIRA</t>
  </si>
  <si>
    <t>DEPÓSITO DE CARCAÇAS 2</t>
  </si>
  <si>
    <t>RASPA</t>
  </si>
  <si>
    <t>VAPOR DE METAL</t>
  </si>
  <si>
    <t>MÉTODO LUMENS</t>
  </si>
  <si>
    <t>ILUMINAMENTO</t>
  </si>
  <si>
    <t>CARACTERÍSTICAS DA TAREFA E DO OBSERVADOR ADOTADOS</t>
  </si>
  <si>
    <t>PIETRO</t>
  </si>
  <si>
    <t>IDADE</t>
  </si>
  <si>
    <t>RECAPAGEM 1</t>
  </si>
  <si>
    <t>VELOCIDADE E PRECISÃO</t>
  </si>
  <si>
    <t>IMPORTANTE</t>
  </si>
  <si>
    <t>REFLETANCIA NO FUNDO DA TAREFA</t>
  </si>
  <si>
    <t>CALCULO DE PESO</t>
  </si>
  <si>
    <t>FAIXAS, ILUMINANCIAS E TIPO DE ATIVIDADE ADOTADOS</t>
  </si>
  <si>
    <t>RECAPAGEM 2</t>
  </si>
  <si>
    <t xml:space="preserve">ADOTADA A FAIXA B </t>
  </si>
  <si>
    <t>TAREFAS COM REQUISITOS VISUAIS LIMITADOS...</t>
  </si>
  <si>
    <t>ILUMINÂNCIAS (LUX)</t>
  </si>
  <si>
    <t>ILUMINÂNCIA MINIMA EM LUX, POR TIPO DE ATIVIDADE ADOTADO</t>
  </si>
  <si>
    <t>TAREFAS COM REQUISITOS VISUAIS NORMAIS...</t>
  </si>
  <si>
    <t>RECAPAGEM 3</t>
  </si>
  <si>
    <t>TIPO DE AMBIENTE</t>
  </si>
  <si>
    <t>LUX</t>
  </si>
  <si>
    <t>LOCAIS DE ARMAZENAMENTO</t>
  </si>
  <si>
    <t>GRANDES VOLUMES</t>
  </si>
  <si>
    <t>LUCAS</t>
  </si>
  <si>
    <t>SAIDA DE PRODUTOS (SALA DE PRODUTOS)</t>
  </si>
  <si>
    <t>ADOTADO NO FINAL O MAIOR VALOR QUE É 300 lx</t>
  </si>
  <si>
    <t>INDÚSTRIA QUIMICA</t>
  </si>
  <si>
    <t>FORNOS, SECADORES</t>
  </si>
  <si>
    <t>CLARO</t>
  </si>
  <si>
    <t>AZULEJO CINZA</t>
  </si>
  <si>
    <t>CONTROLE DE QUALIDADE</t>
  </si>
  <si>
    <t>LUMINÁRIA ADOTADA</t>
  </si>
  <si>
    <t>COMPRESSOR(B,P) POSSUEM ELEVADO PÉ-DIREITO, LUMINÁRIA ADEQUADA PARA ESSE AMBIENTE SÃO TIPO REFLETOR INDUSTRIAL ESTILO CUPULA</t>
  </si>
  <si>
    <t>BRANCO</t>
  </si>
  <si>
    <t>BRANCA</t>
  </si>
  <si>
    <t>DADOS LUMINÁRIA</t>
  </si>
  <si>
    <t>BANHEIRO(VESTUARIO)</t>
  </si>
  <si>
    <t>MODELO</t>
  </si>
  <si>
    <t>SALA DE CALDEIRAS POSSUEM ELEVADO PÉ-DIREITO, LUMINÁRIA ADEQUADA PARA ESSE AMBIENTE SÃO TIPO REFLETOR INDUSTRIAL ESTILO CUPULA</t>
  </si>
  <si>
    <t>HDK 472+GDK 474 PG</t>
  </si>
  <si>
    <t>FABRICANTE</t>
  </si>
  <si>
    <t>Philips</t>
  </si>
  <si>
    <t>LAMPADA E REATOR ADOTADOS</t>
  </si>
  <si>
    <t>ESCRITÓRIO</t>
  </si>
  <si>
    <t>Podendo ser adotados lampadas de até 400 W, conforme a luminária adotada</t>
  </si>
  <si>
    <t>DADOS DA LAMPADA</t>
  </si>
  <si>
    <t>MASTER HPI-T Plus 400W/645 E40 1SL/12</t>
  </si>
  <si>
    <t>TIPO DE LAMPADA</t>
  </si>
  <si>
    <t>VAPOR METALICO</t>
  </si>
  <si>
    <t>BEGE</t>
  </si>
  <si>
    <t>POTÊNCIA (W)</t>
  </si>
  <si>
    <t>JOÃO</t>
  </si>
  <si>
    <t>FLUXO LUMINOSO (lumens)</t>
  </si>
  <si>
    <t>SUBESTAÇÃO</t>
  </si>
  <si>
    <t>NUMERO DE LAMPADAS POR LUMINARIA</t>
  </si>
  <si>
    <t>DADOS DO REATOR</t>
  </si>
  <si>
    <t>BHLE 400L 200TS</t>
  </si>
  <si>
    <t>PERDAS (W)</t>
  </si>
  <si>
    <t>FATOR DE POTENCIA</t>
  </si>
  <si>
    <t>De forma a calcular o fluxo luminoso se deve calcular o FATOR DE UTILIZAÇÃO e FATOR DE DEPRECIAÇÃO</t>
  </si>
  <si>
    <t>FATOR DE UTILIZAÇÃO Fu</t>
  </si>
  <si>
    <t>DEVE-SE SEGUIR A FORMULA ABAIXO</t>
  </si>
  <si>
    <t>K</t>
  </si>
  <si>
    <t>VERIFICA NO LIVRO DO MAMEDE AS REFLETANCIAS</t>
  </si>
  <si>
    <t xml:space="preserve">POR MEIO DO VALOR DE K, USA A TABELA PARA ACHAR CONHECENDO AS REFLENTACIAS MÉDIAS DO TETO Pte, DAs PAREDES Ppa, do PISO Ppi, VAI NA TABELA E PEGA OS VALORES </t>
  </si>
  <si>
    <t>Pte</t>
  </si>
  <si>
    <t>Ppa</t>
  </si>
  <si>
    <t>Ppi</t>
  </si>
  <si>
    <t>Fu</t>
  </si>
  <si>
    <t>NÃO PRECISA CALCULAR O FATOR DE UTILIZAÇÃO Fu</t>
  </si>
  <si>
    <t>FATOR DE DEPRECIAÇÃO Fdl</t>
  </si>
  <si>
    <t>PRECISA VERIFICAR A CATEGORIA DA MANUTENÇÃO, CONSIDERA UM AMBIENTE SUJO</t>
  </si>
  <si>
    <t>CATEGORIA DE MANUTENÇÃO LUMINÁRIAS</t>
  </si>
  <si>
    <t>I</t>
  </si>
  <si>
    <t>CATEGORIA DO LOCAL</t>
  </si>
  <si>
    <t>SUJO</t>
  </si>
  <si>
    <t>VIDA MÉDIA LAMPADAS (h)</t>
  </si>
  <si>
    <t>TEMPO DE MANUTENÇÃO (meses)</t>
  </si>
  <si>
    <t>Precisa calcular o tempo de manutenção das lampadas considera metade do tempo de vida média, 14 horas ligadas e por 30 dias</t>
  </si>
  <si>
    <t>A PARTIR DO TEMPO DE MANUTENÇÃO SE USA O GRAFICO DE CATEGORIA I, com S de sujo</t>
  </si>
  <si>
    <t>FLUXO TOTAL LUMINOSO</t>
  </si>
  <si>
    <t>Wt (lm)</t>
  </si>
  <si>
    <t>NUMERO DE LUMINARIAS</t>
  </si>
  <si>
    <t>Nlu</t>
  </si>
  <si>
    <t>Sempre arredonda Nlu para valor inteiro e acima</t>
  </si>
  <si>
    <t>Nlu&gt;=</t>
  </si>
  <si>
    <t>MELHOR ADOTAR O VALOR DE NLU DE 6 PARA MELHOR DISTRIBUIÇÃO</t>
  </si>
  <si>
    <t>Usa o valor de catalogo de rendimento luminoso</t>
  </si>
  <si>
    <t>DISTRIBUIÇÃO/DISPOSIÇÃO DE LUMINÁRIAS</t>
  </si>
  <si>
    <t>POSICIONAR NO ESPAÇO ESSAS 6 LUMINARIAS</t>
  </si>
  <si>
    <t>LUMINARIAS POSICIONADAS EIXO X</t>
  </si>
  <si>
    <t>LUMINARIAS POSICIONADAS EIXO Y</t>
  </si>
  <si>
    <t>POSICIONAR NO ESPAÇO ESSAS 2 LUMINARIAS</t>
  </si>
  <si>
    <t>Verificação</t>
  </si>
  <si>
    <t>COMPRIMENTO DO COMODO</t>
  </si>
  <si>
    <t>LARGURA DO COMODO</t>
  </si>
  <si>
    <t>X1</t>
  </si>
  <si>
    <t>Y1</t>
  </si>
  <si>
    <t>1,5xHpl</t>
  </si>
  <si>
    <t>DISTANCIA ENTRE LUMINARIAS  EIXO X, X</t>
  </si>
  <si>
    <t>A DISTANCIA DE X1 É MUITA COISA, USA COMO X</t>
  </si>
  <si>
    <t>DISTANCIA ENTRE LUMINARIAS E EIXO X,  X1</t>
  </si>
  <si>
    <t>DISTANCIA ENTRE LUMINARIAS  EIXO Y, Y</t>
  </si>
  <si>
    <t xml:space="preserve"> NÃO TEM LUMINARIA AO LADO, PEGA O VALOR DE X1</t>
  </si>
  <si>
    <t>A DISTANCIA DE Y1 É MUITA COISA, USA COMO Y</t>
  </si>
  <si>
    <t>DISTANCIA ENTRE LUMINARIAS E EIXO Y,  Y1</t>
  </si>
  <si>
    <t>MELHOR ADOTAR O VALOR DE NLU DE 4 PARA MELHOR DISTRIBUIÇÃO</t>
  </si>
  <si>
    <t>por ter duas bordas de eixo Y entre luminarias pode dividir por 2</t>
  </si>
  <si>
    <t>A DISTANCIA DE X1 É MUITA COISA, MESMO NÃO ULTRAPASSANDO O LIMITE, DIVIDE POR 2</t>
  </si>
  <si>
    <t>ADOTA O NUMERO DE LUMINARIAS CALCULADO ANTERIORMENTE, POR SER UM NUMERO IMPAR 3, PODE ADOTAR UM NUMERO PAR COMO 4 PARA MELHOR DISTRIBUIÇÃO</t>
  </si>
  <si>
    <t>POSICIONAR NO ESPAÇO ESSAS 4 LUMINARIAS</t>
  </si>
  <si>
    <t>POTENCIA PONTO DE ILUMINAÇÃO</t>
  </si>
  <si>
    <t>TENSÃO DE ALIMENTAÇÃO (V)</t>
  </si>
  <si>
    <t>POTENCIA TOTAL DE ILUMINAÇÃO (VA)</t>
  </si>
  <si>
    <t>POTÊNCIA ADOTADO DO PONTO (VA)</t>
  </si>
  <si>
    <t>ADOTADO VALOR DE 440 VA PARA TER MAIS MARGEM DE SEGURANÇA</t>
  </si>
  <si>
    <t>POTENCIA DE ARRANJO (VA)</t>
  </si>
  <si>
    <t>CORRENTE DE PROJETO (A)</t>
  </si>
  <si>
    <t>ARRUMAR O X1</t>
  </si>
  <si>
    <t>DISTANCIA ENTRE LUMINARIAS E EIXO X,  X</t>
  </si>
  <si>
    <t>DISTANCIA ENTRE LUMINARIAS  EIXO X, X1</t>
  </si>
  <si>
    <t>REFLETANCIA DO FUNDO DA TAREFA</t>
  </si>
  <si>
    <t>IDADE MÉDIA DOS TRABALHADORES</t>
  </si>
  <si>
    <t>ALTURA MÍNIIMA</t>
  </si>
  <si>
    <t>TIRANTE</t>
  </si>
  <si>
    <t>Hlp</t>
  </si>
  <si>
    <t>Htl</t>
  </si>
  <si>
    <t>Hpp</t>
  </si>
  <si>
    <t>41 ANOS</t>
  </si>
  <si>
    <t>POSICIONAR NO ESPAÇO ESSAS 12 LUMINARIAS</t>
  </si>
  <si>
    <t>NÃO PRECISA CORRIGIR NADA</t>
  </si>
  <si>
    <t>LUMINÁRIA</t>
  </si>
  <si>
    <t xml:space="preserve"> </t>
  </si>
  <si>
    <t>HDK 472</t>
  </si>
  <si>
    <t>PHILLIPS</t>
  </si>
  <si>
    <t>LÂMPADA+REATOR</t>
  </si>
  <si>
    <t>CAVIDADES</t>
  </si>
  <si>
    <t>refletâncias</t>
  </si>
  <si>
    <t>Refletâncias Efetivas tab 2.11 – Mamede</t>
  </si>
  <si>
    <t>recinto</t>
  </si>
  <si>
    <t>teto</t>
  </si>
  <si>
    <t>piso</t>
  </si>
  <si>
    <t>parede clara</t>
  </si>
  <si>
    <t>teto claro (zinco)</t>
  </si>
  <si>
    <t>piso escuro</t>
  </si>
  <si>
    <t>Rcr</t>
  </si>
  <si>
    <t>MISTA</t>
  </si>
  <si>
    <t>Rct</t>
  </si>
  <si>
    <t>Rcp</t>
  </si>
  <si>
    <t>ρpa</t>
  </si>
  <si>
    <t>ρte</t>
  </si>
  <si>
    <t>ρpi</t>
  </si>
  <si>
    <t>ρct(1)</t>
  </si>
  <si>
    <t>ρcp</t>
  </si>
  <si>
    <t>para teto de 50%</t>
  </si>
  <si>
    <t>para teto de 70%</t>
  </si>
  <si>
    <t>TAREFAS COM REQUISITOS VISUAIS LIMITADOS</t>
  </si>
  <si>
    <t>SUBESTAÇÃO NÃO PODE TER LUMINÁRIAS NO TETO, APENAS NAS PAREDES E FORA DAS CABINES DE TRANSFORMADORES - NECESSÁRIO QUE FOSSE ARANDELA ANTI-EXPLOSÃO</t>
  </si>
  <si>
    <t>FLW 17/3-MI5500</t>
  </si>
  <si>
    <t>Comercial EX</t>
  </si>
  <si>
    <t>https://comercialex.com.br/produtos/iluminacao/luminaria-convencional/luminaria-a-prova-de-explosao-arandela/</t>
  </si>
  <si>
    <t xml:space="preserve">FATOR DE UTILIZAÇÃO </t>
  </si>
  <si>
    <t>PEGO DOS PDFs disponibilizados</t>
  </si>
  <si>
    <t>tab 2.12 – Mamede</t>
  </si>
  <si>
    <t>https://www.eletricasantaefigenia.com.br/lampada-mista-500w-/prod-10645297/</t>
  </si>
  <si>
    <t>k1</t>
  </si>
  <si>
    <t>k2</t>
  </si>
  <si>
    <t>fu1</t>
  </si>
  <si>
    <t>fu2</t>
  </si>
  <si>
    <t>k</t>
  </si>
  <si>
    <t>a</t>
  </si>
  <si>
    <t>b</t>
  </si>
  <si>
    <t>c</t>
  </si>
  <si>
    <t>fu</t>
  </si>
  <si>
    <t>DADOS DO REATOR (não possui reator)</t>
  </si>
  <si>
    <t>ALTURA ÚTIL / ALTURA DE TRABALHO Hlp (m)</t>
  </si>
  <si>
    <t>LÂMPADA UTILIZADA</t>
  </si>
  <si>
    <t>SAÍDA DE PRODUTOS (SALA DE PRODUTOS)</t>
  </si>
  <si>
    <t>FLUORESCENTE</t>
  </si>
  <si>
    <t>BANHEIRO (VESTUÁRIO)</t>
  </si>
  <si>
    <t>Como o fator K está muito próximo de 0,80, será considerado 0,19 de Fu</t>
  </si>
  <si>
    <t>As quatro áreas são dimensionadas pelo Método dos Lumens. A revisão segue o padrão das demais páginas, corrigindo refletâncias e incorporando as faixas de iluminância usadas no restante do trabalho.</t>
  </si>
  <si>
    <t>V</t>
  </si>
  <si>
    <t>CARACTERÍSTICAS DA TAREFA E DO OBSERVADOR ADOTADAS</t>
  </si>
  <si>
    <t>REFLETÂNCIA NO FUNDO DA TAREFA</t>
  </si>
  <si>
    <t>CÁLCULO DE PESO</t>
  </si>
  <si>
    <t>FAIXAS, ILUMINÂNCIAS E TIPO DE ATIVIDADE ADOTADOS</t>
  </si>
  <si>
    <t>AMBIENTE</t>
  </si>
  <si>
    <t>FAIXA</t>
  </si>
  <si>
    <t>TIPO DE ATIVIDADE</t>
  </si>
  <si>
    <t>LUX INFERIOR</t>
  </si>
  <si>
    <t>LUX MÉDIO</t>
  </si>
  <si>
    <t>LUX SUPERIOR</t>
  </si>
  <si>
    <t>PESO</t>
  </si>
  <si>
    <t>E PELA FAIXA [lux]</t>
  </si>
  <si>
    <t>E ESPECÍFICA [lux]</t>
  </si>
  <si>
    <t>E ADOTADA [lux]</t>
  </si>
  <si>
    <t>A</t>
  </si>
  <si>
    <t>Recintos não usados para trabalho contínuo, depósitos</t>
  </si>
  <si>
    <t>B</t>
  </si>
  <si>
    <t>Tarefas com requisitos especiais: inspeção</t>
  </si>
  <si>
    <t>Orientação simples para permanência curta</t>
  </si>
  <si>
    <t>Tarefas com requisitos visuais normais: escritórios</t>
  </si>
  <si>
    <t>ILUMINÂNCIA FINAL ADOTADA</t>
  </si>
  <si>
    <t>TIPO ESPECÍFICO</t>
  </si>
  <si>
    <t>E MÍNIMA ESPECÍFICA [lux]</t>
  </si>
  <si>
    <t>E FINAL ADOTADA [lux]</t>
  </si>
  <si>
    <t>LOCAIS DE ARMAZENAMENTO - GRANDES VOLUMES</t>
  </si>
  <si>
    <t>MELHOR ADOTAR O VALOR DE NLU DE 5 PARA MELHOR DISTRIBUIÇÃO</t>
  </si>
  <si>
    <t>INSPEÇÃO / CONTROLE DE QUALIDADE</t>
  </si>
  <si>
    <t>BANHEIROS / VESTIÁRIOS</t>
  </si>
  <si>
    <t>ESCRITÓRIOS - SALA DE TRABALHO</t>
  </si>
  <si>
    <t>POSICIONAR NO ESPAÇO ESSAS 5 LUMINARIAS</t>
  </si>
  <si>
    <t>Critério final: maior valor entre a faixa e a iluminância específica. Sala de Produtos = 200 lux; Controle de Qualidade = 1500 lux; Banheiro/Vestiário = 200 lux; Escritório = 750 lux.</t>
  </si>
  <si>
    <t>LUMINÁRIA, LÂMPADA E REATOR ADOTADOS</t>
  </si>
  <si>
    <t xml:space="preserve">CORREÇÃO FATOR DE UTILIZAÇÃO </t>
  </si>
  <si>
    <t>DADOS DA LUMINÁRIA</t>
  </si>
  <si>
    <t>TMS 426 - 2 x 40 W</t>
  </si>
  <si>
    <t>APLICAÇÃO</t>
  </si>
  <si>
    <t>Ambientes internos de baixo pé-direito</t>
  </si>
  <si>
    <t>DADOS DA LÂMPADA</t>
  </si>
  <si>
    <t>FLUORESCENTE COMUM</t>
  </si>
  <si>
    <t>TIPO</t>
  </si>
  <si>
    <t>POTÊNCIA [W]</t>
  </si>
  <si>
    <t>FLUXO LUMINOSO [lm]</t>
  </si>
  <si>
    <t>LÂMPADAS POR LUMINÁRIA</t>
  </si>
  <si>
    <t>CONFIGURAÇÃO</t>
  </si>
  <si>
    <t>DUPLO 2 x 40 W</t>
  </si>
  <si>
    <t>fcu</t>
  </si>
  <si>
    <t>TENSÃO [V]</t>
  </si>
  <si>
    <t>fu'</t>
  </si>
  <si>
    <t>CORRENTE DE CATÁLOGO [A]</t>
  </si>
  <si>
    <t>FATOR DE POTÊNCIA</t>
  </si>
  <si>
    <t>PERDAS POR LUMINÁRIA [W]</t>
  </si>
  <si>
    <t>Correção principal: no material de Mamede, teto "CLARO" = 50% e "BRANCO" = 70%. Para parede BEGE, adota-se 35% dentro da faixa 35–40%, usando a condição mais crítica.</t>
  </si>
  <si>
    <t>REFLETÂNCIAS ADOTADAS</t>
  </si>
  <si>
    <t>TETO INFORMADO</t>
  </si>
  <si>
    <t>TETO [%]</t>
  </si>
  <si>
    <t>PAREDE INFORMADA</t>
  </si>
  <si>
    <t>PAREDE [%]</t>
  </si>
  <si>
    <t>PISO INFORMADO</t>
  </si>
  <si>
    <t>PISO [%] NA TABELA Fu</t>
  </si>
  <si>
    <t>CRITÉRIO</t>
  </si>
  <si>
    <t>Tabela TMS 426 publicada para piso 10%</t>
  </si>
  <si>
    <t>FATOR DE DEPRECIAÇÃO</t>
  </si>
  <si>
    <t>BEGE 35–40%; adotado 35% (mais crítico)</t>
  </si>
  <si>
    <t>ÍNDICE DO RECINTO K E INTERPOLAÇÃO DE Fu</t>
  </si>
  <si>
    <t>vida util</t>
  </si>
  <si>
    <t>tempo de manutenção</t>
  </si>
  <si>
    <t>L [m]</t>
  </si>
  <si>
    <t>tempo de uso</t>
  </si>
  <si>
    <t>C [m]</t>
  </si>
  <si>
    <t>Hlp [m]</t>
  </si>
  <si>
    <t>INTERPOLAÇÃO UTILIZADA</t>
  </si>
  <si>
    <t>50/50: K 1,00→1,25 | Fu 0,44→0,49</t>
  </si>
  <si>
    <t>70/50: K 1,00→1,25 | Fu 0,50→0,56</t>
  </si>
  <si>
    <t>50/50: K 0,80→1,00 | Fu 0,38→0,44</t>
  </si>
  <si>
    <t>70/30 ↔ 70/50; parede 35%; K 1,50→2,00</t>
  </si>
  <si>
    <t>TIPO DA LUMINÁRIA</t>
  </si>
  <si>
    <t>LUMINÁRIA COMERCIAL</t>
  </si>
  <si>
    <t>Fdl ADOTADO</t>
  </si>
  <si>
    <t>FONTE</t>
  </si>
  <si>
    <t>Tabela 2.9 - Mamede</t>
  </si>
  <si>
    <t>O valor 0,75 é o valor tabelado para luminária comercial. Portanto, nesta solução não é necessário estimar Fdl pelo gráfico de manutenção; usa-se diretamente a classificação do aparelho.</t>
  </si>
  <si>
    <t>Fluxo requerido: Φt = E × S / (Fu × Fdl). Todos os termos utilizados aparecem acima na planilha.</t>
  </si>
  <si>
    <t>E [lux]</t>
  </si>
  <si>
    <t>ÁREA [m²]</t>
  </si>
  <si>
    <t>Fdl</t>
  </si>
  <si>
    <t>Φt [lm]</t>
  </si>
  <si>
    <t>NÚMERO DE LUMINÁRIAS</t>
  </si>
  <si>
    <t>Nlu = Φt / (fluxo por lâmpada × número de lâmpadas por luminária). O valor calculado é arredondado para cima e depois verificado para permitir uma distribuição regular.</t>
  </si>
  <si>
    <t>FLUXO/LÂMPADA [lm]</t>
  </si>
  <si>
    <t>LÂMPADAS/LUMINÁRIA</t>
  </si>
  <si>
    <t>Nlu TEÓRICO</t>
  </si>
  <si>
    <t>Nlu ≥</t>
  </si>
  <si>
    <t>GRADE ADOTADA</t>
  </si>
  <si>
    <t>Nlu ADOTADO</t>
  </si>
  <si>
    <t>3 x 1</t>
  </si>
  <si>
    <t>6 x 3</t>
  </si>
  <si>
    <t>1 x 2</t>
  </si>
  <si>
    <t>3 x 5</t>
  </si>
  <si>
    <t>DISTRIBUIÇÃO / DISPOSIÇÃO DAS LUMINÁRIAS</t>
  </si>
  <si>
    <t>Critério da aula/material: X e Y devem ficar, em geral, entre 1,0 m e 1,5 × Hlp; distâncias às paredes X1 e Y1 são metade do espaçamento. Para Hlp = 2,20 m, o limite superior é 3,30 m.</t>
  </si>
  <si>
    <t>Nx</t>
  </si>
  <si>
    <t>Ny</t>
  </si>
  <si>
    <t>X [m]</t>
  </si>
  <si>
    <t>X1 [m]</t>
  </si>
  <si>
    <t>Y [m]</t>
  </si>
  <si>
    <t>Y1 [m]</t>
  </si>
  <si>
    <t>1,5×Hlp [m]</t>
  </si>
  <si>
    <t>N TOTAL</t>
  </si>
  <si>
    <t>VERIFICAÇÃO</t>
  </si>
  <si>
    <t>POTÊNCIA DO PONTO DE ILUMINAÇÃO E CARGA</t>
  </si>
  <si>
    <t>POTÊNCIA DAS LÂMPADAS [W]</t>
  </si>
  <si>
    <t>PERDAS DO REATOR [W]</t>
  </si>
  <si>
    <t>P ATIVA POR LUMINÁRIA [W]</t>
  </si>
  <si>
    <t>FP</t>
  </si>
  <si>
    <t>Q POR LUMINÁRIA [var]</t>
  </si>
  <si>
    <t>S POR LUMINÁRIA [VA]</t>
  </si>
  <si>
    <t>S ADOTADA POR PONTO [VA]</t>
  </si>
  <si>
    <t>Para as etapas seguintes do projeto, a carga fica registrada em potência complexa P + jQ. A potência aparente exata por luminária é calculada; para margem de projeto foi adotado 120 VA por ponto.</t>
  </si>
  <si>
    <t>QDL</t>
  </si>
  <si>
    <t>P [W]</t>
  </si>
  <si>
    <t>Q [var]</t>
  </si>
  <si>
    <t>S EXATA [VA]</t>
  </si>
  <si>
    <t>S ADOTADA [VA]</t>
  </si>
  <si>
    <t>I EXATA [A]</t>
  </si>
  <si>
    <t>I ADOTADA [A]</t>
  </si>
  <si>
    <t>E OBTIDA [lux]</t>
  </si>
  <si>
    <t>QDL6</t>
  </si>
  <si>
    <t>QDL7</t>
  </si>
  <si>
    <t>QDL5</t>
  </si>
  <si>
    <t>RESUMO POR QDL</t>
  </si>
  <si>
    <t>AMBIENTES</t>
  </si>
  <si>
    <t>LUMINÁRIAS</t>
  </si>
  <si>
    <t>SALA DE PRODUTOS + CONTROLE DE QUALIDADE</t>
  </si>
  <si>
    <t>BANHEIRO / VESTIÁRIO</t>
  </si>
  <si>
    <t>TOTAL</t>
  </si>
  <si>
    <t>QUATRO AMBIENTES</t>
  </si>
  <si>
    <t>VERIFICAÇÃO TÉCNICA FINAL</t>
  </si>
  <si>
    <t>ITEM</t>
  </si>
  <si>
    <t>RESULTADO</t>
  </si>
  <si>
    <t>OBSERVAÇÃO</t>
  </si>
  <si>
    <t>Método</t>
  </si>
  <si>
    <t>Método dos Lumens exigido para as áreas do Lucas</t>
  </si>
  <si>
    <t>OK</t>
  </si>
  <si>
    <t>Cálculo mantém a metodologia da disciplina</t>
  </si>
  <si>
    <t>Peso de iluminância</t>
  </si>
  <si>
    <t>41 anos + importante + fundo 40% → 0</t>
  </si>
  <si>
    <t>Usa valor médio da faixa</t>
  </si>
  <si>
    <t>Refletâncias</t>
  </si>
  <si>
    <t>CLARO 50%; BRANCO 70%; BEGE 35%</t>
  </si>
  <si>
    <t>Condição crítica para bege</t>
  </si>
  <si>
    <t>Tabela Philips TMS 426 - 2 TL 40 W</t>
  </si>
  <si>
    <t>Interpolação em K e, no escritório, também na parede</t>
  </si>
  <si>
    <t>Luminária comercial = 0,75</t>
  </si>
  <si>
    <t>Tabela 2.9 de Mamede</t>
  </si>
  <si>
    <t>Fluxo e Nlu</t>
  </si>
  <si>
    <t>Fórmulas explícitas e arredondamento para cima</t>
  </si>
  <si>
    <t>Sem valores ocultos</t>
  </si>
  <si>
    <t>Distribuição</t>
  </si>
  <si>
    <t>Limite 1,5×Hlp e bordas X1/Y1</t>
  </si>
  <si>
    <t>Todas as quatro grades atendem</t>
  </si>
  <si>
    <t>Carga</t>
  </si>
  <si>
    <t>P, Q, S e corrente registrados</t>
  </si>
  <si>
    <t>Compatível com a nota P+jQ do projeto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</si>
</sst>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d.m"/>
  </numFmts>
  <fonts count="1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/>
    <font>
      <b/>
      <sz val="12.0"/>
      <color theme="1"/>
      <name val="Arial"/>
      <scheme val="minor"/>
    </font>
    <font>
      <color rgb="FF1F1F1F"/>
      <name val="&quot;Google Sans Text&quot;"/>
    </font>
    <font>
      <sz val="10.0"/>
      <color theme="1"/>
      <name val="Arial"/>
    </font>
    <font>
      <b/>
      <color rgb="FF1F1F1F"/>
      <name val="&quot;Google Sans Text&quot;"/>
    </font>
    <font>
      <u/>
      <color rgb="FF0000FF"/>
    </font>
    <font>
      <u/>
      <color rgb="FF0000FF"/>
    </font>
    <font>
      <sz val="10.0"/>
      <color rgb="FF000000"/>
      <name val="Arial"/>
    </font>
    <font>
      <b/>
      <sz val="9.0"/>
      <color rgb="FF000000"/>
      <name val="Arial"/>
    </font>
    <font>
      <sz val="9.0"/>
      <color rgb="FF000000"/>
      <name val="Arial"/>
    </font>
    <font>
      <b/>
      <sz val="10.0"/>
      <color rgb="FF000000"/>
      <name val="Arial"/>
    </font>
    <font>
      <sz val="8.0"/>
      <color rgb="FF0563C1"/>
      <name val="Arial"/>
    </font>
  </fonts>
  <fills count="8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2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3" fillId="0" fontId="5" numFmtId="0" xfId="0" applyBorder="1" applyFont="1"/>
    <xf borderId="1" fillId="0" fontId="3" numFmtId="9" xfId="0" applyAlignment="1" applyBorder="1" applyFont="1" applyNumberFormat="1">
      <alignment horizontal="center" readingOrder="0"/>
    </xf>
    <xf borderId="0" fillId="0" fontId="3" numFmtId="0" xfId="0" applyAlignment="1" applyFont="1">
      <alignment readingOrder="0"/>
    </xf>
    <xf borderId="4" fillId="0" fontId="3" numFmtId="0" xfId="0" applyAlignment="1" applyBorder="1" applyFont="1">
      <alignment horizontal="center" readingOrder="0" vertical="center"/>
    </xf>
    <xf borderId="5" fillId="0" fontId="5" numFmtId="0" xfId="0" applyBorder="1" applyFont="1"/>
    <xf borderId="4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readingOrder="0"/>
    </xf>
    <xf borderId="0" fillId="3" fontId="3" numFmtId="0" xfId="0" applyAlignment="1" applyFill="1" applyFont="1">
      <alignment horizontal="center" readingOrder="0"/>
    </xf>
    <xf borderId="1" fillId="0" fontId="3" numFmtId="2" xfId="0" applyAlignment="1" applyBorder="1" applyFont="1" applyNumberFormat="1">
      <alignment horizontal="center"/>
    </xf>
    <xf borderId="1" fillId="4" fontId="3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/>
    </xf>
    <xf borderId="0" fillId="4" fontId="3" numFmtId="0" xfId="0" applyFill="1" applyFont="1"/>
    <xf borderId="0" fillId="4" fontId="3" numFmtId="0" xfId="0" applyAlignment="1" applyFill="1" applyFont="1">
      <alignment readingOrder="0"/>
    </xf>
    <xf borderId="1" fillId="0" fontId="3" numFmtId="164" xfId="0" applyAlignment="1" applyBorder="1" applyFont="1" applyNumberFormat="1">
      <alignment horizontal="center"/>
    </xf>
    <xf borderId="6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horizontal="center" vertical="bottom"/>
    </xf>
    <xf borderId="0" fillId="0" fontId="2" numFmtId="2" xfId="0" applyAlignment="1" applyFont="1" applyNumberFormat="1">
      <alignment horizontal="center" vertical="bottom"/>
    </xf>
    <xf borderId="0" fillId="0" fontId="3" numFmtId="0" xfId="0" applyFont="1"/>
    <xf borderId="7" fillId="0" fontId="5" numFmtId="0" xfId="0" applyBorder="1" applyFont="1"/>
    <xf borderId="2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readingOrder="0" vertical="bottom"/>
    </xf>
    <xf borderId="1" fillId="0" fontId="2" numFmtId="2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center"/>
    </xf>
    <xf borderId="0" fillId="3" fontId="6" numFmtId="0" xfId="0" applyAlignment="1" applyFill="1" applyFont="1">
      <alignment horizontal="center" readingOrder="0"/>
    </xf>
    <xf borderId="0" fillId="3" fontId="4" numFmtId="0" xfId="0" applyFill="1" applyFont="1"/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0" fontId="2" numFmtId="2" xfId="0" applyAlignment="1" applyBorder="1" applyFont="1" applyNumberFormat="1">
      <alignment horizontal="center"/>
    </xf>
    <xf borderId="4" fillId="0" fontId="2" numFmtId="0" xfId="0" applyAlignment="1" applyBorder="1" applyFont="1">
      <alignment horizontal="center" shrinkToFit="0" vertical="center" wrapText="1"/>
    </xf>
    <xf borderId="4" fillId="0" fontId="2" numFmtId="9" xfId="0" applyAlignment="1" applyBorder="1" applyFont="1" applyNumberForma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1" fillId="0" fontId="2" numFmtId="2" xfId="0" applyAlignment="1" applyBorder="1" applyFont="1" applyNumberFormat="1">
      <alignment horizontal="center" readingOrder="0"/>
    </xf>
    <xf borderId="0" fillId="0" fontId="2" numFmtId="2" xfId="0" applyAlignment="1" applyFont="1" applyNumberFormat="1">
      <alignment horizontal="center"/>
    </xf>
    <xf borderId="8" fillId="0" fontId="5" numFmtId="0" xfId="0" applyBorder="1" applyFont="1"/>
    <xf borderId="1" fillId="0" fontId="3" numFmtId="2" xfId="0" applyAlignment="1" applyBorder="1" applyFont="1" applyNumberFormat="1">
      <alignment horizontal="center" readingOrder="0"/>
    </xf>
    <xf borderId="9" fillId="2" fontId="3" numFmtId="0" xfId="0" applyAlignment="1" applyBorder="1" applyFill="1" applyFont="1">
      <alignment readingOrder="0"/>
    </xf>
    <xf borderId="10" fillId="0" fontId="3" numFmtId="0" xfId="0" applyAlignment="1" applyBorder="1" applyFont="1">
      <alignment readingOrder="0"/>
    </xf>
    <xf borderId="11" fillId="2" fontId="3" numFmtId="0" xfId="0" applyAlignment="1" applyBorder="1" applyFill="1" applyFont="1">
      <alignment readingOrder="0"/>
    </xf>
    <xf borderId="12" fillId="0" fontId="3" numFmtId="0" xfId="0" applyAlignment="1" applyBorder="1" applyFont="1">
      <alignment readingOrder="0"/>
    </xf>
    <xf borderId="0" fillId="0" fontId="3" numFmtId="9" xfId="0" applyAlignment="1" applyFont="1" applyNumberFormat="1">
      <alignment readingOrder="0"/>
    </xf>
    <xf borderId="1" fillId="0" fontId="2" numFmtId="0" xfId="0" applyAlignment="1" applyBorder="1" applyFont="1">
      <alignment horizontal="center" shrinkToFit="0" wrapText="1"/>
    </xf>
    <xf borderId="0" fillId="0" fontId="7" numFmtId="0" xfId="0" applyAlignment="1" applyFont="1">
      <alignment readingOrder="0" shrinkToFit="0" wrapText="1"/>
    </xf>
    <xf borderId="1" fillId="5" fontId="2" numFmtId="2" xfId="0" applyAlignment="1" applyBorder="1" applyFill="1" applyFont="1" applyNumberFormat="1">
      <alignment horizontal="center" readingOrder="0"/>
    </xf>
    <xf borderId="0" fillId="0" fontId="7" numFmtId="0" xfId="0" applyAlignment="1" applyFont="1">
      <alignment readingOrder="0"/>
    </xf>
    <xf borderId="0" fillId="0" fontId="8" numFmtId="2" xfId="0" applyAlignment="1" applyFont="1" applyNumberFormat="1">
      <alignment horizontal="center" vertical="center"/>
    </xf>
    <xf borderId="0" fillId="0" fontId="9" numFmtId="165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wrapText="1"/>
    </xf>
    <xf borderId="4" fillId="0" fontId="2" numFmtId="0" xfId="0" applyAlignment="1" applyBorder="1" applyFont="1">
      <alignment horizontal="center" vertical="center"/>
    </xf>
    <xf borderId="0" fillId="0" fontId="11" numFmtId="0" xfId="0" applyAlignment="1" applyFont="1">
      <alignment readingOrder="0"/>
    </xf>
    <xf borderId="0" fillId="6" fontId="12" numFmtId="0" xfId="0" applyAlignment="1" applyFill="1" applyFont="1">
      <alignment horizontal="center"/>
    </xf>
    <xf borderId="2" fillId="6" fontId="13" numFmtId="0" xfId="0" applyAlignment="1" applyBorder="1" applyFill="1" applyFont="1">
      <alignment horizontal="center" shrinkToFit="0" vertical="center" wrapText="1"/>
    </xf>
    <xf borderId="7" fillId="6" fontId="13" numFmtId="0" xfId="0" applyAlignment="1" applyBorder="1" applyFill="1" applyFont="1">
      <alignment horizontal="center" shrinkToFit="0" vertical="center" wrapText="1"/>
    </xf>
    <xf borderId="3" fillId="6" fontId="13" numFmtId="0" xfId="0" applyAlignment="1" applyBorder="1" applyFill="1" applyFont="1">
      <alignment horizontal="center" shrinkToFit="0" vertical="center" wrapText="1"/>
    </xf>
    <xf borderId="9" fillId="6" fontId="14" numFmtId="0" xfId="0" applyAlignment="1" applyBorder="1" applyFill="1" applyFont="1">
      <alignment horizontal="center" shrinkToFit="0" vertical="center" wrapText="1"/>
    </xf>
    <xf borderId="13" fillId="6" fontId="14" numFmtId="0" xfId="0" applyAlignment="1" applyBorder="1" applyFill="1" applyFont="1">
      <alignment horizontal="center" shrinkToFit="0" vertical="center" wrapText="1"/>
    </xf>
    <xf borderId="10" fillId="6" fontId="14" numFmtId="0" xfId="0" applyAlignment="1" applyBorder="1" applyFill="1" applyFont="1">
      <alignment horizontal="center" shrinkToFit="0" vertical="center" wrapText="1"/>
    </xf>
    <xf borderId="6" fillId="6" fontId="14" numFmtId="0" xfId="0" applyAlignment="1" applyBorder="1" applyFill="1" applyFont="1">
      <alignment horizontal="center" shrinkToFit="0" vertical="center" wrapText="1"/>
    </xf>
    <xf borderId="0" fillId="6" fontId="14" numFmtId="0" xfId="0" applyAlignment="1" applyFill="1" applyFont="1">
      <alignment horizontal="center" shrinkToFit="0" vertical="center" wrapText="1"/>
    </xf>
    <xf borderId="14" fillId="6" fontId="14" numFmtId="0" xfId="0" applyAlignment="1" applyBorder="1" applyFill="1" applyFont="1">
      <alignment horizontal="center" shrinkToFit="0" vertical="center" wrapText="1"/>
    </xf>
    <xf borderId="11" fillId="6" fontId="14" numFmtId="0" xfId="0" applyAlignment="1" applyBorder="1" applyFill="1" applyFont="1">
      <alignment horizontal="center" shrinkToFit="0" vertical="center" wrapText="1"/>
    </xf>
    <xf borderId="15" fillId="6" fontId="14" numFmtId="0" xfId="0" applyAlignment="1" applyBorder="1" applyFill="1" applyFont="1">
      <alignment horizontal="center" shrinkToFit="0" vertical="center" wrapText="1"/>
    </xf>
    <xf borderId="1" fillId="0" fontId="2" numFmtId="2" xfId="0" applyAlignment="1" applyBorder="1" applyFont="1" applyNumberFormat="1">
      <alignment horizontal="center" readingOrder="0" vertical="bottom"/>
    </xf>
    <xf borderId="12" fillId="6" fontId="14" numFmtId="0" xfId="0" applyAlignment="1" applyBorder="1" applyFill="1" applyFont="1">
      <alignment horizontal="center" shrinkToFit="0" vertical="center" wrapText="1"/>
    </xf>
    <xf borderId="0" fillId="3" fontId="15" numFmtId="0" xfId="0" applyAlignment="1" applyFill="1" applyFont="1">
      <alignment horizontal="center" vertical="center"/>
    </xf>
    <xf borderId="0" fillId="0" fontId="14" numFmtId="0" xfId="0" applyAlignment="1" applyFont="1">
      <alignment shrinkToFit="0" vertical="center" wrapText="1"/>
    </xf>
    <xf borderId="14" fillId="6" fontId="14" numFmtId="9" xfId="0" applyAlignment="1" applyBorder="1" applyFill="1" applyFont="1" applyNumberFormat="1">
      <alignment horizontal="center" shrinkToFit="0" vertical="center" wrapText="1"/>
    </xf>
    <xf borderId="1" fillId="0" fontId="3" numFmtId="0" xfId="0" applyAlignment="1" applyBorder="1" applyFont="1">
      <alignment readingOrder="0"/>
    </xf>
    <xf borderId="1" fillId="0" fontId="3" numFmtId="2" xfId="0" applyBorder="1" applyFont="1" applyNumberFormat="1"/>
    <xf borderId="1" fillId="0" fontId="3" numFmtId="0" xfId="0" applyBorder="1" applyFont="1"/>
    <xf borderId="13" fillId="6" fontId="14" numFmtId="164" xfId="0" applyAlignment="1" applyBorder="1" applyFill="1" applyFont="1" applyNumberFormat="1">
      <alignment horizontal="center" shrinkToFit="0" vertical="center" wrapText="1"/>
    </xf>
    <xf borderId="0" fillId="6" fontId="14" numFmtId="164" xfId="0" applyAlignment="1" applyFill="1" applyFont="1" applyNumberFormat="1">
      <alignment horizontal="center" shrinkToFit="0" vertical="center" wrapText="1"/>
    </xf>
    <xf borderId="15" fillId="6" fontId="14" numFmtId="164" xfId="0" applyAlignment="1" applyBorder="1" applyFill="1" applyFont="1" applyNumberFormat="1">
      <alignment horizontal="center" shrinkToFit="0" vertical="center" wrapText="1"/>
    </xf>
    <xf borderId="13" fillId="6" fontId="14" numFmtId="2" xfId="0" applyAlignment="1" applyBorder="1" applyFill="1" applyFont="1" applyNumberFormat="1">
      <alignment horizontal="center" shrinkToFit="0" vertical="center" wrapText="1"/>
    </xf>
    <xf borderId="0" fillId="6" fontId="14" numFmtId="2" xfId="0" applyAlignment="1" applyFill="1" applyFont="1" applyNumberFormat="1">
      <alignment horizontal="center" shrinkToFit="0" vertical="center" wrapText="1"/>
    </xf>
    <xf borderId="15" fillId="6" fontId="14" numFmtId="2" xfId="0" applyAlignment="1" applyBorder="1" applyFill="1" applyFont="1" applyNumberFormat="1">
      <alignment horizontal="center" shrinkToFit="0" vertical="center" wrapText="1"/>
    </xf>
    <xf borderId="6" fillId="3" fontId="15" numFmtId="0" xfId="0" applyAlignment="1" applyBorder="1" applyFill="1" applyFont="1">
      <alignment horizontal="center" shrinkToFit="0" vertical="center" wrapText="1"/>
    </xf>
    <xf borderId="15" fillId="0" fontId="5" numFmtId="0" xfId="0" applyBorder="1" applyFont="1"/>
    <xf borderId="10" fillId="6" fontId="14" numFmtId="2" xfId="0" applyAlignment="1" applyBorder="1" applyFill="1" applyFont="1" applyNumberFormat="1">
      <alignment horizontal="center" shrinkToFit="0" vertical="center" wrapText="1"/>
    </xf>
    <xf borderId="6" fillId="6" fontId="13" numFmtId="0" xfId="0" applyAlignment="1" applyBorder="1" applyFill="1" applyFont="1">
      <alignment horizontal="center" shrinkToFit="0" vertical="center" wrapText="1"/>
    </xf>
    <xf borderId="0" fillId="6" fontId="13" numFmtId="2" xfId="0" applyAlignment="1" applyFill="1" applyFont="1" applyNumberFormat="1">
      <alignment horizontal="center" shrinkToFit="0" vertical="center" wrapText="1"/>
    </xf>
    <xf borderId="14" fillId="6" fontId="13" numFmtId="2" xfId="0" applyAlignment="1" applyBorder="1" applyFill="1" applyFont="1" applyNumberFormat="1">
      <alignment horizontal="center" shrinkToFit="0" vertical="center" wrapText="1"/>
    </xf>
    <xf borderId="7" fillId="6" fontId="13" numFmtId="2" xfId="0" applyAlignment="1" applyBorder="1" applyFill="1" applyFont="1" applyNumberFormat="1">
      <alignment horizontal="center" shrinkToFit="0" vertical="center" wrapText="1"/>
    </xf>
    <xf borderId="3" fillId="6" fontId="13" numFmtId="2" xfId="0" applyAlignment="1" applyBorder="1" applyFill="1" applyFont="1" applyNumberFormat="1">
      <alignment horizontal="center" shrinkToFit="0" vertical="center" wrapText="1"/>
    </xf>
    <xf borderId="14" fillId="6" fontId="14" numFmtId="2" xfId="0" applyAlignment="1" applyBorder="1" applyFill="1" applyFont="1" applyNumberFormat="1">
      <alignment horizontal="center" shrinkToFit="0" vertical="center" wrapText="1"/>
    </xf>
    <xf borderId="2" fillId="6" fontId="14" numFmtId="0" xfId="0" applyAlignment="1" applyBorder="1" applyFill="1" applyFont="1">
      <alignment horizontal="center" shrinkToFit="0" vertical="center" wrapText="1"/>
    </xf>
    <xf borderId="7" fillId="6" fontId="14" numFmtId="2" xfId="0" applyAlignment="1" applyBorder="1" applyFill="1" applyFont="1" applyNumberFormat="1">
      <alignment horizontal="center" shrinkToFit="0" vertical="center" wrapText="1"/>
    </xf>
    <xf borderId="3" fillId="6" fontId="14" numFmtId="2" xfId="0" applyAlignment="1" applyBorder="1" applyFill="1" applyFont="1" applyNumberFormat="1">
      <alignment horizontal="center" shrinkToFit="0" vertical="center" wrapText="1"/>
    </xf>
    <xf borderId="12" fillId="6" fontId="14" numFmtId="2" xfId="0" applyAlignment="1" applyBorder="1" applyFill="1" applyFont="1" applyNumberFormat="1">
      <alignment horizontal="center" shrinkToFit="0" vertical="center" wrapText="1"/>
    </xf>
    <xf borderId="2" fillId="7" fontId="14" numFmtId="0" xfId="0" applyAlignment="1" applyBorder="1" applyFill="1" applyFont="1">
      <alignment shrinkToFit="0" vertical="center" wrapText="1"/>
    </xf>
    <xf borderId="7" fillId="7" fontId="14" numFmtId="0" xfId="0" applyAlignment="1" applyBorder="1" applyFill="1" applyFont="1">
      <alignment shrinkToFit="0" vertical="center" wrapText="1"/>
    </xf>
    <xf borderId="3" fillId="7" fontId="14" numFmtId="0" xfId="0" applyAlignment="1" applyBorder="1" applyFill="1" applyFont="1">
      <alignment shrinkToFit="0" vertical="center" wrapText="1"/>
    </xf>
    <xf borderId="2" fillId="3" fontId="15" numFmtId="0" xfId="0" applyAlignment="1" applyBorder="1" applyFill="1" applyFont="1">
      <alignment horizontal="center" shrinkToFit="0" vertical="center" wrapText="1"/>
    </xf>
    <xf borderId="10" fillId="6" fontId="16" numFmtId="0" xfId="0" applyAlignment="1" applyBorder="1" applyFill="1" applyFont="1">
      <alignment horizontal="center" shrinkToFit="0" vertical="center" wrapText="1"/>
    </xf>
    <xf borderId="14" fillId="6" fontId="16" numFmtId="0" xfId="0" applyAlignment="1" applyBorder="1" applyFill="1" applyFont="1">
      <alignment horizontal="center" shrinkToFit="0" vertical="center" wrapText="1"/>
    </xf>
    <xf borderId="12" fillId="6" fontId="16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2">
    <dxf>
      <font>
        <b/>
      </font>
      <fill>
        <patternFill patternType="solid">
          <fgColor rgb="FFE2F0D9"/>
          <bgColor rgb="FFE2F0D9"/>
        </patternFill>
      </fill>
      <border/>
    </dxf>
    <dxf>
      <font>
        <b/>
      </font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12.png"/><Relationship Id="rId10" Type="http://schemas.openxmlformats.org/officeDocument/2006/relationships/image" Target="../media/image45.png"/><Relationship Id="rId13" Type="http://schemas.openxmlformats.org/officeDocument/2006/relationships/image" Target="../media/image7.png"/><Relationship Id="rId12" Type="http://schemas.openxmlformats.org/officeDocument/2006/relationships/image" Target="../media/image11.png"/><Relationship Id="rId1" Type="http://schemas.openxmlformats.org/officeDocument/2006/relationships/image" Target="../media/image37.png"/><Relationship Id="rId2" Type="http://schemas.openxmlformats.org/officeDocument/2006/relationships/image" Target="../media/image35.png"/><Relationship Id="rId3" Type="http://schemas.openxmlformats.org/officeDocument/2006/relationships/image" Target="../media/image34.png"/><Relationship Id="rId4" Type="http://schemas.openxmlformats.org/officeDocument/2006/relationships/image" Target="../media/image26.png"/><Relationship Id="rId9" Type="http://schemas.openxmlformats.org/officeDocument/2006/relationships/image" Target="../media/image33.png"/><Relationship Id="rId15" Type="http://schemas.openxmlformats.org/officeDocument/2006/relationships/image" Target="../media/image2.png"/><Relationship Id="rId14" Type="http://schemas.openxmlformats.org/officeDocument/2006/relationships/image" Target="../media/image14.png"/><Relationship Id="rId17" Type="http://schemas.openxmlformats.org/officeDocument/2006/relationships/image" Target="../media/image10.png"/><Relationship Id="rId16" Type="http://schemas.openxmlformats.org/officeDocument/2006/relationships/image" Target="../media/image21.png"/><Relationship Id="rId5" Type="http://schemas.openxmlformats.org/officeDocument/2006/relationships/image" Target="../media/image5.png"/><Relationship Id="rId6" Type="http://schemas.openxmlformats.org/officeDocument/2006/relationships/image" Target="../media/image3.png"/><Relationship Id="rId18" Type="http://schemas.openxmlformats.org/officeDocument/2006/relationships/image" Target="../media/image8.png"/><Relationship Id="rId7" Type="http://schemas.openxmlformats.org/officeDocument/2006/relationships/image" Target="../media/image4.png"/><Relationship Id="rId8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12.png"/><Relationship Id="rId10" Type="http://schemas.openxmlformats.org/officeDocument/2006/relationships/image" Target="../media/image45.png"/><Relationship Id="rId13" Type="http://schemas.openxmlformats.org/officeDocument/2006/relationships/image" Target="../media/image7.png"/><Relationship Id="rId12" Type="http://schemas.openxmlformats.org/officeDocument/2006/relationships/image" Target="../media/image11.png"/><Relationship Id="rId1" Type="http://schemas.openxmlformats.org/officeDocument/2006/relationships/image" Target="../media/image37.png"/><Relationship Id="rId2" Type="http://schemas.openxmlformats.org/officeDocument/2006/relationships/image" Target="../media/image35.png"/><Relationship Id="rId3" Type="http://schemas.openxmlformats.org/officeDocument/2006/relationships/image" Target="../media/image34.png"/><Relationship Id="rId4" Type="http://schemas.openxmlformats.org/officeDocument/2006/relationships/image" Target="../media/image26.png"/><Relationship Id="rId9" Type="http://schemas.openxmlformats.org/officeDocument/2006/relationships/image" Target="../media/image33.png"/><Relationship Id="rId15" Type="http://schemas.openxmlformats.org/officeDocument/2006/relationships/image" Target="../media/image21.png"/><Relationship Id="rId14" Type="http://schemas.openxmlformats.org/officeDocument/2006/relationships/image" Target="../media/image14.png"/><Relationship Id="rId17" Type="http://schemas.openxmlformats.org/officeDocument/2006/relationships/image" Target="../media/image13.png"/><Relationship Id="rId16" Type="http://schemas.openxmlformats.org/officeDocument/2006/relationships/image" Target="../media/image28.png"/><Relationship Id="rId5" Type="http://schemas.openxmlformats.org/officeDocument/2006/relationships/image" Target="../media/image5.png"/><Relationship Id="rId6" Type="http://schemas.openxmlformats.org/officeDocument/2006/relationships/image" Target="../media/image3.png"/><Relationship Id="rId18" Type="http://schemas.openxmlformats.org/officeDocument/2006/relationships/image" Target="../media/image6.png"/><Relationship Id="rId7" Type="http://schemas.openxmlformats.org/officeDocument/2006/relationships/image" Target="../media/image4.png"/><Relationship Id="rId8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1" Type="http://schemas.openxmlformats.org/officeDocument/2006/relationships/image" Target="../media/image12.png"/><Relationship Id="rId10" Type="http://schemas.openxmlformats.org/officeDocument/2006/relationships/image" Target="../media/image45.png"/><Relationship Id="rId13" Type="http://schemas.openxmlformats.org/officeDocument/2006/relationships/image" Target="../media/image7.png"/><Relationship Id="rId12" Type="http://schemas.openxmlformats.org/officeDocument/2006/relationships/image" Target="../media/image11.png"/><Relationship Id="rId1" Type="http://schemas.openxmlformats.org/officeDocument/2006/relationships/image" Target="../media/image37.png"/><Relationship Id="rId2" Type="http://schemas.openxmlformats.org/officeDocument/2006/relationships/image" Target="../media/image35.png"/><Relationship Id="rId3" Type="http://schemas.openxmlformats.org/officeDocument/2006/relationships/image" Target="../media/image34.png"/><Relationship Id="rId4" Type="http://schemas.openxmlformats.org/officeDocument/2006/relationships/image" Target="../media/image26.png"/><Relationship Id="rId9" Type="http://schemas.openxmlformats.org/officeDocument/2006/relationships/image" Target="../media/image33.png"/><Relationship Id="rId15" Type="http://schemas.openxmlformats.org/officeDocument/2006/relationships/image" Target="../media/image21.png"/><Relationship Id="rId14" Type="http://schemas.openxmlformats.org/officeDocument/2006/relationships/image" Target="../media/image14.png"/><Relationship Id="rId17" Type="http://schemas.openxmlformats.org/officeDocument/2006/relationships/image" Target="../media/image15.png"/><Relationship Id="rId16" Type="http://schemas.openxmlformats.org/officeDocument/2006/relationships/image" Target="../media/image16.png"/><Relationship Id="rId5" Type="http://schemas.openxmlformats.org/officeDocument/2006/relationships/image" Target="../media/image5.png"/><Relationship Id="rId6" Type="http://schemas.openxmlformats.org/officeDocument/2006/relationships/image" Target="../media/image3.png"/><Relationship Id="rId7" Type="http://schemas.openxmlformats.org/officeDocument/2006/relationships/image" Target="../media/image4.png"/><Relationship Id="rId8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1" Type="http://schemas.openxmlformats.org/officeDocument/2006/relationships/image" Target="../media/image12.png"/><Relationship Id="rId10" Type="http://schemas.openxmlformats.org/officeDocument/2006/relationships/image" Target="../media/image45.png"/><Relationship Id="rId13" Type="http://schemas.openxmlformats.org/officeDocument/2006/relationships/image" Target="../media/image7.png"/><Relationship Id="rId12" Type="http://schemas.openxmlformats.org/officeDocument/2006/relationships/image" Target="../media/image11.png"/><Relationship Id="rId1" Type="http://schemas.openxmlformats.org/officeDocument/2006/relationships/image" Target="../media/image37.png"/><Relationship Id="rId2" Type="http://schemas.openxmlformats.org/officeDocument/2006/relationships/image" Target="../media/image35.png"/><Relationship Id="rId3" Type="http://schemas.openxmlformats.org/officeDocument/2006/relationships/image" Target="../media/image34.png"/><Relationship Id="rId4" Type="http://schemas.openxmlformats.org/officeDocument/2006/relationships/image" Target="../media/image26.png"/><Relationship Id="rId9" Type="http://schemas.openxmlformats.org/officeDocument/2006/relationships/image" Target="../media/image33.png"/><Relationship Id="rId15" Type="http://schemas.openxmlformats.org/officeDocument/2006/relationships/image" Target="../media/image21.png"/><Relationship Id="rId14" Type="http://schemas.openxmlformats.org/officeDocument/2006/relationships/image" Target="../media/image14.png"/><Relationship Id="rId17" Type="http://schemas.openxmlformats.org/officeDocument/2006/relationships/image" Target="../media/image23.png"/><Relationship Id="rId16" Type="http://schemas.openxmlformats.org/officeDocument/2006/relationships/image" Target="../media/image9.png"/><Relationship Id="rId5" Type="http://schemas.openxmlformats.org/officeDocument/2006/relationships/image" Target="../media/image5.png"/><Relationship Id="rId6" Type="http://schemas.openxmlformats.org/officeDocument/2006/relationships/image" Target="../media/image3.png"/><Relationship Id="rId18" Type="http://schemas.openxmlformats.org/officeDocument/2006/relationships/image" Target="../media/image22.png"/><Relationship Id="rId7" Type="http://schemas.openxmlformats.org/officeDocument/2006/relationships/image" Target="../media/image4.png"/><Relationship Id="rId8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1" Type="http://schemas.openxmlformats.org/officeDocument/2006/relationships/image" Target="../media/image12.png"/><Relationship Id="rId10" Type="http://schemas.openxmlformats.org/officeDocument/2006/relationships/image" Target="../media/image45.png"/><Relationship Id="rId13" Type="http://schemas.openxmlformats.org/officeDocument/2006/relationships/image" Target="../media/image7.png"/><Relationship Id="rId12" Type="http://schemas.openxmlformats.org/officeDocument/2006/relationships/image" Target="../media/image11.png"/><Relationship Id="rId1" Type="http://schemas.openxmlformats.org/officeDocument/2006/relationships/image" Target="../media/image37.png"/><Relationship Id="rId2" Type="http://schemas.openxmlformats.org/officeDocument/2006/relationships/image" Target="../media/image35.png"/><Relationship Id="rId3" Type="http://schemas.openxmlformats.org/officeDocument/2006/relationships/image" Target="../media/image34.png"/><Relationship Id="rId4" Type="http://schemas.openxmlformats.org/officeDocument/2006/relationships/image" Target="../media/image26.png"/><Relationship Id="rId9" Type="http://schemas.openxmlformats.org/officeDocument/2006/relationships/image" Target="../media/image33.png"/><Relationship Id="rId15" Type="http://schemas.openxmlformats.org/officeDocument/2006/relationships/image" Target="../media/image21.png"/><Relationship Id="rId14" Type="http://schemas.openxmlformats.org/officeDocument/2006/relationships/image" Target="../media/image14.png"/><Relationship Id="rId17" Type="http://schemas.openxmlformats.org/officeDocument/2006/relationships/image" Target="../media/image19.png"/><Relationship Id="rId16" Type="http://schemas.openxmlformats.org/officeDocument/2006/relationships/image" Target="../media/image18.png"/><Relationship Id="rId5" Type="http://schemas.openxmlformats.org/officeDocument/2006/relationships/image" Target="../media/image5.png"/><Relationship Id="rId6" Type="http://schemas.openxmlformats.org/officeDocument/2006/relationships/image" Target="../media/image3.png"/><Relationship Id="rId18" Type="http://schemas.openxmlformats.org/officeDocument/2006/relationships/image" Target="../media/image49.png"/><Relationship Id="rId7" Type="http://schemas.openxmlformats.org/officeDocument/2006/relationships/image" Target="../media/image4.png"/><Relationship Id="rId8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1" Type="http://schemas.openxmlformats.org/officeDocument/2006/relationships/image" Target="../media/image57.png"/><Relationship Id="rId10" Type="http://schemas.openxmlformats.org/officeDocument/2006/relationships/image" Target="../media/image38.png"/><Relationship Id="rId1" Type="http://schemas.openxmlformats.org/officeDocument/2006/relationships/image" Target="../media/image24.png"/><Relationship Id="rId2" Type="http://schemas.openxmlformats.org/officeDocument/2006/relationships/image" Target="../media/image42.png"/><Relationship Id="rId3" Type="http://schemas.openxmlformats.org/officeDocument/2006/relationships/image" Target="../media/image55.png"/><Relationship Id="rId4" Type="http://schemas.openxmlformats.org/officeDocument/2006/relationships/image" Target="../media/image17.png"/><Relationship Id="rId9" Type="http://schemas.openxmlformats.org/officeDocument/2006/relationships/image" Target="../media/image48.png"/><Relationship Id="rId5" Type="http://schemas.openxmlformats.org/officeDocument/2006/relationships/image" Target="../media/image20.png"/><Relationship Id="rId6" Type="http://schemas.openxmlformats.org/officeDocument/2006/relationships/image" Target="../media/image36.png"/><Relationship Id="rId7" Type="http://schemas.openxmlformats.org/officeDocument/2006/relationships/image" Target="../media/image27.png"/><Relationship Id="rId8" Type="http://schemas.openxmlformats.org/officeDocument/2006/relationships/image" Target="../media/image50.png"/></Relationships>
</file>

<file path=xl/drawings/_rels/drawing8.xml.rels><?xml version="1.0" encoding="UTF-8" standalone="yes"?><Relationships xmlns="http://schemas.openxmlformats.org/package/2006/relationships"><Relationship Id="rId11" Type="http://schemas.openxmlformats.org/officeDocument/2006/relationships/image" Target="../media/image25.png"/><Relationship Id="rId10" Type="http://schemas.openxmlformats.org/officeDocument/2006/relationships/image" Target="../media/image30.png"/><Relationship Id="rId13" Type="http://schemas.openxmlformats.org/officeDocument/2006/relationships/image" Target="../media/image29.png"/><Relationship Id="rId12" Type="http://schemas.openxmlformats.org/officeDocument/2006/relationships/image" Target="../media/image58.png"/><Relationship Id="rId1" Type="http://schemas.openxmlformats.org/officeDocument/2006/relationships/image" Target="../media/image37.png"/><Relationship Id="rId2" Type="http://schemas.openxmlformats.org/officeDocument/2006/relationships/image" Target="../media/image35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9" Type="http://schemas.openxmlformats.org/officeDocument/2006/relationships/image" Target="../media/image21.png"/><Relationship Id="rId15" Type="http://schemas.openxmlformats.org/officeDocument/2006/relationships/image" Target="../media/image46.png"/><Relationship Id="rId14" Type="http://schemas.openxmlformats.org/officeDocument/2006/relationships/image" Target="../media/image44.png"/><Relationship Id="rId17" Type="http://schemas.openxmlformats.org/officeDocument/2006/relationships/image" Target="../media/image40.png"/><Relationship Id="rId16" Type="http://schemas.openxmlformats.org/officeDocument/2006/relationships/image" Target="../media/image41.png"/><Relationship Id="rId5" Type="http://schemas.openxmlformats.org/officeDocument/2006/relationships/image" Target="../media/image45.png"/><Relationship Id="rId6" Type="http://schemas.openxmlformats.org/officeDocument/2006/relationships/image" Target="../media/image11.png"/><Relationship Id="rId7" Type="http://schemas.openxmlformats.org/officeDocument/2006/relationships/image" Target="../media/image7.png"/><Relationship Id="rId8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0" Type="http://schemas.openxmlformats.org/officeDocument/2006/relationships/image" Target="../media/image32.jpg"/><Relationship Id="rId1" Type="http://schemas.openxmlformats.org/officeDocument/2006/relationships/image" Target="../media/image52.jpg"/><Relationship Id="rId2" Type="http://schemas.openxmlformats.org/officeDocument/2006/relationships/image" Target="../media/image31.jpg"/><Relationship Id="rId3" Type="http://schemas.openxmlformats.org/officeDocument/2006/relationships/image" Target="../media/image51.jpg"/><Relationship Id="rId4" Type="http://schemas.openxmlformats.org/officeDocument/2006/relationships/image" Target="../media/image43.jpg"/><Relationship Id="rId9" Type="http://schemas.openxmlformats.org/officeDocument/2006/relationships/image" Target="../media/image39.jpg"/><Relationship Id="rId5" Type="http://schemas.openxmlformats.org/officeDocument/2006/relationships/image" Target="../media/image47.jpg"/><Relationship Id="rId6" Type="http://schemas.openxmlformats.org/officeDocument/2006/relationships/image" Target="../media/image54.jpg"/><Relationship Id="rId7" Type="http://schemas.openxmlformats.org/officeDocument/2006/relationships/image" Target="../media/image56.jpg"/><Relationship Id="rId8" Type="http://schemas.openxmlformats.org/officeDocument/2006/relationships/image" Target="../media/image5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809625</xdr:colOff>
      <xdr:row>18</xdr:row>
      <xdr:rowOff>123825</xdr:rowOff>
    </xdr:from>
    <xdr:ext cx="5105400" cy="4867275"/>
    <xdr:pic>
      <xdr:nvPicPr>
        <xdr:cNvPr id="0" name="image37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819150</xdr:colOff>
      <xdr:row>11</xdr:row>
      <xdr:rowOff>133350</xdr:rowOff>
    </xdr:from>
    <xdr:ext cx="5076825" cy="1209675"/>
    <xdr:pic>
      <xdr:nvPicPr>
        <xdr:cNvPr id="0" name="image35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923925</xdr:colOff>
      <xdr:row>45</xdr:row>
      <xdr:rowOff>-28575</xdr:rowOff>
    </xdr:from>
    <xdr:ext cx="3638550" cy="4867275"/>
    <xdr:pic>
      <xdr:nvPicPr>
        <xdr:cNvPr id="0" name="image34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73</xdr:row>
      <xdr:rowOff>57150</xdr:rowOff>
    </xdr:from>
    <xdr:ext cx="2066925" cy="2352675"/>
    <xdr:pic>
      <xdr:nvPicPr>
        <xdr:cNvPr id="0" name="image2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90</xdr:row>
      <xdr:rowOff>9525</xdr:rowOff>
    </xdr:from>
    <xdr:ext cx="990600" cy="2981325"/>
    <xdr:pic>
      <xdr:nvPicPr>
        <xdr:cNvPr id="0" name="image5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504825</xdr:colOff>
      <xdr:row>92</xdr:row>
      <xdr:rowOff>57150</xdr:rowOff>
    </xdr:from>
    <xdr:ext cx="2905125" cy="2095500"/>
    <xdr:pic>
      <xdr:nvPicPr>
        <xdr:cNvPr id="0" name="image3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180975</xdr:colOff>
      <xdr:row>109</xdr:row>
      <xdr:rowOff>28575</xdr:rowOff>
    </xdr:from>
    <xdr:ext cx="3914775" cy="1800225"/>
    <xdr:pic>
      <xdr:nvPicPr>
        <xdr:cNvPr id="0" name="image4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118</xdr:row>
      <xdr:rowOff>200025</xdr:rowOff>
    </xdr:from>
    <xdr:ext cx="5619750" cy="3352800"/>
    <xdr:pic>
      <xdr:nvPicPr>
        <xdr:cNvPr id="0" name="image1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146</xdr:row>
      <xdr:rowOff>104775</xdr:rowOff>
    </xdr:from>
    <xdr:ext cx="4876800" cy="3743325"/>
    <xdr:pic>
      <xdr:nvPicPr>
        <xdr:cNvPr id="0" name="image33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171450</xdr:colOff>
      <xdr:row>164</xdr:row>
      <xdr:rowOff>200025</xdr:rowOff>
    </xdr:from>
    <xdr:ext cx="4876800" cy="6496050"/>
    <xdr:pic>
      <xdr:nvPicPr>
        <xdr:cNvPr id="0" name="image45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1600200</xdr:colOff>
      <xdr:row>157</xdr:row>
      <xdr:rowOff>9525</xdr:rowOff>
    </xdr:from>
    <xdr:ext cx="3829050" cy="3009900"/>
    <xdr:pic>
      <xdr:nvPicPr>
        <xdr:cNvPr id="0" name="image12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201</xdr:row>
      <xdr:rowOff>161925</xdr:rowOff>
    </xdr:from>
    <xdr:ext cx="4857750" cy="2333625"/>
    <xdr:pic>
      <xdr:nvPicPr>
        <xdr:cNvPr id="0" name="image11.png" title="Imagem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216</xdr:row>
      <xdr:rowOff>0</xdr:rowOff>
    </xdr:from>
    <xdr:ext cx="6143625" cy="1400175"/>
    <xdr:pic>
      <xdr:nvPicPr>
        <xdr:cNvPr id="0" name="image7.png" title="Imagem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225</xdr:row>
      <xdr:rowOff>0</xdr:rowOff>
    </xdr:from>
    <xdr:ext cx="4876800" cy="3324225"/>
    <xdr:pic>
      <xdr:nvPicPr>
        <xdr:cNvPr id="0" name="image14.png" title="Imagem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428625</xdr:colOff>
      <xdr:row>264</xdr:row>
      <xdr:rowOff>161925</xdr:rowOff>
    </xdr:from>
    <xdr:ext cx="2352675" cy="3324225"/>
    <xdr:pic>
      <xdr:nvPicPr>
        <xdr:cNvPr id="0" name="image2.png" title="Imagem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247</xdr:row>
      <xdr:rowOff>200025</xdr:rowOff>
    </xdr:from>
    <xdr:ext cx="3971925" cy="3143250"/>
    <xdr:pic>
      <xdr:nvPicPr>
        <xdr:cNvPr id="0" name="image21.png" title="Imagem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125</xdr:row>
      <xdr:rowOff>171450</xdr:rowOff>
    </xdr:from>
    <xdr:ext cx="2428875" cy="533400"/>
    <xdr:pic>
      <xdr:nvPicPr>
        <xdr:cNvPr id="0" name="image10.png" title="Imagem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129</xdr:row>
      <xdr:rowOff>200025</xdr:rowOff>
    </xdr:from>
    <xdr:ext cx="8829675" cy="2771775"/>
    <xdr:pic>
      <xdr:nvPicPr>
        <xdr:cNvPr id="0" name="image8.png" title="Imagem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809625</xdr:colOff>
      <xdr:row>18</xdr:row>
      <xdr:rowOff>123825</xdr:rowOff>
    </xdr:from>
    <xdr:ext cx="5105400" cy="4867275"/>
    <xdr:pic>
      <xdr:nvPicPr>
        <xdr:cNvPr id="0" name="image37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819150</xdr:colOff>
      <xdr:row>11</xdr:row>
      <xdr:rowOff>133350</xdr:rowOff>
    </xdr:from>
    <xdr:ext cx="5076825" cy="1209675"/>
    <xdr:pic>
      <xdr:nvPicPr>
        <xdr:cNvPr id="0" name="image35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44</xdr:row>
      <xdr:rowOff>-209550</xdr:rowOff>
    </xdr:from>
    <xdr:ext cx="5905500" cy="7896225"/>
    <xdr:pic>
      <xdr:nvPicPr>
        <xdr:cNvPr id="0" name="image34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73</xdr:row>
      <xdr:rowOff>57150</xdr:rowOff>
    </xdr:from>
    <xdr:ext cx="2066925" cy="2352675"/>
    <xdr:pic>
      <xdr:nvPicPr>
        <xdr:cNvPr id="0" name="image2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90</xdr:row>
      <xdr:rowOff>9525</xdr:rowOff>
    </xdr:from>
    <xdr:ext cx="990600" cy="2981325"/>
    <xdr:pic>
      <xdr:nvPicPr>
        <xdr:cNvPr id="0" name="image5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504825</xdr:colOff>
      <xdr:row>92</xdr:row>
      <xdr:rowOff>57150</xdr:rowOff>
    </xdr:from>
    <xdr:ext cx="2905125" cy="2095500"/>
    <xdr:pic>
      <xdr:nvPicPr>
        <xdr:cNvPr id="0" name="image3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180975</xdr:colOff>
      <xdr:row>109</xdr:row>
      <xdr:rowOff>28575</xdr:rowOff>
    </xdr:from>
    <xdr:ext cx="3914775" cy="1800225"/>
    <xdr:pic>
      <xdr:nvPicPr>
        <xdr:cNvPr id="0" name="image4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118</xdr:row>
      <xdr:rowOff>200025</xdr:rowOff>
    </xdr:from>
    <xdr:ext cx="5619750" cy="3352800"/>
    <xdr:pic>
      <xdr:nvPicPr>
        <xdr:cNvPr id="0" name="image1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146</xdr:row>
      <xdr:rowOff>104775</xdr:rowOff>
    </xdr:from>
    <xdr:ext cx="4876800" cy="3743325"/>
    <xdr:pic>
      <xdr:nvPicPr>
        <xdr:cNvPr id="0" name="image33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171450</xdr:colOff>
      <xdr:row>164</xdr:row>
      <xdr:rowOff>200025</xdr:rowOff>
    </xdr:from>
    <xdr:ext cx="4876800" cy="6496050"/>
    <xdr:pic>
      <xdr:nvPicPr>
        <xdr:cNvPr id="0" name="image45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1600200</xdr:colOff>
      <xdr:row>157</xdr:row>
      <xdr:rowOff>9525</xdr:rowOff>
    </xdr:from>
    <xdr:ext cx="3829050" cy="3009900"/>
    <xdr:pic>
      <xdr:nvPicPr>
        <xdr:cNvPr id="0" name="image12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201</xdr:row>
      <xdr:rowOff>161925</xdr:rowOff>
    </xdr:from>
    <xdr:ext cx="4857750" cy="2333625"/>
    <xdr:pic>
      <xdr:nvPicPr>
        <xdr:cNvPr id="0" name="image11.png" title="Imagem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216</xdr:row>
      <xdr:rowOff>0</xdr:rowOff>
    </xdr:from>
    <xdr:ext cx="6143625" cy="1400175"/>
    <xdr:pic>
      <xdr:nvPicPr>
        <xdr:cNvPr id="0" name="image7.png" title="Imagem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225</xdr:row>
      <xdr:rowOff>0</xdr:rowOff>
    </xdr:from>
    <xdr:ext cx="4876800" cy="3324225"/>
    <xdr:pic>
      <xdr:nvPicPr>
        <xdr:cNvPr id="0" name="image14.png" title="Imagem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247</xdr:row>
      <xdr:rowOff>200025</xdr:rowOff>
    </xdr:from>
    <xdr:ext cx="3971925" cy="3143250"/>
    <xdr:pic>
      <xdr:nvPicPr>
        <xdr:cNvPr id="0" name="image21.png" title="Imagem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504825</xdr:colOff>
      <xdr:row>264</xdr:row>
      <xdr:rowOff>57150</xdr:rowOff>
    </xdr:from>
    <xdr:ext cx="3971925" cy="3590925"/>
    <xdr:pic>
      <xdr:nvPicPr>
        <xdr:cNvPr id="0" name="image28.png" title="Imagem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895350</xdr:colOff>
      <xdr:row>125</xdr:row>
      <xdr:rowOff>171450</xdr:rowOff>
    </xdr:from>
    <xdr:ext cx="2266950" cy="628650"/>
    <xdr:pic>
      <xdr:nvPicPr>
        <xdr:cNvPr id="0" name="image13.png" title="Imagem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131</xdr:row>
      <xdr:rowOff>9525</xdr:rowOff>
    </xdr:from>
    <xdr:ext cx="7705725" cy="2428875"/>
    <xdr:pic>
      <xdr:nvPicPr>
        <xdr:cNvPr id="0" name="image6.png" title="Imagem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714375</xdr:colOff>
      <xdr:row>18</xdr:row>
      <xdr:rowOff>57150</xdr:rowOff>
    </xdr:from>
    <xdr:ext cx="5105400" cy="4867275"/>
    <xdr:pic>
      <xdr:nvPicPr>
        <xdr:cNvPr id="0" name="image37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333375</xdr:colOff>
      <xdr:row>11</xdr:row>
      <xdr:rowOff>180975</xdr:rowOff>
    </xdr:from>
    <xdr:ext cx="5076825" cy="1209675"/>
    <xdr:pic>
      <xdr:nvPicPr>
        <xdr:cNvPr id="0" name="image35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44</xdr:row>
      <xdr:rowOff>-209550</xdr:rowOff>
    </xdr:from>
    <xdr:ext cx="5905500" cy="7896225"/>
    <xdr:pic>
      <xdr:nvPicPr>
        <xdr:cNvPr id="0" name="image34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73</xdr:row>
      <xdr:rowOff>57150</xdr:rowOff>
    </xdr:from>
    <xdr:ext cx="2066925" cy="2352675"/>
    <xdr:pic>
      <xdr:nvPicPr>
        <xdr:cNvPr id="0" name="image2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90</xdr:row>
      <xdr:rowOff>9525</xdr:rowOff>
    </xdr:from>
    <xdr:ext cx="990600" cy="2981325"/>
    <xdr:pic>
      <xdr:nvPicPr>
        <xdr:cNvPr id="0" name="image5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504825</xdr:colOff>
      <xdr:row>92</xdr:row>
      <xdr:rowOff>57150</xdr:rowOff>
    </xdr:from>
    <xdr:ext cx="2905125" cy="2095500"/>
    <xdr:pic>
      <xdr:nvPicPr>
        <xdr:cNvPr id="0" name="image3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762000</xdr:colOff>
      <xdr:row>109</xdr:row>
      <xdr:rowOff>28575</xdr:rowOff>
    </xdr:from>
    <xdr:ext cx="3914775" cy="1800225"/>
    <xdr:pic>
      <xdr:nvPicPr>
        <xdr:cNvPr id="0" name="image4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118</xdr:row>
      <xdr:rowOff>200025</xdr:rowOff>
    </xdr:from>
    <xdr:ext cx="5619750" cy="3352800"/>
    <xdr:pic>
      <xdr:nvPicPr>
        <xdr:cNvPr id="0" name="image1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146</xdr:row>
      <xdr:rowOff>104775</xdr:rowOff>
    </xdr:from>
    <xdr:ext cx="4876800" cy="3743325"/>
    <xdr:pic>
      <xdr:nvPicPr>
        <xdr:cNvPr id="0" name="image33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171450</xdr:colOff>
      <xdr:row>164</xdr:row>
      <xdr:rowOff>200025</xdr:rowOff>
    </xdr:from>
    <xdr:ext cx="4876800" cy="6496050"/>
    <xdr:pic>
      <xdr:nvPicPr>
        <xdr:cNvPr id="0" name="image45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1600200</xdr:colOff>
      <xdr:row>157</xdr:row>
      <xdr:rowOff>9525</xdr:rowOff>
    </xdr:from>
    <xdr:ext cx="3829050" cy="3009900"/>
    <xdr:pic>
      <xdr:nvPicPr>
        <xdr:cNvPr id="0" name="image12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201</xdr:row>
      <xdr:rowOff>161925</xdr:rowOff>
    </xdr:from>
    <xdr:ext cx="4857750" cy="2333625"/>
    <xdr:pic>
      <xdr:nvPicPr>
        <xdr:cNvPr id="0" name="image11.png" title="Imagem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216</xdr:row>
      <xdr:rowOff>0</xdr:rowOff>
    </xdr:from>
    <xdr:ext cx="6143625" cy="1400175"/>
    <xdr:pic>
      <xdr:nvPicPr>
        <xdr:cNvPr id="0" name="image7.png" title="Imagem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225</xdr:row>
      <xdr:rowOff>0</xdr:rowOff>
    </xdr:from>
    <xdr:ext cx="4876800" cy="3324225"/>
    <xdr:pic>
      <xdr:nvPicPr>
        <xdr:cNvPr id="0" name="image14.png" title="Imagem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247</xdr:row>
      <xdr:rowOff>200025</xdr:rowOff>
    </xdr:from>
    <xdr:ext cx="3971925" cy="3143250"/>
    <xdr:pic>
      <xdr:nvPicPr>
        <xdr:cNvPr id="0" name="image21.png" title="Imagem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264</xdr:row>
      <xdr:rowOff>200025</xdr:rowOff>
    </xdr:from>
    <xdr:ext cx="2419350" cy="3581400"/>
    <xdr:pic>
      <xdr:nvPicPr>
        <xdr:cNvPr id="0" name="image16.png" title="Imagem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130</xdr:row>
      <xdr:rowOff>19050</xdr:rowOff>
    </xdr:from>
    <xdr:ext cx="7972425" cy="2524125"/>
    <xdr:pic>
      <xdr:nvPicPr>
        <xdr:cNvPr id="0" name="image15.png" title="Imagem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714375</xdr:colOff>
      <xdr:row>18</xdr:row>
      <xdr:rowOff>57150</xdr:rowOff>
    </xdr:from>
    <xdr:ext cx="5105400" cy="4867275"/>
    <xdr:pic>
      <xdr:nvPicPr>
        <xdr:cNvPr id="0" name="image37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333375</xdr:colOff>
      <xdr:row>11</xdr:row>
      <xdr:rowOff>180975</xdr:rowOff>
    </xdr:from>
    <xdr:ext cx="5076825" cy="1209675"/>
    <xdr:pic>
      <xdr:nvPicPr>
        <xdr:cNvPr id="0" name="image35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44</xdr:row>
      <xdr:rowOff>-209550</xdr:rowOff>
    </xdr:from>
    <xdr:ext cx="5905500" cy="7896225"/>
    <xdr:pic>
      <xdr:nvPicPr>
        <xdr:cNvPr id="0" name="image34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73</xdr:row>
      <xdr:rowOff>57150</xdr:rowOff>
    </xdr:from>
    <xdr:ext cx="2066925" cy="2352675"/>
    <xdr:pic>
      <xdr:nvPicPr>
        <xdr:cNvPr id="0" name="image2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90</xdr:row>
      <xdr:rowOff>9525</xdr:rowOff>
    </xdr:from>
    <xdr:ext cx="990600" cy="2981325"/>
    <xdr:pic>
      <xdr:nvPicPr>
        <xdr:cNvPr id="0" name="image5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504825</xdr:colOff>
      <xdr:row>92</xdr:row>
      <xdr:rowOff>57150</xdr:rowOff>
    </xdr:from>
    <xdr:ext cx="2905125" cy="2095500"/>
    <xdr:pic>
      <xdr:nvPicPr>
        <xdr:cNvPr id="0" name="image3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762000</xdr:colOff>
      <xdr:row>109</xdr:row>
      <xdr:rowOff>28575</xdr:rowOff>
    </xdr:from>
    <xdr:ext cx="3914775" cy="1800225"/>
    <xdr:pic>
      <xdr:nvPicPr>
        <xdr:cNvPr id="0" name="image4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118</xdr:row>
      <xdr:rowOff>200025</xdr:rowOff>
    </xdr:from>
    <xdr:ext cx="5619750" cy="3352800"/>
    <xdr:pic>
      <xdr:nvPicPr>
        <xdr:cNvPr id="0" name="image1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146</xdr:row>
      <xdr:rowOff>104775</xdr:rowOff>
    </xdr:from>
    <xdr:ext cx="4876800" cy="3743325"/>
    <xdr:pic>
      <xdr:nvPicPr>
        <xdr:cNvPr id="0" name="image33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171450</xdr:colOff>
      <xdr:row>164</xdr:row>
      <xdr:rowOff>200025</xdr:rowOff>
    </xdr:from>
    <xdr:ext cx="4876800" cy="6496050"/>
    <xdr:pic>
      <xdr:nvPicPr>
        <xdr:cNvPr id="0" name="image45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1600200</xdr:colOff>
      <xdr:row>157</xdr:row>
      <xdr:rowOff>9525</xdr:rowOff>
    </xdr:from>
    <xdr:ext cx="3829050" cy="3009900"/>
    <xdr:pic>
      <xdr:nvPicPr>
        <xdr:cNvPr id="0" name="image12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201</xdr:row>
      <xdr:rowOff>161925</xdr:rowOff>
    </xdr:from>
    <xdr:ext cx="4857750" cy="2333625"/>
    <xdr:pic>
      <xdr:nvPicPr>
        <xdr:cNvPr id="0" name="image11.png" title="Imagem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216</xdr:row>
      <xdr:rowOff>0</xdr:rowOff>
    </xdr:from>
    <xdr:ext cx="6143625" cy="1400175"/>
    <xdr:pic>
      <xdr:nvPicPr>
        <xdr:cNvPr id="0" name="image7.png" title="Imagem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225</xdr:row>
      <xdr:rowOff>0</xdr:rowOff>
    </xdr:from>
    <xdr:ext cx="4876800" cy="3324225"/>
    <xdr:pic>
      <xdr:nvPicPr>
        <xdr:cNvPr id="0" name="image14.png" title="Imagem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247</xdr:row>
      <xdr:rowOff>200025</xdr:rowOff>
    </xdr:from>
    <xdr:ext cx="3971925" cy="3143250"/>
    <xdr:pic>
      <xdr:nvPicPr>
        <xdr:cNvPr id="0" name="image21.png" title="Imagem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638175</xdr:colOff>
      <xdr:row>262</xdr:row>
      <xdr:rowOff>57150</xdr:rowOff>
    </xdr:from>
    <xdr:ext cx="3752850" cy="4067175"/>
    <xdr:pic>
      <xdr:nvPicPr>
        <xdr:cNvPr id="0" name="image9.png" title="Imagem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132</xdr:row>
      <xdr:rowOff>171450</xdr:rowOff>
    </xdr:from>
    <xdr:ext cx="6848475" cy="2162175"/>
    <xdr:pic>
      <xdr:nvPicPr>
        <xdr:cNvPr id="0" name="image23.png" title="Imagem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126</xdr:row>
      <xdr:rowOff>95250</xdr:rowOff>
    </xdr:from>
    <xdr:ext cx="2000250" cy="485775"/>
    <xdr:pic>
      <xdr:nvPicPr>
        <xdr:cNvPr id="0" name="image22.png" title="Imagem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809625</xdr:colOff>
      <xdr:row>18</xdr:row>
      <xdr:rowOff>123825</xdr:rowOff>
    </xdr:from>
    <xdr:ext cx="5105400" cy="4867275"/>
    <xdr:pic>
      <xdr:nvPicPr>
        <xdr:cNvPr id="0" name="image37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819150</xdr:colOff>
      <xdr:row>11</xdr:row>
      <xdr:rowOff>133350</xdr:rowOff>
    </xdr:from>
    <xdr:ext cx="5076825" cy="1209675"/>
    <xdr:pic>
      <xdr:nvPicPr>
        <xdr:cNvPr id="0" name="image35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923925</xdr:colOff>
      <xdr:row>44</xdr:row>
      <xdr:rowOff>171450</xdr:rowOff>
    </xdr:from>
    <xdr:ext cx="5153025" cy="6886575"/>
    <xdr:pic>
      <xdr:nvPicPr>
        <xdr:cNvPr id="0" name="image34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73</xdr:row>
      <xdr:rowOff>57150</xdr:rowOff>
    </xdr:from>
    <xdr:ext cx="2066925" cy="2352675"/>
    <xdr:pic>
      <xdr:nvPicPr>
        <xdr:cNvPr id="0" name="image2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90</xdr:row>
      <xdr:rowOff>9525</xdr:rowOff>
    </xdr:from>
    <xdr:ext cx="990600" cy="2981325"/>
    <xdr:pic>
      <xdr:nvPicPr>
        <xdr:cNvPr id="0" name="image5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504825</xdr:colOff>
      <xdr:row>92</xdr:row>
      <xdr:rowOff>57150</xdr:rowOff>
    </xdr:from>
    <xdr:ext cx="2905125" cy="2095500"/>
    <xdr:pic>
      <xdr:nvPicPr>
        <xdr:cNvPr id="0" name="image3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180975</xdr:colOff>
      <xdr:row>109</xdr:row>
      <xdr:rowOff>28575</xdr:rowOff>
    </xdr:from>
    <xdr:ext cx="3914775" cy="1800225"/>
    <xdr:pic>
      <xdr:nvPicPr>
        <xdr:cNvPr id="0" name="image4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118</xdr:row>
      <xdr:rowOff>200025</xdr:rowOff>
    </xdr:from>
    <xdr:ext cx="5619750" cy="3352800"/>
    <xdr:pic>
      <xdr:nvPicPr>
        <xdr:cNvPr id="0" name="image1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146</xdr:row>
      <xdr:rowOff>104775</xdr:rowOff>
    </xdr:from>
    <xdr:ext cx="4876800" cy="3743325"/>
    <xdr:pic>
      <xdr:nvPicPr>
        <xdr:cNvPr id="0" name="image33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171450</xdr:colOff>
      <xdr:row>164</xdr:row>
      <xdr:rowOff>200025</xdr:rowOff>
    </xdr:from>
    <xdr:ext cx="4876800" cy="6496050"/>
    <xdr:pic>
      <xdr:nvPicPr>
        <xdr:cNvPr id="0" name="image45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1600200</xdr:colOff>
      <xdr:row>157</xdr:row>
      <xdr:rowOff>9525</xdr:rowOff>
    </xdr:from>
    <xdr:ext cx="3829050" cy="3009900"/>
    <xdr:pic>
      <xdr:nvPicPr>
        <xdr:cNvPr id="0" name="image12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201</xdr:row>
      <xdr:rowOff>161925</xdr:rowOff>
    </xdr:from>
    <xdr:ext cx="4857750" cy="2333625"/>
    <xdr:pic>
      <xdr:nvPicPr>
        <xdr:cNvPr id="0" name="image11.png" title="Imagem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819150</xdr:colOff>
      <xdr:row>215</xdr:row>
      <xdr:rowOff>161925</xdr:rowOff>
    </xdr:from>
    <xdr:ext cx="6143625" cy="1400175"/>
    <xdr:pic>
      <xdr:nvPicPr>
        <xdr:cNvPr id="0" name="image7.png" title="Imagem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225</xdr:row>
      <xdr:rowOff>0</xdr:rowOff>
    </xdr:from>
    <xdr:ext cx="4876800" cy="3324225"/>
    <xdr:pic>
      <xdr:nvPicPr>
        <xdr:cNvPr id="0" name="image14.png" title="Imagem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247</xdr:row>
      <xdr:rowOff>200025</xdr:rowOff>
    </xdr:from>
    <xdr:ext cx="3971925" cy="3143250"/>
    <xdr:pic>
      <xdr:nvPicPr>
        <xdr:cNvPr id="0" name="image21.png" title="Imagem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130</xdr:row>
      <xdr:rowOff>19050</xdr:rowOff>
    </xdr:from>
    <xdr:ext cx="8486775" cy="2705100"/>
    <xdr:pic>
      <xdr:nvPicPr>
        <xdr:cNvPr id="0" name="image18.png" title="Imagem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133350</xdr:colOff>
      <xdr:row>270</xdr:row>
      <xdr:rowOff>19050</xdr:rowOff>
    </xdr:from>
    <xdr:ext cx="5934075" cy="2333625"/>
    <xdr:pic>
      <xdr:nvPicPr>
        <xdr:cNvPr id="0" name="image19.png" title="Imagem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126</xdr:row>
      <xdr:rowOff>0</xdr:rowOff>
    </xdr:from>
    <xdr:ext cx="2085975" cy="438150"/>
    <xdr:pic>
      <xdr:nvPicPr>
        <xdr:cNvPr id="0" name="image49.png" title="Imagem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1076325</xdr:colOff>
      <xdr:row>6</xdr:row>
      <xdr:rowOff>152400</xdr:rowOff>
    </xdr:from>
    <xdr:ext cx="4876800" cy="4343400"/>
    <xdr:pic>
      <xdr:nvPicPr>
        <xdr:cNvPr id="0" name="image24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400050</xdr:colOff>
      <xdr:row>76</xdr:row>
      <xdr:rowOff>114300</xdr:rowOff>
    </xdr:from>
    <xdr:ext cx="4876800" cy="2828925"/>
    <xdr:pic>
      <xdr:nvPicPr>
        <xdr:cNvPr id="0" name="image4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79</xdr:row>
      <xdr:rowOff>152400</xdr:rowOff>
    </xdr:from>
    <xdr:ext cx="1704975" cy="876300"/>
    <xdr:pic>
      <xdr:nvPicPr>
        <xdr:cNvPr id="0" name="image55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38100</xdr:rowOff>
    </xdr:from>
    <xdr:ext cx="8372475" cy="609600"/>
    <xdr:pic>
      <xdr:nvPicPr>
        <xdr:cNvPr id="0" name="image17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38100</xdr:rowOff>
    </xdr:from>
    <xdr:ext cx="8372475" cy="2028825"/>
    <xdr:pic>
      <xdr:nvPicPr>
        <xdr:cNvPr id="0" name="image20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504825</xdr:colOff>
      <xdr:row>71</xdr:row>
      <xdr:rowOff>0</xdr:rowOff>
    </xdr:from>
    <xdr:ext cx="3943350" cy="4562475"/>
    <xdr:pic>
      <xdr:nvPicPr>
        <xdr:cNvPr id="0" name="image36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619125</xdr:colOff>
      <xdr:row>96</xdr:row>
      <xdr:rowOff>28575</xdr:rowOff>
    </xdr:from>
    <xdr:ext cx="8372475" cy="609600"/>
    <xdr:pic>
      <xdr:nvPicPr>
        <xdr:cNvPr id="0" name="image17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619125</xdr:colOff>
      <xdr:row>99</xdr:row>
      <xdr:rowOff>28575</xdr:rowOff>
    </xdr:from>
    <xdr:ext cx="8372475" cy="2028825"/>
    <xdr:pic>
      <xdr:nvPicPr>
        <xdr:cNvPr id="0" name="image20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828675</xdr:colOff>
      <xdr:row>96</xdr:row>
      <xdr:rowOff>104775</xdr:rowOff>
    </xdr:from>
    <xdr:ext cx="4876800" cy="2552700"/>
    <xdr:pic>
      <xdr:nvPicPr>
        <xdr:cNvPr id="0" name="image27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111</xdr:row>
      <xdr:rowOff>200025</xdr:rowOff>
    </xdr:from>
    <xdr:ext cx="5991225" cy="2209800"/>
    <xdr:pic>
      <xdr:nvPicPr>
        <xdr:cNvPr id="0" name="image50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132</xdr:row>
      <xdr:rowOff>171450</xdr:rowOff>
    </xdr:from>
    <xdr:ext cx="3762375" cy="3133725"/>
    <xdr:pic>
      <xdr:nvPicPr>
        <xdr:cNvPr id="0" name="image48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133</xdr:row>
      <xdr:rowOff>171450</xdr:rowOff>
    </xdr:from>
    <xdr:ext cx="3028950" cy="2552700"/>
    <xdr:pic>
      <xdr:nvPicPr>
        <xdr:cNvPr id="0" name="image38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619125</xdr:colOff>
      <xdr:row>128</xdr:row>
      <xdr:rowOff>95250</xdr:rowOff>
    </xdr:from>
    <xdr:ext cx="6276975" cy="704850"/>
    <xdr:pic>
      <xdr:nvPicPr>
        <xdr:cNvPr id="0" name="image57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19</xdr:row>
      <xdr:rowOff>47625</xdr:rowOff>
    </xdr:from>
    <xdr:ext cx="5105400" cy="4867275"/>
    <xdr:pic>
      <xdr:nvPicPr>
        <xdr:cNvPr id="0" name="image37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9</xdr:row>
      <xdr:rowOff>85725</xdr:rowOff>
    </xdr:from>
    <xdr:ext cx="5076825" cy="1209675"/>
    <xdr:pic>
      <xdr:nvPicPr>
        <xdr:cNvPr id="0" name="image35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180975</xdr:colOff>
      <xdr:row>89</xdr:row>
      <xdr:rowOff>28575</xdr:rowOff>
    </xdr:from>
    <xdr:ext cx="3914775" cy="1800225"/>
    <xdr:pic>
      <xdr:nvPicPr>
        <xdr:cNvPr id="0" name="image4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923925</xdr:colOff>
      <xdr:row>99</xdr:row>
      <xdr:rowOff>28575</xdr:rowOff>
    </xdr:from>
    <xdr:ext cx="5619750" cy="3352800"/>
    <xdr:pic>
      <xdr:nvPicPr>
        <xdr:cNvPr id="0" name="image1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390525</xdr:colOff>
      <xdr:row>126</xdr:row>
      <xdr:rowOff>38100</xdr:rowOff>
    </xdr:from>
    <xdr:ext cx="4876800" cy="6496050"/>
    <xdr:pic>
      <xdr:nvPicPr>
        <xdr:cNvPr id="0" name="image45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156</xdr:row>
      <xdr:rowOff>57150</xdr:rowOff>
    </xdr:from>
    <xdr:ext cx="4857750" cy="2333625"/>
    <xdr:pic>
      <xdr:nvPicPr>
        <xdr:cNvPr id="0" name="image11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171</xdr:row>
      <xdr:rowOff>161925</xdr:rowOff>
    </xdr:from>
    <xdr:ext cx="6143625" cy="1400175"/>
    <xdr:pic>
      <xdr:nvPicPr>
        <xdr:cNvPr id="0" name="image7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3143250</xdr:colOff>
      <xdr:row>180</xdr:row>
      <xdr:rowOff>142875</xdr:rowOff>
    </xdr:from>
    <xdr:ext cx="4876800" cy="3324225"/>
    <xdr:pic>
      <xdr:nvPicPr>
        <xdr:cNvPr id="0" name="image14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202</xdr:row>
      <xdr:rowOff>200025</xdr:rowOff>
    </xdr:from>
    <xdr:ext cx="3971925" cy="3143250"/>
    <xdr:pic>
      <xdr:nvPicPr>
        <xdr:cNvPr id="0" name="image21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3143250</xdr:colOff>
      <xdr:row>54</xdr:row>
      <xdr:rowOff>38100</xdr:rowOff>
    </xdr:from>
    <xdr:ext cx="5772150" cy="3171825"/>
    <xdr:pic>
      <xdr:nvPicPr>
        <xdr:cNvPr id="0" name="image30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3143250</xdr:colOff>
      <xdr:row>52</xdr:row>
      <xdr:rowOff>200025</xdr:rowOff>
    </xdr:from>
    <xdr:ext cx="5772150" cy="238125"/>
    <xdr:pic>
      <xdr:nvPicPr>
        <xdr:cNvPr id="0" name="image25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3143250</xdr:colOff>
      <xdr:row>72</xdr:row>
      <xdr:rowOff>9525</xdr:rowOff>
    </xdr:from>
    <xdr:ext cx="1590675" cy="2695575"/>
    <xdr:pic>
      <xdr:nvPicPr>
        <xdr:cNvPr id="0" name="image58.png" title="Imagem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74</xdr:row>
      <xdr:rowOff>28575</xdr:rowOff>
    </xdr:from>
    <xdr:ext cx="2495550" cy="2276475"/>
    <xdr:pic>
      <xdr:nvPicPr>
        <xdr:cNvPr id="0" name="image29.png" title="Imagem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1123950</xdr:colOff>
      <xdr:row>108</xdr:row>
      <xdr:rowOff>142875</xdr:rowOff>
    </xdr:from>
    <xdr:ext cx="5286375" cy="2876550"/>
    <xdr:pic>
      <xdr:nvPicPr>
        <xdr:cNvPr id="0" name="image44.png" title="Imagem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771525</xdr:colOff>
      <xdr:row>125</xdr:row>
      <xdr:rowOff>209550</xdr:rowOff>
    </xdr:from>
    <xdr:ext cx="4867275" cy="3743325"/>
    <xdr:pic>
      <xdr:nvPicPr>
        <xdr:cNvPr id="0" name="image46.png" title="Imagem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1333500</xdr:colOff>
      <xdr:row>136</xdr:row>
      <xdr:rowOff>142875</xdr:rowOff>
    </xdr:from>
    <xdr:ext cx="2657475" cy="2257425"/>
    <xdr:pic>
      <xdr:nvPicPr>
        <xdr:cNvPr id="0" name="image41.png" title="Imagem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15</xdr:row>
      <xdr:rowOff>180975</xdr:rowOff>
    </xdr:from>
    <xdr:ext cx="3762375" cy="6743700"/>
    <xdr:pic>
      <xdr:nvPicPr>
        <xdr:cNvPr id="0" name="image40.png" title="Imagem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4953000" cy="1000125"/>
    <xdr:pic>
      <xdr:nvPicPr>
        <xdr:cNvPr id="0" name="image5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228600</xdr:rowOff>
    </xdr:from>
    <xdr:ext cx="4762500" cy="3000375"/>
    <xdr:pic>
      <xdr:nvPicPr>
        <xdr:cNvPr id="0" name="image31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1600200</xdr:colOff>
      <xdr:row>31</xdr:row>
      <xdr:rowOff>228600</xdr:rowOff>
    </xdr:from>
    <xdr:ext cx="5810250" cy="2886075"/>
    <xdr:pic>
      <xdr:nvPicPr>
        <xdr:cNvPr id="0" name="image51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</xdr:row>
      <xdr:rowOff>0</xdr:rowOff>
    </xdr:from>
    <xdr:ext cx="5715000" cy="2428875"/>
    <xdr:pic>
      <xdr:nvPicPr>
        <xdr:cNvPr id="0" name="image4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86</xdr:row>
      <xdr:rowOff>0</xdr:rowOff>
    </xdr:from>
    <xdr:ext cx="6858000" cy="2190750"/>
    <xdr:pic>
      <xdr:nvPicPr>
        <xdr:cNvPr id="0" name="image4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107</xdr:row>
      <xdr:rowOff>0</xdr:rowOff>
    </xdr:from>
    <xdr:ext cx="9334500" cy="2047875"/>
    <xdr:pic>
      <xdr:nvPicPr>
        <xdr:cNvPr id="0" name="image5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124</xdr:row>
      <xdr:rowOff>0</xdr:rowOff>
    </xdr:from>
    <xdr:ext cx="6191250" cy="2143125"/>
    <xdr:pic>
      <xdr:nvPicPr>
        <xdr:cNvPr id="0" name="image5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136</xdr:row>
      <xdr:rowOff>0</xdr:rowOff>
    </xdr:from>
    <xdr:ext cx="4953000" cy="1619250"/>
    <xdr:pic>
      <xdr:nvPicPr>
        <xdr:cNvPr id="0" name="image5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150</xdr:row>
      <xdr:rowOff>0</xdr:rowOff>
    </xdr:from>
    <xdr:ext cx="4000500" cy="1238250"/>
    <xdr:pic>
      <xdr:nvPicPr>
        <xdr:cNvPr id="0" name="image3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165</xdr:row>
      <xdr:rowOff>0</xdr:rowOff>
    </xdr:from>
    <xdr:ext cx="4762500" cy="3190875"/>
    <xdr:pic>
      <xdr:nvPicPr>
        <xdr:cNvPr id="0" name="image32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comercialex.com.br/produtos/iluminacao/luminaria-convencional/luminaria-a-prova-de-explosao-arandela/" TargetMode="External"/><Relationship Id="rId2" Type="http://schemas.openxmlformats.org/officeDocument/2006/relationships/hyperlink" Target="https://www.eletricasantaefigenia.com.br/lampada-mista-500w-/prod-10645297/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37.13"/>
    <col customWidth="1" min="4" max="4" width="13.88"/>
    <col customWidth="1" min="5" max="5" width="18.38"/>
    <col customWidth="1" min="8" max="8" width="14.0"/>
    <col customWidth="1" min="10" max="10" width="14.0"/>
  </cols>
  <sheetData>
    <row r="2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1" t="s">
        <v>10</v>
      </c>
    </row>
    <row r="3">
      <c r="A3" s="4" t="s">
        <v>11</v>
      </c>
      <c r="B3" s="4" t="s">
        <v>12</v>
      </c>
      <c r="C3" s="5">
        <v>0.8</v>
      </c>
      <c r="D3" s="5">
        <v>15.92</v>
      </c>
      <c r="E3" s="5">
        <v>9.6</v>
      </c>
      <c r="F3" s="6">
        <f t="shared" ref="F3:F14" si="1">E3*D3</f>
        <v>152.832</v>
      </c>
      <c r="G3" s="6">
        <f t="shared" ref="G3:G4" si="2">(2*E3)+(2*D3)</f>
        <v>51.04</v>
      </c>
      <c r="H3" s="5" t="s">
        <v>14</v>
      </c>
      <c r="I3" s="5" t="s">
        <v>15</v>
      </c>
      <c r="J3" s="5" t="s">
        <v>16</v>
      </c>
      <c r="K3" s="5">
        <v>7.0</v>
      </c>
    </row>
    <row r="4">
      <c r="A4" s="4" t="s">
        <v>11</v>
      </c>
      <c r="B4" s="4" t="s">
        <v>17</v>
      </c>
      <c r="C4" s="5">
        <v>0.8</v>
      </c>
      <c r="D4" s="5">
        <v>9.28</v>
      </c>
      <c r="E4" s="5">
        <v>9.6</v>
      </c>
      <c r="F4" s="6">
        <f t="shared" si="1"/>
        <v>89.088</v>
      </c>
      <c r="G4" s="6">
        <f t="shared" si="2"/>
        <v>37.76</v>
      </c>
      <c r="H4" s="5" t="s">
        <v>14</v>
      </c>
      <c r="I4" s="5" t="s">
        <v>15</v>
      </c>
      <c r="J4" s="5" t="s">
        <v>16</v>
      </c>
      <c r="K4" s="5">
        <v>7.0</v>
      </c>
    </row>
    <row r="5">
      <c r="A5" s="4" t="s">
        <v>11</v>
      </c>
      <c r="B5" s="4" t="s">
        <v>20</v>
      </c>
      <c r="C5" s="5">
        <v>0.8</v>
      </c>
      <c r="D5" s="5">
        <v>8.12</v>
      </c>
      <c r="E5" s="5">
        <v>6.0</v>
      </c>
      <c r="F5" s="6">
        <f t="shared" si="1"/>
        <v>48.72</v>
      </c>
      <c r="G5" s="6">
        <f t="shared" ref="G5:G6" si="3">2*E5+2*D5</f>
        <v>28.24</v>
      </c>
      <c r="H5" s="5" t="s">
        <v>14</v>
      </c>
      <c r="I5" s="5" t="s">
        <v>15</v>
      </c>
      <c r="J5" s="5" t="s">
        <v>16</v>
      </c>
      <c r="K5" s="5">
        <v>7.0</v>
      </c>
    </row>
    <row r="6">
      <c r="A6" s="4" t="s">
        <v>11</v>
      </c>
      <c r="B6" s="4" t="s">
        <v>22</v>
      </c>
      <c r="C6" s="5">
        <v>0.8</v>
      </c>
      <c r="D6" s="5">
        <v>11.18</v>
      </c>
      <c r="E6" s="5">
        <v>9.6</v>
      </c>
      <c r="F6" s="6">
        <f t="shared" si="1"/>
        <v>107.328</v>
      </c>
      <c r="G6" s="6">
        <f t="shared" si="3"/>
        <v>41.56</v>
      </c>
      <c r="H6" s="5" t="s">
        <v>14</v>
      </c>
      <c r="I6" s="5" t="s">
        <v>15</v>
      </c>
      <c r="J6" s="5" t="s">
        <v>16</v>
      </c>
      <c r="K6" s="5">
        <v>7.0</v>
      </c>
    </row>
    <row r="7">
      <c r="A7" s="4" t="s">
        <v>11</v>
      </c>
      <c r="B7" s="5" t="s">
        <v>23</v>
      </c>
      <c r="C7" s="5">
        <v>0.8</v>
      </c>
      <c r="D7" s="5">
        <v>8.12</v>
      </c>
      <c r="E7" s="5">
        <v>30.92</v>
      </c>
      <c r="F7" s="6">
        <f t="shared" si="1"/>
        <v>251.0704</v>
      </c>
      <c r="G7" s="6">
        <f t="shared" ref="G7:G14" si="4">(2*E7)+(2*D7)</f>
        <v>78.08</v>
      </c>
      <c r="H7" s="5" t="s">
        <v>14</v>
      </c>
      <c r="I7" s="5" t="s">
        <v>15</v>
      </c>
      <c r="J7" s="5" t="s">
        <v>16</v>
      </c>
      <c r="K7" s="5">
        <v>7.0</v>
      </c>
    </row>
    <row r="8">
      <c r="A8" s="8" t="s">
        <v>28</v>
      </c>
      <c r="B8" s="8" t="s">
        <v>30</v>
      </c>
      <c r="C8" s="5">
        <v>0.8</v>
      </c>
      <c r="D8" s="8">
        <v>5.0</v>
      </c>
      <c r="E8" s="8">
        <v>30.9</v>
      </c>
      <c r="F8" s="6">
        <f t="shared" si="1"/>
        <v>154.5</v>
      </c>
      <c r="G8" s="6">
        <f t="shared" si="4"/>
        <v>71.8</v>
      </c>
      <c r="H8" s="5" t="s">
        <v>14</v>
      </c>
      <c r="I8" s="5" t="s">
        <v>15</v>
      </c>
      <c r="J8" s="5" t="s">
        <v>16</v>
      </c>
      <c r="K8" s="8">
        <v>7.0</v>
      </c>
    </row>
    <row r="9">
      <c r="A9" s="8" t="s">
        <v>28</v>
      </c>
      <c r="B9" s="8" t="s">
        <v>36</v>
      </c>
      <c r="C9" s="5">
        <v>0.8</v>
      </c>
      <c r="D9" s="8">
        <v>5.23</v>
      </c>
      <c r="E9" s="8">
        <v>39.25</v>
      </c>
      <c r="F9" s="6">
        <f t="shared" si="1"/>
        <v>205.2775</v>
      </c>
      <c r="G9" s="6">
        <f t="shared" si="4"/>
        <v>88.96</v>
      </c>
      <c r="H9" s="5" t="s">
        <v>14</v>
      </c>
      <c r="I9" s="5" t="s">
        <v>15</v>
      </c>
      <c r="J9" s="5" t="s">
        <v>16</v>
      </c>
      <c r="K9" s="8">
        <v>7.0</v>
      </c>
    </row>
    <row r="10">
      <c r="A10" s="8" t="s">
        <v>28</v>
      </c>
      <c r="B10" s="8" t="s">
        <v>42</v>
      </c>
      <c r="C10" s="5">
        <v>0.8</v>
      </c>
      <c r="D10" s="8">
        <v>27.95</v>
      </c>
      <c r="E10" s="8">
        <v>43.37</v>
      </c>
      <c r="F10" s="6">
        <f t="shared" si="1"/>
        <v>1212.1915</v>
      </c>
      <c r="G10" s="6">
        <f t="shared" si="4"/>
        <v>142.64</v>
      </c>
      <c r="H10" s="5" t="s">
        <v>14</v>
      </c>
      <c r="I10" s="5" t="s">
        <v>15</v>
      </c>
      <c r="J10" s="5" t="s">
        <v>16</v>
      </c>
      <c r="K10" s="8">
        <v>7.0</v>
      </c>
    </row>
    <row r="11">
      <c r="A11" s="4" t="s">
        <v>47</v>
      </c>
      <c r="B11" s="4" t="s">
        <v>48</v>
      </c>
      <c r="C11" s="5">
        <v>0.8</v>
      </c>
      <c r="D11" s="5">
        <v>5.0</v>
      </c>
      <c r="E11" s="5">
        <v>6.0</v>
      </c>
      <c r="F11" s="6">
        <f t="shared" si="1"/>
        <v>30</v>
      </c>
      <c r="G11" s="6">
        <f t="shared" si="4"/>
        <v>22</v>
      </c>
      <c r="H11" s="5" t="s">
        <v>52</v>
      </c>
      <c r="I11" s="5" t="s">
        <v>15</v>
      </c>
      <c r="J11" s="5" t="s">
        <v>53</v>
      </c>
      <c r="K11" s="5">
        <v>3.0</v>
      </c>
    </row>
    <row r="12">
      <c r="A12" s="4" t="s">
        <v>47</v>
      </c>
      <c r="B12" s="5" t="s">
        <v>54</v>
      </c>
      <c r="C12" s="5">
        <v>0.8</v>
      </c>
      <c r="D12" s="5">
        <v>5.0</v>
      </c>
      <c r="E12" s="5">
        <v>6.0</v>
      </c>
      <c r="F12" s="6">
        <f t="shared" si="1"/>
        <v>30</v>
      </c>
      <c r="G12" s="6">
        <f t="shared" si="4"/>
        <v>22</v>
      </c>
      <c r="H12" s="5" t="s">
        <v>57</v>
      </c>
      <c r="I12" s="5" t="s">
        <v>58</v>
      </c>
      <c r="J12" s="5" t="s">
        <v>53</v>
      </c>
      <c r="K12" s="5">
        <v>3.0</v>
      </c>
    </row>
    <row r="13">
      <c r="A13" s="4" t="s">
        <v>47</v>
      </c>
      <c r="B13" s="4" t="s">
        <v>60</v>
      </c>
      <c r="C13" s="5">
        <v>0.8</v>
      </c>
      <c r="D13" s="4">
        <v>5.23</v>
      </c>
      <c r="E13" s="5">
        <v>3.5</v>
      </c>
      <c r="F13" s="6">
        <f t="shared" si="1"/>
        <v>18.305</v>
      </c>
      <c r="G13" s="6">
        <f t="shared" si="4"/>
        <v>17.46</v>
      </c>
      <c r="H13" s="4" t="s">
        <v>52</v>
      </c>
      <c r="I13" s="4" t="s">
        <v>15</v>
      </c>
      <c r="J13" s="5" t="s">
        <v>53</v>
      </c>
      <c r="K13" s="5">
        <v>3.0</v>
      </c>
    </row>
    <row r="14">
      <c r="A14" s="4" t="s">
        <v>47</v>
      </c>
      <c r="B14" s="5" t="s">
        <v>67</v>
      </c>
      <c r="C14" s="5">
        <v>0.8</v>
      </c>
      <c r="D14" s="5">
        <v>8.12</v>
      </c>
      <c r="E14" s="5">
        <v>6.0</v>
      </c>
      <c r="F14" s="6">
        <f t="shared" si="1"/>
        <v>48.72</v>
      </c>
      <c r="G14" s="6">
        <f t="shared" si="4"/>
        <v>28.24</v>
      </c>
      <c r="H14" s="4" t="s">
        <v>57</v>
      </c>
      <c r="I14" s="4" t="s">
        <v>73</v>
      </c>
      <c r="J14" s="5" t="s">
        <v>53</v>
      </c>
      <c r="K14" s="5">
        <v>3.0</v>
      </c>
    </row>
    <row r="15">
      <c r="A15" s="4" t="s">
        <v>75</v>
      </c>
      <c r="B15" s="5" t="s">
        <v>77</v>
      </c>
      <c r="C15" s="5">
        <v>0.8</v>
      </c>
      <c r="D15" s="5">
        <v>9.6</v>
      </c>
      <c r="E15" s="5">
        <v>9.8</v>
      </c>
      <c r="F15" s="6">
        <f>D15*E15</f>
        <v>94.08</v>
      </c>
      <c r="G15" s="6">
        <f>(2*D15)+(2*E15)</f>
        <v>38.8</v>
      </c>
      <c r="H15" s="4" t="s">
        <v>57</v>
      </c>
      <c r="I15" s="4" t="s">
        <v>58</v>
      </c>
      <c r="J15" s="4" t="s">
        <v>16</v>
      </c>
      <c r="K15" s="5">
        <v>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56.13"/>
    <col customWidth="1" min="3" max="3" width="18.38"/>
    <col customWidth="1" min="10" max="10" width="18.88"/>
  </cols>
  <sheetData>
    <row r="1">
      <c r="A1" s="7" t="s">
        <v>13</v>
      </c>
    </row>
    <row r="2">
      <c r="A2" s="8" t="s">
        <v>1</v>
      </c>
      <c r="B2" s="2" t="s">
        <v>3</v>
      </c>
      <c r="C2" s="2" t="s">
        <v>4</v>
      </c>
      <c r="D2" s="1" t="s">
        <v>2</v>
      </c>
      <c r="E2" s="1" t="s">
        <v>10</v>
      </c>
      <c r="F2" s="1" t="s">
        <v>18</v>
      </c>
      <c r="G2" s="3" t="s">
        <v>7</v>
      </c>
      <c r="H2" s="3" t="s">
        <v>8</v>
      </c>
      <c r="I2" s="3" t="s">
        <v>9</v>
      </c>
      <c r="J2" s="9" t="s">
        <v>19</v>
      </c>
    </row>
    <row r="3">
      <c r="A3" s="5" t="s">
        <v>21</v>
      </c>
      <c r="B3" s="11">
        <f>DADOS!D3</f>
        <v>15.92</v>
      </c>
      <c r="C3" s="11">
        <f>DADOS!E3</f>
        <v>9.6</v>
      </c>
      <c r="D3" s="11">
        <f>DADOS!C3</f>
        <v>0.8</v>
      </c>
      <c r="E3" s="11">
        <f>DADOS!K3</f>
        <v>7</v>
      </c>
      <c r="F3" s="11">
        <f>E3-D3</f>
        <v>6.2</v>
      </c>
      <c r="G3" s="11" t="str">
        <f>DADOS!H3</f>
        <v>ZINCO</v>
      </c>
      <c r="H3" s="11" t="str">
        <f>DADOS!I3</f>
        <v>CLARA</v>
      </c>
      <c r="I3" s="11" t="str">
        <f>DADOS!J3</f>
        <v>CONCRETO</v>
      </c>
      <c r="J3" s="8" t="s">
        <v>24</v>
      </c>
    </row>
    <row r="6">
      <c r="A6" s="13" t="s">
        <v>25</v>
      </c>
    </row>
    <row r="10">
      <c r="A10" s="13" t="s">
        <v>26</v>
      </c>
    </row>
    <row r="13">
      <c r="A13" s="14" t="s">
        <v>27</v>
      </c>
      <c r="B13" s="15"/>
    </row>
    <row r="14">
      <c r="A14" s="12" t="s">
        <v>29</v>
      </c>
      <c r="B14" s="12">
        <v>41.0</v>
      </c>
    </row>
    <row r="15">
      <c r="A15" s="12" t="s">
        <v>31</v>
      </c>
      <c r="B15" s="12" t="s">
        <v>32</v>
      </c>
    </row>
    <row r="16">
      <c r="A16" s="12" t="s">
        <v>33</v>
      </c>
      <c r="B16" s="16">
        <v>0.4</v>
      </c>
    </row>
    <row r="17">
      <c r="A17" s="12" t="s">
        <v>34</v>
      </c>
      <c r="B17" s="12">
        <v>0.0</v>
      </c>
    </row>
    <row r="21">
      <c r="A21" s="14" t="s">
        <v>35</v>
      </c>
      <c r="B21" s="15"/>
    </row>
    <row r="22">
      <c r="A22" s="12" t="s">
        <v>37</v>
      </c>
      <c r="B22" s="12" t="s">
        <v>38</v>
      </c>
      <c r="C22" s="17"/>
      <c r="D22" s="17"/>
    </row>
    <row r="23">
      <c r="A23" s="12" t="s">
        <v>39</v>
      </c>
      <c r="B23" s="12">
        <v>300.0</v>
      </c>
      <c r="C23" s="7"/>
      <c r="D23" s="7"/>
    </row>
    <row r="26">
      <c r="A26" s="14" t="s">
        <v>40</v>
      </c>
      <c r="B26" s="15"/>
    </row>
    <row r="27">
      <c r="A27" s="12" t="s">
        <v>43</v>
      </c>
      <c r="B27" s="18" t="s">
        <v>44</v>
      </c>
    </row>
    <row r="28">
      <c r="A28" s="12" t="s">
        <v>50</v>
      </c>
      <c r="B28" s="19"/>
    </row>
    <row r="29">
      <c r="A29" s="12" t="s">
        <v>51</v>
      </c>
      <c r="B29" s="12">
        <v>200.0</v>
      </c>
    </row>
    <row r="31">
      <c r="A31" s="17" t="s">
        <v>49</v>
      </c>
    </row>
    <row r="33">
      <c r="A33" s="12" t="s">
        <v>39</v>
      </c>
      <c r="B33" s="20">
        <v>300.0</v>
      </c>
    </row>
    <row r="34">
      <c r="B34" s="21"/>
    </row>
    <row r="71">
      <c r="A71" s="7" t="s">
        <v>55</v>
      </c>
    </row>
    <row r="73">
      <c r="A73" s="17" t="s">
        <v>62</v>
      </c>
      <c r="F73" s="17"/>
    </row>
    <row r="75">
      <c r="A75" s="14" t="s">
        <v>59</v>
      </c>
      <c r="B75" s="15"/>
    </row>
    <row r="76">
      <c r="A76" s="12" t="s">
        <v>61</v>
      </c>
      <c r="B76" s="12" t="s">
        <v>63</v>
      </c>
    </row>
    <row r="77">
      <c r="A77" s="12" t="s">
        <v>64</v>
      </c>
      <c r="B77" s="12" t="s">
        <v>65</v>
      </c>
    </row>
    <row r="83">
      <c r="A83" s="22"/>
    </row>
    <row r="88">
      <c r="A88" s="7" t="s">
        <v>66</v>
      </c>
    </row>
    <row r="89">
      <c r="A89" s="17" t="s">
        <v>68</v>
      </c>
    </row>
    <row r="91">
      <c r="A91" s="14" t="s">
        <v>69</v>
      </c>
      <c r="B91" s="15"/>
    </row>
    <row r="92">
      <c r="A92" s="12" t="s">
        <v>61</v>
      </c>
      <c r="B92" s="12" t="s">
        <v>70</v>
      </c>
    </row>
    <row r="93">
      <c r="A93" s="12" t="s">
        <v>64</v>
      </c>
      <c r="B93" s="12" t="s">
        <v>65</v>
      </c>
    </row>
    <row r="94">
      <c r="A94" s="12" t="s">
        <v>71</v>
      </c>
      <c r="B94" s="12" t="s">
        <v>72</v>
      </c>
    </row>
    <row r="95">
      <c r="A95" s="12" t="s">
        <v>74</v>
      </c>
      <c r="B95" s="12">
        <v>400.0</v>
      </c>
    </row>
    <row r="96">
      <c r="A96" s="12" t="s">
        <v>76</v>
      </c>
      <c r="B96" s="12">
        <v>33200.0</v>
      </c>
    </row>
    <row r="97">
      <c r="A97" s="12" t="s">
        <v>78</v>
      </c>
      <c r="B97" s="12">
        <v>1.0</v>
      </c>
    </row>
    <row r="100">
      <c r="A100" s="14" t="s">
        <v>79</v>
      </c>
      <c r="B100" s="15"/>
    </row>
    <row r="101">
      <c r="A101" s="12" t="s">
        <v>61</v>
      </c>
      <c r="B101" s="12" t="s">
        <v>80</v>
      </c>
    </row>
    <row r="102">
      <c r="A102" s="12" t="s">
        <v>64</v>
      </c>
      <c r="B102" s="12" t="s">
        <v>65</v>
      </c>
    </row>
    <row r="103">
      <c r="A103" s="12" t="s">
        <v>81</v>
      </c>
      <c r="B103" s="12">
        <v>27.5</v>
      </c>
    </row>
    <row r="104">
      <c r="A104" s="12" t="s">
        <v>82</v>
      </c>
      <c r="B104" s="12">
        <v>0.85</v>
      </c>
    </row>
    <row r="106">
      <c r="A106" s="17" t="s">
        <v>83</v>
      </c>
    </row>
    <row r="108">
      <c r="A108" s="23" t="s">
        <v>84</v>
      </c>
    </row>
    <row r="109">
      <c r="A109" s="17" t="s">
        <v>85</v>
      </c>
    </row>
    <row r="112">
      <c r="A112" s="12" t="s">
        <v>86</v>
      </c>
      <c r="B112" s="24">
        <f>(C3*B3)/(F3*(C3+B3))</f>
        <v>0.9659217312</v>
      </c>
    </row>
    <row r="115">
      <c r="A115" s="17" t="s">
        <v>87</v>
      </c>
    </row>
    <row r="117">
      <c r="A117" s="17" t="s">
        <v>88</v>
      </c>
    </row>
    <row r="119">
      <c r="A119" s="12" t="s">
        <v>7</v>
      </c>
      <c r="B119" s="10" t="str">
        <f>G3</f>
        <v>ZINCO</v>
      </c>
    </row>
    <row r="120">
      <c r="A120" s="12" t="s">
        <v>8</v>
      </c>
      <c r="B120" s="10" t="str">
        <f>H3</f>
        <v>CLARA</v>
      </c>
    </row>
    <row r="121">
      <c r="A121" s="12" t="s">
        <v>9</v>
      </c>
      <c r="B121" s="10" t="str">
        <f>I3</f>
        <v>CONCRETO</v>
      </c>
    </row>
    <row r="122">
      <c r="A122" s="12" t="s">
        <v>89</v>
      </c>
      <c r="B122" s="12">
        <v>0.5</v>
      </c>
    </row>
    <row r="123">
      <c r="A123" s="12" t="s">
        <v>90</v>
      </c>
      <c r="B123" s="12">
        <v>0.5</v>
      </c>
    </row>
    <row r="124">
      <c r="A124" s="12" t="s">
        <v>91</v>
      </c>
      <c r="B124" s="12">
        <v>0.1</v>
      </c>
    </row>
    <row r="125">
      <c r="A125" s="12" t="s">
        <v>92</v>
      </c>
      <c r="B125" s="12">
        <v>0.61</v>
      </c>
    </row>
    <row r="146">
      <c r="A146" s="23" t="s">
        <v>94</v>
      </c>
    </row>
    <row r="148">
      <c r="A148" s="17" t="s">
        <v>95</v>
      </c>
    </row>
    <row r="150">
      <c r="A150" s="12" t="s">
        <v>96</v>
      </c>
      <c r="B150" s="12" t="s">
        <v>97</v>
      </c>
    </row>
    <row r="151">
      <c r="A151" s="12" t="s">
        <v>98</v>
      </c>
      <c r="B151" s="12" t="s">
        <v>99</v>
      </c>
    </row>
    <row r="152">
      <c r="A152" s="12" t="s">
        <v>100</v>
      </c>
      <c r="B152" s="12">
        <v>24000.0</v>
      </c>
    </row>
    <row r="153">
      <c r="A153" s="12" t="s">
        <v>101</v>
      </c>
      <c r="B153" s="29">
        <f>(B152/2)/(14*30)</f>
        <v>28.57142857</v>
      </c>
    </row>
    <row r="154">
      <c r="A154" s="30" t="s">
        <v>102</v>
      </c>
      <c r="B154" s="31"/>
    </row>
    <row r="156">
      <c r="A156" s="17" t="s">
        <v>103</v>
      </c>
    </row>
    <row r="158">
      <c r="A158" s="32"/>
      <c r="B158" s="33"/>
    </row>
    <row r="159">
      <c r="A159" s="34"/>
      <c r="B159" s="35"/>
    </row>
    <row r="160">
      <c r="A160" s="32"/>
      <c r="B160" s="36"/>
    </row>
    <row r="161">
      <c r="A161" s="32"/>
      <c r="B161" s="35"/>
    </row>
    <row r="174">
      <c r="A174" s="12" t="s">
        <v>94</v>
      </c>
      <c r="B174" s="12">
        <v>0.76</v>
      </c>
    </row>
    <row r="201">
      <c r="A201" s="23" t="s">
        <v>104</v>
      </c>
    </row>
    <row r="202">
      <c r="A202" s="12" t="s">
        <v>105</v>
      </c>
      <c r="B202" s="24">
        <f>(B23*(B3*C3))/(B125*B174)</f>
        <v>98899.05091</v>
      </c>
    </row>
    <row r="215">
      <c r="A215" s="23" t="s">
        <v>106</v>
      </c>
    </row>
    <row r="217">
      <c r="A217" s="12" t="s">
        <v>107</v>
      </c>
      <c r="B217" s="24">
        <f>B202/(B97*B96)</f>
        <v>2.978887075</v>
      </c>
    </row>
    <row r="218">
      <c r="A218" s="14" t="s">
        <v>108</v>
      </c>
      <c r="B218" s="15"/>
    </row>
    <row r="219">
      <c r="A219" s="12" t="s">
        <v>109</v>
      </c>
      <c r="B219" s="12">
        <v>3.0</v>
      </c>
    </row>
    <row r="220">
      <c r="A220" s="12" t="s">
        <v>109</v>
      </c>
      <c r="B220" s="7">
        <v>4.0</v>
      </c>
    </row>
    <row r="221">
      <c r="A221" s="17" t="s">
        <v>130</v>
      </c>
    </row>
    <row r="244">
      <c r="C244" s="17" t="s">
        <v>111</v>
      </c>
    </row>
    <row r="246">
      <c r="A246" s="23" t="s">
        <v>112</v>
      </c>
    </row>
    <row r="248">
      <c r="A248" s="17" t="s">
        <v>133</v>
      </c>
    </row>
    <row r="250">
      <c r="A250" s="17" t="s">
        <v>134</v>
      </c>
    </row>
    <row r="252">
      <c r="A252" s="12" t="s">
        <v>114</v>
      </c>
      <c r="B252" s="12">
        <v>1.0</v>
      </c>
    </row>
    <row r="253">
      <c r="A253" s="12" t="s">
        <v>115</v>
      </c>
      <c r="B253" s="12">
        <v>4.0</v>
      </c>
    </row>
    <row r="256">
      <c r="A256" s="12" t="s">
        <v>118</v>
      </c>
      <c r="B256" s="12">
        <v>9.6</v>
      </c>
      <c r="C256" s="18" t="s">
        <v>117</v>
      </c>
    </row>
    <row r="257">
      <c r="A257" s="12" t="s">
        <v>119</v>
      </c>
      <c r="B257" s="12">
        <v>15.92</v>
      </c>
      <c r="C257" s="19"/>
    </row>
    <row r="258">
      <c r="A258" s="12" t="s">
        <v>120</v>
      </c>
      <c r="B258" s="10">
        <f>C3/B252</f>
        <v>9.6</v>
      </c>
      <c r="C258" s="10" t="str">
        <f t="shared" ref="C258:C259" si="1">IF(B258&lt;=$B$260,"CERTO","CORRIGIR")</f>
        <v>CORRIGIR</v>
      </c>
    </row>
    <row r="259">
      <c r="A259" s="12" t="s">
        <v>121</v>
      </c>
      <c r="B259" s="10">
        <f>B3/B253</f>
        <v>3.98</v>
      </c>
      <c r="C259" s="10" t="str">
        <f t="shared" si="1"/>
        <v>CERTO</v>
      </c>
    </row>
    <row r="260">
      <c r="A260" s="12" t="s">
        <v>122</v>
      </c>
      <c r="B260" s="10">
        <f>1.5*F3</f>
        <v>9.3</v>
      </c>
      <c r="C260" s="10"/>
    </row>
    <row r="261">
      <c r="A261" s="12" t="s">
        <v>142</v>
      </c>
      <c r="B261" s="10">
        <f>C3/2</f>
        <v>4.8</v>
      </c>
      <c r="C261" s="10" t="str">
        <f>IF(B261&lt;=$B$260,"CERTO","CORRIGIR")</f>
        <v>CERTO</v>
      </c>
    </row>
    <row r="267">
      <c r="A267" s="12" t="s">
        <v>143</v>
      </c>
      <c r="B267" s="12">
        <f>B261</f>
        <v>4.8</v>
      </c>
      <c r="C267" s="14" t="s">
        <v>127</v>
      </c>
      <c r="D267" s="38"/>
      <c r="E267" s="38"/>
      <c r="F267" s="15"/>
    </row>
    <row r="268">
      <c r="A268" s="12" t="s">
        <v>144</v>
      </c>
      <c r="B268" s="12">
        <f>B267</f>
        <v>4.8</v>
      </c>
    </row>
    <row r="269">
      <c r="A269" s="12" t="s">
        <v>126</v>
      </c>
      <c r="B269" s="10">
        <f>B259</f>
        <v>3.98</v>
      </c>
      <c r="C269" s="17" t="s">
        <v>128</v>
      </c>
    </row>
    <row r="270">
      <c r="A270" s="12" t="s">
        <v>129</v>
      </c>
      <c r="B270" s="10">
        <f>B259/2</f>
        <v>1.99</v>
      </c>
      <c r="C270" s="17" t="s">
        <v>131</v>
      </c>
    </row>
    <row r="272">
      <c r="A272" s="10"/>
      <c r="B272" s="10"/>
      <c r="C272" s="12" t="s">
        <v>117</v>
      </c>
    </row>
    <row r="273">
      <c r="A273" s="12" t="s">
        <v>123</v>
      </c>
      <c r="B273" s="12">
        <f t="shared" ref="B273:B276" si="2">B267</f>
        <v>4.8</v>
      </c>
      <c r="C273" s="10" t="str">
        <f t="shared" ref="C273:C276" si="3">IF(B273&lt;=$B$260,"CERTO","CORRIGIR")</f>
        <v>CERTO</v>
      </c>
    </row>
    <row r="274">
      <c r="A274" s="12" t="s">
        <v>125</v>
      </c>
      <c r="B274" s="12">
        <f t="shared" si="2"/>
        <v>4.8</v>
      </c>
      <c r="C274" s="10" t="str">
        <f t="shared" si="3"/>
        <v>CERTO</v>
      </c>
    </row>
    <row r="275">
      <c r="A275" s="12" t="s">
        <v>126</v>
      </c>
      <c r="B275" s="12">
        <f t="shared" si="2"/>
        <v>3.98</v>
      </c>
      <c r="C275" s="10" t="str">
        <f t="shared" si="3"/>
        <v>CERTO</v>
      </c>
    </row>
    <row r="276">
      <c r="A276" s="12" t="s">
        <v>129</v>
      </c>
      <c r="B276" s="12">
        <f t="shared" si="2"/>
        <v>1.99</v>
      </c>
      <c r="C276" s="10" t="str">
        <f t="shared" si="3"/>
        <v>CERTO</v>
      </c>
    </row>
    <row r="284">
      <c r="A284" s="23" t="s">
        <v>135</v>
      </c>
    </row>
    <row r="286">
      <c r="A286" s="39" t="s">
        <v>136</v>
      </c>
      <c r="B286" s="40">
        <v>220.0</v>
      </c>
    </row>
    <row r="287">
      <c r="A287" s="41" t="s">
        <v>137</v>
      </c>
      <c r="B287" s="42">
        <f>((B97)*B95)+B103/B104</f>
        <v>432.3529412</v>
      </c>
    </row>
    <row r="288">
      <c r="A288" s="41" t="s">
        <v>138</v>
      </c>
      <c r="B288" s="43">
        <v>440.0</v>
      </c>
      <c r="C288" s="17" t="s">
        <v>139</v>
      </c>
    </row>
    <row r="289">
      <c r="A289" s="41" t="s">
        <v>140</v>
      </c>
      <c r="B289" s="44">
        <f>B288*B220</f>
        <v>1760</v>
      </c>
    </row>
    <row r="290">
      <c r="A290" s="45" t="s">
        <v>141</v>
      </c>
      <c r="B290" s="42">
        <f>B289/B286</f>
        <v>8</v>
      </c>
    </row>
    <row r="296">
      <c r="A296" s="32"/>
      <c r="B296" s="46"/>
    </row>
    <row r="297">
      <c r="A297" s="32"/>
      <c r="B297" s="36"/>
    </row>
    <row r="298">
      <c r="A298" s="32"/>
      <c r="B298" s="35"/>
    </row>
    <row r="299">
      <c r="A299" s="32"/>
      <c r="B299" s="35"/>
    </row>
    <row r="300">
      <c r="A300" s="32"/>
      <c r="B300" s="36"/>
    </row>
  </sheetData>
  <mergeCells count="29">
    <mergeCell ref="A1:J1"/>
    <mergeCell ref="A6:J6"/>
    <mergeCell ref="A10:J10"/>
    <mergeCell ref="A13:B13"/>
    <mergeCell ref="A21:B21"/>
    <mergeCell ref="A26:B26"/>
    <mergeCell ref="A31:B31"/>
    <mergeCell ref="B27:B28"/>
    <mergeCell ref="B34:B35"/>
    <mergeCell ref="A71:F71"/>
    <mergeCell ref="A73:E73"/>
    <mergeCell ref="A75:B75"/>
    <mergeCell ref="A88:D88"/>
    <mergeCell ref="A89:B89"/>
    <mergeCell ref="A218:B218"/>
    <mergeCell ref="A246:H246"/>
    <mergeCell ref="A248:F248"/>
    <mergeCell ref="C256:C257"/>
    <mergeCell ref="C267:F267"/>
    <mergeCell ref="C269:E269"/>
    <mergeCell ref="C270:F270"/>
    <mergeCell ref="A284:H284"/>
    <mergeCell ref="A91:B91"/>
    <mergeCell ref="A100:B100"/>
    <mergeCell ref="A108:H108"/>
    <mergeCell ref="A117:F117"/>
    <mergeCell ref="A146:H146"/>
    <mergeCell ref="A201:H201"/>
    <mergeCell ref="A215:H2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41.25"/>
    <col customWidth="1" min="3" max="3" width="18.38"/>
    <col customWidth="1" min="10" max="10" width="18.88"/>
  </cols>
  <sheetData>
    <row r="1">
      <c r="A1" s="7" t="s">
        <v>13</v>
      </c>
    </row>
    <row r="2">
      <c r="A2" s="8" t="s">
        <v>1</v>
      </c>
      <c r="B2" s="2" t="s">
        <v>3</v>
      </c>
      <c r="C2" s="2" t="s">
        <v>4</v>
      </c>
      <c r="D2" s="1" t="s">
        <v>2</v>
      </c>
      <c r="E2" s="1" t="s">
        <v>10</v>
      </c>
      <c r="F2" s="1" t="s">
        <v>18</v>
      </c>
      <c r="G2" s="3" t="s">
        <v>7</v>
      </c>
      <c r="H2" s="3" t="s">
        <v>8</v>
      </c>
      <c r="I2" s="3" t="s">
        <v>9</v>
      </c>
      <c r="J2" s="9" t="s">
        <v>19</v>
      </c>
    </row>
    <row r="3">
      <c r="A3" s="4" t="s">
        <v>17</v>
      </c>
      <c r="B3" s="10">
        <f>DADOS!D4</f>
        <v>9.28</v>
      </c>
      <c r="C3" s="10">
        <f>DADOS!E4</f>
        <v>9.6</v>
      </c>
      <c r="D3" s="10">
        <f>DADOS!C4</f>
        <v>0.8</v>
      </c>
      <c r="E3" s="10">
        <f>DADOS!K4</f>
        <v>7</v>
      </c>
      <c r="F3" s="10">
        <f>E3-D3</f>
        <v>6.2</v>
      </c>
      <c r="G3" s="10" t="str">
        <f>DADOS!H4</f>
        <v>ZINCO</v>
      </c>
      <c r="H3" s="10" t="str">
        <f>DADOS!I4</f>
        <v>CLARA</v>
      </c>
      <c r="I3" s="10" t="str">
        <f>DADOS!J4</f>
        <v>CONCRETO</v>
      </c>
      <c r="J3" s="12" t="s">
        <v>24</v>
      </c>
    </row>
    <row r="6">
      <c r="A6" s="7" t="s">
        <v>25</v>
      </c>
    </row>
    <row r="10">
      <c r="A10" s="7" t="s">
        <v>26</v>
      </c>
    </row>
    <row r="13">
      <c r="A13" s="14" t="s">
        <v>27</v>
      </c>
      <c r="B13" s="15"/>
    </row>
    <row r="14">
      <c r="A14" s="12" t="s">
        <v>29</v>
      </c>
      <c r="B14" s="12">
        <v>41.0</v>
      </c>
    </row>
    <row r="15">
      <c r="A15" s="12" t="s">
        <v>31</v>
      </c>
      <c r="B15" s="12" t="s">
        <v>32</v>
      </c>
    </row>
    <row r="16">
      <c r="A16" s="12" t="s">
        <v>33</v>
      </c>
      <c r="B16" s="16">
        <v>0.4</v>
      </c>
    </row>
    <row r="17">
      <c r="A17" s="12" t="s">
        <v>34</v>
      </c>
      <c r="B17" s="12">
        <v>0.0</v>
      </c>
    </row>
    <row r="21">
      <c r="A21" s="14" t="s">
        <v>35</v>
      </c>
      <c r="B21" s="15"/>
    </row>
    <row r="22">
      <c r="A22" s="12" t="s">
        <v>37</v>
      </c>
      <c r="B22" s="12" t="s">
        <v>41</v>
      </c>
      <c r="C22" s="17"/>
      <c r="D22" s="17"/>
    </row>
    <row r="23">
      <c r="A23" s="12" t="s">
        <v>39</v>
      </c>
      <c r="B23" s="12">
        <v>750.0</v>
      </c>
      <c r="C23" s="7"/>
      <c r="D23" s="7"/>
    </row>
    <row r="26">
      <c r="A26" s="14"/>
      <c r="B26" s="15"/>
    </row>
    <row r="27">
      <c r="A27" s="12"/>
      <c r="B27" s="18"/>
    </row>
    <row r="28">
      <c r="A28" s="12"/>
      <c r="B28" s="19"/>
    </row>
    <row r="29">
      <c r="A29" s="12"/>
      <c r="B29" s="12"/>
    </row>
    <row r="33">
      <c r="A33" s="12"/>
      <c r="B33" s="20"/>
    </row>
    <row r="34">
      <c r="B34" s="21"/>
    </row>
    <row r="71">
      <c r="A71" s="7" t="s">
        <v>55</v>
      </c>
    </row>
    <row r="73">
      <c r="A73" s="17" t="s">
        <v>56</v>
      </c>
      <c r="F73" s="17"/>
    </row>
    <row r="75">
      <c r="A75" s="14" t="s">
        <v>59</v>
      </c>
      <c r="B75" s="15"/>
    </row>
    <row r="76">
      <c r="A76" s="12" t="s">
        <v>61</v>
      </c>
      <c r="B76" s="12" t="s">
        <v>63</v>
      </c>
    </row>
    <row r="77">
      <c r="A77" s="12" t="s">
        <v>64</v>
      </c>
      <c r="B77" s="12" t="s">
        <v>65</v>
      </c>
    </row>
    <row r="83">
      <c r="A83" s="22"/>
    </row>
    <row r="88">
      <c r="A88" s="7" t="s">
        <v>66</v>
      </c>
    </row>
    <row r="89">
      <c r="A89" s="17" t="s">
        <v>68</v>
      </c>
    </row>
    <row r="91">
      <c r="A91" s="14" t="s">
        <v>69</v>
      </c>
      <c r="B91" s="15"/>
    </row>
    <row r="92">
      <c r="A92" s="12" t="s">
        <v>61</v>
      </c>
      <c r="B92" s="12" t="s">
        <v>70</v>
      </c>
    </row>
    <row r="93">
      <c r="A93" s="12" t="s">
        <v>64</v>
      </c>
      <c r="B93" s="12" t="s">
        <v>65</v>
      </c>
    </row>
    <row r="94">
      <c r="A94" s="12" t="s">
        <v>71</v>
      </c>
      <c r="B94" s="12" t="s">
        <v>72</v>
      </c>
    </row>
    <row r="95">
      <c r="A95" s="12" t="s">
        <v>74</v>
      </c>
      <c r="B95" s="12">
        <v>400.0</v>
      </c>
    </row>
    <row r="96">
      <c r="A96" s="12" t="s">
        <v>76</v>
      </c>
      <c r="B96" s="12">
        <v>33200.0</v>
      </c>
    </row>
    <row r="97">
      <c r="A97" s="12" t="s">
        <v>78</v>
      </c>
      <c r="B97" s="12">
        <v>1.0</v>
      </c>
    </row>
    <row r="100">
      <c r="A100" s="14" t="s">
        <v>79</v>
      </c>
      <c r="B100" s="15"/>
    </row>
    <row r="101">
      <c r="A101" s="12" t="s">
        <v>61</v>
      </c>
      <c r="B101" s="12" t="s">
        <v>80</v>
      </c>
    </row>
    <row r="102">
      <c r="A102" s="12" t="s">
        <v>64</v>
      </c>
      <c r="B102" s="12" t="s">
        <v>65</v>
      </c>
    </row>
    <row r="103">
      <c r="A103" s="12" t="s">
        <v>81</v>
      </c>
      <c r="B103" s="12">
        <v>27.5</v>
      </c>
    </row>
    <row r="104">
      <c r="A104" s="12" t="s">
        <v>82</v>
      </c>
      <c r="B104" s="12">
        <v>0.85</v>
      </c>
    </row>
    <row r="106">
      <c r="A106" s="17" t="s">
        <v>83</v>
      </c>
    </row>
    <row r="108">
      <c r="A108" s="23" t="s">
        <v>84</v>
      </c>
    </row>
    <row r="109">
      <c r="A109" s="17" t="s">
        <v>85</v>
      </c>
    </row>
    <row r="112">
      <c r="A112" s="12" t="s">
        <v>86</v>
      </c>
      <c r="B112" s="24">
        <f>(C3*B3)/(F3*(C3+B3))</f>
        <v>0.7610716238</v>
      </c>
    </row>
    <row r="115">
      <c r="A115" s="17" t="s">
        <v>87</v>
      </c>
    </row>
    <row r="117">
      <c r="A117" s="17" t="s">
        <v>88</v>
      </c>
    </row>
    <row r="119">
      <c r="A119" s="12" t="s">
        <v>7</v>
      </c>
      <c r="B119" s="10" t="str">
        <f>G3</f>
        <v>ZINCO</v>
      </c>
    </row>
    <row r="120">
      <c r="A120" s="12" t="s">
        <v>8</v>
      </c>
      <c r="B120" s="10" t="str">
        <f>H3</f>
        <v>CLARA</v>
      </c>
    </row>
    <row r="121">
      <c r="A121" s="25" t="s">
        <v>9</v>
      </c>
      <c r="B121" s="26" t="str">
        <f>I3</f>
        <v>CONCRETO</v>
      </c>
    </row>
    <row r="122">
      <c r="A122" s="25" t="s">
        <v>89</v>
      </c>
      <c r="B122" s="25">
        <v>0.5</v>
      </c>
    </row>
    <row r="123">
      <c r="A123" s="25" t="s">
        <v>90</v>
      </c>
      <c r="B123" s="25">
        <v>0.5</v>
      </c>
    </row>
    <row r="124">
      <c r="A124" s="25" t="s">
        <v>91</v>
      </c>
      <c r="B124" s="25">
        <v>0.1</v>
      </c>
    </row>
    <row r="125">
      <c r="A125" s="25" t="s">
        <v>92</v>
      </c>
      <c r="B125" s="25">
        <v>0.56</v>
      </c>
    </row>
    <row r="126">
      <c r="A126" s="27"/>
      <c r="B126" s="27"/>
    </row>
    <row r="127">
      <c r="A127" s="27"/>
      <c r="B127" s="27"/>
    </row>
    <row r="128">
      <c r="A128" s="27"/>
      <c r="B128" s="27"/>
    </row>
    <row r="129">
      <c r="A129" s="27"/>
      <c r="B129" s="27"/>
    </row>
    <row r="130">
      <c r="A130" s="27"/>
      <c r="B130" s="27"/>
    </row>
    <row r="146">
      <c r="A146" s="23" t="s">
        <v>94</v>
      </c>
    </row>
    <row r="148">
      <c r="A148" s="17" t="s">
        <v>95</v>
      </c>
    </row>
    <row r="150">
      <c r="A150" s="12" t="s">
        <v>96</v>
      </c>
      <c r="B150" s="12" t="s">
        <v>97</v>
      </c>
    </row>
    <row r="151">
      <c r="A151" s="12" t="s">
        <v>98</v>
      </c>
      <c r="B151" s="12" t="s">
        <v>99</v>
      </c>
    </row>
    <row r="152">
      <c r="A152" s="12" t="s">
        <v>100</v>
      </c>
      <c r="B152" s="12">
        <v>24000.0</v>
      </c>
    </row>
    <row r="153">
      <c r="A153" s="12" t="s">
        <v>101</v>
      </c>
      <c r="B153" s="29">
        <f>(B152/2)/(14*30)</f>
        <v>28.57142857</v>
      </c>
    </row>
    <row r="154">
      <c r="A154" s="30" t="s">
        <v>102</v>
      </c>
      <c r="B154" s="31"/>
    </row>
    <row r="156">
      <c r="A156" s="17" t="s">
        <v>103</v>
      </c>
    </row>
    <row r="158">
      <c r="A158" s="32"/>
      <c r="B158" s="33"/>
    </row>
    <row r="159">
      <c r="A159" s="34"/>
      <c r="B159" s="35"/>
    </row>
    <row r="160">
      <c r="A160" s="32"/>
      <c r="B160" s="36"/>
    </row>
    <row r="161">
      <c r="A161" s="32"/>
      <c r="B161" s="35"/>
    </row>
    <row r="174">
      <c r="A174" s="12" t="s">
        <v>94</v>
      </c>
      <c r="B174" s="12">
        <v>0.76</v>
      </c>
    </row>
    <row r="201">
      <c r="A201" s="23" t="s">
        <v>104</v>
      </c>
    </row>
    <row r="202">
      <c r="A202" s="12" t="s">
        <v>105</v>
      </c>
      <c r="B202" s="24">
        <f>(B23*(B3*C3))/(B125*B174)</f>
        <v>156992.4812</v>
      </c>
    </row>
    <row r="215">
      <c r="A215" s="23" t="s">
        <v>106</v>
      </c>
    </row>
    <row r="217">
      <c r="A217" s="12" t="s">
        <v>107</v>
      </c>
      <c r="B217" s="24">
        <f>B202/(B97*B96)</f>
        <v>4.728689193</v>
      </c>
    </row>
    <row r="218">
      <c r="A218" s="14" t="s">
        <v>108</v>
      </c>
      <c r="B218" s="15"/>
    </row>
    <row r="219">
      <c r="A219" s="12" t="s">
        <v>109</v>
      </c>
      <c r="B219" s="12">
        <v>5.0</v>
      </c>
    </row>
    <row r="220">
      <c r="A220" s="12" t="s">
        <v>109</v>
      </c>
      <c r="B220" s="7">
        <v>6.0</v>
      </c>
    </row>
    <row r="221">
      <c r="A221" s="17" t="s">
        <v>110</v>
      </c>
    </row>
    <row r="244">
      <c r="C244" s="17" t="s">
        <v>111</v>
      </c>
    </row>
    <row r="246">
      <c r="A246" s="23" t="s">
        <v>112</v>
      </c>
    </row>
    <row r="250">
      <c r="A250" s="17" t="s">
        <v>113</v>
      </c>
    </row>
    <row r="252">
      <c r="A252" s="12" t="s">
        <v>114</v>
      </c>
      <c r="B252" s="12">
        <v>2.0</v>
      </c>
    </row>
    <row r="253">
      <c r="A253" s="12" t="s">
        <v>115</v>
      </c>
      <c r="B253" s="12">
        <v>3.0</v>
      </c>
    </row>
    <row r="255">
      <c r="C255" s="21" t="s">
        <v>117</v>
      </c>
    </row>
    <row r="256">
      <c r="A256" s="12" t="s">
        <v>118</v>
      </c>
      <c r="B256" s="12">
        <v>9.6</v>
      </c>
    </row>
    <row r="257">
      <c r="A257" s="12" t="s">
        <v>119</v>
      </c>
      <c r="B257" s="12">
        <v>9.28</v>
      </c>
    </row>
    <row r="258">
      <c r="A258" s="12" t="s">
        <v>120</v>
      </c>
      <c r="B258" s="10">
        <f>C3/B252</f>
        <v>4.8</v>
      </c>
      <c r="C258" s="37" t="str">
        <f t="shared" ref="C258:C259" si="1">IF(B258&lt;=$B$260,"CERTO","CORRIGIR")</f>
        <v>CERTO</v>
      </c>
    </row>
    <row r="259">
      <c r="A259" s="12" t="s">
        <v>121</v>
      </c>
      <c r="B259" s="24">
        <f>B3/B253</f>
        <v>3.093333333</v>
      </c>
      <c r="C259" s="37" t="str">
        <f t="shared" si="1"/>
        <v>CERTO</v>
      </c>
    </row>
    <row r="260">
      <c r="A260" s="12" t="s">
        <v>122</v>
      </c>
      <c r="B260" s="10">
        <f>1.5*F3</f>
        <v>9.3</v>
      </c>
    </row>
    <row r="267">
      <c r="A267" s="12" t="s">
        <v>123</v>
      </c>
      <c r="B267" s="12">
        <v>4.8</v>
      </c>
      <c r="C267" s="17" t="s">
        <v>124</v>
      </c>
    </row>
    <row r="268">
      <c r="A268" s="12" t="s">
        <v>125</v>
      </c>
      <c r="B268" s="10">
        <f>B267/2</f>
        <v>2.4</v>
      </c>
    </row>
    <row r="269">
      <c r="A269" s="12" t="s">
        <v>126</v>
      </c>
      <c r="B269" s="24">
        <f>B259</f>
        <v>3.093333333</v>
      </c>
      <c r="C269" s="17" t="s">
        <v>128</v>
      </c>
    </row>
    <row r="270">
      <c r="A270" s="12" t="s">
        <v>129</v>
      </c>
      <c r="B270" s="24">
        <f>B259/2</f>
        <v>1.546666667</v>
      </c>
      <c r="C270" s="17" t="s">
        <v>131</v>
      </c>
    </row>
    <row r="273">
      <c r="A273" s="10"/>
      <c r="B273" s="10"/>
      <c r="C273" s="12" t="s">
        <v>117</v>
      </c>
    </row>
    <row r="274">
      <c r="A274" s="12" t="s">
        <v>123</v>
      </c>
      <c r="B274" s="12">
        <f t="shared" ref="B274:B277" si="2">B267</f>
        <v>4.8</v>
      </c>
      <c r="C274" s="10" t="str">
        <f t="shared" ref="C274:C277" si="3">IF(B274&lt;=$B$260,"CERTO","CORRIGIR")</f>
        <v>CERTO</v>
      </c>
    </row>
    <row r="275">
      <c r="A275" s="12" t="s">
        <v>125</v>
      </c>
      <c r="B275" s="10">
        <f t="shared" si="2"/>
        <v>2.4</v>
      </c>
      <c r="C275" s="10" t="str">
        <f t="shared" si="3"/>
        <v>CERTO</v>
      </c>
    </row>
    <row r="276">
      <c r="A276" s="12" t="s">
        <v>126</v>
      </c>
      <c r="B276" s="24">
        <f t="shared" si="2"/>
        <v>3.093333333</v>
      </c>
      <c r="C276" s="10" t="str">
        <f t="shared" si="3"/>
        <v>CERTO</v>
      </c>
    </row>
    <row r="277">
      <c r="A277" s="12" t="s">
        <v>129</v>
      </c>
      <c r="B277" s="24">
        <f t="shared" si="2"/>
        <v>1.546666667</v>
      </c>
      <c r="C277" s="10" t="str">
        <f t="shared" si="3"/>
        <v>CERTO</v>
      </c>
    </row>
    <row r="284">
      <c r="A284" s="23" t="s">
        <v>135</v>
      </c>
    </row>
    <row r="286">
      <c r="A286" s="39" t="s">
        <v>136</v>
      </c>
      <c r="B286" s="40">
        <v>220.0</v>
      </c>
    </row>
    <row r="287">
      <c r="A287" s="41" t="s">
        <v>137</v>
      </c>
      <c r="B287" s="42">
        <f>((B97)*B95)+B103/B104</f>
        <v>432.3529412</v>
      </c>
    </row>
    <row r="288">
      <c r="A288" s="41" t="s">
        <v>138</v>
      </c>
      <c r="B288" s="43">
        <v>440.0</v>
      </c>
      <c r="C288" s="17" t="s">
        <v>139</v>
      </c>
    </row>
    <row r="289">
      <c r="A289" s="41" t="s">
        <v>140</v>
      </c>
      <c r="B289" s="44">
        <f>B288*B220</f>
        <v>2640</v>
      </c>
    </row>
    <row r="290">
      <c r="A290" s="45" t="s">
        <v>141</v>
      </c>
      <c r="B290" s="42">
        <f>B289/B286</f>
        <v>12</v>
      </c>
    </row>
    <row r="296">
      <c r="A296" s="32"/>
      <c r="B296" s="46"/>
    </row>
    <row r="297">
      <c r="A297" s="32"/>
      <c r="B297" s="36"/>
    </row>
    <row r="298">
      <c r="A298" s="32"/>
      <c r="B298" s="35"/>
    </row>
    <row r="299">
      <c r="A299" s="32"/>
      <c r="B299" s="35"/>
    </row>
    <row r="300">
      <c r="A300" s="32"/>
      <c r="B300" s="36"/>
    </row>
  </sheetData>
  <mergeCells count="30">
    <mergeCell ref="A1:J1"/>
    <mergeCell ref="A6:J6"/>
    <mergeCell ref="A10:J10"/>
    <mergeCell ref="A13:B13"/>
    <mergeCell ref="A21:B21"/>
    <mergeCell ref="A26:B26"/>
    <mergeCell ref="A31:B31"/>
    <mergeCell ref="B27:B28"/>
    <mergeCell ref="B34:B35"/>
    <mergeCell ref="A71:F71"/>
    <mergeCell ref="A73:E73"/>
    <mergeCell ref="A75:B75"/>
    <mergeCell ref="A88:D88"/>
    <mergeCell ref="A89:B89"/>
    <mergeCell ref="A91:B91"/>
    <mergeCell ref="A100:B100"/>
    <mergeCell ref="A108:H108"/>
    <mergeCell ref="A117:F117"/>
    <mergeCell ref="A146:H146"/>
    <mergeCell ref="A201:H201"/>
    <mergeCell ref="A215:H215"/>
    <mergeCell ref="C270:F270"/>
    <mergeCell ref="A284:H284"/>
    <mergeCell ref="A218:B218"/>
    <mergeCell ref="A221:B221"/>
    <mergeCell ref="A246:H246"/>
    <mergeCell ref="A248:F248"/>
    <mergeCell ref="C255:C257"/>
    <mergeCell ref="C267:E267"/>
    <mergeCell ref="C269:E26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55.25"/>
    <col customWidth="1" min="3" max="3" width="18.38"/>
    <col customWidth="1" min="10" max="10" width="18.88"/>
  </cols>
  <sheetData>
    <row r="1">
      <c r="A1" s="7" t="s">
        <v>13</v>
      </c>
    </row>
    <row r="2">
      <c r="A2" s="8" t="s">
        <v>1</v>
      </c>
      <c r="B2" s="2" t="s">
        <v>3</v>
      </c>
      <c r="C2" s="2" t="s">
        <v>4</v>
      </c>
      <c r="D2" s="1" t="s">
        <v>2</v>
      </c>
      <c r="E2" s="1" t="s">
        <v>10</v>
      </c>
      <c r="F2" s="1" t="s">
        <v>18</v>
      </c>
      <c r="G2" s="3" t="s">
        <v>7</v>
      </c>
      <c r="H2" s="3" t="s">
        <v>8</v>
      </c>
      <c r="I2" s="3" t="s">
        <v>9</v>
      </c>
      <c r="J2" s="9" t="s">
        <v>19</v>
      </c>
    </row>
    <row r="3">
      <c r="A3" s="4" t="s">
        <v>20</v>
      </c>
      <c r="B3" s="10">
        <f>DADOS!D5</f>
        <v>8.12</v>
      </c>
      <c r="C3" s="10">
        <f>DADOS!E5</f>
        <v>6</v>
      </c>
      <c r="D3" s="10">
        <f>DADOS!C5</f>
        <v>0.8</v>
      </c>
      <c r="E3" s="10">
        <f>DADOS!K5</f>
        <v>7</v>
      </c>
      <c r="F3" s="10">
        <f>E3-D3</f>
        <v>6.2</v>
      </c>
      <c r="G3" s="10" t="str">
        <f>DADOS!H5</f>
        <v>ZINCO</v>
      </c>
      <c r="H3" s="10" t="str">
        <f>DADOS!I5</f>
        <v>CLARA</v>
      </c>
      <c r="I3" s="10" t="str">
        <f>DADOS!J5</f>
        <v>CONCRETO</v>
      </c>
      <c r="J3" s="12" t="s">
        <v>24</v>
      </c>
    </row>
    <row r="6">
      <c r="A6" s="7" t="s">
        <v>25</v>
      </c>
    </row>
    <row r="10">
      <c r="A10" s="7" t="s">
        <v>26</v>
      </c>
    </row>
    <row r="13">
      <c r="A13" s="14" t="s">
        <v>27</v>
      </c>
      <c r="B13" s="15"/>
    </row>
    <row r="15">
      <c r="A15" s="12" t="s">
        <v>29</v>
      </c>
      <c r="B15" s="12">
        <v>41.0</v>
      </c>
    </row>
    <row r="16">
      <c r="A16" s="12" t="s">
        <v>31</v>
      </c>
      <c r="B16" s="12" t="s">
        <v>32</v>
      </c>
    </row>
    <row r="17">
      <c r="A17" s="12" t="s">
        <v>33</v>
      </c>
      <c r="B17" s="16">
        <v>0.4</v>
      </c>
    </row>
    <row r="18">
      <c r="A18" s="12" t="s">
        <v>34</v>
      </c>
      <c r="B18" s="12">
        <v>0.0</v>
      </c>
    </row>
    <row r="21">
      <c r="A21" s="14" t="s">
        <v>35</v>
      </c>
      <c r="B21" s="15"/>
    </row>
    <row r="22">
      <c r="A22" s="12" t="s">
        <v>37</v>
      </c>
      <c r="B22" s="12" t="s">
        <v>38</v>
      </c>
      <c r="C22" s="17"/>
      <c r="D22" s="17"/>
    </row>
    <row r="23">
      <c r="A23" s="12" t="s">
        <v>39</v>
      </c>
      <c r="B23" s="12">
        <v>300.0</v>
      </c>
      <c r="C23" s="7"/>
      <c r="D23" s="7"/>
    </row>
    <row r="26">
      <c r="A26" s="14" t="s">
        <v>40</v>
      </c>
      <c r="B26" s="15"/>
    </row>
    <row r="27">
      <c r="A27" s="12" t="s">
        <v>43</v>
      </c>
      <c r="B27" s="18" t="s">
        <v>44</v>
      </c>
    </row>
    <row r="28">
      <c r="A28" s="12" t="s">
        <v>45</v>
      </c>
      <c r="B28" s="19"/>
    </row>
    <row r="29">
      <c r="A29" s="12" t="s">
        <v>46</v>
      </c>
      <c r="B29" s="12">
        <v>200.0</v>
      </c>
    </row>
    <row r="31">
      <c r="A31" s="17" t="s">
        <v>49</v>
      </c>
    </row>
    <row r="33">
      <c r="A33" s="12" t="s">
        <v>39</v>
      </c>
      <c r="B33" s="20">
        <v>300.0</v>
      </c>
    </row>
    <row r="34">
      <c r="B34" s="21"/>
    </row>
    <row r="71">
      <c r="A71" s="7" t="s">
        <v>55</v>
      </c>
    </row>
    <row r="73">
      <c r="A73" s="17" t="s">
        <v>56</v>
      </c>
      <c r="F73" s="17"/>
    </row>
    <row r="75">
      <c r="A75" s="14" t="s">
        <v>59</v>
      </c>
      <c r="B75" s="15"/>
    </row>
    <row r="76">
      <c r="A76" s="12" t="s">
        <v>61</v>
      </c>
      <c r="B76" s="12" t="s">
        <v>63</v>
      </c>
    </row>
    <row r="77">
      <c r="A77" s="12" t="s">
        <v>64</v>
      </c>
      <c r="B77" s="12" t="s">
        <v>65</v>
      </c>
    </row>
    <row r="83">
      <c r="A83" s="22"/>
    </row>
    <row r="88">
      <c r="A88" s="7" t="s">
        <v>66</v>
      </c>
    </row>
    <row r="89">
      <c r="A89" s="17" t="s">
        <v>68</v>
      </c>
    </row>
    <row r="91">
      <c r="A91" s="14" t="s">
        <v>69</v>
      </c>
      <c r="B91" s="15"/>
    </row>
    <row r="92">
      <c r="A92" s="12" t="s">
        <v>61</v>
      </c>
      <c r="B92" s="12" t="s">
        <v>70</v>
      </c>
    </row>
    <row r="93">
      <c r="A93" s="12" t="s">
        <v>64</v>
      </c>
      <c r="B93" s="12" t="s">
        <v>65</v>
      </c>
    </row>
    <row r="94">
      <c r="A94" s="12" t="s">
        <v>71</v>
      </c>
      <c r="B94" s="12" t="s">
        <v>72</v>
      </c>
    </row>
    <row r="95">
      <c r="A95" s="12" t="s">
        <v>74</v>
      </c>
      <c r="B95" s="12">
        <v>400.0</v>
      </c>
    </row>
    <row r="96">
      <c r="A96" s="12" t="s">
        <v>76</v>
      </c>
      <c r="B96" s="12">
        <v>33200.0</v>
      </c>
    </row>
    <row r="97">
      <c r="A97" s="12" t="s">
        <v>78</v>
      </c>
      <c r="B97" s="12">
        <v>1.0</v>
      </c>
    </row>
    <row r="100">
      <c r="A100" s="14" t="s">
        <v>79</v>
      </c>
      <c r="B100" s="15"/>
    </row>
    <row r="101">
      <c r="A101" s="12" t="s">
        <v>61</v>
      </c>
      <c r="B101" s="12" t="s">
        <v>80</v>
      </c>
    </row>
    <row r="102">
      <c r="A102" s="12" t="s">
        <v>64</v>
      </c>
      <c r="B102" s="12" t="s">
        <v>65</v>
      </c>
    </row>
    <row r="103">
      <c r="A103" s="12" t="s">
        <v>81</v>
      </c>
      <c r="B103" s="12">
        <v>27.5</v>
      </c>
    </row>
    <row r="104">
      <c r="A104" s="12" t="s">
        <v>82</v>
      </c>
      <c r="B104" s="12">
        <v>0.85</v>
      </c>
    </row>
    <row r="106">
      <c r="A106" s="17" t="s">
        <v>83</v>
      </c>
    </row>
    <row r="108">
      <c r="A108" s="23" t="s">
        <v>84</v>
      </c>
    </row>
    <row r="109">
      <c r="A109" s="17" t="s">
        <v>85</v>
      </c>
    </row>
    <row r="112">
      <c r="A112" s="12" t="s">
        <v>86</v>
      </c>
      <c r="B112" s="24">
        <f>(C3*B3)/(F3*(C3+B3))</f>
        <v>0.5565201499</v>
      </c>
    </row>
    <row r="115">
      <c r="A115" s="17" t="s">
        <v>87</v>
      </c>
    </row>
    <row r="117">
      <c r="A117" s="17" t="s">
        <v>88</v>
      </c>
    </row>
    <row r="119">
      <c r="A119" s="12" t="s">
        <v>7</v>
      </c>
      <c r="B119" s="10" t="str">
        <f>G3</f>
        <v>ZINCO</v>
      </c>
    </row>
    <row r="120">
      <c r="A120" s="12" t="s">
        <v>8</v>
      </c>
      <c r="B120" s="10" t="str">
        <f>H3</f>
        <v>CLARA</v>
      </c>
    </row>
    <row r="121">
      <c r="A121" s="25" t="s">
        <v>9</v>
      </c>
      <c r="B121" s="26" t="str">
        <f>I3</f>
        <v>CONCRETO</v>
      </c>
    </row>
    <row r="122">
      <c r="A122" s="25" t="s">
        <v>89</v>
      </c>
      <c r="B122" s="25">
        <v>0.7</v>
      </c>
    </row>
    <row r="123">
      <c r="A123" s="25" t="s">
        <v>90</v>
      </c>
      <c r="B123" s="25">
        <v>0.5</v>
      </c>
    </row>
    <row r="124">
      <c r="A124" s="25" t="s">
        <v>91</v>
      </c>
      <c r="B124" s="25">
        <v>0.1</v>
      </c>
    </row>
    <row r="125">
      <c r="A125" s="25" t="s">
        <v>92</v>
      </c>
      <c r="B125" s="25">
        <v>0.5</v>
      </c>
    </row>
    <row r="126">
      <c r="A126" s="28" t="s">
        <v>93</v>
      </c>
      <c r="B126" s="27"/>
    </row>
    <row r="127">
      <c r="A127" s="27"/>
      <c r="B127" s="27"/>
    </row>
    <row r="128">
      <c r="A128" s="27"/>
      <c r="B128" s="27"/>
    </row>
    <row r="129">
      <c r="A129" s="27"/>
      <c r="B129" s="27"/>
    </row>
    <row r="130">
      <c r="A130" s="27"/>
      <c r="B130" s="27"/>
    </row>
    <row r="146">
      <c r="A146" s="23" t="s">
        <v>94</v>
      </c>
    </row>
    <row r="148">
      <c r="A148" s="17" t="s">
        <v>95</v>
      </c>
    </row>
    <row r="150">
      <c r="A150" s="12" t="s">
        <v>96</v>
      </c>
      <c r="B150" s="12" t="s">
        <v>97</v>
      </c>
    </row>
    <row r="151">
      <c r="A151" s="12" t="s">
        <v>98</v>
      </c>
      <c r="B151" s="12" t="s">
        <v>99</v>
      </c>
    </row>
    <row r="152">
      <c r="A152" s="12" t="s">
        <v>100</v>
      </c>
      <c r="B152" s="12">
        <v>24000.0</v>
      </c>
    </row>
    <row r="153">
      <c r="A153" s="12" t="s">
        <v>101</v>
      </c>
      <c r="B153" s="29">
        <f>(B152/2)/(14*30)</f>
        <v>28.57142857</v>
      </c>
    </row>
    <row r="154">
      <c r="A154" s="30" t="s">
        <v>102</v>
      </c>
      <c r="B154" s="31"/>
    </row>
    <row r="156">
      <c r="A156" s="17" t="s">
        <v>103</v>
      </c>
    </row>
    <row r="158">
      <c r="A158" s="32"/>
      <c r="B158" s="33"/>
    </row>
    <row r="159">
      <c r="A159" s="34"/>
      <c r="B159" s="35"/>
    </row>
    <row r="160">
      <c r="A160" s="32"/>
      <c r="B160" s="36"/>
    </row>
    <row r="161">
      <c r="A161" s="32"/>
      <c r="B161" s="35"/>
    </row>
    <row r="174">
      <c r="A174" s="12" t="s">
        <v>94</v>
      </c>
      <c r="B174" s="12">
        <v>0.76</v>
      </c>
    </row>
    <row r="201">
      <c r="A201" s="23" t="s">
        <v>104</v>
      </c>
    </row>
    <row r="202">
      <c r="A202" s="12" t="s">
        <v>105</v>
      </c>
      <c r="B202" s="24">
        <f>(B23*(B3*C3))/(B125*B174)</f>
        <v>38463.15789</v>
      </c>
    </row>
    <row r="215">
      <c r="A215" s="23" t="s">
        <v>106</v>
      </c>
    </row>
    <row r="217">
      <c r="A217" s="12" t="s">
        <v>107</v>
      </c>
      <c r="B217" s="24">
        <f>B202/(B97*B96)</f>
        <v>1.158528852</v>
      </c>
    </row>
    <row r="218">
      <c r="A218" s="14" t="s">
        <v>108</v>
      </c>
      <c r="B218" s="15"/>
    </row>
    <row r="219">
      <c r="A219" s="12" t="s">
        <v>109</v>
      </c>
      <c r="B219" s="12">
        <v>2.0</v>
      </c>
    </row>
    <row r="220">
      <c r="A220" s="12" t="s">
        <v>109</v>
      </c>
      <c r="B220" s="12">
        <v>2.0</v>
      </c>
    </row>
    <row r="244">
      <c r="C244" s="17" t="s">
        <v>111</v>
      </c>
    </row>
    <row r="246">
      <c r="A246" s="23" t="s">
        <v>112</v>
      </c>
    </row>
    <row r="250">
      <c r="A250" s="17" t="s">
        <v>116</v>
      </c>
    </row>
    <row r="252">
      <c r="A252" s="12" t="s">
        <v>114</v>
      </c>
      <c r="B252" s="12">
        <v>1.0</v>
      </c>
    </row>
    <row r="253">
      <c r="A253" s="12" t="s">
        <v>115</v>
      </c>
      <c r="B253" s="12">
        <v>2.0</v>
      </c>
    </row>
    <row r="255">
      <c r="C255" s="21" t="s">
        <v>117</v>
      </c>
    </row>
    <row r="256">
      <c r="A256" s="12" t="s">
        <v>118</v>
      </c>
      <c r="B256" s="12">
        <v>6.0</v>
      </c>
    </row>
    <row r="257">
      <c r="A257" s="12" t="s">
        <v>119</v>
      </c>
      <c r="B257" s="12">
        <v>8.12</v>
      </c>
    </row>
    <row r="258">
      <c r="A258" s="12" t="s">
        <v>120</v>
      </c>
      <c r="B258" s="10">
        <f>C3/B252</f>
        <v>6</v>
      </c>
      <c r="C258" s="37" t="str">
        <f t="shared" ref="C258:C259" si="1">IF(B258&lt;=$B$260,"CERTO","CORRIGIR")</f>
        <v>CERTO</v>
      </c>
    </row>
    <row r="259">
      <c r="A259" s="12" t="s">
        <v>121</v>
      </c>
      <c r="B259" s="24">
        <f>B3/B253</f>
        <v>4.06</v>
      </c>
      <c r="C259" s="37" t="str">
        <f t="shared" si="1"/>
        <v>CERTO</v>
      </c>
    </row>
    <row r="260">
      <c r="A260" s="12" t="s">
        <v>122</v>
      </c>
      <c r="B260" s="10">
        <f>1.5*F3</f>
        <v>9.3</v>
      </c>
    </row>
    <row r="267">
      <c r="A267" s="12" t="s">
        <v>123</v>
      </c>
      <c r="B267" s="12">
        <v>3.0</v>
      </c>
      <c r="C267" s="14" t="s">
        <v>127</v>
      </c>
      <c r="D267" s="38"/>
      <c r="E267" s="38"/>
      <c r="F267" s="15"/>
    </row>
    <row r="268">
      <c r="A268" s="12" t="s">
        <v>125</v>
      </c>
      <c r="B268" s="10">
        <f>B258/2</f>
        <v>3</v>
      </c>
      <c r="C268" s="17" t="s">
        <v>132</v>
      </c>
    </row>
    <row r="269">
      <c r="A269" s="12" t="s">
        <v>126</v>
      </c>
      <c r="B269" s="24">
        <f>B259</f>
        <v>4.06</v>
      </c>
      <c r="C269" s="17" t="s">
        <v>128</v>
      </c>
    </row>
    <row r="270">
      <c r="A270" s="12" t="s">
        <v>129</v>
      </c>
      <c r="B270" s="24">
        <f>B259/2</f>
        <v>2.03</v>
      </c>
      <c r="C270" s="17" t="s">
        <v>131</v>
      </c>
    </row>
    <row r="272">
      <c r="C272" s="21" t="s">
        <v>117</v>
      </c>
    </row>
    <row r="275">
      <c r="A275" s="12" t="s">
        <v>123</v>
      </c>
      <c r="B275" s="12">
        <f t="shared" ref="B275:B278" si="2">B267</f>
        <v>3</v>
      </c>
      <c r="C275" s="37" t="str">
        <f t="shared" ref="C275:C278" si="3">IF(B275&lt;=$B$260,"CERTO","CORRIGIR")</f>
        <v>CERTO</v>
      </c>
    </row>
    <row r="276">
      <c r="A276" s="12" t="s">
        <v>125</v>
      </c>
      <c r="B276" s="10">
        <f t="shared" si="2"/>
        <v>3</v>
      </c>
      <c r="C276" s="37" t="str">
        <f t="shared" si="3"/>
        <v>CERTO</v>
      </c>
    </row>
    <row r="277">
      <c r="A277" s="12" t="s">
        <v>126</v>
      </c>
      <c r="B277" s="24">
        <f t="shared" si="2"/>
        <v>4.06</v>
      </c>
      <c r="C277" s="37" t="str">
        <f t="shared" si="3"/>
        <v>CERTO</v>
      </c>
    </row>
    <row r="278">
      <c r="A278" s="12" t="s">
        <v>129</v>
      </c>
      <c r="B278" s="24">
        <f t="shared" si="2"/>
        <v>2.03</v>
      </c>
      <c r="C278" s="37" t="str">
        <f t="shared" si="3"/>
        <v>CERTO</v>
      </c>
    </row>
    <row r="284">
      <c r="A284" s="23" t="s">
        <v>135</v>
      </c>
    </row>
    <row r="286">
      <c r="A286" s="39" t="s">
        <v>136</v>
      </c>
      <c r="B286" s="40">
        <v>220.0</v>
      </c>
    </row>
    <row r="287">
      <c r="A287" s="41" t="s">
        <v>137</v>
      </c>
      <c r="B287" s="42">
        <f>((B97)*B95)+B103/B104</f>
        <v>432.3529412</v>
      </c>
    </row>
    <row r="288">
      <c r="A288" s="41" t="s">
        <v>138</v>
      </c>
      <c r="B288" s="43">
        <v>440.0</v>
      </c>
      <c r="C288" s="17" t="s">
        <v>139</v>
      </c>
    </row>
    <row r="289">
      <c r="A289" s="41" t="s">
        <v>140</v>
      </c>
      <c r="B289" s="44">
        <f>B288*B220</f>
        <v>880</v>
      </c>
    </row>
    <row r="290">
      <c r="A290" s="45" t="s">
        <v>141</v>
      </c>
      <c r="B290" s="42">
        <f>B289/B286</f>
        <v>4</v>
      </c>
    </row>
    <row r="296">
      <c r="A296" s="32"/>
      <c r="B296" s="46"/>
    </row>
    <row r="297">
      <c r="A297" s="32"/>
      <c r="B297" s="36"/>
    </row>
    <row r="298">
      <c r="A298" s="32"/>
      <c r="B298" s="35"/>
    </row>
    <row r="299">
      <c r="A299" s="32"/>
      <c r="B299" s="35"/>
    </row>
    <row r="300">
      <c r="A300" s="32"/>
      <c r="B300" s="36"/>
    </row>
  </sheetData>
  <mergeCells count="32">
    <mergeCell ref="A1:J1"/>
    <mergeCell ref="A6:J6"/>
    <mergeCell ref="A10:J10"/>
    <mergeCell ref="A13:B13"/>
    <mergeCell ref="A21:B21"/>
    <mergeCell ref="A26:B26"/>
    <mergeCell ref="A31:B31"/>
    <mergeCell ref="B27:B28"/>
    <mergeCell ref="B34:B35"/>
    <mergeCell ref="A71:F71"/>
    <mergeCell ref="A73:E73"/>
    <mergeCell ref="A75:B75"/>
    <mergeCell ref="A88:D88"/>
    <mergeCell ref="A89:B89"/>
    <mergeCell ref="A91:B91"/>
    <mergeCell ref="A100:B100"/>
    <mergeCell ref="A108:H108"/>
    <mergeCell ref="A117:G117"/>
    <mergeCell ref="A146:H146"/>
    <mergeCell ref="A201:H201"/>
    <mergeCell ref="A215:H215"/>
    <mergeCell ref="C269:E269"/>
    <mergeCell ref="C270:F270"/>
    <mergeCell ref="C272:C274"/>
    <mergeCell ref="A284:H284"/>
    <mergeCell ref="A218:B218"/>
    <mergeCell ref="A221:B221"/>
    <mergeCell ref="A246:H246"/>
    <mergeCell ref="A248:F248"/>
    <mergeCell ref="C255:C257"/>
    <mergeCell ref="C267:F267"/>
    <mergeCell ref="C268:H26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55.25"/>
    <col customWidth="1" min="3" max="3" width="18.38"/>
    <col customWidth="1" min="10" max="10" width="18.88"/>
  </cols>
  <sheetData>
    <row r="1">
      <c r="A1" s="7" t="s">
        <v>13</v>
      </c>
    </row>
    <row r="2">
      <c r="A2" s="8" t="s">
        <v>1</v>
      </c>
      <c r="B2" s="2" t="s">
        <v>3</v>
      </c>
      <c r="C2" s="2" t="s">
        <v>4</v>
      </c>
      <c r="D2" s="1" t="s">
        <v>2</v>
      </c>
      <c r="E2" s="1" t="s">
        <v>10</v>
      </c>
      <c r="F2" s="1" t="s">
        <v>18</v>
      </c>
      <c r="G2" s="3" t="s">
        <v>7</v>
      </c>
      <c r="H2" s="3" t="s">
        <v>8</v>
      </c>
      <c r="I2" s="3" t="s">
        <v>9</v>
      </c>
      <c r="J2" s="9" t="s">
        <v>19</v>
      </c>
    </row>
    <row r="3">
      <c r="A3" s="4" t="s">
        <v>22</v>
      </c>
      <c r="B3" s="10">
        <f>DADOS!D6</f>
        <v>11.18</v>
      </c>
      <c r="C3" s="10">
        <f>DADOS!E6</f>
        <v>9.6</v>
      </c>
      <c r="D3" s="10">
        <f>DADOS!C6</f>
        <v>0.8</v>
      </c>
      <c r="E3" s="10">
        <f>DADOS!K6</f>
        <v>7</v>
      </c>
      <c r="F3" s="10">
        <f>E3-D3</f>
        <v>6.2</v>
      </c>
      <c r="G3" s="10" t="str">
        <f>DADOS!H6</f>
        <v>ZINCO</v>
      </c>
      <c r="H3" s="10" t="str">
        <f>DADOS!I6</f>
        <v>CLARA</v>
      </c>
      <c r="I3" s="10" t="str">
        <f>DADOS!J6</f>
        <v>CONCRETO</v>
      </c>
      <c r="J3" s="12" t="s">
        <v>24</v>
      </c>
    </row>
    <row r="6">
      <c r="A6" s="7" t="s">
        <v>25</v>
      </c>
    </row>
    <row r="10">
      <c r="A10" s="7" t="s">
        <v>26</v>
      </c>
    </row>
    <row r="13">
      <c r="A13" s="14" t="s">
        <v>27</v>
      </c>
      <c r="B13" s="15"/>
    </row>
    <row r="15">
      <c r="A15" s="12" t="s">
        <v>29</v>
      </c>
      <c r="B15" s="12">
        <v>41.0</v>
      </c>
    </row>
    <row r="16">
      <c r="A16" s="12" t="s">
        <v>31</v>
      </c>
      <c r="B16" s="12" t="s">
        <v>32</v>
      </c>
    </row>
    <row r="17">
      <c r="A17" s="12" t="s">
        <v>33</v>
      </c>
      <c r="B17" s="16">
        <v>0.4</v>
      </c>
    </row>
    <row r="18">
      <c r="A18" s="12" t="s">
        <v>34</v>
      </c>
      <c r="B18" s="12">
        <v>0.0</v>
      </c>
    </row>
    <row r="21">
      <c r="A21" s="14" t="s">
        <v>35</v>
      </c>
      <c r="B21" s="15"/>
    </row>
    <row r="22">
      <c r="A22" s="12" t="s">
        <v>37</v>
      </c>
      <c r="B22" s="12" t="s">
        <v>38</v>
      </c>
      <c r="C22" s="17"/>
      <c r="D22" s="17"/>
    </row>
    <row r="23">
      <c r="A23" s="12" t="s">
        <v>39</v>
      </c>
      <c r="B23" s="12">
        <v>300.0</v>
      </c>
      <c r="C23" s="7"/>
      <c r="D23" s="7"/>
    </row>
    <row r="26">
      <c r="A26" s="14" t="s">
        <v>40</v>
      </c>
      <c r="B26" s="15"/>
    </row>
    <row r="27">
      <c r="A27" s="12" t="s">
        <v>43</v>
      </c>
      <c r="B27" s="18" t="s">
        <v>44</v>
      </c>
    </row>
    <row r="28">
      <c r="A28" s="12" t="s">
        <v>45</v>
      </c>
      <c r="B28" s="19"/>
    </row>
    <row r="29">
      <c r="A29" s="12" t="s">
        <v>46</v>
      </c>
      <c r="B29" s="12">
        <v>200.0</v>
      </c>
    </row>
    <row r="31">
      <c r="A31" s="17" t="s">
        <v>49</v>
      </c>
    </row>
    <row r="33">
      <c r="A33" s="12" t="s">
        <v>39</v>
      </c>
      <c r="B33" s="20">
        <v>300.0</v>
      </c>
    </row>
    <row r="34">
      <c r="B34" s="21"/>
    </row>
    <row r="71">
      <c r="A71" s="7" t="s">
        <v>55</v>
      </c>
    </row>
    <row r="73">
      <c r="A73" s="17" t="s">
        <v>56</v>
      </c>
      <c r="F73" s="17"/>
    </row>
    <row r="75">
      <c r="A75" s="14" t="s">
        <v>59</v>
      </c>
      <c r="B75" s="15"/>
    </row>
    <row r="76">
      <c r="A76" s="12" t="s">
        <v>61</v>
      </c>
      <c r="B76" s="12" t="s">
        <v>63</v>
      </c>
    </row>
    <row r="77">
      <c r="A77" s="12" t="s">
        <v>64</v>
      </c>
      <c r="B77" s="12" t="s">
        <v>65</v>
      </c>
    </row>
    <row r="83">
      <c r="A83" s="22"/>
    </row>
    <row r="88">
      <c r="A88" s="7" t="s">
        <v>66</v>
      </c>
    </row>
    <row r="89">
      <c r="A89" s="17" t="s">
        <v>68</v>
      </c>
    </row>
    <row r="91">
      <c r="A91" s="14" t="s">
        <v>69</v>
      </c>
      <c r="B91" s="15"/>
    </row>
    <row r="92">
      <c r="A92" s="12" t="s">
        <v>61</v>
      </c>
      <c r="B92" s="12" t="s">
        <v>70</v>
      </c>
    </row>
    <row r="93">
      <c r="A93" s="12" t="s">
        <v>64</v>
      </c>
      <c r="B93" s="12" t="s">
        <v>65</v>
      </c>
    </row>
    <row r="94">
      <c r="A94" s="12" t="s">
        <v>71</v>
      </c>
      <c r="B94" s="12" t="s">
        <v>72</v>
      </c>
    </row>
    <row r="95">
      <c r="A95" s="12" t="s">
        <v>74</v>
      </c>
      <c r="B95" s="12">
        <v>400.0</v>
      </c>
    </row>
    <row r="96">
      <c r="A96" s="12" t="s">
        <v>76</v>
      </c>
      <c r="B96" s="12">
        <v>33200.0</v>
      </c>
    </row>
    <row r="97">
      <c r="A97" s="12" t="s">
        <v>78</v>
      </c>
      <c r="B97" s="12">
        <v>1.0</v>
      </c>
    </row>
    <row r="100">
      <c r="A100" s="14" t="s">
        <v>79</v>
      </c>
      <c r="B100" s="15"/>
    </row>
    <row r="101">
      <c r="A101" s="12" t="s">
        <v>61</v>
      </c>
      <c r="B101" s="12" t="s">
        <v>80</v>
      </c>
    </row>
    <row r="102">
      <c r="A102" s="12" t="s">
        <v>64</v>
      </c>
      <c r="B102" s="12" t="s">
        <v>65</v>
      </c>
    </row>
    <row r="103">
      <c r="A103" s="12" t="s">
        <v>81</v>
      </c>
      <c r="B103" s="12">
        <v>27.5</v>
      </c>
    </row>
    <row r="104">
      <c r="A104" s="12" t="s">
        <v>82</v>
      </c>
      <c r="B104" s="12">
        <v>0.85</v>
      </c>
    </row>
    <row r="106">
      <c r="A106" s="17" t="s">
        <v>83</v>
      </c>
    </row>
    <row r="108">
      <c r="A108" s="23" t="s">
        <v>84</v>
      </c>
    </row>
    <row r="109">
      <c r="A109" s="17" t="s">
        <v>85</v>
      </c>
    </row>
    <row r="112">
      <c r="A112" s="12" t="s">
        <v>86</v>
      </c>
      <c r="B112" s="24">
        <f>(C3*B3)/(F3*(C3+B3))</f>
        <v>0.8330590829</v>
      </c>
    </row>
    <row r="115">
      <c r="A115" s="17" t="s">
        <v>87</v>
      </c>
    </row>
    <row r="117">
      <c r="A117" s="17" t="s">
        <v>88</v>
      </c>
    </row>
    <row r="119">
      <c r="A119" s="12" t="s">
        <v>7</v>
      </c>
      <c r="B119" s="10" t="str">
        <f>G3</f>
        <v>ZINCO</v>
      </c>
    </row>
    <row r="120">
      <c r="A120" s="12" t="s">
        <v>8</v>
      </c>
      <c r="B120" s="10" t="str">
        <f>H3</f>
        <v>CLARA</v>
      </c>
    </row>
    <row r="121">
      <c r="A121" s="25" t="s">
        <v>9</v>
      </c>
      <c r="B121" s="26" t="str">
        <f>I3</f>
        <v>CONCRETO</v>
      </c>
    </row>
    <row r="122">
      <c r="A122" s="25" t="s">
        <v>89</v>
      </c>
      <c r="B122" s="25">
        <v>0.7</v>
      </c>
    </row>
    <row r="123">
      <c r="A123" s="25" t="s">
        <v>90</v>
      </c>
      <c r="B123" s="25">
        <v>0.5</v>
      </c>
    </row>
    <row r="124">
      <c r="A124" s="25" t="s">
        <v>91</v>
      </c>
      <c r="B124" s="25">
        <v>0.1</v>
      </c>
    </row>
    <row r="125">
      <c r="A125" s="25" t="s">
        <v>92</v>
      </c>
      <c r="B125" s="25">
        <v>0.58</v>
      </c>
    </row>
    <row r="126">
      <c r="A126" s="28"/>
      <c r="B126" s="27"/>
    </row>
    <row r="127">
      <c r="A127" s="27"/>
      <c r="B127" s="27"/>
    </row>
    <row r="128">
      <c r="A128" s="27"/>
      <c r="B128" s="27"/>
    </row>
    <row r="129">
      <c r="A129" s="27"/>
      <c r="B129" s="27"/>
    </row>
    <row r="130">
      <c r="A130" s="27"/>
      <c r="B130" s="27"/>
    </row>
    <row r="146">
      <c r="A146" s="23" t="s">
        <v>94</v>
      </c>
    </row>
    <row r="148">
      <c r="A148" s="17" t="s">
        <v>95</v>
      </c>
    </row>
    <row r="150">
      <c r="A150" s="12" t="s">
        <v>96</v>
      </c>
      <c r="B150" s="12" t="s">
        <v>97</v>
      </c>
    </row>
    <row r="151">
      <c r="A151" s="12" t="s">
        <v>98</v>
      </c>
      <c r="B151" s="12" t="s">
        <v>99</v>
      </c>
    </row>
    <row r="152">
      <c r="A152" s="12" t="s">
        <v>100</v>
      </c>
      <c r="B152" s="12">
        <v>24000.0</v>
      </c>
    </row>
    <row r="153">
      <c r="A153" s="12" t="s">
        <v>101</v>
      </c>
      <c r="B153" s="29">
        <f>(B152/2)/(14*30)</f>
        <v>28.57142857</v>
      </c>
    </row>
    <row r="154">
      <c r="A154" s="30" t="s">
        <v>102</v>
      </c>
      <c r="B154" s="31"/>
    </row>
    <row r="156">
      <c r="A156" s="17" t="s">
        <v>103</v>
      </c>
    </row>
    <row r="158">
      <c r="A158" s="32"/>
      <c r="B158" s="33"/>
    </row>
    <row r="159">
      <c r="A159" s="34"/>
      <c r="B159" s="35"/>
    </row>
    <row r="160">
      <c r="A160" s="32"/>
      <c r="B160" s="36"/>
    </row>
    <row r="161">
      <c r="A161" s="32"/>
      <c r="B161" s="35"/>
    </row>
    <row r="174">
      <c r="A174" s="12" t="s">
        <v>94</v>
      </c>
      <c r="B174" s="12">
        <v>0.76</v>
      </c>
    </row>
    <row r="201">
      <c r="A201" s="23" t="s">
        <v>104</v>
      </c>
    </row>
    <row r="202">
      <c r="A202" s="12" t="s">
        <v>105</v>
      </c>
      <c r="B202" s="24">
        <f>(B23*(B3*C3))/(B125*B174)</f>
        <v>73045.37205</v>
      </c>
    </row>
    <row r="215">
      <c r="A215" s="23" t="s">
        <v>106</v>
      </c>
    </row>
    <row r="217">
      <c r="A217" s="12" t="s">
        <v>107</v>
      </c>
      <c r="B217" s="24">
        <f>B202/(B97*B96)</f>
        <v>2.200161809</v>
      </c>
    </row>
    <row r="218">
      <c r="A218" s="14" t="s">
        <v>108</v>
      </c>
      <c r="B218" s="15"/>
    </row>
    <row r="219">
      <c r="A219" s="12" t="s">
        <v>109</v>
      </c>
      <c r="B219" s="12">
        <v>3.0</v>
      </c>
    </row>
    <row r="220">
      <c r="A220" s="12" t="s">
        <v>109</v>
      </c>
      <c r="B220" s="12">
        <v>4.0</v>
      </c>
    </row>
    <row r="221">
      <c r="A221" s="17" t="s">
        <v>130</v>
      </c>
    </row>
    <row r="244">
      <c r="C244" s="17" t="s">
        <v>111</v>
      </c>
    </row>
    <row r="246">
      <c r="A246" s="23" t="s">
        <v>112</v>
      </c>
    </row>
    <row r="250">
      <c r="A250" s="17" t="s">
        <v>134</v>
      </c>
    </row>
    <row r="252">
      <c r="A252" s="12" t="s">
        <v>114</v>
      </c>
      <c r="B252" s="12">
        <v>2.0</v>
      </c>
    </row>
    <row r="253">
      <c r="A253" s="12" t="s">
        <v>115</v>
      </c>
      <c r="B253" s="12">
        <v>2.0</v>
      </c>
    </row>
    <row r="255">
      <c r="C255" s="21" t="s">
        <v>117</v>
      </c>
    </row>
    <row r="256">
      <c r="A256" s="12" t="s">
        <v>118</v>
      </c>
      <c r="B256" s="12">
        <v>9.6</v>
      </c>
    </row>
    <row r="257">
      <c r="A257" s="12" t="s">
        <v>119</v>
      </c>
      <c r="B257" s="12">
        <v>11.18</v>
      </c>
    </row>
    <row r="258">
      <c r="A258" s="12" t="s">
        <v>120</v>
      </c>
      <c r="B258" s="10">
        <f>C3/B252</f>
        <v>4.8</v>
      </c>
      <c r="C258" s="37" t="str">
        <f t="shared" ref="C258:C259" si="1">IF(B258&lt;=$B$260,"CERTO","CORRIGIR")</f>
        <v>CERTO</v>
      </c>
    </row>
    <row r="259">
      <c r="A259" s="12" t="s">
        <v>121</v>
      </c>
      <c r="B259" s="24">
        <f>B3/B253</f>
        <v>5.59</v>
      </c>
      <c r="C259" s="37" t="str">
        <f t="shared" si="1"/>
        <v>CERTO</v>
      </c>
    </row>
    <row r="260">
      <c r="A260" s="12" t="s">
        <v>122</v>
      </c>
      <c r="B260" s="10">
        <f>1.5*F3</f>
        <v>9.3</v>
      </c>
    </row>
    <row r="267">
      <c r="A267" s="12" t="s">
        <v>123</v>
      </c>
      <c r="B267" s="59">
        <f>B258</f>
        <v>4.8</v>
      </c>
      <c r="C267" s="17" t="s">
        <v>124</v>
      </c>
    </row>
    <row r="268">
      <c r="A268" s="12" t="s">
        <v>125</v>
      </c>
      <c r="B268" s="24">
        <f>B258/2</f>
        <v>2.4</v>
      </c>
      <c r="C268" s="17" t="s">
        <v>132</v>
      </c>
    </row>
    <row r="269">
      <c r="A269" s="12" t="s">
        <v>126</v>
      </c>
      <c r="B269" s="24">
        <f>B259</f>
        <v>5.59</v>
      </c>
      <c r="C269" s="17" t="s">
        <v>128</v>
      </c>
    </row>
    <row r="270">
      <c r="A270" s="12" t="s">
        <v>129</v>
      </c>
      <c r="B270" s="24">
        <f>B259/2</f>
        <v>2.795</v>
      </c>
      <c r="C270" s="17" t="s">
        <v>131</v>
      </c>
    </row>
    <row r="272">
      <c r="C272" s="21" t="s">
        <v>117</v>
      </c>
    </row>
    <row r="275">
      <c r="A275" s="12" t="s">
        <v>123</v>
      </c>
      <c r="B275" s="59">
        <f t="shared" ref="B275:B278" si="2">B267</f>
        <v>4.8</v>
      </c>
      <c r="C275" s="37" t="str">
        <f t="shared" ref="C275:C278" si="3">IF(B275&lt;=$B$260,"CERTO","CORRIGIR")</f>
        <v>CERTO</v>
      </c>
    </row>
    <row r="276">
      <c r="A276" s="12" t="s">
        <v>125</v>
      </c>
      <c r="B276" s="24">
        <f t="shared" si="2"/>
        <v>2.4</v>
      </c>
      <c r="C276" s="37" t="str">
        <f t="shared" si="3"/>
        <v>CERTO</v>
      </c>
    </row>
    <row r="277">
      <c r="A277" s="12" t="s">
        <v>126</v>
      </c>
      <c r="B277" s="24">
        <f t="shared" si="2"/>
        <v>5.59</v>
      </c>
      <c r="C277" s="37" t="str">
        <f t="shared" si="3"/>
        <v>CERTO</v>
      </c>
    </row>
    <row r="278">
      <c r="A278" s="12" t="s">
        <v>129</v>
      </c>
      <c r="B278" s="24">
        <f t="shared" si="2"/>
        <v>2.795</v>
      </c>
      <c r="C278" s="37" t="str">
        <f t="shared" si="3"/>
        <v>CERTO</v>
      </c>
    </row>
    <row r="284">
      <c r="A284" s="23" t="s">
        <v>135</v>
      </c>
    </row>
    <row r="286">
      <c r="A286" s="39" t="s">
        <v>136</v>
      </c>
      <c r="B286" s="40">
        <v>220.0</v>
      </c>
    </row>
    <row r="287">
      <c r="A287" s="41" t="s">
        <v>137</v>
      </c>
      <c r="B287" s="42">
        <f>((B97)*B95)+B103/B104</f>
        <v>432.3529412</v>
      </c>
    </row>
    <row r="288">
      <c r="A288" s="41" t="s">
        <v>138</v>
      </c>
      <c r="B288" s="43">
        <v>440.0</v>
      </c>
      <c r="C288" s="17" t="s">
        <v>139</v>
      </c>
    </row>
    <row r="289">
      <c r="A289" s="41" t="s">
        <v>140</v>
      </c>
      <c r="B289" s="44">
        <f>B288*B220</f>
        <v>1760</v>
      </c>
    </row>
    <row r="290">
      <c r="A290" s="45" t="s">
        <v>141</v>
      </c>
      <c r="B290" s="42">
        <f>B289/B286</f>
        <v>8</v>
      </c>
    </row>
    <row r="296">
      <c r="A296" s="32"/>
      <c r="B296" s="46"/>
    </row>
    <row r="297">
      <c r="A297" s="32"/>
      <c r="B297" s="36"/>
    </row>
    <row r="298">
      <c r="A298" s="32"/>
      <c r="B298" s="35"/>
    </row>
    <row r="299">
      <c r="A299" s="32"/>
      <c r="B299" s="35"/>
    </row>
    <row r="300">
      <c r="A300" s="32"/>
      <c r="B300" s="36"/>
    </row>
  </sheetData>
  <mergeCells count="32">
    <mergeCell ref="A1:J1"/>
    <mergeCell ref="A6:J6"/>
    <mergeCell ref="A10:J10"/>
    <mergeCell ref="A13:B13"/>
    <mergeCell ref="A21:B21"/>
    <mergeCell ref="A26:B26"/>
    <mergeCell ref="A31:B31"/>
    <mergeCell ref="B27:B28"/>
    <mergeCell ref="B34:B35"/>
    <mergeCell ref="A71:F71"/>
    <mergeCell ref="A73:E73"/>
    <mergeCell ref="A75:B75"/>
    <mergeCell ref="A88:D88"/>
    <mergeCell ref="A89:B89"/>
    <mergeCell ref="A91:B91"/>
    <mergeCell ref="A100:B100"/>
    <mergeCell ref="A108:H108"/>
    <mergeCell ref="A117:G117"/>
    <mergeCell ref="A146:H146"/>
    <mergeCell ref="A201:H201"/>
    <mergeCell ref="A215:H215"/>
    <mergeCell ref="C269:E269"/>
    <mergeCell ref="C270:F270"/>
    <mergeCell ref="C272:C274"/>
    <mergeCell ref="A284:H284"/>
    <mergeCell ref="A218:B218"/>
    <mergeCell ref="A221:B221"/>
    <mergeCell ref="A246:H246"/>
    <mergeCell ref="A248:F248"/>
    <mergeCell ref="C255:C257"/>
    <mergeCell ref="C267:F267"/>
    <mergeCell ref="C268:H26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56.13"/>
    <col customWidth="1" min="3" max="3" width="18.38"/>
    <col customWidth="1" min="10" max="10" width="18.88"/>
  </cols>
  <sheetData>
    <row r="1">
      <c r="A1" s="7" t="s">
        <v>13</v>
      </c>
    </row>
    <row r="2">
      <c r="A2" s="8" t="s">
        <v>1</v>
      </c>
      <c r="B2" s="2" t="s">
        <v>3</v>
      </c>
      <c r="C2" s="2" t="s">
        <v>4</v>
      </c>
      <c r="D2" s="1" t="s">
        <v>2</v>
      </c>
      <c r="E2" s="1" t="s">
        <v>10</v>
      </c>
      <c r="F2" s="1" t="s">
        <v>18</v>
      </c>
      <c r="G2" s="3" t="s">
        <v>7</v>
      </c>
      <c r="H2" s="3" t="s">
        <v>8</v>
      </c>
      <c r="I2" s="3" t="s">
        <v>9</v>
      </c>
      <c r="J2" s="9" t="s">
        <v>19</v>
      </c>
    </row>
    <row r="3">
      <c r="A3" s="5" t="s">
        <v>23</v>
      </c>
      <c r="B3" s="11">
        <f>DADOS!D7</f>
        <v>8.12</v>
      </c>
      <c r="C3" s="11">
        <f>DADOS!E7</f>
        <v>30.92</v>
      </c>
      <c r="D3" s="11">
        <f>DADOS!C7</f>
        <v>0.8</v>
      </c>
      <c r="E3" s="11">
        <f>DADOS!K7</f>
        <v>7</v>
      </c>
      <c r="F3" s="11">
        <f>E3-D3</f>
        <v>6.2</v>
      </c>
      <c r="G3" s="11" t="str">
        <f>DADOS!H7</f>
        <v>ZINCO</v>
      </c>
      <c r="H3" s="11" t="str">
        <f>DADOS!I7</f>
        <v>CLARA</v>
      </c>
      <c r="I3" s="11" t="str">
        <f>DADOS!J7</f>
        <v>CONCRETO</v>
      </c>
      <c r="J3" s="8" t="s">
        <v>24</v>
      </c>
    </row>
    <row r="6">
      <c r="A6" s="13" t="s">
        <v>25</v>
      </c>
    </row>
    <row r="10">
      <c r="A10" s="13" t="s">
        <v>26</v>
      </c>
    </row>
    <row r="13">
      <c r="A13" s="14" t="s">
        <v>27</v>
      </c>
      <c r="B13" s="15"/>
    </row>
    <row r="14">
      <c r="A14" s="12" t="s">
        <v>29</v>
      </c>
      <c r="B14" s="12">
        <v>41.0</v>
      </c>
    </row>
    <row r="15">
      <c r="A15" s="12" t="s">
        <v>31</v>
      </c>
      <c r="B15" s="12" t="s">
        <v>32</v>
      </c>
    </row>
    <row r="16">
      <c r="A16" s="12" t="s">
        <v>33</v>
      </c>
      <c r="B16" s="16">
        <v>0.4</v>
      </c>
    </row>
    <row r="17">
      <c r="A17" s="12" t="s">
        <v>34</v>
      </c>
      <c r="B17" s="12">
        <v>0.0</v>
      </c>
    </row>
    <row r="21">
      <c r="A21" s="14" t="s">
        <v>35</v>
      </c>
      <c r="B21" s="15"/>
    </row>
    <row r="22">
      <c r="A22" s="12" t="s">
        <v>37</v>
      </c>
      <c r="B22" s="12" t="s">
        <v>41</v>
      </c>
      <c r="C22" s="17"/>
      <c r="D22" s="17"/>
    </row>
    <row r="23">
      <c r="A23" s="12" t="s">
        <v>39</v>
      </c>
      <c r="B23" s="12">
        <v>750.0</v>
      </c>
      <c r="C23" s="7"/>
      <c r="D23" s="7"/>
    </row>
    <row r="26">
      <c r="A26" s="14"/>
      <c r="B26" s="15"/>
    </row>
    <row r="27">
      <c r="A27" s="12"/>
      <c r="B27" s="18"/>
    </row>
    <row r="28">
      <c r="A28" s="12"/>
      <c r="B28" s="19"/>
    </row>
    <row r="29">
      <c r="A29" s="12"/>
      <c r="B29" s="12"/>
    </row>
    <row r="33">
      <c r="A33" s="12" t="s">
        <v>39</v>
      </c>
      <c r="B33" s="20">
        <v>750.0</v>
      </c>
    </row>
    <row r="34">
      <c r="B34" s="21"/>
    </row>
    <row r="71">
      <c r="A71" s="7" t="s">
        <v>55</v>
      </c>
    </row>
    <row r="73">
      <c r="A73" s="17" t="s">
        <v>62</v>
      </c>
      <c r="F73" s="17"/>
    </row>
    <row r="75">
      <c r="A75" s="14" t="s">
        <v>59</v>
      </c>
      <c r="B75" s="15"/>
    </row>
    <row r="76">
      <c r="A76" s="12" t="s">
        <v>61</v>
      </c>
      <c r="B76" s="12" t="s">
        <v>63</v>
      </c>
    </row>
    <row r="77">
      <c r="A77" s="12" t="s">
        <v>64</v>
      </c>
      <c r="B77" s="12" t="s">
        <v>65</v>
      </c>
    </row>
    <row r="83">
      <c r="A83" s="22"/>
    </row>
    <row r="88">
      <c r="A88" s="7" t="s">
        <v>66</v>
      </c>
    </row>
    <row r="89">
      <c r="A89" s="17" t="s">
        <v>68</v>
      </c>
    </row>
    <row r="91">
      <c r="A91" s="14" t="s">
        <v>69</v>
      </c>
      <c r="B91" s="15"/>
    </row>
    <row r="92">
      <c r="A92" s="12" t="s">
        <v>61</v>
      </c>
      <c r="B92" s="12" t="s">
        <v>70</v>
      </c>
    </row>
    <row r="93">
      <c r="A93" s="12" t="s">
        <v>64</v>
      </c>
      <c r="B93" s="12" t="s">
        <v>65</v>
      </c>
    </row>
    <row r="94">
      <c r="A94" s="12" t="s">
        <v>71</v>
      </c>
      <c r="B94" s="12" t="s">
        <v>72</v>
      </c>
    </row>
    <row r="95">
      <c r="A95" s="12" t="s">
        <v>74</v>
      </c>
      <c r="B95" s="12">
        <v>400.0</v>
      </c>
    </row>
    <row r="96">
      <c r="A96" s="12" t="s">
        <v>76</v>
      </c>
      <c r="B96" s="12">
        <v>33200.0</v>
      </c>
    </row>
    <row r="97">
      <c r="A97" s="12" t="s">
        <v>78</v>
      </c>
      <c r="B97" s="12">
        <v>1.0</v>
      </c>
    </row>
    <row r="100">
      <c r="A100" s="14" t="s">
        <v>79</v>
      </c>
      <c r="B100" s="15"/>
    </row>
    <row r="101">
      <c r="A101" s="12" t="s">
        <v>61</v>
      </c>
      <c r="B101" s="12" t="s">
        <v>80</v>
      </c>
    </row>
    <row r="102">
      <c r="A102" s="12" t="s">
        <v>64</v>
      </c>
      <c r="B102" s="12" t="s">
        <v>65</v>
      </c>
    </row>
    <row r="103">
      <c r="A103" s="12" t="s">
        <v>81</v>
      </c>
      <c r="B103" s="12">
        <v>27.5</v>
      </c>
    </row>
    <row r="104">
      <c r="A104" s="12" t="s">
        <v>82</v>
      </c>
      <c r="B104" s="12">
        <v>0.85</v>
      </c>
    </row>
    <row r="106">
      <c r="A106" s="17" t="s">
        <v>83</v>
      </c>
    </row>
    <row r="108">
      <c r="A108" s="23" t="s">
        <v>84</v>
      </c>
    </row>
    <row r="109">
      <c r="A109" s="17" t="s">
        <v>85</v>
      </c>
    </row>
    <row r="112">
      <c r="A112" s="12" t="s">
        <v>86</v>
      </c>
      <c r="B112" s="24">
        <f>(C3*B3)/(F3*(C3+B3))</f>
        <v>1.037275251</v>
      </c>
    </row>
    <row r="115">
      <c r="A115" s="17" t="s">
        <v>87</v>
      </c>
    </row>
    <row r="117">
      <c r="A117" s="17" t="s">
        <v>88</v>
      </c>
    </row>
    <row r="119">
      <c r="A119" s="12" t="s">
        <v>7</v>
      </c>
      <c r="B119" s="10" t="str">
        <f>G3</f>
        <v>ZINCO</v>
      </c>
    </row>
    <row r="120">
      <c r="A120" s="12" t="s">
        <v>8</v>
      </c>
      <c r="B120" s="10" t="str">
        <f>H3</f>
        <v>CLARA</v>
      </c>
    </row>
    <row r="121">
      <c r="A121" s="12" t="s">
        <v>9</v>
      </c>
      <c r="B121" s="10" t="str">
        <f>I3</f>
        <v>CONCRETO</v>
      </c>
    </row>
    <row r="122">
      <c r="A122" s="12" t="s">
        <v>89</v>
      </c>
      <c r="B122" s="12">
        <v>0.7</v>
      </c>
    </row>
    <row r="123">
      <c r="A123" s="12" t="s">
        <v>90</v>
      </c>
      <c r="B123" s="12">
        <v>0.5</v>
      </c>
    </row>
    <row r="124">
      <c r="A124" s="12" t="s">
        <v>91</v>
      </c>
      <c r="B124" s="12">
        <v>0.1</v>
      </c>
    </row>
    <row r="125">
      <c r="A125" s="12" t="s">
        <v>92</v>
      </c>
      <c r="B125" s="12">
        <v>0.63</v>
      </c>
    </row>
    <row r="146">
      <c r="A146" s="23" t="s">
        <v>94</v>
      </c>
    </row>
    <row r="148">
      <c r="A148" s="17" t="s">
        <v>95</v>
      </c>
    </row>
    <row r="150">
      <c r="A150" s="12" t="s">
        <v>96</v>
      </c>
      <c r="B150" s="12" t="s">
        <v>97</v>
      </c>
    </row>
    <row r="151">
      <c r="A151" s="12" t="s">
        <v>98</v>
      </c>
      <c r="B151" s="12" t="s">
        <v>99</v>
      </c>
    </row>
    <row r="152">
      <c r="A152" s="12" t="s">
        <v>100</v>
      </c>
      <c r="B152" s="12">
        <v>24000.0</v>
      </c>
    </row>
    <row r="153">
      <c r="A153" s="12" t="s">
        <v>101</v>
      </c>
      <c r="B153" s="29">
        <f>(B152/2)/(14*30)</f>
        <v>28.57142857</v>
      </c>
    </row>
    <row r="154">
      <c r="A154" s="30" t="s">
        <v>102</v>
      </c>
      <c r="B154" s="31"/>
    </row>
    <row r="156">
      <c r="A156" s="17" t="s">
        <v>103</v>
      </c>
    </row>
    <row r="158">
      <c r="A158" s="32"/>
      <c r="B158" s="33"/>
    </row>
    <row r="159">
      <c r="A159" s="34"/>
      <c r="B159" s="35"/>
    </row>
    <row r="160">
      <c r="A160" s="32"/>
      <c r="B160" s="36"/>
    </row>
    <row r="161">
      <c r="A161" s="32"/>
      <c r="B161" s="35"/>
    </row>
    <row r="174">
      <c r="A174" s="12" t="s">
        <v>94</v>
      </c>
      <c r="B174" s="12">
        <v>0.76</v>
      </c>
    </row>
    <row r="201">
      <c r="A201" s="23" t="s">
        <v>104</v>
      </c>
    </row>
    <row r="202">
      <c r="A202" s="12" t="s">
        <v>105</v>
      </c>
      <c r="B202" s="24">
        <f>(B23*(B3*C3))/(B125*B174)</f>
        <v>393280.7018</v>
      </c>
    </row>
    <row r="215">
      <c r="A215" s="23" t="s">
        <v>106</v>
      </c>
    </row>
    <row r="217">
      <c r="A217" s="12" t="s">
        <v>107</v>
      </c>
      <c r="B217" s="24">
        <f>B202/(B97*B96)</f>
        <v>11.84580427</v>
      </c>
    </row>
    <row r="218">
      <c r="A218" s="14" t="s">
        <v>108</v>
      </c>
      <c r="B218" s="15"/>
    </row>
    <row r="219">
      <c r="A219" s="12" t="s">
        <v>109</v>
      </c>
      <c r="B219" s="12">
        <v>12.0</v>
      </c>
    </row>
    <row r="220">
      <c r="A220" s="12" t="s">
        <v>109</v>
      </c>
      <c r="B220" s="12">
        <v>12.0</v>
      </c>
    </row>
    <row r="223">
      <c r="B223" s="37">
        <f>389377.17/26000*1</f>
        <v>14.976045</v>
      </c>
    </row>
    <row r="244">
      <c r="C244" s="17" t="s">
        <v>111</v>
      </c>
    </row>
    <row r="246">
      <c r="A246" s="23" t="s">
        <v>112</v>
      </c>
    </row>
    <row r="250">
      <c r="A250" s="17" t="s">
        <v>153</v>
      </c>
    </row>
    <row r="252">
      <c r="A252" s="12" t="s">
        <v>114</v>
      </c>
      <c r="B252" s="12">
        <v>6.0</v>
      </c>
    </row>
    <row r="253">
      <c r="A253" s="12" t="s">
        <v>115</v>
      </c>
      <c r="B253" s="12">
        <v>2.0</v>
      </c>
    </row>
    <row r="256">
      <c r="A256" s="12" t="s">
        <v>118</v>
      </c>
      <c r="B256" s="12">
        <v>30.92</v>
      </c>
      <c r="C256" s="18" t="s">
        <v>117</v>
      </c>
    </row>
    <row r="257">
      <c r="A257" s="12" t="s">
        <v>119</v>
      </c>
      <c r="B257" s="12">
        <v>8.12</v>
      </c>
      <c r="C257" s="19"/>
    </row>
    <row r="258">
      <c r="A258" s="12" t="s">
        <v>120</v>
      </c>
      <c r="B258" s="24">
        <f>C3/B252</f>
        <v>5.153333333</v>
      </c>
      <c r="C258" s="10" t="str">
        <f t="shared" ref="C258:C259" si="1">IF(B258&lt;=$B$260,"CERTO","CORRIGIR")</f>
        <v>CERTO</v>
      </c>
    </row>
    <row r="259">
      <c r="A259" s="12" t="s">
        <v>121</v>
      </c>
      <c r="B259" s="10">
        <f>B3/B253</f>
        <v>4.06</v>
      </c>
      <c r="C259" s="10" t="str">
        <f t="shared" si="1"/>
        <v>CERTO</v>
      </c>
    </row>
    <row r="260">
      <c r="A260" s="12" t="s">
        <v>122</v>
      </c>
      <c r="B260" s="10">
        <f>1.5*F3</f>
        <v>9.3</v>
      </c>
      <c r="C260" s="10"/>
    </row>
    <row r="261">
      <c r="A261" s="12" t="s">
        <v>154</v>
      </c>
      <c r="B261" s="10">
        <f>C3/2</f>
        <v>15.46</v>
      </c>
      <c r="C261" s="10" t="str">
        <f>IF(B261&lt;=$B$260,"CERTO","CORRIGIR")</f>
        <v>CORRIGIR</v>
      </c>
    </row>
    <row r="267">
      <c r="A267" s="12" t="s">
        <v>143</v>
      </c>
      <c r="B267" s="59">
        <f>B258</f>
        <v>5.153333333</v>
      </c>
      <c r="C267" s="17" t="s">
        <v>124</v>
      </c>
    </row>
    <row r="268">
      <c r="A268" s="12" t="s">
        <v>144</v>
      </c>
      <c r="B268" s="59">
        <f>B267/2</f>
        <v>2.576666667</v>
      </c>
      <c r="C268" s="17" t="s">
        <v>132</v>
      </c>
    </row>
    <row r="269">
      <c r="A269" s="12" t="s">
        <v>126</v>
      </c>
      <c r="B269" s="10">
        <f>B259</f>
        <v>4.06</v>
      </c>
      <c r="C269" s="17" t="s">
        <v>128</v>
      </c>
    </row>
    <row r="270">
      <c r="A270" s="12" t="s">
        <v>129</v>
      </c>
      <c r="B270" s="10">
        <f>B259/2</f>
        <v>2.03</v>
      </c>
      <c r="C270" s="17" t="s">
        <v>131</v>
      </c>
    </row>
    <row r="272">
      <c r="A272" s="10"/>
      <c r="B272" s="10"/>
      <c r="C272" s="12" t="s">
        <v>117</v>
      </c>
    </row>
    <row r="273">
      <c r="A273" s="12" t="s">
        <v>123</v>
      </c>
      <c r="B273" s="59">
        <f t="shared" ref="B273:B276" si="2">B267</f>
        <v>5.153333333</v>
      </c>
      <c r="C273" s="10" t="str">
        <f t="shared" ref="C273:C276" si="3">IF(B273&lt;=$B$260,"CERTO","CORRIGIR")</f>
        <v>CERTO</v>
      </c>
    </row>
    <row r="274">
      <c r="A274" s="12" t="s">
        <v>125</v>
      </c>
      <c r="B274" s="59">
        <f t="shared" si="2"/>
        <v>2.576666667</v>
      </c>
      <c r="C274" s="10" t="str">
        <f t="shared" si="3"/>
        <v>CERTO</v>
      </c>
    </row>
    <row r="275">
      <c r="A275" s="12" t="s">
        <v>126</v>
      </c>
      <c r="B275" s="12">
        <f t="shared" si="2"/>
        <v>4.06</v>
      </c>
      <c r="C275" s="10" t="str">
        <f t="shared" si="3"/>
        <v>CERTO</v>
      </c>
    </row>
    <row r="276">
      <c r="A276" s="12" t="s">
        <v>129</v>
      </c>
      <c r="B276" s="12">
        <f t="shared" si="2"/>
        <v>2.03</v>
      </c>
      <c r="C276" s="10" t="str">
        <f t="shared" si="3"/>
        <v>CERTO</v>
      </c>
    </row>
    <row r="284">
      <c r="A284" s="23" t="s">
        <v>135</v>
      </c>
    </row>
    <row r="286">
      <c r="A286" s="39" t="s">
        <v>136</v>
      </c>
      <c r="B286" s="40">
        <v>220.0</v>
      </c>
    </row>
    <row r="287">
      <c r="A287" s="41" t="s">
        <v>137</v>
      </c>
      <c r="B287" s="42">
        <f>((B97)*B95)+B103/B104</f>
        <v>432.3529412</v>
      </c>
    </row>
    <row r="288">
      <c r="A288" s="41" t="s">
        <v>138</v>
      </c>
      <c r="B288" s="43">
        <v>440.0</v>
      </c>
      <c r="C288" s="17" t="s">
        <v>139</v>
      </c>
    </row>
    <row r="289">
      <c r="A289" s="41" t="s">
        <v>140</v>
      </c>
      <c r="B289" s="44">
        <f>B288*B220</f>
        <v>5280</v>
      </c>
    </row>
    <row r="290">
      <c r="A290" s="45" t="s">
        <v>141</v>
      </c>
      <c r="B290" s="42">
        <f>B289/B286</f>
        <v>24</v>
      </c>
    </row>
    <row r="296">
      <c r="A296" s="32"/>
      <c r="B296" s="46"/>
    </row>
    <row r="297">
      <c r="A297" s="32"/>
      <c r="B297" s="36"/>
    </row>
    <row r="298">
      <c r="A298" s="32"/>
      <c r="B298" s="35"/>
    </row>
    <row r="299">
      <c r="A299" s="32"/>
      <c r="B299" s="35"/>
    </row>
    <row r="300">
      <c r="A300" s="32"/>
      <c r="B300" s="36"/>
    </row>
  </sheetData>
  <mergeCells count="30">
    <mergeCell ref="A1:J1"/>
    <mergeCell ref="A6:J6"/>
    <mergeCell ref="A10:J10"/>
    <mergeCell ref="A13:B13"/>
    <mergeCell ref="A21:B21"/>
    <mergeCell ref="A26:B26"/>
    <mergeCell ref="A31:B31"/>
    <mergeCell ref="B27:B28"/>
    <mergeCell ref="B34:B35"/>
    <mergeCell ref="A71:F71"/>
    <mergeCell ref="A73:E73"/>
    <mergeCell ref="A75:B75"/>
    <mergeCell ref="A88:D88"/>
    <mergeCell ref="A89:B89"/>
    <mergeCell ref="A91:B91"/>
    <mergeCell ref="A100:B100"/>
    <mergeCell ref="A108:H108"/>
    <mergeCell ref="A117:F117"/>
    <mergeCell ref="A146:H146"/>
    <mergeCell ref="A201:H201"/>
    <mergeCell ref="A215:H215"/>
    <mergeCell ref="C270:F270"/>
    <mergeCell ref="A284:H284"/>
    <mergeCell ref="A218:B218"/>
    <mergeCell ref="A246:H246"/>
    <mergeCell ref="A248:F248"/>
    <mergeCell ref="C256:C257"/>
    <mergeCell ref="C267:F267"/>
    <mergeCell ref="C268:H268"/>
    <mergeCell ref="C269:E26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3" max="3" width="13.38"/>
    <col customWidth="1" min="4" max="4" width="18.25"/>
    <col customWidth="1" min="5" max="5" width="19.0"/>
    <col customWidth="1" min="8" max="8" width="14.13"/>
  </cols>
  <sheetData>
    <row r="1">
      <c r="A1" s="47" t="s">
        <v>13</v>
      </c>
      <c r="I1" s="23"/>
      <c r="Q1" s="23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</row>
    <row r="3">
      <c r="B3" s="49" t="s">
        <v>1</v>
      </c>
      <c r="C3" s="5" t="s">
        <v>3</v>
      </c>
      <c r="D3" s="5" t="s">
        <v>4</v>
      </c>
      <c r="E3" s="50" t="s">
        <v>5</v>
      </c>
      <c r="F3" s="50" t="s">
        <v>6</v>
      </c>
      <c r="G3" s="50" t="s">
        <v>2</v>
      </c>
      <c r="H3" s="50" t="s">
        <v>7</v>
      </c>
      <c r="I3" s="50" t="s">
        <v>8</v>
      </c>
      <c r="J3" s="50" t="s">
        <v>9</v>
      </c>
      <c r="K3" s="50" t="s">
        <v>10</v>
      </c>
      <c r="L3" s="50" t="s">
        <v>31</v>
      </c>
      <c r="M3" s="50" t="s">
        <v>145</v>
      </c>
      <c r="N3" s="50" t="s">
        <v>146</v>
      </c>
      <c r="O3" s="49" t="s">
        <v>147</v>
      </c>
      <c r="P3" s="50" t="s">
        <v>148</v>
      </c>
      <c r="Q3" s="50" t="s">
        <v>86</v>
      </c>
      <c r="R3" s="50" t="s">
        <v>149</v>
      </c>
      <c r="S3" s="50" t="s">
        <v>150</v>
      </c>
      <c r="T3" s="50" t="s">
        <v>151</v>
      </c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</row>
    <row r="4">
      <c r="B4" s="40" t="s">
        <v>30</v>
      </c>
      <c r="C4" s="40">
        <v>5.0</v>
      </c>
      <c r="D4" s="40">
        <v>30.9</v>
      </c>
      <c r="E4" s="52">
        <f t="shared" ref="E4:E6" si="1">D4*C4</f>
        <v>154.5</v>
      </c>
      <c r="F4" s="52">
        <f t="shared" ref="F4:F6" si="2">(2*D4)+(2*C4)</f>
        <v>71.8</v>
      </c>
      <c r="G4" s="53">
        <v>0.8</v>
      </c>
      <c r="H4" s="53" t="s">
        <v>14</v>
      </c>
      <c r="I4" s="53" t="s">
        <v>15</v>
      </c>
      <c r="J4" s="53" t="s">
        <v>16</v>
      </c>
      <c r="K4" s="53">
        <v>7.0</v>
      </c>
      <c r="L4" s="53" t="s">
        <v>32</v>
      </c>
      <c r="M4" s="54">
        <v>0.4</v>
      </c>
      <c r="N4" s="53" t="s">
        <v>152</v>
      </c>
      <c r="O4" s="55">
        <v>4.0</v>
      </c>
      <c r="P4" s="55">
        <v>1.0</v>
      </c>
      <c r="Q4" s="52">
        <f t="shared" ref="Q4:Q6" si="3">(5*(D4+C4))/(D4*C4)</f>
        <v>1.161812298</v>
      </c>
      <c r="R4" s="52">
        <f>K4-P4-G4</f>
        <v>5.2</v>
      </c>
      <c r="S4" s="56">
        <f>P4</f>
        <v>1</v>
      </c>
      <c r="T4" s="52">
        <f>G4</f>
        <v>0.8</v>
      </c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</row>
    <row r="5">
      <c r="B5" s="40" t="s">
        <v>36</v>
      </c>
      <c r="C5" s="40">
        <v>5.23</v>
      </c>
      <c r="D5" s="40">
        <v>39.25</v>
      </c>
      <c r="E5" s="52">
        <f t="shared" si="1"/>
        <v>205.2775</v>
      </c>
      <c r="F5" s="52">
        <f t="shared" si="2"/>
        <v>88.96</v>
      </c>
      <c r="G5" s="58"/>
      <c r="H5" s="58"/>
      <c r="I5" s="58"/>
      <c r="J5" s="58"/>
      <c r="K5" s="58"/>
      <c r="L5" s="58"/>
      <c r="M5" s="58"/>
      <c r="N5" s="58"/>
      <c r="O5" s="58"/>
      <c r="P5" s="58"/>
      <c r="Q5" s="52">
        <f t="shared" si="3"/>
        <v>1.08341148</v>
      </c>
      <c r="R5" s="52">
        <f>K4-P4-G4</f>
        <v>5.2</v>
      </c>
      <c r="S5" s="56">
        <f>P4</f>
        <v>1</v>
      </c>
      <c r="T5" s="52">
        <f>G4</f>
        <v>0.8</v>
      </c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</row>
    <row r="6">
      <c r="B6" s="40" t="s">
        <v>42</v>
      </c>
      <c r="C6" s="40">
        <v>27.95</v>
      </c>
      <c r="D6" s="40">
        <v>43.37</v>
      </c>
      <c r="E6" s="52">
        <f t="shared" si="1"/>
        <v>1212.1915</v>
      </c>
      <c r="F6" s="52">
        <f t="shared" si="2"/>
        <v>142.64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52">
        <f t="shared" si="3"/>
        <v>0.2941779414</v>
      </c>
      <c r="R6" s="52">
        <f>K4-P4-G4</f>
        <v>5.2</v>
      </c>
      <c r="S6" s="56">
        <f>P4</f>
        <v>1</v>
      </c>
      <c r="T6" s="52">
        <f>G4</f>
        <v>0.8</v>
      </c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</row>
    <row r="35">
      <c r="A35" s="47" t="s">
        <v>155</v>
      </c>
      <c r="I35" s="23"/>
      <c r="Q35" s="23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</row>
    <row r="40">
      <c r="J40" s="17" t="s">
        <v>156</v>
      </c>
    </row>
    <row r="43">
      <c r="J43" s="60" t="s">
        <v>61</v>
      </c>
      <c r="K43" s="61" t="s">
        <v>157</v>
      </c>
    </row>
    <row r="44">
      <c r="J44" s="62" t="s">
        <v>64</v>
      </c>
      <c r="K44" s="63" t="s">
        <v>158</v>
      </c>
    </row>
    <row r="54">
      <c r="A54" s="47" t="s">
        <v>159</v>
      </c>
      <c r="I54" s="23"/>
      <c r="Q54" s="23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</row>
    <row r="57">
      <c r="D57" s="60" t="s">
        <v>61</v>
      </c>
      <c r="E57" s="61"/>
      <c r="G57" s="60" t="s">
        <v>61</v>
      </c>
      <c r="H57" s="61"/>
    </row>
    <row r="58">
      <c r="D58" s="62" t="s">
        <v>64</v>
      </c>
      <c r="E58" s="63"/>
      <c r="G58" s="62" t="s">
        <v>64</v>
      </c>
      <c r="H58" s="63"/>
    </row>
    <row r="68">
      <c r="A68" s="47" t="s">
        <v>160</v>
      </c>
      <c r="I68" s="23"/>
      <c r="Q68" s="23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</row>
    <row r="70">
      <c r="E70" s="17" t="s">
        <v>161</v>
      </c>
      <c r="H70" s="17" t="s">
        <v>162</v>
      </c>
    </row>
    <row r="71">
      <c r="C71" s="17" t="s">
        <v>163</v>
      </c>
      <c r="D71" s="17" t="s">
        <v>164</v>
      </c>
      <c r="E71" s="17" t="s">
        <v>165</v>
      </c>
      <c r="F71" s="17" t="s">
        <v>166</v>
      </c>
      <c r="G71" s="17" t="s">
        <v>167</v>
      </c>
      <c r="H71" s="17" t="s">
        <v>168</v>
      </c>
      <c r="J71" s="64"/>
    </row>
    <row r="72" ht="41.25" customHeight="1">
      <c r="B72" s="65" t="s">
        <v>1</v>
      </c>
      <c r="C72" s="50" t="s">
        <v>169</v>
      </c>
      <c r="D72" s="50" t="s">
        <v>171</v>
      </c>
      <c r="E72" s="50" t="s">
        <v>172</v>
      </c>
      <c r="F72" s="50" t="s">
        <v>173</v>
      </c>
      <c r="G72" s="49" t="s">
        <v>174</v>
      </c>
      <c r="H72" s="49" t="s">
        <v>175</v>
      </c>
      <c r="I72" s="49" t="s">
        <v>176</v>
      </c>
      <c r="J72" s="49" t="s">
        <v>177</v>
      </c>
      <c r="O72" s="17" t="s">
        <v>178</v>
      </c>
      <c r="P72" s="17" t="s">
        <v>179</v>
      </c>
      <c r="Q72" s="66"/>
      <c r="R72" s="66"/>
      <c r="S72" s="66"/>
      <c r="T72" s="66"/>
      <c r="U72" s="66"/>
    </row>
    <row r="73">
      <c r="B73" s="44" t="s">
        <v>30</v>
      </c>
      <c r="C73" s="52">
        <f t="shared" ref="C73:C75" si="4">Q4*R4</f>
        <v>6.041423948</v>
      </c>
      <c r="D73" s="52">
        <f t="shared" ref="D73:D75" si="5">Q4*S4</f>
        <v>1.161812298</v>
      </c>
      <c r="E73" s="52">
        <f t="shared" ref="E73:E75" si="6">Q4*T4</f>
        <v>0.9294498382</v>
      </c>
      <c r="F73" s="54">
        <v>0.5</v>
      </c>
      <c r="G73" s="54">
        <v>0.5</v>
      </c>
      <c r="H73" s="54">
        <v>0.1</v>
      </c>
      <c r="I73" s="67">
        <v>43.0</v>
      </c>
      <c r="J73" s="67">
        <v>11.0</v>
      </c>
      <c r="O73" s="17">
        <v>43.0</v>
      </c>
      <c r="P73" s="17">
        <v>59.0</v>
      </c>
      <c r="Q73" s="68"/>
      <c r="R73" s="69"/>
      <c r="S73" s="68"/>
      <c r="T73" s="68"/>
      <c r="U73" s="68"/>
    </row>
    <row r="74">
      <c r="B74" s="44" t="s">
        <v>36</v>
      </c>
      <c r="C74" s="52">
        <f t="shared" si="4"/>
        <v>5.633739694</v>
      </c>
      <c r="D74" s="52">
        <f t="shared" si="5"/>
        <v>1.08341148</v>
      </c>
      <c r="E74" s="52">
        <f t="shared" si="6"/>
        <v>0.8667291837</v>
      </c>
      <c r="F74" s="58"/>
      <c r="G74" s="58"/>
      <c r="H74" s="58"/>
      <c r="I74" s="67">
        <v>43.0</v>
      </c>
      <c r="J74" s="67">
        <v>11.0</v>
      </c>
      <c r="O74" s="17">
        <v>43.0</v>
      </c>
      <c r="P74" s="17">
        <v>59.0</v>
      </c>
      <c r="Q74" s="68"/>
      <c r="R74" s="68"/>
      <c r="S74" s="68"/>
      <c r="T74" s="68"/>
      <c r="U74" s="68"/>
    </row>
    <row r="75">
      <c r="B75" s="44" t="s">
        <v>42</v>
      </c>
      <c r="C75" s="52">
        <f t="shared" si="4"/>
        <v>1.529725295</v>
      </c>
      <c r="D75" s="52">
        <f t="shared" si="5"/>
        <v>0.2941779414</v>
      </c>
      <c r="E75" s="52">
        <f t="shared" si="6"/>
        <v>0.2353423531</v>
      </c>
      <c r="F75" s="19"/>
      <c r="G75" s="19"/>
      <c r="H75" s="19"/>
      <c r="I75" s="56">
        <v>47.0</v>
      </c>
      <c r="J75" s="56">
        <v>10.0</v>
      </c>
      <c r="O75" s="17">
        <v>48.0</v>
      </c>
      <c r="P75" s="17">
        <v>67.0</v>
      </c>
      <c r="Q75" s="68"/>
      <c r="R75" s="68"/>
      <c r="S75" s="68"/>
      <c r="T75" s="68"/>
      <c r="U75" s="68"/>
    </row>
    <row r="76">
      <c r="O76" s="70"/>
      <c r="P76" s="68"/>
      <c r="Q76" s="68"/>
      <c r="R76" s="68"/>
      <c r="S76" s="68"/>
      <c r="T76" s="68"/>
      <c r="U76" s="68"/>
    </row>
    <row r="77">
      <c r="O77" s="71"/>
      <c r="P77" s="68"/>
      <c r="Q77" s="68"/>
      <c r="R77" s="68"/>
      <c r="S77" s="68"/>
      <c r="T77" s="68"/>
      <c r="U77" s="68"/>
    </row>
    <row r="78">
      <c r="O78" s="70"/>
      <c r="P78" s="68"/>
      <c r="Q78" s="68"/>
      <c r="R78" s="68"/>
      <c r="S78" s="68"/>
      <c r="T78" s="68"/>
      <c r="U78" s="68"/>
    </row>
    <row r="79">
      <c r="O79" s="71"/>
      <c r="P79" s="68"/>
      <c r="Q79" s="68"/>
      <c r="R79" s="68"/>
      <c r="S79" s="68"/>
      <c r="T79" s="68"/>
      <c r="U79" s="68"/>
    </row>
    <row r="80">
      <c r="O80" s="70"/>
      <c r="P80" s="68"/>
      <c r="Q80" s="68"/>
      <c r="R80" s="68"/>
      <c r="S80" s="68"/>
      <c r="T80" s="68"/>
      <c r="U80" s="68"/>
    </row>
    <row r="81">
      <c r="O81" s="71"/>
      <c r="P81" s="68"/>
      <c r="Q81" s="68"/>
      <c r="R81" s="68"/>
      <c r="S81" s="68"/>
      <c r="T81" s="68"/>
      <c r="U81" s="68"/>
    </row>
    <row r="95">
      <c r="A95" s="47" t="s">
        <v>185</v>
      </c>
      <c r="I95" s="23"/>
      <c r="Q95" s="23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</row>
    <row r="96">
      <c r="H96" s="17" t="s">
        <v>187</v>
      </c>
    </row>
    <row r="98">
      <c r="B98" s="65" t="s">
        <v>1</v>
      </c>
      <c r="C98" s="65" t="s">
        <v>169</v>
      </c>
      <c r="D98" s="73" t="s">
        <v>189</v>
      </c>
      <c r="E98" s="73" t="s">
        <v>190</v>
      </c>
      <c r="F98" s="73" t="s">
        <v>191</v>
      </c>
      <c r="G98" s="73" t="s">
        <v>192</v>
      </c>
      <c r="H98" s="73" t="s">
        <v>193</v>
      </c>
      <c r="I98" s="44" t="s">
        <v>194</v>
      </c>
      <c r="J98" s="44" t="s">
        <v>195</v>
      </c>
      <c r="K98" s="44" t="s">
        <v>196</v>
      </c>
      <c r="L98" s="44" t="s">
        <v>197</v>
      </c>
    </row>
    <row r="99">
      <c r="B99" s="74" t="s">
        <v>30</v>
      </c>
      <c r="C99" s="43">
        <v>6.0</v>
      </c>
      <c r="D99" s="43">
        <v>10.0</v>
      </c>
      <c r="E99" s="43">
        <v>50.0</v>
      </c>
      <c r="F99" s="43">
        <v>0.44</v>
      </c>
      <c r="G99" s="43">
        <v>0.46</v>
      </c>
      <c r="H99" s="42">
        <f>I73</f>
        <v>43</v>
      </c>
      <c r="I99" s="44">
        <f t="shared" ref="I99:I107" si="7">E99-D99</f>
        <v>40</v>
      </c>
      <c r="J99" s="42">
        <f t="shared" ref="J99:J100" si="8">H99-D99</f>
        <v>33</v>
      </c>
      <c r="K99" s="44">
        <f t="shared" ref="K99:K100" si="9">G99-F99</f>
        <v>0.02</v>
      </c>
      <c r="L99" s="44">
        <f>((G99*I99)-(K99*J99))/$I$99</f>
        <v>0.4435</v>
      </c>
    </row>
    <row r="100">
      <c r="B100" s="58"/>
      <c r="C100" s="43">
        <v>7.0</v>
      </c>
      <c r="D100" s="43">
        <v>10.0</v>
      </c>
      <c r="E100" s="43">
        <v>50.0</v>
      </c>
      <c r="F100" s="43">
        <v>0.41</v>
      </c>
      <c r="G100" s="43">
        <v>0.43</v>
      </c>
      <c r="H100" s="42">
        <f>I73</f>
        <v>43</v>
      </c>
      <c r="I100" s="44">
        <f t="shared" si="7"/>
        <v>40</v>
      </c>
      <c r="J100" s="42">
        <f t="shared" si="8"/>
        <v>33</v>
      </c>
      <c r="K100" s="44">
        <f t="shared" si="9"/>
        <v>0.02</v>
      </c>
      <c r="L100" s="44">
        <f t="shared" ref="L100:L101" si="10">((G100*I100)-(K100*J100))/I100</f>
        <v>0.4135</v>
      </c>
    </row>
    <row r="101">
      <c r="B101" s="19"/>
      <c r="C101" s="42">
        <f>C73</f>
        <v>6.041423948</v>
      </c>
      <c r="D101" s="43">
        <v>7.0</v>
      </c>
      <c r="E101" s="43">
        <v>6.0</v>
      </c>
      <c r="F101" s="44">
        <f>L99</f>
        <v>0.4435</v>
      </c>
      <c r="G101" s="43">
        <f>L100</f>
        <v>0.4135</v>
      </c>
      <c r="H101" s="42">
        <f>C101</f>
        <v>6.041423948</v>
      </c>
      <c r="I101" s="44">
        <f t="shared" si="7"/>
        <v>-1</v>
      </c>
      <c r="J101" s="42">
        <f>E101-H101</f>
        <v>-0.04142394822</v>
      </c>
      <c r="K101" s="44">
        <f>F101-G101</f>
        <v>0.03</v>
      </c>
      <c r="L101" s="44">
        <f t="shared" si="10"/>
        <v>0.4122572816</v>
      </c>
    </row>
    <row r="102">
      <c r="B102" s="74" t="s">
        <v>36</v>
      </c>
      <c r="C102" s="43">
        <v>5.0</v>
      </c>
      <c r="D102" s="43">
        <v>10.0</v>
      </c>
      <c r="E102" s="43">
        <v>50.0</v>
      </c>
      <c r="F102" s="43">
        <v>0.47</v>
      </c>
      <c r="G102" s="43">
        <v>0.5</v>
      </c>
      <c r="H102" s="88">
        <f>I74</f>
        <v>43</v>
      </c>
      <c r="I102" s="44">
        <f t="shared" si="7"/>
        <v>40</v>
      </c>
      <c r="J102" s="42">
        <f t="shared" ref="J102:J103" si="11">H102-D102</f>
        <v>33</v>
      </c>
      <c r="K102" s="44">
        <f t="shared" ref="K102:K107" si="12">G102-F102</f>
        <v>0.03</v>
      </c>
      <c r="L102" s="44">
        <f>((G102*I102)-(K102*J102))/$I$99</f>
        <v>0.47525</v>
      </c>
    </row>
    <row r="103">
      <c r="B103" s="58"/>
      <c r="C103" s="43">
        <v>6.0</v>
      </c>
      <c r="D103" s="43">
        <v>10.0</v>
      </c>
      <c r="E103" s="43">
        <v>50.0</v>
      </c>
      <c r="F103" s="43">
        <v>0.44</v>
      </c>
      <c r="G103" s="43">
        <v>0.46</v>
      </c>
      <c r="H103" s="88">
        <f>I74</f>
        <v>43</v>
      </c>
      <c r="I103" s="44">
        <f t="shared" si="7"/>
        <v>40</v>
      </c>
      <c r="J103" s="42">
        <f t="shared" si="11"/>
        <v>33</v>
      </c>
      <c r="K103" s="44">
        <f t="shared" si="12"/>
        <v>0.02</v>
      </c>
      <c r="L103" s="44">
        <f t="shared" ref="L103:L104" si="13">((G103*I103)-(K103*J103))/I103</f>
        <v>0.4435</v>
      </c>
    </row>
    <row r="104">
      <c r="B104" s="19"/>
      <c r="C104" s="42">
        <f>C74</f>
        <v>5.633739694</v>
      </c>
      <c r="D104" s="43">
        <v>6.0</v>
      </c>
      <c r="E104" s="43">
        <v>5.0</v>
      </c>
      <c r="F104" s="44">
        <f>L102</f>
        <v>0.47525</v>
      </c>
      <c r="G104" s="44">
        <f>L103</f>
        <v>0.4435</v>
      </c>
      <c r="H104" s="42">
        <f>C104</f>
        <v>5.633739694</v>
      </c>
      <c r="I104" s="44">
        <f t="shared" si="7"/>
        <v>-1</v>
      </c>
      <c r="J104" s="42">
        <f>E104-H104</f>
        <v>-0.6337396938</v>
      </c>
      <c r="K104" s="44">
        <f t="shared" si="12"/>
        <v>-0.03175</v>
      </c>
      <c r="L104" s="44">
        <f t="shared" si="13"/>
        <v>0.4636212353</v>
      </c>
    </row>
    <row r="105">
      <c r="B105" s="74" t="s">
        <v>42</v>
      </c>
      <c r="C105" s="43">
        <v>1.0</v>
      </c>
      <c r="D105" s="43">
        <v>10.0</v>
      </c>
      <c r="E105" s="43">
        <v>50.0</v>
      </c>
      <c r="F105" s="43">
        <v>0.67</v>
      </c>
      <c r="G105" s="43">
        <v>0.72</v>
      </c>
      <c r="H105" s="88">
        <f>I75</f>
        <v>47</v>
      </c>
      <c r="I105" s="44">
        <f t="shared" si="7"/>
        <v>40</v>
      </c>
      <c r="J105" s="42">
        <f t="shared" ref="J105:J106" si="14">H105-D105</f>
        <v>37</v>
      </c>
      <c r="K105" s="44">
        <f t="shared" si="12"/>
        <v>0.05</v>
      </c>
      <c r="L105" s="44">
        <f>((G105*I105)-(K105*J105))/$I$99</f>
        <v>0.67375</v>
      </c>
    </row>
    <row r="106">
      <c r="B106" s="58"/>
      <c r="C106" s="43">
        <v>2.0</v>
      </c>
      <c r="D106" s="43">
        <v>10.0</v>
      </c>
      <c r="E106" s="43">
        <v>50.0</v>
      </c>
      <c r="F106" s="43">
        <v>0.61</v>
      </c>
      <c r="G106" s="43">
        <v>0.65</v>
      </c>
      <c r="H106" s="88">
        <f>I75</f>
        <v>47</v>
      </c>
      <c r="I106" s="44">
        <f t="shared" si="7"/>
        <v>40</v>
      </c>
      <c r="J106" s="42">
        <f t="shared" si="14"/>
        <v>37</v>
      </c>
      <c r="K106" s="44">
        <f t="shared" si="12"/>
        <v>0.04</v>
      </c>
      <c r="L106" s="44">
        <f t="shared" ref="L106:L107" si="15">((G106*I106)-(K106*J106))/I106</f>
        <v>0.613</v>
      </c>
    </row>
    <row r="107">
      <c r="B107" s="19"/>
      <c r="C107" s="42">
        <f>C75</f>
        <v>1.529725295</v>
      </c>
      <c r="D107" s="43">
        <v>2.0</v>
      </c>
      <c r="E107" s="43">
        <v>1.0</v>
      </c>
      <c r="F107" s="44">
        <f>L105</f>
        <v>0.67375</v>
      </c>
      <c r="G107" s="44">
        <f>L106</f>
        <v>0.613</v>
      </c>
      <c r="H107" s="42">
        <f>C107</f>
        <v>1.529725295</v>
      </c>
      <c r="I107" s="44">
        <f t="shared" si="7"/>
        <v>-1</v>
      </c>
      <c r="J107" s="42">
        <f>E107-H107</f>
        <v>-0.5297252951</v>
      </c>
      <c r="K107" s="44">
        <f t="shared" si="12"/>
        <v>-0.06075</v>
      </c>
      <c r="L107" s="44">
        <f t="shared" si="15"/>
        <v>0.6451808117</v>
      </c>
    </row>
    <row r="111">
      <c r="A111" s="47" t="s">
        <v>239</v>
      </c>
      <c r="I111" s="23"/>
      <c r="Q111" s="23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</row>
    <row r="114">
      <c r="B114" s="65" t="s">
        <v>1</v>
      </c>
      <c r="C114" s="49" t="s">
        <v>177</v>
      </c>
      <c r="D114" s="93" t="s">
        <v>197</v>
      </c>
      <c r="E114" s="93" t="s">
        <v>252</v>
      </c>
      <c r="F114" s="93" t="s">
        <v>254</v>
      </c>
    </row>
    <row r="115">
      <c r="B115" s="5" t="s">
        <v>30</v>
      </c>
      <c r="C115" s="94">
        <f t="shared" ref="C115:C117" si="16">J73</f>
        <v>11</v>
      </c>
      <c r="D115" s="95">
        <f>L101</f>
        <v>0.4122572816</v>
      </c>
      <c r="E115" s="93">
        <v>1.02</v>
      </c>
      <c r="F115" s="95">
        <f t="shared" ref="F115:F117" si="17">D115/E115</f>
        <v>0.4041738054</v>
      </c>
    </row>
    <row r="116">
      <c r="B116" s="5" t="s">
        <v>36</v>
      </c>
      <c r="C116" s="94">
        <f t="shared" si="16"/>
        <v>11</v>
      </c>
      <c r="D116" s="95">
        <f>L104</f>
        <v>0.4636212353</v>
      </c>
      <c r="E116" s="93">
        <v>1.02</v>
      </c>
      <c r="F116" s="95">
        <f t="shared" si="17"/>
        <v>0.4545306228</v>
      </c>
    </row>
    <row r="117">
      <c r="B117" s="5" t="s">
        <v>42</v>
      </c>
      <c r="C117" s="94">
        <f t="shared" si="16"/>
        <v>10</v>
      </c>
      <c r="D117" s="95">
        <f>L107</f>
        <v>0.6451808117</v>
      </c>
      <c r="E117" s="93">
        <v>1.04</v>
      </c>
      <c r="F117" s="95">
        <f t="shared" si="17"/>
        <v>0.6203661651</v>
      </c>
    </row>
    <row r="126">
      <c r="A126" s="47" t="s">
        <v>268</v>
      </c>
      <c r="I126" s="23"/>
      <c r="Q126" s="23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</row>
    <row r="130">
      <c r="B130" s="65" t="s">
        <v>1</v>
      </c>
      <c r="C130" s="17" t="s">
        <v>271</v>
      </c>
      <c r="D130" s="17" t="s">
        <v>272</v>
      </c>
      <c r="E130" s="17" t="s">
        <v>274</v>
      </c>
    </row>
    <row r="131">
      <c r="B131" s="5" t="s">
        <v>30</v>
      </c>
    </row>
    <row r="132">
      <c r="B132" s="5" t="s">
        <v>36</v>
      </c>
    </row>
    <row r="133">
      <c r="B133" s="5" t="s">
        <v>42</v>
      </c>
    </row>
  </sheetData>
  <mergeCells count="38">
    <mergeCell ref="M4:M6"/>
    <mergeCell ref="N4:N6"/>
    <mergeCell ref="O4:O6"/>
    <mergeCell ref="P4:P6"/>
    <mergeCell ref="A1:H1"/>
    <mergeCell ref="I1:P1"/>
    <mergeCell ref="Q1:X1"/>
    <mergeCell ref="G4:G6"/>
    <mergeCell ref="H4:H6"/>
    <mergeCell ref="I4:I6"/>
    <mergeCell ref="J4:J6"/>
    <mergeCell ref="K4:K6"/>
    <mergeCell ref="L4:L6"/>
    <mergeCell ref="A35:H35"/>
    <mergeCell ref="I35:P35"/>
    <mergeCell ref="Q35:X35"/>
    <mergeCell ref="I54:P54"/>
    <mergeCell ref="Q54:X54"/>
    <mergeCell ref="A54:H54"/>
    <mergeCell ref="A68:H68"/>
    <mergeCell ref="I68:P68"/>
    <mergeCell ref="Q68:X68"/>
    <mergeCell ref="H70:I70"/>
    <mergeCell ref="F73:F75"/>
    <mergeCell ref="G73:G75"/>
    <mergeCell ref="A111:H111"/>
    <mergeCell ref="I111:P111"/>
    <mergeCell ref="Q111:X111"/>
    <mergeCell ref="A126:H126"/>
    <mergeCell ref="I126:P126"/>
    <mergeCell ref="Q126:X126"/>
    <mergeCell ref="H73:H75"/>
    <mergeCell ref="A95:H95"/>
    <mergeCell ref="I95:P95"/>
    <mergeCell ref="Q95:X95"/>
    <mergeCell ref="B99:B101"/>
    <mergeCell ref="B102:B104"/>
    <mergeCell ref="B105:B10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41.25"/>
    <col customWidth="1" min="3" max="3" width="18.38"/>
    <col customWidth="1" min="10" max="10" width="18.88"/>
  </cols>
  <sheetData>
    <row r="1">
      <c r="A1" s="7" t="s">
        <v>13</v>
      </c>
    </row>
    <row r="2">
      <c r="A2" s="8" t="s">
        <v>1</v>
      </c>
      <c r="B2" s="2" t="s">
        <v>3</v>
      </c>
      <c r="C2" s="2" t="s">
        <v>4</v>
      </c>
      <c r="D2" s="1" t="s">
        <v>2</v>
      </c>
      <c r="E2" s="1" t="s">
        <v>10</v>
      </c>
      <c r="F2" s="1" t="s">
        <v>18</v>
      </c>
      <c r="G2" s="3" t="s">
        <v>7</v>
      </c>
      <c r="H2" s="3" t="s">
        <v>8</v>
      </c>
      <c r="I2" s="3" t="s">
        <v>9</v>
      </c>
      <c r="J2" s="9" t="s">
        <v>19</v>
      </c>
    </row>
    <row r="3">
      <c r="A3" s="4" t="s">
        <v>77</v>
      </c>
      <c r="B3" s="10">
        <f>DADOS!D15</f>
        <v>9.6</v>
      </c>
      <c r="C3" s="10">
        <f>DADOS!E15</f>
        <v>9.8</v>
      </c>
      <c r="D3" s="10">
        <f>DADOS!C15</f>
        <v>0.8</v>
      </c>
      <c r="E3" s="10">
        <f>DADOS!K15</f>
        <v>7</v>
      </c>
      <c r="F3" s="10">
        <f>E3-D3</f>
        <v>6.2</v>
      </c>
      <c r="G3" s="10" t="str">
        <f>DADOS!H15</f>
        <v>BRANCO</v>
      </c>
      <c r="H3" s="10" t="str">
        <f>DADOS!I15</f>
        <v>BRANCA</v>
      </c>
      <c r="I3" s="10" t="str">
        <f>DADOS!J15</f>
        <v>CONCRETO</v>
      </c>
      <c r="J3" s="12" t="s">
        <v>170</v>
      </c>
    </row>
    <row r="6">
      <c r="A6" s="7" t="s">
        <v>25</v>
      </c>
    </row>
    <row r="8">
      <c r="A8" s="7" t="s">
        <v>26</v>
      </c>
    </row>
    <row r="11">
      <c r="A11" s="14" t="s">
        <v>27</v>
      </c>
      <c r="B11" s="15"/>
    </row>
    <row r="12">
      <c r="A12" s="12" t="s">
        <v>29</v>
      </c>
      <c r="B12" s="12">
        <v>41.0</v>
      </c>
    </row>
    <row r="13">
      <c r="A13" s="12" t="s">
        <v>31</v>
      </c>
      <c r="B13" s="12" t="s">
        <v>32</v>
      </c>
    </row>
    <row r="14">
      <c r="A14" s="12" t="s">
        <v>33</v>
      </c>
      <c r="B14" s="16">
        <v>0.4</v>
      </c>
    </row>
    <row r="15">
      <c r="A15" s="12" t="s">
        <v>34</v>
      </c>
      <c r="B15" s="12">
        <v>0.0</v>
      </c>
    </row>
    <row r="17">
      <c r="A17" s="14" t="s">
        <v>35</v>
      </c>
      <c r="B17" s="15"/>
    </row>
    <row r="18">
      <c r="A18" s="12" t="s">
        <v>37</v>
      </c>
      <c r="B18" s="12" t="s">
        <v>180</v>
      </c>
      <c r="C18" s="17"/>
      <c r="D18" s="17"/>
    </row>
    <row r="19">
      <c r="A19" s="12" t="s">
        <v>39</v>
      </c>
      <c r="B19" s="12">
        <v>200.0</v>
      </c>
      <c r="C19" s="7"/>
      <c r="D19" s="7"/>
    </row>
    <row r="51">
      <c r="A51" s="7" t="s">
        <v>55</v>
      </c>
    </row>
    <row r="53">
      <c r="A53" s="17" t="s">
        <v>181</v>
      </c>
      <c r="B53" s="17"/>
      <c r="C53" s="17"/>
      <c r="D53" s="17"/>
      <c r="E53" s="17"/>
      <c r="F53" s="17"/>
    </row>
    <row r="55">
      <c r="A55" s="14" t="s">
        <v>59</v>
      </c>
      <c r="B55" s="15"/>
    </row>
    <row r="56">
      <c r="A56" s="12" t="s">
        <v>61</v>
      </c>
      <c r="B56" s="12" t="s">
        <v>182</v>
      </c>
    </row>
    <row r="57">
      <c r="A57" s="12" t="s">
        <v>64</v>
      </c>
      <c r="B57" s="12" t="s">
        <v>183</v>
      </c>
    </row>
    <row r="60">
      <c r="A60" s="72" t="s">
        <v>184</v>
      </c>
    </row>
    <row r="63">
      <c r="A63" s="22"/>
    </row>
    <row r="68">
      <c r="A68" s="7" t="s">
        <v>66</v>
      </c>
    </row>
    <row r="69">
      <c r="A69" s="17" t="s">
        <v>68</v>
      </c>
    </row>
    <row r="71">
      <c r="A71" s="14" t="s">
        <v>69</v>
      </c>
      <c r="B71" s="15"/>
    </row>
    <row r="72">
      <c r="A72" s="12" t="s">
        <v>61</v>
      </c>
      <c r="B72" s="12" t="s">
        <v>186</v>
      </c>
    </row>
    <row r="73">
      <c r="A73" s="12" t="s">
        <v>64</v>
      </c>
      <c r="B73" s="12"/>
    </row>
    <row r="74">
      <c r="A74" s="12" t="s">
        <v>71</v>
      </c>
      <c r="B74" s="12" t="s">
        <v>170</v>
      </c>
      <c r="E74" s="75" t="s">
        <v>188</v>
      </c>
    </row>
    <row r="75">
      <c r="A75" s="12" t="s">
        <v>74</v>
      </c>
      <c r="B75" s="12">
        <v>500.0</v>
      </c>
    </row>
    <row r="76">
      <c r="A76" s="12" t="s">
        <v>76</v>
      </c>
      <c r="B76" s="12">
        <v>32000.0</v>
      </c>
    </row>
    <row r="77">
      <c r="A77" s="12" t="s">
        <v>78</v>
      </c>
      <c r="B77" s="12">
        <v>1.0</v>
      </c>
    </row>
    <row r="80">
      <c r="A80" s="14" t="s">
        <v>198</v>
      </c>
      <c r="B80" s="15"/>
    </row>
    <row r="81">
      <c r="A81" s="12" t="s">
        <v>61</v>
      </c>
      <c r="B81" s="12"/>
    </row>
    <row r="82">
      <c r="A82" s="12" t="s">
        <v>64</v>
      </c>
      <c r="B82" s="12"/>
    </row>
    <row r="83">
      <c r="A83" s="12" t="s">
        <v>81</v>
      </c>
      <c r="B83" s="12"/>
    </row>
    <row r="84">
      <c r="A84" s="12" t="s">
        <v>82</v>
      </c>
      <c r="B84" s="12"/>
    </row>
    <row r="86">
      <c r="A86" s="17" t="s">
        <v>83</v>
      </c>
    </row>
    <row r="88">
      <c r="A88" s="23" t="s">
        <v>84</v>
      </c>
    </row>
    <row r="89">
      <c r="A89" s="17" t="s">
        <v>85</v>
      </c>
    </row>
    <row r="92">
      <c r="A92" s="12" t="s">
        <v>86</v>
      </c>
      <c r="B92" s="24">
        <f>(C3*B3)/(F3*(C3+B3))</f>
        <v>0.7821749252</v>
      </c>
    </row>
    <row r="95">
      <c r="A95" s="17" t="s">
        <v>87</v>
      </c>
    </row>
    <row r="97">
      <c r="A97" s="17" t="s">
        <v>88</v>
      </c>
    </row>
    <row r="99">
      <c r="A99" s="12" t="s">
        <v>7</v>
      </c>
      <c r="B99" s="10" t="str">
        <f>G3</f>
        <v>BRANCO</v>
      </c>
    </row>
    <row r="100">
      <c r="A100" s="12" t="s">
        <v>8</v>
      </c>
      <c r="B100" s="10" t="str">
        <f>H3</f>
        <v>BRANCA</v>
      </c>
    </row>
    <row r="101">
      <c r="A101" s="25" t="s">
        <v>9</v>
      </c>
      <c r="B101" s="26" t="str">
        <f>I3</f>
        <v>CONCRETO</v>
      </c>
    </row>
    <row r="102">
      <c r="A102" s="25" t="s">
        <v>89</v>
      </c>
      <c r="B102" s="25">
        <v>0.7</v>
      </c>
    </row>
    <row r="103">
      <c r="A103" s="25" t="s">
        <v>90</v>
      </c>
      <c r="B103" s="25">
        <v>0.5</v>
      </c>
    </row>
    <row r="104">
      <c r="A104" s="25" t="s">
        <v>91</v>
      </c>
      <c r="B104" s="25">
        <v>0.1</v>
      </c>
    </row>
    <row r="105">
      <c r="A105" s="25" t="s">
        <v>92</v>
      </c>
      <c r="B105" s="25">
        <v>0.19</v>
      </c>
    </row>
    <row r="106">
      <c r="A106" s="27"/>
      <c r="B106" s="27"/>
    </row>
    <row r="107">
      <c r="A107" s="27"/>
      <c r="B107" s="27"/>
    </row>
    <row r="108">
      <c r="A108" s="28" t="s">
        <v>204</v>
      </c>
      <c r="B108" s="27"/>
    </row>
    <row r="109">
      <c r="A109" s="27"/>
      <c r="B109" s="27"/>
    </row>
    <row r="110">
      <c r="A110" s="27"/>
      <c r="B110" s="27"/>
    </row>
    <row r="126">
      <c r="A126" s="23" t="s">
        <v>94</v>
      </c>
    </row>
    <row r="128">
      <c r="A128" s="17" t="s">
        <v>95</v>
      </c>
    </row>
    <row r="130">
      <c r="A130" s="12" t="s">
        <v>96</v>
      </c>
      <c r="B130" s="12" t="s">
        <v>206</v>
      </c>
    </row>
    <row r="131">
      <c r="A131" s="12" t="s">
        <v>98</v>
      </c>
      <c r="B131" s="12" t="s">
        <v>99</v>
      </c>
    </row>
    <row r="132">
      <c r="A132" s="12" t="s">
        <v>100</v>
      </c>
      <c r="B132" s="12">
        <v>20000.0</v>
      </c>
    </row>
    <row r="133">
      <c r="A133" s="12" t="s">
        <v>101</v>
      </c>
      <c r="B133" s="29">
        <f>(B132/2)/(14*30)</f>
        <v>23.80952381</v>
      </c>
    </row>
    <row r="134">
      <c r="A134" s="30" t="s">
        <v>102</v>
      </c>
      <c r="B134" s="31"/>
    </row>
    <row r="136">
      <c r="A136" s="17" t="s">
        <v>103</v>
      </c>
    </row>
    <row r="138">
      <c r="A138" s="32"/>
      <c r="B138" s="33"/>
    </row>
    <row r="139">
      <c r="A139" s="34"/>
      <c r="B139" s="35"/>
    </row>
    <row r="140">
      <c r="A140" s="32"/>
      <c r="B140" s="36"/>
    </row>
    <row r="141">
      <c r="A141" s="32"/>
      <c r="B141" s="35"/>
    </row>
    <row r="151">
      <c r="A151" s="12" t="s">
        <v>94</v>
      </c>
      <c r="B151" s="12">
        <v>0.69</v>
      </c>
    </row>
    <row r="156">
      <c r="A156" s="23" t="s">
        <v>104</v>
      </c>
    </row>
    <row r="157">
      <c r="A157" s="12" t="s">
        <v>105</v>
      </c>
      <c r="B157" s="24">
        <f>(B19*B3*C3)/(B105*B151)</f>
        <v>143524.0275</v>
      </c>
    </row>
    <row r="170">
      <c r="A170" s="23" t="s">
        <v>106</v>
      </c>
    </row>
    <row r="172">
      <c r="A172" s="12" t="s">
        <v>107</v>
      </c>
      <c r="B172" s="24">
        <f>B157/(B77*B76)</f>
        <v>4.485125858</v>
      </c>
    </row>
    <row r="173">
      <c r="A173" s="14" t="s">
        <v>108</v>
      </c>
      <c r="B173" s="15"/>
    </row>
    <row r="174">
      <c r="A174" s="12" t="s">
        <v>109</v>
      </c>
      <c r="B174" s="12">
        <v>4.0</v>
      </c>
    </row>
    <row r="175">
      <c r="A175" s="12" t="s">
        <v>109</v>
      </c>
      <c r="B175" s="7">
        <v>5.0</v>
      </c>
    </row>
    <row r="176">
      <c r="A176" s="17" t="s">
        <v>232</v>
      </c>
    </row>
    <row r="199">
      <c r="C199" s="17" t="s">
        <v>111</v>
      </c>
    </row>
    <row r="201">
      <c r="A201" s="23" t="s">
        <v>112</v>
      </c>
    </row>
    <row r="205">
      <c r="A205" s="17" t="s">
        <v>236</v>
      </c>
    </row>
    <row r="207">
      <c r="A207" s="12" t="s">
        <v>114</v>
      </c>
      <c r="B207" s="12">
        <v>2.0</v>
      </c>
    </row>
    <row r="208">
      <c r="A208" s="12" t="s">
        <v>115</v>
      </c>
      <c r="B208" s="12">
        <v>3.0</v>
      </c>
    </row>
    <row r="210">
      <c r="C210" s="21" t="s">
        <v>117</v>
      </c>
    </row>
    <row r="211">
      <c r="A211" s="12" t="s">
        <v>118</v>
      </c>
      <c r="B211" s="12">
        <v>9.6</v>
      </c>
    </row>
    <row r="212">
      <c r="A212" s="12" t="s">
        <v>119</v>
      </c>
      <c r="B212" s="12">
        <v>9.28</v>
      </c>
    </row>
    <row r="213">
      <c r="A213" s="12" t="s">
        <v>120</v>
      </c>
      <c r="B213" s="10">
        <f>C3/B207</f>
        <v>4.9</v>
      </c>
      <c r="C213" s="37" t="str">
        <f t="shared" ref="C213:C214" si="1">IF(B213&lt;=$B$215,"CERTO","CORRIGIR")</f>
        <v>CERTO</v>
      </c>
    </row>
    <row r="214">
      <c r="A214" s="12" t="s">
        <v>121</v>
      </c>
      <c r="B214" s="24">
        <f>B3/B208</f>
        <v>3.2</v>
      </c>
      <c r="C214" s="37" t="str">
        <f t="shared" si="1"/>
        <v>CERTO</v>
      </c>
    </row>
    <row r="215">
      <c r="A215" s="12" t="s">
        <v>122</v>
      </c>
      <c r="B215" s="10">
        <f>1.5*F3</f>
        <v>9.3</v>
      </c>
    </row>
    <row r="222">
      <c r="A222" s="12" t="s">
        <v>123</v>
      </c>
      <c r="B222" s="12">
        <v>4.8</v>
      </c>
      <c r="C222" s="17" t="s">
        <v>124</v>
      </c>
    </row>
    <row r="223">
      <c r="A223" s="12" t="s">
        <v>125</v>
      </c>
      <c r="B223" s="10">
        <f>B222/2</f>
        <v>2.4</v>
      </c>
    </row>
    <row r="224">
      <c r="A224" s="12" t="s">
        <v>126</v>
      </c>
      <c r="B224" s="24">
        <f>B214</f>
        <v>3.2</v>
      </c>
      <c r="C224" s="17" t="s">
        <v>128</v>
      </c>
    </row>
    <row r="225">
      <c r="A225" s="12" t="s">
        <v>129</v>
      </c>
      <c r="B225" s="24">
        <f>B214/2</f>
        <v>1.6</v>
      </c>
      <c r="C225" s="17" t="s">
        <v>131</v>
      </c>
    </row>
    <row r="228">
      <c r="A228" s="10"/>
      <c r="B228" s="10"/>
      <c r="C228" s="12" t="s">
        <v>117</v>
      </c>
    </row>
    <row r="229">
      <c r="A229" s="12" t="s">
        <v>123</v>
      </c>
      <c r="B229" s="12">
        <f t="shared" ref="B229:B232" si="2">B222</f>
        <v>4.8</v>
      </c>
      <c r="C229" s="10" t="str">
        <f t="shared" ref="C229:C232" si="3">IF(B229&lt;=$B$215,"CERTO","CORRIGIR")</f>
        <v>CERTO</v>
      </c>
    </row>
    <row r="230">
      <c r="A230" s="12" t="s">
        <v>125</v>
      </c>
      <c r="B230" s="10">
        <f t="shared" si="2"/>
        <v>2.4</v>
      </c>
      <c r="C230" s="10" t="str">
        <f t="shared" si="3"/>
        <v>CERTO</v>
      </c>
    </row>
    <row r="231">
      <c r="A231" s="12" t="s">
        <v>126</v>
      </c>
      <c r="B231" s="24">
        <f t="shared" si="2"/>
        <v>3.2</v>
      </c>
      <c r="C231" s="10" t="str">
        <f t="shared" si="3"/>
        <v>CERTO</v>
      </c>
    </row>
    <row r="232">
      <c r="A232" s="12" t="s">
        <v>129</v>
      </c>
      <c r="B232" s="24">
        <f t="shared" si="2"/>
        <v>1.6</v>
      </c>
      <c r="C232" s="10" t="str">
        <f t="shared" si="3"/>
        <v>CERTO</v>
      </c>
    </row>
    <row r="239">
      <c r="A239" s="23" t="s">
        <v>135</v>
      </c>
    </row>
    <row r="241">
      <c r="A241" s="39" t="s">
        <v>136</v>
      </c>
      <c r="B241" s="40">
        <v>220.0</v>
      </c>
    </row>
    <row r="242">
      <c r="A242" s="41" t="s">
        <v>137</v>
      </c>
      <c r="B242" s="42" t="str">
        <f>((B77)*B75)+B83/B84</f>
        <v>#DIV/0!</v>
      </c>
    </row>
    <row r="243">
      <c r="A243" s="41" t="s">
        <v>138</v>
      </c>
      <c r="B243" s="43">
        <v>440.0</v>
      </c>
      <c r="C243" s="17" t="s">
        <v>139</v>
      </c>
    </row>
    <row r="244">
      <c r="A244" s="41" t="s">
        <v>140</v>
      </c>
      <c r="B244" s="44">
        <f>B243*B175</f>
        <v>2200</v>
      </c>
    </row>
    <row r="245">
      <c r="A245" s="45" t="s">
        <v>141</v>
      </c>
      <c r="B245" s="42">
        <f>B244/B241</f>
        <v>10</v>
      </c>
    </row>
    <row r="251">
      <c r="A251" s="32"/>
      <c r="B251" s="46"/>
    </row>
    <row r="252">
      <c r="A252" s="32"/>
      <c r="B252" s="36"/>
    </row>
    <row r="253">
      <c r="A253" s="32"/>
      <c r="B253" s="35"/>
    </row>
    <row r="254">
      <c r="A254" s="32"/>
      <c r="B254" s="35"/>
    </row>
    <row r="255">
      <c r="A255" s="32"/>
      <c r="B255" s="36"/>
    </row>
  </sheetData>
  <mergeCells count="25">
    <mergeCell ref="A1:J1"/>
    <mergeCell ref="A6:J6"/>
    <mergeCell ref="A8:J8"/>
    <mergeCell ref="A11:B11"/>
    <mergeCell ref="A17:B17"/>
    <mergeCell ref="A51:F51"/>
    <mergeCell ref="A55:B55"/>
    <mergeCell ref="A68:D68"/>
    <mergeCell ref="A69:B69"/>
    <mergeCell ref="A71:B71"/>
    <mergeCell ref="A80:B80"/>
    <mergeCell ref="A88:H88"/>
    <mergeCell ref="A97:F97"/>
    <mergeCell ref="A126:H126"/>
    <mergeCell ref="C222:E222"/>
    <mergeCell ref="C224:E224"/>
    <mergeCell ref="C225:F225"/>
    <mergeCell ref="A239:H239"/>
    <mergeCell ref="A156:H156"/>
    <mergeCell ref="A170:H170"/>
    <mergeCell ref="A173:B173"/>
    <mergeCell ref="A176:B176"/>
    <mergeCell ref="A201:H201"/>
    <mergeCell ref="A203:F203"/>
    <mergeCell ref="C210:C212"/>
  </mergeCells>
  <hyperlinks>
    <hyperlink r:id="rId1" ref="A60"/>
    <hyperlink r:id="rId2" ref="E74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27.0"/>
    <col customWidth="1" min="3" max="5" width="21.0"/>
    <col customWidth="1" min="6" max="6" width="18.0"/>
    <col customWidth="1" min="7" max="8" width="17.0"/>
    <col customWidth="1" min="9" max="9" width="18.0"/>
    <col customWidth="1" min="10" max="10" width="24.0"/>
    <col customWidth="1" min="11" max="26" width="8.63"/>
  </cols>
  <sheetData>
    <row r="1" ht="18.0" customHeight="1">
      <c r="A1" s="76" t="s">
        <v>13</v>
      </c>
    </row>
    <row r="2" ht="22.5" customHeight="1">
      <c r="A2" s="77" t="s">
        <v>1</v>
      </c>
      <c r="B2" s="78" t="s">
        <v>3</v>
      </c>
      <c r="C2" s="78" t="s">
        <v>4</v>
      </c>
      <c r="D2" s="78" t="s">
        <v>2</v>
      </c>
      <c r="E2" s="78" t="s">
        <v>10</v>
      </c>
      <c r="F2" s="78" t="s">
        <v>199</v>
      </c>
      <c r="G2" s="78" t="s">
        <v>7</v>
      </c>
      <c r="H2" s="78" t="s">
        <v>8</v>
      </c>
      <c r="I2" s="78" t="s">
        <v>9</v>
      </c>
      <c r="J2" s="79" t="s">
        <v>200</v>
      </c>
    </row>
    <row r="3" ht="24.0" customHeight="1">
      <c r="A3" s="80" t="s">
        <v>201</v>
      </c>
      <c r="B3" s="81">
        <v>5.0</v>
      </c>
      <c r="C3" s="81">
        <v>6.0</v>
      </c>
      <c r="D3" s="81">
        <v>0.8</v>
      </c>
      <c r="E3" s="81">
        <v>3.0</v>
      </c>
      <c r="F3" s="81">
        <f t="shared" ref="F3:F6" si="1">E3-D3</f>
        <v>2.2</v>
      </c>
      <c r="G3" s="81" t="s">
        <v>52</v>
      </c>
      <c r="H3" s="81" t="s">
        <v>15</v>
      </c>
      <c r="I3" s="81" t="s">
        <v>53</v>
      </c>
      <c r="J3" s="82" t="s">
        <v>202</v>
      </c>
    </row>
    <row r="4" ht="18.0" customHeight="1">
      <c r="A4" s="83" t="s">
        <v>54</v>
      </c>
      <c r="B4" s="84">
        <v>5.0</v>
      </c>
      <c r="C4" s="84">
        <v>6.0</v>
      </c>
      <c r="D4" s="84">
        <v>0.8</v>
      </c>
      <c r="E4" s="84">
        <v>3.0</v>
      </c>
      <c r="F4" s="84">
        <f t="shared" si="1"/>
        <v>2.2</v>
      </c>
      <c r="G4" s="84" t="s">
        <v>57</v>
      </c>
      <c r="H4" s="84" t="s">
        <v>58</v>
      </c>
      <c r="I4" s="84" t="s">
        <v>53</v>
      </c>
      <c r="J4" s="85" t="s">
        <v>202</v>
      </c>
    </row>
    <row r="5" ht="18.0" customHeight="1">
      <c r="A5" s="83" t="s">
        <v>203</v>
      </c>
      <c r="B5" s="84">
        <v>5.23</v>
      </c>
      <c r="C5" s="84">
        <v>3.5</v>
      </c>
      <c r="D5" s="84">
        <v>0.8</v>
      </c>
      <c r="E5" s="84">
        <v>3.0</v>
      </c>
      <c r="F5" s="84">
        <f t="shared" si="1"/>
        <v>2.2</v>
      </c>
      <c r="G5" s="84" t="s">
        <v>52</v>
      </c>
      <c r="H5" s="84" t="s">
        <v>15</v>
      </c>
      <c r="I5" s="84" t="s">
        <v>53</v>
      </c>
      <c r="J5" s="85" t="s">
        <v>202</v>
      </c>
    </row>
    <row r="6" ht="18.0" customHeight="1">
      <c r="A6" s="86" t="s">
        <v>67</v>
      </c>
      <c r="B6" s="87">
        <v>8.12</v>
      </c>
      <c r="C6" s="87">
        <v>6.0</v>
      </c>
      <c r="D6" s="87">
        <v>0.8</v>
      </c>
      <c r="E6" s="87">
        <v>3.0</v>
      </c>
      <c r="F6" s="87">
        <f t="shared" si="1"/>
        <v>2.2</v>
      </c>
      <c r="G6" s="87" t="s">
        <v>57</v>
      </c>
      <c r="H6" s="87" t="s">
        <v>73</v>
      </c>
      <c r="I6" s="87" t="s">
        <v>53</v>
      </c>
      <c r="J6" s="89" t="s">
        <v>202</v>
      </c>
    </row>
    <row r="7" ht="18.0" customHeight="1"/>
    <row r="8" ht="18.0" customHeight="1">
      <c r="A8" s="90" t="s">
        <v>25</v>
      </c>
    </row>
    <row r="9" ht="29.25" customHeight="1">
      <c r="A9" s="91" t="s">
        <v>205</v>
      </c>
    </row>
    <row r="10" ht="18.0" customHeight="1"/>
    <row r="11" ht="18.0" customHeight="1">
      <c r="A11" s="90" t="s">
        <v>26</v>
      </c>
    </row>
    <row r="12" ht="18.0" customHeight="1"/>
    <row r="13" ht="18.0" customHeight="1">
      <c r="A13" s="77" t="s">
        <v>207</v>
      </c>
      <c r="B13" s="15"/>
    </row>
    <row r="14" ht="18.0" customHeight="1">
      <c r="A14" s="80" t="s">
        <v>29</v>
      </c>
      <c r="B14" s="82">
        <v>41.0</v>
      </c>
    </row>
    <row r="15" ht="18.0" customHeight="1">
      <c r="A15" s="83" t="s">
        <v>31</v>
      </c>
      <c r="B15" s="85" t="s">
        <v>32</v>
      </c>
    </row>
    <row r="16" ht="18.0" customHeight="1">
      <c r="A16" s="83" t="s">
        <v>208</v>
      </c>
      <c r="B16" s="92">
        <v>0.4</v>
      </c>
    </row>
    <row r="17" ht="18.0" customHeight="1">
      <c r="A17" s="86" t="s">
        <v>209</v>
      </c>
      <c r="B17" s="89">
        <v>0.0</v>
      </c>
    </row>
    <row r="18" ht="18.0" customHeight="1"/>
    <row r="19" ht="18.0" customHeight="1"/>
    <row r="20" ht="18.0" customHeight="1">
      <c r="A20" s="77" t="s">
        <v>210</v>
      </c>
      <c r="B20" s="15"/>
    </row>
    <row r="21" ht="18.0" customHeight="1">
      <c r="A21" s="77" t="s">
        <v>211</v>
      </c>
      <c r="B21" s="78" t="s">
        <v>212</v>
      </c>
      <c r="C21" s="78" t="s">
        <v>213</v>
      </c>
      <c r="D21" s="78" t="s">
        <v>214</v>
      </c>
      <c r="E21" s="78" t="s">
        <v>215</v>
      </c>
      <c r="F21" s="78" t="s">
        <v>216</v>
      </c>
      <c r="G21" s="78" t="s">
        <v>217</v>
      </c>
      <c r="H21" s="78" t="s">
        <v>218</v>
      </c>
      <c r="I21" s="78" t="s">
        <v>219</v>
      </c>
      <c r="J21" s="79" t="s">
        <v>220</v>
      </c>
    </row>
    <row r="22" ht="32.25" customHeight="1">
      <c r="A22" s="80" t="str">
        <f t="shared" ref="A22:A25" si="2">A3</f>
        <v>SAÍDA DE PRODUTOS (SALA DE PRODUTOS)</v>
      </c>
      <c r="B22" s="81" t="s">
        <v>221</v>
      </c>
      <c r="C22" s="81" t="s">
        <v>222</v>
      </c>
      <c r="D22" s="81">
        <v>100.0</v>
      </c>
      <c r="E22" s="81">
        <v>150.0</v>
      </c>
      <c r="F22" s="81">
        <v>200.0</v>
      </c>
      <c r="G22" s="81">
        <f t="shared" ref="G22:G25" si="3">$B$17</f>
        <v>0</v>
      </c>
      <c r="H22" s="81">
        <f t="shared" ref="H22:H25" si="4">IF(G22&lt;=-2,D22,IF(G22&gt;=2,F22,E22))</f>
        <v>150</v>
      </c>
      <c r="I22" s="81">
        <v>200.0</v>
      </c>
      <c r="J22" s="82">
        <f t="shared" ref="J22:J25" si="5">MAX(H22,I22)</f>
        <v>200</v>
      </c>
    </row>
    <row r="23" ht="18.0" customHeight="1">
      <c r="A23" s="83" t="str">
        <f t="shared" si="2"/>
        <v>CONTROLE DE QUALIDADE</v>
      </c>
      <c r="B23" s="84" t="s">
        <v>223</v>
      </c>
      <c r="C23" s="84" t="s">
        <v>224</v>
      </c>
      <c r="D23" s="84">
        <v>1000.0</v>
      </c>
      <c r="E23" s="84">
        <v>1500.0</v>
      </c>
      <c r="F23" s="84">
        <v>2000.0</v>
      </c>
      <c r="G23" s="84">
        <f t="shared" si="3"/>
        <v>0</v>
      </c>
      <c r="H23" s="84">
        <f t="shared" si="4"/>
        <v>1500</v>
      </c>
      <c r="I23" s="84">
        <v>500.0</v>
      </c>
      <c r="J23" s="85">
        <f t="shared" si="5"/>
        <v>1500</v>
      </c>
    </row>
    <row r="24" ht="33.0" customHeight="1">
      <c r="A24" s="83" t="str">
        <f t="shared" si="2"/>
        <v>BANHEIRO (VESTUÁRIO)</v>
      </c>
      <c r="B24" s="84" t="s">
        <v>221</v>
      </c>
      <c r="C24" s="84" t="s">
        <v>225</v>
      </c>
      <c r="D24" s="84">
        <v>50.0</v>
      </c>
      <c r="E24" s="84">
        <v>75.0</v>
      </c>
      <c r="F24" s="84">
        <v>100.0</v>
      </c>
      <c r="G24" s="84">
        <f t="shared" si="3"/>
        <v>0</v>
      </c>
      <c r="H24" s="84">
        <f t="shared" si="4"/>
        <v>75</v>
      </c>
      <c r="I24" s="84">
        <v>200.0</v>
      </c>
      <c r="J24" s="85">
        <f t="shared" si="5"/>
        <v>200</v>
      </c>
    </row>
    <row r="25" ht="26.25" customHeight="1">
      <c r="A25" s="86" t="str">
        <f t="shared" si="2"/>
        <v>ESCRITÓRIO</v>
      </c>
      <c r="B25" s="87" t="s">
        <v>223</v>
      </c>
      <c r="C25" s="87" t="s">
        <v>226</v>
      </c>
      <c r="D25" s="87">
        <v>500.0</v>
      </c>
      <c r="E25" s="87">
        <v>750.0</v>
      </c>
      <c r="F25" s="87">
        <v>1000.0</v>
      </c>
      <c r="G25" s="87">
        <f t="shared" si="3"/>
        <v>0</v>
      </c>
      <c r="H25" s="87">
        <f t="shared" si="4"/>
        <v>750</v>
      </c>
      <c r="I25" s="87">
        <v>250.0</v>
      </c>
      <c r="J25" s="89">
        <f t="shared" si="5"/>
        <v>750</v>
      </c>
    </row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>
      <c r="A47" s="77" t="s">
        <v>227</v>
      </c>
      <c r="B47" s="15"/>
    </row>
    <row r="48" ht="18.0" customHeight="1">
      <c r="A48" s="77" t="s">
        <v>211</v>
      </c>
      <c r="B48" s="78" t="s">
        <v>228</v>
      </c>
      <c r="C48" s="78" t="s">
        <v>218</v>
      </c>
      <c r="D48" s="78" t="s">
        <v>229</v>
      </c>
      <c r="E48" s="79" t="s">
        <v>230</v>
      </c>
    </row>
    <row r="49" ht="18.0" customHeight="1">
      <c r="A49" s="80" t="str">
        <f t="shared" ref="A49:A52" si="7">A22</f>
        <v>SAÍDA DE PRODUTOS (SALA DE PRODUTOS)</v>
      </c>
      <c r="B49" s="81" t="s">
        <v>231</v>
      </c>
      <c r="C49" s="81">
        <f t="shared" ref="C49:E49" si="6">H22</f>
        <v>150</v>
      </c>
      <c r="D49" s="81">
        <f t="shared" si="6"/>
        <v>200</v>
      </c>
      <c r="E49" s="82">
        <f t="shared" si="6"/>
        <v>200</v>
      </c>
    </row>
    <row r="50" ht="18.0" customHeight="1">
      <c r="A50" s="83" t="str">
        <f t="shared" si="7"/>
        <v>CONTROLE DE QUALIDADE</v>
      </c>
      <c r="B50" s="84" t="s">
        <v>233</v>
      </c>
      <c r="C50" s="84">
        <f t="shared" ref="C50:E50" si="8">H23</f>
        <v>1500</v>
      </c>
      <c r="D50" s="84">
        <f t="shared" si="8"/>
        <v>500</v>
      </c>
      <c r="E50" s="85">
        <f t="shared" si="8"/>
        <v>1500</v>
      </c>
    </row>
    <row r="51" ht="18.0" customHeight="1">
      <c r="A51" s="83" t="str">
        <f t="shared" si="7"/>
        <v>BANHEIRO (VESTUÁRIO)</v>
      </c>
      <c r="B51" s="84" t="s">
        <v>234</v>
      </c>
      <c r="C51" s="84">
        <f t="shared" ref="C51:E51" si="9">H24</f>
        <v>75</v>
      </c>
      <c r="D51" s="84">
        <f t="shared" si="9"/>
        <v>200</v>
      </c>
      <c r="E51" s="85">
        <f t="shared" si="9"/>
        <v>200</v>
      </c>
    </row>
    <row r="52" ht="18.0" customHeight="1">
      <c r="A52" s="86" t="str">
        <f t="shared" si="7"/>
        <v>ESCRITÓRIO</v>
      </c>
      <c r="B52" s="87" t="s">
        <v>235</v>
      </c>
      <c r="C52" s="87">
        <f t="shared" ref="C52:E52" si="10">H25</f>
        <v>750</v>
      </c>
      <c r="D52" s="87">
        <f t="shared" si="10"/>
        <v>250</v>
      </c>
      <c r="E52" s="89">
        <f t="shared" si="10"/>
        <v>750</v>
      </c>
    </row>
    <row r="53" ht="18.0" customHeight="1"/>
    <row r="54" ht="18.0" customHeight="1">
      <c r="A54" s="91" t="s">
        <v>237</v>
      </c>
    </row>
    <row r="55" ht="18.0" customHeight="1"/>
    <row r="56" ht="18.0" customHeight="1">
      <c r="A56" s="90" t="s">
        <v>238</v>
      </c>
    </row>
    <row r="57" ht="18.0" customHeight="1"/>
    <row r="58" ht="18.0" customHeight="1">
      <c r="A58" s="77" t="s">
        <v>240</v>
      </c>
      <c r="B58" s="15"/>
    </row>
    <row r="59" ht="18.0" customHeight="1">
      <c r="A59" s="80" t="s">
        <v>61</v>
      </c>
      <c r="B59" s="82" t="s">
        <v>241</v>
      </c>
    </row>
    <row r="60" ht="18.0" customHeight="1">
      <c r="A60" s="83" t="s">
        <v>64</v>
      </c>
      <c r="B60" s="85" t="s">
        <v>65</v>
      </c>
    </row>
    <row r="61" ht="18.0" customHeight="1">
      <c r="A61" s="86" t="s">
        <v>242</v>
      </c>
      <c r="B61" s="89" t="s">
        <v>243</v>
      </c>
    </row>
    <row r="62" ht="18.0" customHeight="1"/>
    <row r="63" ht="18.0" customHeight="1">
      <c r="A63" s="77" t="s">
        <v>244</v>
      </c>
      <c r="B63" s="15"/>
    </row>
    <row r="64" ht="18.0" customHeight="1">
      <c r="A64" s="80" t="s">
        <v>61</v>
      </c>
      <c r="B64" s="82" t="s">
        <v>245</v>
      </c>
    </row>
    <row r="65" ht="18.0" customHeight="1">
      <c r="A65" s="83" t="s">
        <v>246</v>
      </c>
      <c r="B65" s="85" t="s">
        <v>202</v>
      </c>
    </row>
    <row r="66" ht="18.0" customHeight="1">
      <c r="A66" s="83" t="s">
        <v>247</v>
      </c>
      <c r="B66" s="85">
        <v>40.0</v>
      </c>
    </row>
    <row r="67" ht="18.0" customHeight="1">
      <c r="A67" s="83" t="s">
        <v>248</v>
      </c>
      <c r="B67" s="85">
        <v>3000.0</v>
      </c>
    </row>
    <row r="68" ht="18.0" customHeight="1">
      <c r="A68" s="86" t="s">
        <v>249</v>
      </c>
      <c r="B68" s="89">
        <v>2.0</v>
      </c>
    </row>
    <row r="69" ht="18.0" customHeight="1"/>
    <row r="70" ht="18.0" customHeight="1">
      <c r="A70" s="77" t="s">
        <v>79</v>
      </c>
      <c r="B70" s="15"/>
    </row>
    <row r="71" ht="18.0" customHeight="1">
      <c r="A71" s="80" t="s">
        <v>250</v>
      </c>
      <c r="B71" s="82" t="s">
        <v>251</v>
      </c>
    </row>
    <row r="72" ht="18.0" customHeight="1">
      <c r="A72" s="83" t="s">
        <v>253</v>
      </c>
      <c r="B72" s="85">
        <v>220.0</v>
      </c>
    </row>
    <row r="73" ht="18.0" customHeight="1">
      <c r="A73" s="83" t="s">
        <v>255</v>
      </c>
      <c r="B73" s="85">
        <v>0.51</v>
      </c>
    </row>
    <row r="74" ht="18.0" customHeight="1">
      <c r="A74" s="83" t="s">
        <v>256</v>
      </c>
      <c r="B74" s="85">
        <v>0.9</v>
      </c>
    </row>
    <row r="75" ht="18.0" customHeight="1">
      <c r="A75" s="86" t="s">
        <v>257</v>
      </c>
      <c r="B75" s="89">
        <v>24.1</v>
      </c>
    </row>
    <row r="76" ht="18.0" customHeight="1"/>
    <row r="77" ht="18.0" customHeight="1">
      <c r="A77" s="90" t="s">
        <v>84</v>
      </c>
    </row>
    <row r="78" ht="18.0" customHeight="1">
      <c r="A78" s="91" t="s">
        <v>258</v>
      </c>
    </row>
    <row r="79" ht="18.0" customHeight="1"/>
    <row r="80" ht="18.0" customHeight="1">
      <c r="A80" s="77" t="s">
        <v>259</v>
      </c>
      <c r="B80" s="15"/>
    </row>
    <row r="81" ht="18.0" customHeight="1">
      <c r="A81" s="77" t="s">
        <v>211</v>
      </c>
      <c r="B81" s="78" t="s">
        <v>260</v>
      </c>
      <c r="C81" s="78" t="s">
        <v>261</v>
      </c>
      <c r="D81" s="78" t="s">
        <v>262</v>
      </c>
      <c r="E81" s="78" t="s">
        <v>263</v>
      </c>
      <c r="F81" s="78" t="s">
        <v>264</v>
      </c>
      <c r="G81" s="78" t="s">
        <v>265</v>
      </c>
      <c r="H81" s="79" t="s">
        <v>266</v>
      </c>
    </row>
    <row r="82" ht="18.0" customHeight="1">
      <c r="A82" s="80" t="str">
        <f t="shared" ref="A82:A85" si="11">A3</f>
        <v>SAÍDA DE PRODUTOS (SALA DE PRODUTOS)</v>
      </c>
      <c r="B82" s="81" t="str">
        <f t="shared" ref="B82:B85" si="12">G3</f>
        <v>CLARO</v>
      </c>
      <c r="C82" s="81">
        <f t="shared" ref="C82:C85" si="13">IF(B82="BRANCO",70,IF(B82="CLARO",50,30))</f>
        <v>50</v>
      </c>
      <c r="D82" s="81" t="str">
        <f t="shared" ref="D82:D85" si="14">H3</f>
        <v>CLARA</v>
      </c>
      <c r="E82" s="81">
        <f t="shared" ref="E82:E84" si="15">IF(OR(D82="BRANCA",D82="CLARA"),50,30)</f>
        <v>50</v>
      </c>
      <c r="F82" s="81" t="str">
        <f t="shared" ref="F82:F85" si="16">I3</f>
        <v>AZULEJO CINZA</v>
      </c>
      <c r="G82" s="81">
        <v>10.0</v>
      </c>
      <c r="H82" s="82" t="s">
        <v>267</v>
      </c>
    </row>
    <row r="83" ht="18.0" customHeight="1">
      <c r="A83" s="83" t="str">
        <f t="shared" si="11"/>
        <v>CONTROLE DE QUALIDADE</v>
      </c>
      <c r="B83" s="84" t="str">
        <f t="shared" si="12"/>
        <v>BRANCO</v>
      </c>
      <c r="C83" s="84">
        <f t="shared" si="13"/>
        <v>70</v>
      </c>
      <c r="D83" s="84" t="str">
        <f t="shared" si="14"/>
        <v>BRANCA</v>
      </c>
      <c r="E83" s="84">
        <f t="shared" si="15"/>
        <v>50</v>
      </c>
      <c r="F83" s="84" t="str">
        <f t="shared" si="16"/>
        <v>AZULEJO CINZA</v>
      </c>
      <c r="G83" s="84">
        <v>10.0</v>
      </c>
      <c r="H83" s="85" t="s">
        <v>267</v>
      </c>
    </row>
    <row r="84" ht="18.0" customHeight="1">
      <c r="A84" s="83" t="str">
        <f t="shared" si="11"/>
        <v>BANHEIRO (VESTUÁRIO)</v>
      </c>
      <c r="B84" s="84" t="str">
        <f t="shared" si="12"/>
        <v>CLARO</v>
      </c>
      <c r="C84" s="84">
        <f t="shared" si="13"/>
        <v>50</v>
      </c>
      <c r="D84" s="84" t="str">
        <f t="shared" si="14"/>
        <v>CLARA</v>
      </c>
      <c r="E84" s="84">
        <f t="shared" si="15"/>
        <v>50</v>
      </c>
      <c r="F84" s="84" t="str">
        <f t="shared" si="16"/>
        <v>AZULEJO CINZA</v>
      </c>
      <c r="G84" s="84">
        <v>10.0</v>
      </c>
      <c r="H84" s="85" t="s">
        <v>267</v>
      </c>
    </row>
    <row r="85" ht="18.0" customHeight="1">
      <c r="A85" s="86" t="str">
        <f t="shared" si="11"/>
        <v>ESCRITÓRIO</v>
      </c>
      <c r="B85" s="87" t="str">
        <f t="shared" si="12"/>
        <v>BRANCO</v>
      </c>
      <c r="C85" s="87">
        <f t="shared" si="13"/>
        <v>70</v>
      </c>
      <c r="D85" s="87" t="str">
        <f t="shared" si="14"/>
        <v>BEGE</v>
      </c>
      <c r="E85" s="87">
        <v>35.0</v>
      </c>
      <c r="F85" s="87" t="str">
        <f t="shared" si="16"/>
        <v>AZULEJO CINZA</v>
      </c>
      <c r="G85" s="87">
        <v>10.0</v>
      </c>
      <c r="H85" s="89" t="s">
        <v>269</v>
      </c>
    </row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>
      <c r="A101" s="77" t="s">
        <v>270</v>
      </c>
      <c r="B101" s="15"/>
    </row>
    <row r="102" ht="18.0" customHeight="1">
      <c r="A102" s="77" t="s">
        <v>211</v>
      </c>
      <c r="B102" s="78" t="s">
        <v>273</v>
      </c>
      <c r="C102" s="78" t="s">
        <v>275</v>
      </c>
      <c r="D102" s="78" t="s">
        <v>276</v>
      </c>
      <c r="E102" s="78" t="s">
        <v>86</v>
      </c>
      <c r="F102" s="78" t="s">
        <v>261</v>
      </c>
      <c r="G102" s="78" t="s">
        <v>263</v>
      </c>
      <c r="H102" s="78" t="s">
        <v>92</v>
      </c>
      <c r="I102" s="79" t="s">
        <v>277</v>
      </c>
    </row>
    <row r="103" ht="18.0" customHeight="1">
      <c r="A103" s="80" t="str">
        <f t="shared" ref="A103:C103" si="17">A3</f>
        <v>SAÍDA DE PRODUTOS (SALA DE PRODUTOS)</v>
      </c>
      <c r="B103" s="81">
        <f t="shared" si="17"/>
        <v>5</v>
      </c>
      <c r="C103" s="81">
        <f t="shared" si="17"/>
        <v>6</v>
      </c>
      <c r="D103" s="81">
        <f t="shared" ref="D103:D106" si="19">F3</f>
        <v>2.2</v>
      </c>
      <c r="E103" s="96">
        <f t="shared" ref="E103:E106" si="20">(B103*C103)/(D103*(B103+C103))</f>
        <v>1.239669421</v>
      </c>
      <c r="F103" s="96">
        <f t="shared" ref="F103:F106" si="21">C82</f>
        <v>50</v>
      </c>
      <c r="G103" s="96">
        <f t="shared" ref="G103:G106" si="22">E82</f>
        <v>50</v>
      </c>
      <c r="H103" s="96">
        <f>0.44+(E103-1)/(1.25-1)*(0.49-0.44)</f>
        <v>0.4879338843</v>
      </c>
      <c r="I103" s="82" t="s">
        <v>278</v>
      </c>
    </row>
    <row r="104" ht="18.0" customHeight="1">
      <c r="A104" s="83" t="str">
        <f t="shared" ref="A104:C104" si="18">A4</f>
        <v>CONTROLE DE QUALIDADE</v>
      </c>
      <c r="B104" s="84">
        <f t="shared" si="18"/>
        <v>5</v>
      </c>
      <c r="C104" s="84">
        <f t="shared" si="18"/>
        <v>6</v>
      </c>
      <c r="D104" s="84">
        <f t="shared" si="19"/>
        <v>2.2</v>
      </c>
      <c r="E104" s="97">
        <f t="shared" si="20"/>
        <v>1.239669421</v>
      </c>
      <c r="F104" s="97">
        <f t="shared" si="21"/>
        <v>70</v>
      </c>
      <c r="G104" s="97">
        <f t="shared" si="22"/>
        <v>50</v>
      </c>
      <c r="H104" s="97">
        <f>0.5+(E104-1)/(1.25-1)*(0.56-0.5)</f>
        <v>0.5575206612</v>
      </c>
      <c r="I104" s="85" t="s">
        <v>279</v>
      </c>
    </row>
    <row r="105" ht="18.0" customHeight="1">
      <c r="A105" s="83" t="str">
        <f t="shared" ref="A105:C105" si="23">A5</f>
        <v>BANHEIRO (VESTUÁRIO)</v>
      </c>
      <c r="B105" s="84">
        <f t="shared" si="23"/>
        <v>5.23</v>
      </c>
      <c r="C105" s="84">
        <f t="shared" si="23"/>
        <v>3.5</v>
      </c>
      <c r="D105" s="84">
        <f t="shared" si="19"/>
        <v>2.2</v>
      </c>
      <c r="E105" s="97">
        <f t="shared" si="20"/>
        <v>0.9530875768</v>
      </c>
      <c r="F105" s="97">
        <f t="shared" si="21"/>
        <v>50</v>
      </c>
      <c r="G105" s="97">
        <f t="shared" si="22"/>
        <v>50</v>
      </c>
      <c r="H105" s="97">
        <f>0.38+(E105-0.8)/(1-0.8)*(0.44-0.38)</f>
        <v>0.425926273</v>
      </c>
      <c r="I105" s="85" t="s">
        <v>280</v>
      </c>
    </row>
    <row r="106" ht="18.0" customHeight="1">
      <c r="A106" s="86" t="str">
        <f t="shared" ref="A106:C106" si="24">A6</f>
        <v>ESCRITÓRIO</v>
      </c>
      <c r="B106" s="87">
        <f t="shared" si="24"/>
        <v>8.12</v>
      </c>
      <c r="C106" s="87">
        <f t="shared" si="24"/>
        <v>6</v>
      </c>
      <c r="D106" s="87">
        <f t="shared" si="19"/>
        <v>2.2</v>
      </c>
      <c r="E106" s="98">
        <f t="shared" si="20"/>
        <v>1.568374968</v>
      </c>
      <c r="F106" s="98">
        <f t="shared" si="21"/>
        <v>70</v>
      </c>
      <c r="G106" s="98">
        <f t="shared" si="22"/>
        <v>35</v>
      </c>
      <c r="H106" s="98">
        <f>(0.54+(E106-1.5)/(2-1.5)*(0.61-0.54))+((G106-30)/20)*((0.61+(E106-1.5)/(2-1.5)*(0.68-0.61))-(0.54+(E106-1.5)/(2-1.5)*(0.61-0.54)))</f>
        <v>0.5670724955</v>
      </c>
      <c r="I106" s="89" t="s">
        <v>281</v>
      </c>
    </row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21.75" customHeight="1">
      <c r="A119" s="90" t="s">
        <v>94</v>
      </c>
    </row>
    <row r="120" ht="18.0" customHeight="1">
      <c r="A120" s="80" t="s">
        <v>282</v>
      </c>
      <c r="B120" s="82" t="s">
        <v>283</v>
      </c>
    </row>
    <row r="121" ht="18.0" customHeight="1">
      <c r="A121" s="86" t="s">
        <v>284</v>
      </c>
      <c r="B121" s="89">
        <v>0.75</v>
      </c>
    </row>
    <row r="122" ht="18.0" customHeight="1">
      <c r="A122" s="86" t="s">
        <v>285</v>
      </c>
      <c r="B122" s="89" t="s">
        <v>286</v>
      </c>
    </row>
    <row r="123" ht="18.0" customHeight="1">
      <c r="A123" s="91"/>
      <c r="B123" s="91"/>
      <c r="C123" s="91"/>
      <c r="D123" s="91"/>
      <c r="E123" s="91"/>
      <c r="F123" s="91"/>
      <c r="G123" s="91"/>
      <c r="H123" s="91"/>
      <c r="I123" s="91"/>
      <c r="J123" s="91"/>
    </row>
    <row r="124" ht="18.0" customHeight="1">
      <c r="A124" s="91" t="s">
        <v>287</v>
      </c>
    </row>
    <row r="125" ht="18.0" customHeight="1">
      <c r="A125" s="90"/>
      <c r="B125" s="90"/>
      <c r="C125" s="90"/>
      <c r="D125" s="90"/>
      <c r="E125" s="90"/>
      <c r="F125" s="90"/>
      <c r="G125" s="90"/>
      <c r="H125" s="90"/>
      <c r="I125" s="90"/>
      <c r="J125" s="90"/>
    </row>
    <row r="126" ht="18.0" customHeight="1">
      <c r="A126" s="77"/>
      <c r="B126" s="78"/>
      <c r="C126" s="78"/>
      <c r="D126" s="78"/>
      <c r="E126" s="78"/>
      <c r="F126" s="78"/>
      <c r="G126" s="78"/>
      <c r="H126" s="78"/>
      <c r="I126" s="78"/>
      <c r="J126" s="79"/>
    </row>
    <row r="127" ht="18.0" customHeight="1">
      <c r="A127" s="80"/>
      <c r="B127" s="99"/>
      <c r="C127" s="99"/>
      <c r="D127" s="99"/>
      <c r="E127" s="99"/>
      <c r="F127" s="99"/>
      <c r="G127" s="99"/>
      <c r="H127" s="99"/>
      <c r="I127" s="99"/>
      <c r="J127" s="82"/>
    </row>
    <row r="128" ht="18.0" customHeight="1">
      <c r="A128" s="83"/>
      <c r="B128" s="100"/>
      <c r="C128" s="100"/>
      <c r="D128" s="100"/>
      <c r="E128" s="100"/>
      <c r="F128" s="100"/>
      <c r="G128" s="100"/>
      <c r="H128" s="100"/>
      <c r="I128" s="100"/>
      <c r="J128" s="85"/>
    </row>
    <row r="129" ht="18.0" customHeight="1">
      <c r="A129" s="83"/>
      <c r="B129" s="100"/>
      <c r="C129" s="100"/>
      <c r="D129" s="100"/>
      <c r="E129" s="100"/>
      <c r="F129" s="100"/>
      <c r="G129" s="100"/>
      <c r="H129" s="100"/>
      <c r="I129" s="100"/>
      <c r="J129" s="85"/>
    </row>
    <row r="130" ht="18.0" customHeight="1">
      <c r="A130" s="86"/>
      <c r="B130" s="101"/>
      <c r="C130" s="101"/>
      <c r="D130" s="101"/>
      <c r="E130" s="101"/>
      <c r="F130" s="101"/>
      <c r="G130" s="101"/>
      <c r="H130" s="101"/>
      <c r="I130" s="101"/>
      <c r="J130" s="89"/>
    </row>
    <row r="131" ht="18.0" customHeight="1"/>
    <row r="132" ht="18.0" customHeight="1">
      <c r="A132" s="77"/>
      <c r="B132" s="79"/>
    </row>
    <row r="133" ht="18.0" customHeight="1">
      <c r="A133" s="77"/>
      <c r="B133" s="78"/>
      <c r="C133" s="78"/>
      <c r="D133" s="78"/>
      <c r="E133" s="78"/>
      <c r="F133" s="78"/>
      <c r="G133" s="78"/>
      <c r="H133" s="79"/>
    </row>
    <row r="134" ht="18.0" customHeight="1">
      <c r="A134" s="80"/>
      <c r="B134" s="81"/>
      <c r="C134" s="81"/>
      <c r="D134" s="81"/>
      <c r="E134" s="81"/>
      <c r="F134" s="81"/>
      <c r="G134" s="81"/>
      <c r="H134" s="82"/>
    </row>
    <row r="135" ht="18.0" customHeight="1">
      <c r="A135" s="83"/>
      <c r="B135" s="84"/>
      <c r="C135" s="84"/>
      <c r="D135" s="84"/>
      <c r="E135" s="84"/>
      <c r="F135" s="84"/>
      <c r="G135" s="84"/>
      <c r="H135" s="85"/>
    </row>
    <row r="136" ht="21.75" customHeight="1">
      <c r="A136" s="102" t="s">
        <v>104</v>
      </c>
    </row>
    <row r="137" ht="18.0" customHeight="1">
      <c r="A137" s="86" t="s">
        <v>288</v>
      </c>
      <c r="B137" s="103"/>
      <c r="C137" s="103"/>
      <c r="D137" s="87"/>
      <c r="E137" s="87"/>
      <c r="F137" s="87"/>
      <c r="G137" s="87"/>
      <c r="H137" s="89"/>
    </row>
    <row r="138" ht="18.0" customHeight="1"/>
    <row r="139" ht="18.0" customHeight="1">
      <c r="A139" s="77"/>
      <c r="B139" s="79"/>
    </row>
    <row r="140" ht="18.0" customHeight="1">
      <c r="A140" s="77"/>
      <c r="B140" s="78"/>
      <c r="C140" s="78"/>
      <c r="D140" s="78"/>
      <c r="E140" s="78"/>
      <c r="F140" s="79"/>
    </row>
    <row r="141" ht="18.0" customHeight="1">
      <c r="A141" s="80"/>
      <c r="B141" s="81"/>
      <c r="C141" s="81"/>
      <c r="D141" s="81"/>
      <c r="E141" s="81"/>
      <c r="F141" s="82"/>
    </row>
    <row r="142" ht="18.0" customHeight="1">
      <c r="A142" s="83"/>
      <c r="B142" s="84"/>
      <c r="C142" s="84"/>
      <c r="D142" s="84"/>
      <c r="E142" s="84"/>
      <c r="F142" s="85"/>
    </row>
    <row r="143" ht="18.0" customHeight="1">
      <c r="A143" s="83"/>
      <c r="B143" s="84"/>
      <c r="C143" s="84"/>
      <c r="D143" s="84"/>
      <c r="E143" s="84"/>
      <c r="F143" s="85"/>
    </row>
    <row r="144" ht="18.0" customHeight="1">
      <c r="A144" s="77" t="s">
        <v>211</v>
      </c>
      <c r="B144" s="78" t="s">
        <v>289</v>
      </c>
      <c r="C144" s="78" t="s">
        <v>290</v>
      </c>
      <c r="D144" s="78" t="s">
        <v>92</v>
      </c>
      <c r="E144" s="78" t="s">
        <v>291</v>
      </c>
      <c r="F144" s="79" t="s">
        <v>292</v>
      </c>
    </row>
    <row r="145" ht="18.0" customHeight="1">
      <c r="A145" s="80" t="str">
        <f t="shared" ref="A145:A148" si="25">A3</f>
        <v>SAÍDA DE PRODUTOS (SALA DE PRODUTOS)</v>
      </c>
      <c r="B145" s="99">
        <f t="shared" ref="B145:B148" si="26">J22</f>
        <v>200</v>
      </c>
      <c r="C145" s="99">
        <f t="shared" ref="C145:C148" si="27">B3*C3</f>
        <v>30</v>
      </c>
      <c r="D145" s="99">
        <f t="shared" ref="D145:D148" si="28">H103</f>
        <v>0.4879338843</v>
      </c>
      <c r="E145" s="99">
        <f t="shared" ref="E145:E148" si="29">$B$121</f>
        <v>0.75</v>
      </c>
      <c r="F145" s="104">
        <f t="shared" ref="F145:F148" si="30">B145*C145/(D145*E145)</f>
        <v>16395.66396</v>
      </c>
    </row>
    <row r="146" ht="18.0" customHeight="1">
      <c r="A146" s="105" t="str">
        <f t="shared" si="25"/>
        <v>CONTROLE DE QUALIDADE</v>
      </c>
      <c r="B146" s="106">
        <f t="shared" si="26"/>
        <v>1500</v>
      </c>
      <c r="C146" s="106">
        <f t="shared" si="27"/>
        <v>30</v>
      </c>
      <c r="D146" s="106">
        <f t="shared" si="28"/>
        <v>0.5575206612</v>
      </c>
      <c r="E146" s="106">
        <f t="shared" si="29"/>
        <v>0.75</v>
      </c>
      <c r="F146" s="107">
        <f t="shared" si="30"/>
        <v>107619.33</v>
      </c>
      <c r="G146" s="90"/>
      <c r="H146" s="90"/>
      <c r="I146" s="90"/>
      <c r="J146" s="90"/>
    </row>
    <row r="147" ht="18.0" customHeight="1">
      <c r="A147" s="77" t="str">
        <f t="shared" si="25"/>
        <v>BANHEIRO (VESTUÁRIO)</v>
      </c>
      <c r="B147" s="108">
        <f t="shared" si="26"/>
        <v>200</v>
      </c>
      <c r="C147" s="108">
        <f t="shared" si="27"/>
        <v>18.305</v>
      </c>
      <c r="D147" s="109">
        <f t="shared" si="28"/>
        <v>0.425926273</v>
      </c>
      <c r="E147" s="100">
        <f t="shared" si="29"/>
        <v>0.75</v>
      </c>
      <c r="F147" s="110">
        <f t="shared" si="30"/>
        <v>11460.5124</v>
      </c>
    </row>
    <row r="148" ht="18.0" customHeight="1">
      <c r="A148" s="111" t="str">
        <f t="shared" si="25"/>
        <v>ESCRITÓRIO</v>
      </c>
      <c r="B148" s="112">
        <f t="shared" si="26"/>
        <v>750</v>
      </c>
      <c r="C148" s="112">
        <f t="shared" si="27"/>
        <v>48.72</v>
      </c>
      <c r="D148" s="113">
        <f t="shared" si="28"/>
        <v>0.5670724955</v>
      </c>
      <c r="E148" s="101">
        <f t="shared" si="29"/>
        <v>0.75</v>
      </c>
      <c r="F148" s="114">
        <f t="shared" si="30"/>
        <v>85914.94101</v>
      </c>
    </row>
    <row r="149" ht="18.0" customHeight="1">
      <c r="A149" s="115"/>
      <c r="B149" s="116"/>
      <c r="C149" s="116"/>
      <c r="D149" s="117"/>
    </row>
    <row r="150" ht="21.75" customHeight="1">
      <c r="A150" s="118" t="s">
        <v>293</v>
      </c>
      <c r="B150" s="38"/>
      <c r="C150" s="38"/>
      <c r="D150" s="38"/>
      <c r="E150" s="38"/>
      <c r="F150" s="38"/>
      <c r="G150" s="38"/>
      <c r="H150" s="38"/>
      <c r="I150" s="38"/>
      <c r="J150" s="38"/>
    </row>
    <row r="151" ht="18.0" customHeight="1">
      <c r="A151" s="115" t="s">
        <v>294</v>
      </c>
      <c r="B151" s="38"/>
      <c r="C151" s="38"/>
      <c r="D151" s="15"/>
    </row>
    <row r="152" ht="18.0" customHeight="1">
      <c r="A152" s="115"/>
      <c r="B152" s="116"/>
      <c r="C152" s="116"/>
      <c r="D152" s="117"/>
    </row>
    <row r="153" ht="18.0" customHeight="1">
      <c r="A153" s="115"/>
      <c r="B153" s="116"/>
      <c r="C153" s="116"/>
      <c r="D153" s="117"/>
    </row>
    <row r="154" ht="18.0" customHeight="1"/>
    <row r="155" ht="18.0" customHeight="1"/>
    <row r="156" ht="18.0" customHeight="1">
      <c r="A156" s="90"/>
      <c r="B156" s="90"/>
      <c r="C156" s="90"/>
      <c r="D156" s="90"/>
      <c r="E156" s="90"/>
      <c r="F156" s="90"/>
      <c r="G156" s="90"/>
      <c r="H156" s="90"/>
      <c r="I156" s="90"/>
      <c r="J156" s="90"/>
    </row>
    <row r="157" ht="18.0" customHeight="1">
      <c r="A157" s="77" t="s">
        <v>211</v>
      </c>
      <c r="B157" s="79" t="s">
        <v>292</v>
      </c>
      <c r="C157" s="78" t="s">
        <v>295</v>
      </c>
      <c r="D157" s="78" t="s">
        <v>296</v>
      </c>
      <c r="E157" s="78" t="s">
        <v>297</v>
      </c>
      <c r="F157" s="78" t="s">
        <v>298</v>
      </c>
      <c r="G157" s="78" t="s">
        <v>299</v>
      </c>
      <c r="H157" s="79" t="s">
        <v>300</v>
      </c>
    </row>
    <row r="158" ht="18.0" customHeight="1">
      <c r="A158" s="80" t="str">
        <f t="shared" ref="A158:A161" si="31">A145</f>
        <v>SAÍDA DE PRODUTOS (SALA DE PRODUTOS)</v>
      </c>
      <c r="B158" s="104">
        <f t="shared" ref="B158:B161" si="32">F145</f>
        <v>16395.66396</v>
      </c>
      <c r="C158" s="99">
        <f t="shared" ref="C158:C161" si="33">$B$67</f>
        <v>3000</v>
      </c>
      <c r="D158" s="99">
        <f t="shared" ref="D158:D161" si="34">$B$68</f>
        <v>2</v>
      </c>
      <c r="E158" s="99">
        <f t="shared" ref="E158:E161" si="35">B158/(C158*D158)</f>
        <v>2.732610659</v>
      </c>
      <c r="F158" s="99">
        <f t="shared" ref="F158:F161" si="36">ROUNDUP(E158,0)</f>
        <v>3</v>
      </c>
      <c r="G158" s="81" t="s">
        <v>301</v>
      </c>
      <c r="H158" s="82">
        <v>3.0</v>
      </c>
    </row>
    <row r="159" ht="18.0" customHeight="1">
      <c r="A159" s="83" t="str">
        <f t="shared" si="31"/>
        <v>CONTROLE DE QUALIDADE</v>
      </c>
      <c r="B159" s="110">
        <f t="shared" si="32"/>
        <v>107619.33</v>
      </c>
      <c r="C159" s="100">
        <f t="shared" si="33"/>
        <v>3000</v>
      </c>
      <c r="D159" s="100">
        <f t="shared" si="34"/>
        <v>2</v>
      </c>
      <c r="E159" s="100">
        <f t="shared" si="35"/>
        <v>17.936555</v>
      </c>
      <c r="F159" s="100">
        <f t="shared" si="36"/>
        <v>18</v>
      </c>
      <c r="G159" s="84" t="s">
        <v>302</v>
      </c>
      <c r="H159" s="85">
        <v>18.0</v>
      </c>
    </row>
    <row r="160" ht="18.0" customHeight="1">
      <c r="A160" s="86" t="str">
        <f t="shared" si="31"/>
        <v>BANHEIRO (VESTUÁRIO)</v>
      </c>
      <c r="B160" s="114">
        <f t="shared" si="32"/>
        <v>11460.5124</v>
      </c>
      <c r="C160" s="100">
        <f t="shared" si="33"/>
        <v>3000</v>
      </c>
      <c r="D160" s="100">
        <f t="shared" si="34"/>
        <v>2</v>
      </c>
      <c r="E160" s="100">
        <f t="shared" si="35"/>
        <v>1.9100854</v>
      </c>
      <c r="F160" s="100">
        <f t="shared" si="36"/>
        <v>2</v>
      </c>
      <c r="G160" s="84" t="s">
        <v>303</v>
      </c>
      <c r="H160" s="85">
        <v>2.0</v>
      </c>
    </row>
    <row r="161" ht="18.0" customHeight="1">
      <c r="A161" s="86" t="str">
        <f t="shared" si="31"/>
        <v>ESCRITÓRIO</v>
      </c>
      <c r="B161" s="101">
        <f t="shared" si="32"/>
        <v>85914.94101</v>
      </c>
      <c r="C161" s="101">
        <f t="shared" si="33"/>
        <v>3000</v>
      </c>
      <c r="D161" s="101">
        <f t="shared" si="34"/>
        <v>2</v>
      </c>
      <c r="E161" s="101">
        <f t="shared" si="35"/>
        <v>14.31915684</v>
      </c>
      <c r="F161" s="101">
        <f t="shared" si="36"/>
        <v>15</v>
      </c>
      <c r="G161" s="87" t="s">
        <v>304</v>
      </c>
      <c r="H161" s="89">
        <v>15.0</v>
      </c>
    </row>
    <row r="162" ht="18.0" customHeight="1"/>
    <row r="163" ht="21.75" customHeight="1">
      <c r="A163" s="90" t="s">
        <v>305</v>
      </c>
    </row>
    <row r="164" ht="18.0" customHeight="1">
      <c r="A164" s="91" t="s">
        <v>306</v>
      </c>
    </row>
    <row r="165" ht="18.0" customHeight="1"/>
    <row r="166" ht="18.0" customHeight="1">
      <c r="A166" s="77" t="s">
        <v>211</v>
      </c>
      <c r="B166" s="78" t="s">
        <v>307</v>
      </c>
      <c r="C166" s="78" t="s">
        <v>308</v>
      </c>
      <c r="D166" s="78" t="s">
        <v>309</v>
      </c>
      <c r="E166" s="78" t="s">
        <v>310</v>
      </c>
      <c r="F166" s="78" t="s">
        <v>311</v>
      </c>
      <c r="G166" s="78" t="s">
        <v>312</v>
      </c>
      <c r="H166" s="78" t="s">
        <v>313</v>
      </c>
      <c r="I166" s="78" t="s">
        <v>314</v>
      </c>
      <c r="J166" s="79" t="s">
        <v>315</v>
      </c>
    </row>
    <row r="167" ht="18.0" customHeight="1">
      <c r="A167" s="80" t="str">
        <f t="shared" ref="A167:A170" si="37">A3</f>
        <v>SAÍDA DE PRODUTOS (SALA DE PRODUTOS)</v>
      </c>
      <c r="B167" s="81">
        <v>3.0</v>
      </c>
      <c r="C167" s="81">
        <v>1.0</v>
      </c>
      <c r="D167" s="99">
        <f t="shared" ref="D167:D170" si="38">IF(B167&gt;1,C3/B167,0)</f>
        <v>2</v>
      </c>
      <c r="E167" s="99">
        <f t="shared" ref="E167:E170" si="39">C3/(2*B167)</f>
        <v>1</v>
      </c>
      <c r="F167" s="99">
        <f t="shared" ref="F167:F170" si="40">IF(C167&gt;1,B3/C167,0)</f>
        <v>0</v>
      </c>
      <c r="G167" s="99">
        <f t="shared" ref="G167:G170" si="41">B3/(2*C167)</f>
        <v>2.5</v>
      </c>
      <c r="H167" s="99">
        <f t="shared" ref="H167:H170" si="42">1.5*F3</f>
        <v>3.3</v>
      </c>
      <c r="I167" s="81">
        <f t="shared" ref="I167:I170" si="43">B167*C167</f>
        <v>3</v>
      </c>
      <c r="J167" s="82" t="str">
        <f t="shared" ref="J167:J170" si="44">IF(AND(MAX(D167,E167,F167,G167)&lt;=H167,OR(D167=0,D167&gt;=1),OR(F167=0,F167&gt;=1)),"CERTO","REVER")</f>
        <v>CERTO</v>
      </c>
    </row>
    <row r="168" ht="18.0" customHeight="1">
      <c r="A168" s="83" t="str">
        <f t="shared" si="37"/>
        <v>CONTROLE DE QUALIDADE</v>
      </c>
      <c r="B168" s="84">
        <v>6.0</v>
      </c>
      <c r="C168" s="84">
        <v>3.0</v>
      </c>
      <c r="D168" s="100">
        <f t="shared" si="38"/>
        <v>1</v>
      </c>
      <c r="E168" s="100">
        <f t="shared" si="39"/>
        <v>0.5</v>
      </c>
      <c r="F168" s="100">
        <f t="shared" si="40"/>
        <v>1.666666667</v>
      </c>
      <c r="G168" s="100">
        <f t="shared" si="41"/>
        <v>0.8333333333</v>
      </c>
      <c r="H168" s="100">
        <f t="shared" si="42"/>
        <v>3.3</v>
      </c>
      <c r="I168" s="84">
        <f t="shared" si="43"/>
        <v>18</v>
      </c>
      <c r="J168" s="85" t="str">
        <f t="shared" si="44"/>
        <v>CERTO</v>
      </c>
    </row>
    <row r="169" ht="18.0" customHeight="1">
      <c r="A169" s="83" t="str">
        <f t="shared" si="37"/>
        <v>BANHEIRO (VESTUÁRIO)</v>
      </c>
      <c r="B169" s="84">
        <v>1.0</v>
      </c>
      <c r="C169" s="84">
        <v>2.0</v>
      </c>
      <c r="D169" s="100">
        <f t="shared" si="38"/>
        <v>0</v>
      </c>
      <c r="E169" s="100">
        <f t="shared" si="39"/>
        <v>1.75</v>
      </c>
      <c r="F169" s="100">
        <f t="shared" si="40"/>
        <v>2.615</v>
      </c>
      <c r="G169" s="100">
        <f t="shared" si="41"/>
        <v>1.3075</v>
      </c>
      <c r="H169" s="100">
        <f t="shared" si="42"/>
        <v>3.3</v>
      </c>
      <c r="I169" s="84">
        <f t="shared" si="43"/>
        <v>2</v>
      </c>
      <c r="J169" s="85" t="str">
        <f t="shared" si="44"/>
        <v>CERTO</v>
      </c>
    </row>
    <row r="170" ht="18.0" customHeight="1">
      <c r="A170" s="86" t="str">
        <f t="shared" si="37"/>
        <v>ESCRITÓRIO</v>
      </c>
      <c r="B170" s="87">
        <v>3.0</v>
      </c>
      <c r="C170" s="87">
        <v>5.0</v>
      </c>
      <c r="D170" s="101">
        <f t="shared" si="38"/>
        <v>2</v>
      </c>
      <c r="E170" s="101">
        <f t="shared" si="39"/>
        <v>1</v>
      </c>
      <c r="F170" s="101">
        <f t="shared" si="40"/>
        <v>1.624</v>
      </c>
      <c r="G170" s="101">
        <f t="shared" si="41"/>
        <v>0.812</v>
      </c>
      <c r="H170" s="101">
        <f t="shared" si="42"/>
        <v>3.3</v>
      </c>
      <c r="I170" s="87">
        <f t="shared" si="43"/>
        <v>15</v>
      </c>
      <c r="J170" s="89" t="str">
        <f t="shared" si="44"/>
        <v>CERTO</v>
      </c>
    </row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21.75" customHeight="1">
      <c r="A178" s="90" t="s">
        <v>316</v>
      </c>
    </row>
    <row r="179" ht="18.0" customHeight="1">
      <c r="A179" s="80" t="s">
        <v>317</v>
      </c>
      <c r="B179" s="104">
        <f>B68*B66</f>
        <v>80</v>
      </c>
    </row>
    <row r="180" ht="18.0" customHeight="1">
      <c r="A180" s="83" t="s">
        <v>318</v>
      </c>
      <c r="B180" s="110">
        <f>B75</f>
        <v>24.1</v>
      </c>
    </row>
    <row r="181" ht="18.0" customHeight="1">
      <c r="A181" s="83" t="s">
        <v>319</v>
      </c>
      <c r="B181" s="110">
        <f>B179+B180</f>
        <v>104.1</v>
      </c>
    </row>
    <row r="182" ht="18.0" customHeight="1">
      <c r="A182" s="83" t="s">
        <v>320</v>
      </c>
      <c r="B182" s="110">
        <f>B74</f>
        <v>0.9</v>
      </c>
    </row>
    <row r="183" ht="18.0" customHeight="1">
      <c r="A183" s="83" t="s">
        <v>321</v>
      </c>
      <c r="B183" s="110">
        <f>B181*TAN(ACOS(B182))</f>
        <v>50.41793111</v>
      </c>
    </row>
    <row r="184" ht="18.0" customHeight="1">
      <c r="A184" s="83" t="s">
        <v>322</v>
      </c>
      <c r="B184" s="110">
        <f>SQRT(B181^2+B183^2)</f>
        <v>115.6666667</v>
      </c>
    </row>
    <row r="185" ht="18.0" customHeight="1">
      <c r="A185" s="86" t="s">
        <v>323</v>
      </c>
      <c r="B185" s="114">
        <v>120.0</v>
      </c>
    </row>
    <row r="186" ht="18.0" customHeight="1"/>
    <row r="187" ht="18.0" customHeight="1">
      <c r="A187" s="91" t="s">
        <v>324</v>
      </c>
    </row>
    <row r="188" ht="18.0" customHeight="1"/>
    <row r="189" ht="18.0" customHeight="1">
      <c r="A189" s="77" t="s">
        <v>211</v>
      </c>
      <c r="B189" s="78" t="s">
        <v>325</v>
      </c>
      <c r="C189" s="78" t="s">
        <v>107</v>
      </c>
      <c r="D189" s="78" t="s">
        <v>326</v>
      </c>
      <c r="E189" s="78" t="s">
        <v>327</v>
      </c>
      <c r="F189" s="78" t="s">
        <v>328</v>
      </c>
      <c r="G189" s="78" t="s">
        <v>329</v>
      </c>
      <c r="H189" s="78" t="s">
        <v>330</v>
      </c>
      <c r="I189" s="78" t="s">
        <v>331</v>
      </c>
      <c r="J189" s="79" t="s">
        <v>332</v>
      </c>
    </row>
    <row r="190" ht="18.0" customHeight="1">
      <c r="A190" s="80" t="str">
        <f t="shared" ref="A190:A193" si="46">A3</f>
        <v>SAÍDA DE PRODUTOS (SALA DE PRODUTOS)</v>
      </c>
      <c r="B190" s="81" t="s">
        <v>333</v>
      </c>
      <c r="C190" s="81">
        <f t="shared" ref="C190:C193" si="47">H158</f>
        <v>3</v>
      </c>
      <c r="D190" s="99">
        <f t="shared" ref="D190:D193" si="48">C190*$B$181</f>
        <v>312.3</v>
      </c>
      <c r="E190" s="99">
        <f t="shared" ref="E190:E193" si="49">C190*$B$183</f>
        <v>151.2537933</v>
      </c>
      <c r="F190" s="99">
        <f t="shared" ref="F190:F193" si="50">SQRT(D190^2+E190^2)</f>
        <v>347</v>
      </c>
      <c r="G190" s="99">
        <f t="shared" ref="G190:G193" si="51">C190*$B$185</f>
        <v>360</v>
      </c>
      <c r="H190" s="99">
        <f t="shared" ref="H190:I190" si="45">F190/$B$72</f>
        <v>1.577272727</v>
      </c>
      <c r="I190" s="99">
        <f t="shared" si="45"/>
        <v>1.636363636</v>
      </c>
      <c r="J190" s="104">
        <f t="shared" ref="J190:J193" si="53">C190*$B$68*$B$67*H103*$B$121/(B3*C3)</f>
        <v>219.5702479</v>
      </c>
    </row>
    <row r="191" ht="18.0" customHeight="1">
      <c r="A191" s="83" t="str">
        <f t="shared" si="46"/>
        <v>CONTROLE DE QUALIDADE</v>
      </c>
      <c r="B191" s="84" t="s">
        <v>333</v>
      </c>
      <c r="C191" s="84">
        <f t="shared" si="47"/>
        <v>18</v>
      </c>
      <c r="D191" s="100">
        <f t="shared" si="48"/>
        <v>1873.8</v>
      </c>
      <c r="E191" s="100">
        <f t="shared" si="49"/>
        <v>907.52276</v>
      </c>
      <c r="F191" s="100">
        <f t="shared" si="50"/>
        <v>2082</v>
      </c>
      <c r="G191" s="100">
        <f t="shared" si="51"/>
        <v>2160</v>
      </c>
      <c r="H191" s="100">
        <f t="shared" ref="H191:I191" si="52">F191/$B$72</f>
        <v>9.463636364</v>
      </c>
      <c r="I191" s="100">
        <f t="shared" si="52"/>
        <v>9.818181818</v>
      </c>
      <c r="J191" s="110">
        <f t="shared" si="53"/>
        <v>1505.305785</v>
      </c>
    </row>
    <row r="192" ht="18.0" customHeight="1">
      <c r="A192" s="83" t="str">
        <f t="shared" si="46"/>
        <v>BANHEIRO (VESTUÁRIO)</v>
      </c>
      <c r="B192" s="84" t="s">
        <v>334</v>
      </c>
      <c r="C192" s="84">
        <f t="shared" si="47"/>
        <v>2</v>
      </c>
      <c r="D192" s="100">
        <f t="shared" si="48"/>
        <v>208.2</v>
      </c>
      <c r="E192" s="100">
        <f t="shared" si="49"/>
        <v>100.8358622</v>
      </c>
      <c r="F192" s="100">
        <f t="shared" si="50"/>
        <v>231.3333333</v>
      </c>
      <c r="G192" s="100">
        <f t="shared" si="51"/>
        <v>240</v>
      </c>
      <c r="H192" s="100">
        <f t="shared" ref="H192:I192" si="54">F192/$B$72</f>
        <v>1.051515152</v>
      </c>
      <c r="I192" s="100">
        <f t="shared" si="54"/>
        <v>1.090909091</v>
      </c>
      <c r="J192" s="110">
        <f t="shared" si="53"/>
        <v>209.4147204</v>
      </c>
    </row>
    <row r="193" ht="18.0" customHeight="1">
      <c r="A193" s="86" t="str">
        <f t="shared" si="46"/>
        <v>ESCRITÓRIO</v>
      </c>
      <c r="B193" s="87" t="s">
        <v>335</v>
      </c>
      <c r="C193" s="87">
        <f t="shared" si="47"/>
        <v>15</v>
      </c>
      <c r="D193" s="101">
        <f t="shared" si="48"/>
        <v>1561.5</v>
      </c>
      <c r="E193" s="101">
        <f t="shared" si="49"/>
        <v>756.2689667</v>
      </c>
      <c r="F193" s="101">
        <f t="shared" si="50"/>
        <v>1735</v>
      </c>
      <c r="G193" s="101">
        <f t="shared" si="51"/>
        <v>1800</v>
      </c>
      <c r="H193" s="101">
        <f t="shared" ref="H193:I193" si="55">F193/$B$72</f>
        <v>7.886363636</v>
      </c>
      <c r="I193" s="101">
        <f t="shared" si="55"/>
        <v>8.181818182</v>
      </c>
      <c r="J193" s="114">
        <f t="shared" si="53"/>
        <v>785.660785</v>
      </c>
    </row>
    <row r="194" ht="18.0" customHeight="1"/>
    <row r="195" ht="18.0" customHeight="1">
      <c r="A195" s="77" t="s">
        <v>336</v>
      </c>
      <c r="B195" s="15"/>
    </row>
    <row r="196" ht="18.0" customHeight="1">
      <c r="A196" s="77" t="s">
        <v>325</v>
      </c>
      <c r="B196" s="78" t="s">
        <v>337</v>
      </c>
      <c r="C196" s="78" t="s">
        <v>338</v>
      </c>
      <c r="D196" s="78" t="s">
        <v>326</v>
      </c>
      <c r="E196" s="78" t="s">
        <v>327</v>
      </c>
      <c r="F196" s="78" t="s">
        <v>329</v>
      </c>
      <c r="G196" s="79" t="s">
        <v>331</v>
      </c>
    </row>
    <row r="197" ht="18.0" customHeight="1">
      <c r="A197" s="80" t="s">
        <v>335</v>
      </c>
      <c r="B197" s="81" t="s">
        <v>67</v>
      </c>
      <c r="C197" s="99">
        <f t="shared" ref="C197:E197" si="56">C193</f>
        <v>15</v>
      </c>
      <c r="D197" s="99">
        <f t="shared" si="56"/>
        <v>1561.5</v>
      </c>
      <c r="E197" s="99">
        <f t="shared" si="56"/>
        <v>756.2689667</v>
      </c>
      <c r="F197" s="99">
        <f>G193</f>
        <v>1800</v>
      </c>
      <c r="G197" s="104">
        <f>I193</f>
        <v>8.181818182</v>
      </c>
    </row>
    <row r="198" ht="18.0" customHeight="1">
      <c r="A198" s="83" t="s">
        <v>333</v>
      </c>
      <c r="B198" s="84" t="s">
        <v>339</v>
      </c>
      <c r="C198" s="100">
        <f t="shared" ref="C198:E198" si="57">C190+C191</f>
        <v>21</v>
      </c>
      <c r="D198" s="100">
        <f t="shared" si="57"/>
        <v>2186.1</v>
      </c>
      <c r="E198" s="100">
        <f t="shared" si="57"/>
        <v>1058.776553</v>
      </c>
      <c r="F198" s="100">
        <f>G190+G191</f>
        <v>2520</v>
      </c>
      <c r="G198" s="110">
        <f>I190+I191</f>
        <v>11.45454545</v>
      </c>
    </row>
    <row r="199" ht="18.0" customHeight="1">
      <c r="A199" s="83" t="s">
        <v>334</v>
      </c>
      <c r="B199" s="84" t="s">
        <v>340</v>
      </c>
      <c r="C199" s="100">
        <f t="shared" ref="C199:E199" si="58">C192</f>
        <v>2</v>
      </c>
      <c r="D199" s="100">
        <f t="shared" si="58"/>
        <v>208.2</v>
      </c>
      <c r="E199" s="100">
        <f t="shared" si="58"/>
        <v>100.8358622</v>
      </c>
      <c r="F199" s="100">
        <f>G192</f>
        <v>240</v>
      </c>
      <c r="G199" s="110">
        <f>I192</f>
        <v>1.090909091</v>
      </c>
    </row>
    <row r="200" ht="18.0" customHeight="1">
      <c r="A200" s="86" t="s">
        <v>341</v>
      </c>
      <c r="B200" s="87" t="s">
        <v>342</v>
      </c>
      <c r="C200" s="101">
        <f t="shared" ref="C200:G200" si="59">SUM(C197:C199)</f>
        <v>38</v>
      </c>
      <c r="D200" s="101">
        <f t="shared" si="59"/>
        <v>3955.8</v>
      </c>
      <c r="E200" s="101">
        <f t="shared" si="59"/>
        <v>1915.881382</v>
      </c>
      <c r="F200" s="101">
        <f t="shared" si="59"/>
        <v>4560</v>
      </c>
      <c r="G200" s="114">
        <f t="shared" si="59"/>
        <v>20.72727273</v>
      </c>
    </row>
    <row r="201" ht="18.0" customHeight="1"/>
    <row r="202" ht="21.75" customHeight="1">
      <c r="A202" s="90" t="s">
        <v>343</v>
      </c>
    </row>
    <row r="203" ht="18.0" customHeight="1">
      <c r="A203" s="77" t="s">
        <v>344</v>
      </c>
      <c r="B203" s="78" t="s">
        <v>315</v>
      </c>
      <c r="C203" s="78" t="s">
        <v>345</v>
      </c>
      <c r="D203" s="79" t="s">
        <v>346</v>
      </c>
    </row>
    <row r="204" ht="38.25" customHeight="1">
      <c r="A204" s="115" t="s">
        <v>347</v>
      </c>
      <c r="B204" s="116" t="s">
        <v>348</v>
      </c>
      <c r="C204" s="116" t="s">
        <v>349</v>
      </c>
      <c r="D204" s="117" t="s">
        <v>350</v>
      </c>
    </row>
    <row r="205" ht="18.0" customHeight="1">
      <c r="A205" s="115" t="s">
        <v>351</v>
      </c>
      <c r="B205" s="116" t="s">
        <v>352</v>
      </c>
      <c r="C205" s="116" t="s">
        <v>349</v>
      </c>
      <c r="D205" s="117" t="s">
        <v>353</v>
      </c>
    </row>
    <row r="206" ht="45.0" customHeight="1">
      <c r="A206" s="115" t="s">
        <v>354</v>
      </c>
      <c r="B206" s="116" t="s">
        <v>355</v>
      </c>
      <c r="C206" s="116" t="s">
        <v>349</v>
      </c>
      <c r="D206" s="117" t="s">
        <v>356</v>
      </c>
    </row>
    <row r="207" ht="18.0" customHeight="1">
      <c r="A207" s="115" t="s">
        <v>92</v>
      </c>
      <c r="B207" s="116" t="s">
        <v>357</v>
      </c>
      <c r="C207" s="116" t="s">
        <v>349</v>
      </c>
      <c r="D207" s="117" t="s">
        <v>358</v>
      </c>
    </row>
    <row r="208" ht="18.0" customHeight="1">
      <c r="A208" s="115" t="s">
        <v>291</v>
      </c>
      <c r="B208" s="116" t="s">
        <v>359</v>
      </c>
      <c r="C208" s="116" t="s">
        <v>349</v>
      </c>
      <c r="D208" s="117" t="s">
        <v>360</v>
      </c>
    </row>
    <row r="209" ht="27.0" customHeight="1">
      <c r="A209" s="115" t="s">
        <v>361</v>
      </c>
      <c r="B209" s="116" t="s">
        <v>362</v>
      </c>
      <c r="C209" s="116" t="s">
        <v>349</v>
      </c>
      <c r="D209" s="117" t="s">
        <v>363</v>
      </c>
    </row>
    <row r="210" ht="30.0" customHeight="1">
      <c r="A210" s="115" t="s">
        <v>364</v>
      </c>
      <c r="B210" s="116" t="s">
        <v>365</v>
      </c>
      <c r="C210" s="116" t="s">
        <v>349</v>
      </c>
      <c r="D210" s="117" t="s">
        <v>366</v>
      </c>
    </row>
    <row r="211" ht="29.25" customHeight="1">
      <c r="A211" s="115" t="s">
        <v>367</v>
      </c>
      <c r="B211" s="116" t="s">
        <v>368</v>
      </c>
      <c r="C211" s="116" t="s">
        <v>349</v>
      </c>
      <c r="D211" s="117" t="s">
        <v>369</v>
      </c>
    </row>
    <row r="212" ht="18.0" customHeight="1"/>
    <row r="213" ht="18.0" customHeight="1"/>
    <row r="214" ht="21.75" customHeight="1">
      <c r="A214" s="90"/>
    </row>
    <row r="215" ht="18.0" customHeight="1">
      <c r="A215" s="80"/>
      <c r="B215" s="119"/>
    </row>
    <row r="216" ht="18.0" customHeight="1">
      <c r="A216" s="83"/>
      <c r="B216" s="120"/>
    </row>
    <row r="217" ht="18.0" customHeight="1">
      <c r="A217" s="83"/>
      <c r="B217" s="120"/>
    </row>
    <row r="218" ht="18.0" customHeight="1">
      <c r="A218" s="83"/>
      <c r="B218" s="120"/>
    </row>
    <row r="219" ht="18.0" customHeight="1">
      <c r="A219" s="86"/>
      <c r="B219" s="121"/>
    </row>
    <row r="220" ht="18.0" customHeight="1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9">
    <mergeCell ref="A1:J1"/>
    <mergeCell ref="A8:J8"/>
    <mergeCell ref="A9:J9"/>
    <mergeCell ref="A11:J11"/>
    <mergeCell ref="A13:B13"/>
    <mergeCell ref="A20:B20"/>
    <mergeCell ref="A47:B47"/>
    <mergeCell ref="A54:J54"/>
    <mergeCell ref="A56:J56"/>
    <mergeCell ref="A58:B58"/>
    <mergeCell ref="A63:B63"/>
    <mergeCell ref="A70:B70"/>
    <mergeCell ref="A77:J77"/>
    <mergeCell ref="A78:J78"/>
    <mergeCell ref="A151:D151"/>
    <mergeCell ref="A163:J163"/>
    <mergeCell ref="A164:J164"/>
    <mergeCell ref="A178:J178"/>
    <mergeCell ref="A187:J187"/>
    <mergeCell ref="A195:B195"/>
    <mergeCell ref="A202:J202"/>
    <mergeCell ref="A214:J214"/>
    <mergeCell ref="A80:B80"/>
    <mergeCell ref="A101:B101"/>
    <mergeCell ref="A119:J119"/>
    <mergeCell ref="A124:J124"/>
    <mergeCell ref="A136:J136"/>
    <mergeCell ref="A137:C137"/>
    <mergeCell ref="A150:J150"/>
  </mergeCells>
  <conditionalFormatting sqref="H134:H137">
    <cfRule type="expression" dxfId="0" priority="1">
      <formula>H134="OK"</formula>
    </cfRule>
  </conditionalFormatting>
  <conditionalFormatting sqref="H134:H137">
    <cfRule type="expression" dxfId="1" priority="2">
      <formula>H134="REVER"</formula>
    </cfRule>
  </conditionalFormatting>
  <conditionalFormatting sqref="J167:J170">
    <cfRule type="expression" dxfId="0" priority="3">
      <formula>J167="CERTO"</formula>
    </cfRule>
  </conditionalFormatting>
  <conditionalFormatting sqref="J167:J170">
    <cfRule type="expression" dxfId="1" priority="4">
      <formula>J167="REVER"</formula>
    </cfRule>
  </conditionalFormatting>
  <printOptions/>
  <pageMargins bottom="0.75" footer="0.0" header="0.0" left="0.7" right="0.7" top="0.75"/>
  <pageSetup orientation="landscape"/>
  <drawing r:id="rId1"/>
</worksheet>
</file>