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DL" sheetId="1" r:id="rId5"/>
    <sheet state="visible" name="QDL-FATOR CORREÇÃO" sheetId="2" r:id="rId6"/>
    <sheet state="visible" name="SEÇÃO CONDUTORES" sheetId="3" r:id="rId7"/>
    <sheet state="visible" name="DISJUNTORES" sheetId="4" r:id="rId8"/>
    <sheet state="visible" name="QDL-QUEDA DE TENSÃO" sheetId="5" r:id="rId9"/>
    <sheet state="visible" name="QDL-BALANÇO TOTAL" sheetId="6" r:id="rId10"/>
    <sheet state="visible" name="QDL-BALANÇO POTENCIAS" sheetId="7" r:id="rId11"/>
    <sheet state="visible" name="QDGL" sheetId="8" r:id="rId12"/>
  </sheets>
  <definedNames/>
  <calcPr/>
</workbook>
</file>

<file path=xl/sharedStrings.xml><?xml version="1.0" encoding="utf-8"?>
<sst xmlns="http://schemas.openxmlformats.org/spreadsheetml/2006/main" count="778" uniqueCount="217">
  <si>
    <t>Disjuntor (A)</t>
  </si>
  <si>
    <t>Fatores de correção</t>
  </si>
  <si>
    <t xml:space="preserve">Dimensionamento de Cálculos Do luminotécnico </t>
  </si>
  <si>
    <t>Mudou disjuntor</t>
  </si>
  <si>
    <t>Quadro</t>
  </si>
  <si>
    <t>Nº do circuito</t>
  </si>
  <si>
    <t xml:space="preserve">Área </t>
  </si>
  <si>
    <t>Seção dos condutores (mm²)</t>
  </si>
  <si>
    <t>Circuitos agrupados</t>
  </si>
  <si>
    <t>Tensão (V)</t>
  </si>
  <si>
    <t>Iz' (A)</t>
  </si>
  <si>
    <t>Método de Instalação</t>
  </si>
  <si>
    <t>In (A)</t>
  </si>
  <si>
    <t>Método de Referência</t>
  </si>
  <si>
    <t>Nº de luminárias</t>
  </si>
  <si>
    <t>Ip (A)</t>
  </si>
  <si>
    <t>Ref (tabela 9.10)</t>
  </si>
  <si>
    <t>Iz'&gt;In&gt;Ip</t>
  </si>
  <si>
    <t>Potência Lum. (VA)</t>
  </si>
  <si>
    <t>Demanda (VA)</t>
  </si>
  <si>
    <t>QDL0</t>
  </si>
  <si>
    <t xml:space="preserve">Cabos multipolares </t>
  </si>
  <si>
    <t>L0</t>
  </si>
  <si>
    <t>Fator de agrupamento</t>
  </si>
  <si>
    <t>Fator de temperatura (45º)</t>
  </si>
  <si>
    <t>SUBESTAÇÃO</t>
  </si>
  <si>
    <t>FP</t>
  </si>
  <si>
    <t>Fator de harmônicos</t>
  </si>
  <si>
    <t>Método de instalação se escolhe da tabela dos slides de ampacidade, isso seria a norma 5410</t>
  </si>
  <si>
    <t>Isolação</t>
  </si>
  <si>
    <t>Ip' (A)</t>
  </si>
  <si>
    <t>Iz (A)</t>
  </si>
  <si>
    <t>Iz'</t>
  </si>
  <si>
    <t>FATOR DE AGRUPAMENTO PEGO POR CABOS MULTIPOLARES: SUBESTAÇÃO usa referencia 1 (é embutido a instalação 33). SALA DE CALDEIRAS+ COMPRESSOR DEPOISITO DE CARCAÇAS+RASPA usa referencia 4 (bandeja perfurada é 13)</t>
  </si>
  <si>
    <t>Condutores carregados CC</t>
  </si>
  <si>
    <t>B1</t>
  </si>
  <si>
    <t>Fase</t>
  </si>
  <si>
    <t>Neutro</t>
  </si>
  <si>
    <t>Terra</t>
  </si>
  <si>
    <t>Adota Seções nominais os escolhido la em FATOR CORREÇÃO, as seções nominais</t>
  </si>
  <si>
    <t>EPR ou XLPE</t>
  </si>
  <si>
    <t>Em função da elevada altura de 7,0m, dos ambientes adota o método 13 pois tem:  livre circulação e ventilação no topo, manutenção em grande altura. Em altura baixas como 3 m pode adotar o método 7. A subestação pode adotar o método 33 pois: Interligação do Transformador com o QGBT para cabos pelo Piso, acomoda cabos grandes e pesados</t>
  </si>
  <si>
    <t>10 para 16</t>
  </si>
  <si>
    <t>QDL1</t>
  </si>
  <si>
    <t>L1</t>
  </si>
  <si>
    <t>SALA DE CALDEIRAS</t>
  </si>
  <si>
    <t>F</t>
  </si>
  <si>
    <t>A corrente comercial do disjuntor é o In</t>
  </si>
  <si>
    <t>QDL2</t>
  </si>
  <si>
    <t>L2</t>
  </si>
  <si>
    <t>COMPRESSOR (BOMBAS E PRENSA)</t>
  </si>
  <si>
    <t>QDL3</t>
  </si>
  <si>
    <t>L3</t>
  </si>
  <si>
    <t>DEPOSITO DE CARCAÇAS</t>
  </si>
  <si>
    <t>QDL4</t>
  </si>
  <si>
    <t>L4</t>
  </si>
  <si>
    <t>RASPA</t>
  </si>
  <si>
    <t>DEPÓSITO DE CARCAÇAS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</si>
  <si>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</si>
  <si>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</si>
  <si>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</si>
  <si>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</si>
  <si>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</si>
  <si>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</si>
  <si>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</si>
  <si>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</si>
  <si>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</si>
  <si>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</si>
  <si>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</si>
  <si>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</si>
  <si>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</si>
  <si>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QDL5</t>
  </si>
  <si>
    <t>L18</t>
  </si>
  <si>
    <t>QDL6</t>
  </si>
  <si>
    <t>L19</t>
  </si>
  <si>
    <t>L20</t>
  </si>
  <si>
    <t>QDL7</t>
  </si>
  <si>
    <t>L21</t>
  </si>
  <si>
    <t>QDL-5</t>
  </si>
  <si>
    <t>QDL-6</t>
  </si>
  <si>
    <t>QDL-7</t>
  </si>
  <si>
    <t>Método de referencia: Adotar método F(unipolares pois Lançar 3 ou 4 cabos unipolares separados (um para cada fase/neutro) torna a montagem física viável na infraestrutura aérea, cada cabo possui sua própria superfície externa de isolação em contato direto com o ar em circulação</t>
  </si>
  <si>
    <t>OS CIRCUITO DAS RASPA, RECAPAGEM DEVEM: Dividir os circuitos cuja demanda deeem mais de 4500 VA pois ajuda na distribuição. A NBR 5410 (item 9.5.2) recomenda que circuitos terminais de iluminação industrial não sobrecarreguem o disjuntor de proteção. Em 220V, a corrente total seria de 32 A, exigindo fiação de 6mm ou mais e disjuntores elevados, o que foge do padrão eficiente para linhas de iluminação</t>
  </si>
  <si>
    <t>Fator de Correção - Temperatura</t>
  </si>
  <si>
    <t>Temperatura</t>
  </si>
  <si>
    <t>PVC</t>
  </si>
  <si>
    <t>Adota cabos EPR OU XLPE para ambientes mais nocivos (quentes, sujos, alta concentração de cabos) como: Sala de Caldeiras, Compressor (Bombas e Prensa), Depósito de Carcaças e Raspa, Recapagem, Subestação. Ambientes comuns como:  Sala de Produto, Controle de Qualidade, Banheiro (Vestuário) e Escritório adota cabos PVC</t>
  </si>
  <si>
    <t>FATOR HARMONICO: ADOTAR 1,15, O valor 1,15 é utilizado porque se trata de um fator de majoração aplicado quando há presença de 3º harmônico (entre 15% e 35%) em sistemas de iluminação e cargas não lineares (como reatores eletrônicos e lâmpadas LED).</t>
  </si>
  <si>
    <t>I_I (negocio do denominador) é produtorio no denominador: Ele indica que você deve multiplicar todos os fatores de correção entre si e dividir a corrente de projeto Ip por esse resultado.</t>
  </si>
  <si>
    <t>pergunta calculo de Ip'</t>
  </si>
  <si>
    <t>PERGUNTA CALCULO DE Iz' existe?</t>
  </si>
  <si>
    <t>Iz são os valores de corrente das tabelas que depende do tipo de isolação e instalação. Também verificar a seção minima na tabela que é 1,5. Caso da raspa a corrente Ip' deu 18,03A  perto do limite que é 22A  por segurança adota o debaixo que é 30, adota tipo uns 10 a 30% de segurança</t>
  </si>
  <si>
    <t>QDL_ILUMINAÇÃO</t>
  </si>
  <si>
    <t>Balanço de potencias (VA)</t>
  </si>
  <si>
    <t>DEMANDA (VA)</t>
  </si>
  <si>
    <t>R</t>
  </si>
  <si>
    <t>S</t>
  </si>
  <si>
    <t>T</t>
  </si>
  <si>
    <t>-</t>
  </si>
  <si>
    <t>SOMATÓRIO</t>
  </si>
  <si>
    <t>TOTAL DAS FASES</t>
  </si>
  <si>
    <t>DIVISÃO TOTAL DAS FASES</t>
  </si>
  <si>
    <t>FASE MAIS CARREGADA</t>
  </si>
  <si>
    <t>QDF_TOMADAS</t>
  </si>
  <si>
    <t>QDL0 - Subestação</t>
  </si>
  <si>
    <t>Circuito</t>
  </si>
  <si>
    <t>Corrente do Disjuntor In (A)</t>
  </si>
  <si>
    <t>Disjuntor</t>
  </si>
  <si>
    <t>Capacidade de interrupção do disjuntor (kA)</t>
  </si>
  <si>
    <t>Balanço de potência (VA)</t>
  </si>
  <si>
    <t xml:space="preserve">Em subida QDL adotar a altura ou pé direito do local e considerar a bitola para subtrair 1,5 ou 3 </t>
  </si>
  <si>
    <t>Potência Unitária (VA)</t>
  </si>
  <si>
    <t>QDL1 - Sala de Caldeiras</t>
  </si>
  <si>
    <t>Qtd Luminárias</t>
  </si>
  <si>
    <t xml:space="preserve"> Tabela de queda tensão adaptada Prysmian</t>
  </si>
  <si>
    <t>Circuito L0</t>
  </si>
  <si>
    <t>Corrente Ip (A)</t>
  </si>
  <si>
    <t>Distância L (m)</t>
  </si>
  <si>
    <t>Seção (mm²)</t>
  </si>
  <si>
    <t>R [Ω/m]</t>
  </si>
  <si>
    <t>X [Ω/m]</t>
  </si>
  <si>
    <t>MDW-C10</t>
  </si>
  <si>
    <t>ΔV (V)</t>
  </si>
  <si>
    <t>ΔV (%)</t>
  </si>
  <si>
    <t>ΔV(%)*</t>
  </si>
  <si>
    <t>Comprimento</t>
  </si>
  <si>
    <t>Curva</t>
  </si>
  <si>
    <t>Subida QDL</t>
  </si>
  <si>
    <t>Disjuntor escolhe baseado na In obtida lá em disjuntores</t>
  </si>
  <si>
    <t>pergunta: Capacidade de interrupção do disjuntor (kA) eu posso colocar 2 kA por ser 220 V certo?</t>
  </si>
  <si>
    <t>Corrente do Disjuntor (A)</t>
  </si>
  <si>
    <t>ΔV unitário (V)</t>
  </si>
  <si>
    <t>Potência aparente (VA)</t>
  </si>
  <si>
    <t>QDL-0</t>
  </si>
  <si>
    <t>Balanço de potência confiro a distribuição em balanço total</t>
  </si>
  <si>
    <t>MDWH-C10</t>
  </si>
  <si>
    <t>QDL-1</t>
  </si>
  <si>
    <t>QDL-2</t>
  </si>
  <si>
    <t>QDL-3</t>
  </si>
  <si>
    <t>QDL-4</t>
  </si>
  <si>
    <t>QDL2 - Compressor</t>
  </si>
  <si>
    <t>MDWH-C100</t>
  </si>
  <si>
    <t>MDWH-C10-3</t>
  </si>
  <si>
    <t>Total</t>
  </si>
  <si>
    <t>RQDL-1</t>
  </si>
  <si>
    <t>RQDL-2</t>
  </si>
  <si>
    <t>RQDL-3</t>
  </si>
  <si>
    <t>MDW-C16</t>
  </si>
  <si>
    <t>Tensão [V]</t>
  </si>
  <si>
    <t>Corrente nominal [A]</t>
  </si>
  <si>
    <t>Método de instalação</t>
  </si>
  <si>
    <t>Método de referência</t>
  </si>
  <si>
    <t xml:space="preserve">Preciso utilizar o quadro de QDL mais distante de QDGL </t>
  </si>
  <si>
    <t>Circuito L1</t>
  </si>
  <si>
    <t>Corrente (A)</t>
  </si>
  <si>
    <t>Potência Unitária</t>
  </si>
  <si>
    <t>QDL3 - Depósito de carcaças</t>
  </si>
  <si>
    <t>QDL1-LU1</t>
  </si>
  <si>
    <t>LU1-LU2</t>
  </si>
  <si>
    <t>QDL4 - Raspa e Recapagem</t>
  </si>
  <si>
    <t>Distância (m)</t>
  </si>
  <si>
    <t>ΔV [V]</t>
  </si>
  <si>
    <t>ΔV [%]</t>
  </si>
  <si>
    <t>ΔV[%]*</t>
  </si>
  <si>
    <t>QDGL-QDL5</t>
  </si>
  <si>
    <t>LU2-LU3</t>
  </si>
  <si>
    <t>A corrente faz a potencia unitaria vezes o numero de lampadas de cada trecho, dividido pela tensão, cada trecho p/ baixo reduz o numero de luminarias</t>
  </si>
  <si>
    <t>A distancia se soma os comprimentos dos eletrodutos de cada trecho, no trecho com QDL faz comprimento+curva*1,5 ou 3+subida</t>
  </si>
  <si>
    <t>A distancia se soma os comprimentos dos eletrodutos de cada trecho</t>
  </si>
  <si>
    <t>A impedancia Z separada em R (resistencia) e X (reatancia) adotar o valor da tabela de Impedancia de Sequencia Postiva considerando a seção</t>
  </si>
  <si>
    <t>Calcular o ΔV faz a formula</t>
  </si>
  <si>
    <t>LU3-LU4*</t>
  </si>
  <si>
    <t>Calcular o ΔV% faz a formula, no denominador usa Ncp é Número de Condutores de Fase (ou número de fases do circuito).</t>
  </si>
  <si>
    <t>ΔV(%)* calcula segue a tabela primera, ve que o primeiro trecho é apenas o ΔV, segundo trecho é a soma do ΔV% trecho anterior+ΔV do trecho atual</t>
  </si>
  <si>
    <t>Fator de temperatura (50ºC)</t>
  </si>
  <si>
    <t>IZ' (A)</t>
  </si>
  <si>
    <t>QGDL</t>
  </si>
  <si>
    <t>Tem 2 curva em QDL1-LU1 pois para curvar e entra no QDL1</t>
  </si>
  <si>
    <t>ΔV unitário pega no catalogo</t>
  </si>
  <si>
    <t>Calcular ΔV (%) usa a formula</t>
  </si>
  <si>
    <t>POTENCIA FASE MAIS CARREGADA DO QGDL</t>
  </si>
  <si>
    <t>QDL2 - Compressor (Bombas e prensa)</t>
  </si>
  <si>
    <t>Circuito L2</t>
  </si>
  <si>
    <t>usei B1 7</t>
  </si>
  <si>
    <t>QDL2-LU1</t>
  </si>
  <si>
    <t>total</t>
  </si>
  <si>
    <t>Fazer o somatório das fases</t>
  </si>
  <si>
    <t>Distribuir as fases ente o somatório</t>
  </si>
  <si>
    <t>Utilizar a fase mais carregada e dividir por 220 V, acha I</t>
  </si>
  <si>
    <t>LU3-LU4</t>
  </si>
  <si>
    <t>LU4-LU5</t>
  </si>
  <si>
    <t>LU5-LU6*</t>
  </si>
  <si>
    <t>Tem 2 curva em QDL2-LU1 pois para curvar e entra no QDL2</t>
  </si>
  <si>
    <t>Tem curva em LU3-LU4 pois é trecho vertical para horizontal</t>
  </si>
  <si>
    <t>Tem curva em LU5-LU6 pois é trecho horizontal para vertical</t>
  </si>
  <si>
    <t>Circuito L3</t>
  </si>
  <si>
    <t>QDL3-LU1</t>
  </si>
  <si>
    <t>LU1-LU3</t>
  </si>
  <si>
    <t>Tem 2 curva em QDL3-LU1 pois para curvar e entra no QDL3</t>
  </si>
  <si>
    <t>Tem curva em LU1-LU3 pois é trecho vertical para horizontal</t>
  </si>
  <si>
    <t>Tem curva em LU3-LU4 pois é trecho horizontal para vertical</t>
  </si>
  <si>
    <t xml:space="preserve">Tem curva em LU4-LU5 pois é trecho vertical para horizontal </t>
  </si>
  <si>
    <t>QDL4 - Raspa</t>
  </si>
  <si>
    <t>Circuito L4/L5</t>
  </si>
  <si>
    <t>QDL4-LU1</t>
  </si>
  <si>
    <t>LU1-LU4</t>
  </si>
  <si>
    <t>LU1-LU7</t>
  </si>
  <si>
    <t>LU7-LU8</t>
  </si>
  <si>
    <t>LU8-LU9</t>
  </si>
  <si>
    <t>LU7-LU10</t>
  </si>
  <si>
    <t>LU10-LU11</t>
  </si>
  <si>
    <t>LU11-LU12</t>
  </si>
  <si>
    <t>Tem 1 curva em QDL4-LU1 pois para entra no QDL4</t>
  </si>
  <si>
    <t>Tem curva em LU1-LU2 pois é trecho vertical para horizontal</t>
  </si>
  <si>
    <t>Tem curva em LU1-LU4 pois é trecho horizontal para vertical</t>
  </si>
  <si>
    <t>Tem curva em LU7-LU8 pois é trecho horizontal para vertical</t>
  </si>
  <si>
    <t>Tem curva em LU7-LU10 pois é trecho horizontal para vertical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</si>
</sst>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0.0"/>
    <numFmt numFmtId="166" formatCode="0.0000%"/>
    <numFmt numFmtId="167" formatCode="0.0000"/>
  </numFmts>
  <fonts count="16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</font>
    <font>
      <b/>
      <color rgb="FF000000"/>
      <name val="Verdana"/>
    </font>
    <font>
      <b/>
      <color theme="1"/>
      <name val="Verdana"/>
    </font>
    <font>
      <color theme="1"/>
      <name val="Verdana"/>
    </font>
    <font>
      <b/>
      <color rgb="FF000000"/>
      <name val="Arial"/>
    </font>
    <font>
      <b/>
      <sz val="12.0"/>
      <color theme="1"/>
      <name val="Verdana"/>
    </font>
    <font>
      <sz val="12.0"/>
      <color theme="1"/>
      <name val="Arial"/>
      <scheme val="minor"/>
    </font>
    <font>
      <b/>
      <color rgb="FF202124"/>
      <name val="Arial"/>
    </font>
    <font>
      <sz val="11.0"/>
      <color rgb="FF000000"/>
      <name val="Arial"/>
    </font>
    <font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8F0FE"/>
        <bgColor rgb="FFE8F0FE"/>
      </patternFill>
    </fill>
    <fill>
      <patternFill patternType="solid">
        <fgColor rgb="FF5B95F9"/>
        <bgColor rgb="FF5B95F9"/>
      </patternFill>
    </fill>
  </fills>
  <borders count="3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  <border>
      <left/>
      <right/>
      <top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bottom/>
    </border>
    <border>
      <left/>
      <top/>
    </border>
    <border>
      <top/>
    </border>
    <border>
      <right/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Fill="1" applyFont="1"/>
    <xf borderId="0" fillId="2" fontId="4" numFmtId="0" xfId="0" applyAlignment="1" applyFill="1" applyFont="1">
      <alignment readingOrder="0"/>
    </xf>
    <xf borderId="4" fillId="2" fontId="1" numFmtId="0" xfId="0" applyAlignment="1" applyBorder="1" applyFill="1" applyFont="1">
      <alignment horizontal="center" shrinkToFit="0" wrapText="1"/>
    </xf>
    <xf borderId="5" fillId="2" fontId="1" numFmtId="0" xfId="0" applyAlignment="1" applyBorder="1" applyFill="1" applyFont="1">
      <alignment horizontal="center" shrinkToFit="0" wrapText="1"/>
    </xf>
    <xf borderId="5" fillId="2" fontId="1" numFmtId="0" xfId="0" applyAlignment="1" applyBorder="1" applyFill="1" applyFont="1">
      <alignment horizontal="center"/>
    </xf>
    <xf borderId="4" fillId="2" fontId="4" numFmtId="0" xfId="0" applyAlignment="1" applyBorder="1" applyFill="1" applyFon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4" fillId="2" fontId="4" numFmtId="0" xfId="0" applyAlignment="1" applyBorder="1" applyFill="1" applyFont="1">
      <alignment horizontal="center" readingOrder="0" shrinkToFit="0" wrapText="1"/>
    </xf>
    <xf borderId="4" fillId="2" fontId="1" numFmtId="164" xfId="0" applyAlignment="1" applyBorder="1" applyFill="1" applyFont="1" applyNumberFormat="1">
      <alignment horizontal="center" shrinkToFit="0" wrapText="1"/>
    </xf>
    <xf borderId="4" fillId="0" fontId="5" numFmtId="0" xfId="0" applyAlignment="1" applyBorder="1" applyFont="1">
      <alignment horizontal="center"/>
    </xf>
    <xf borderId="4" fillId="2" fontId="1" numFmtId="0" xfId="0" applyAlignment="1" applyBorder="1" applyFill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 shrinkToFit="0" wrapText="1"/>
    </xf>
    <xf borderId="4" fillId="3" fontId="5" numFmtId="0" xfId="0" applyAlignment="1" applyBorder="1" applyFill="1" applyFont="1">
      <alignment horizontal="center" shrinkToFit="0" wrapText="1"/>
    </xf>
    <xf borderId="4" fillId="2" fontId="1" numFmtId="0" xfId="0" applyAlignment="1" applyBorder="1" applyFill="1" applyFont="1">
      <alignment horizontal="center" shrinkToFit="0" vertical="bottom" wrapText="1"/>
    </xf>
    <xf borderId="4" fillId="0" fontId="3" numFmtId="0" xfId="0" applyAlignment="1" applyBorder="1" applyFont="1">
      <alignment horizontal="center" readingOrder="0" shrinkToFit="0" wrapText="1"/>
    </xf>
    <xf borderId="4" fillId="2" fontId="1" numFmtId="0" xfId="0" applyAlignment="1" applyBorder="1" applyFill="1" applyFont="1">
      <alignment horizontal="center" readingOrder="0" shrinkToFit="0" vertical="bottom" wrapText="1"/>
    </xf>
    <xf borderId="4" fillId="0" fontId="5" numFmtId="2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/>
    </xf>
    <xf borderId="4" fillId="0" fontId="5" numFmtId="0" xfId="0" applyAlignment="1" applyBorder="1" applyFont="1">
      <alignment horizontal="center" readingOrder="0"/>
    </xf>
    <xf borderId="4" fillId="0" fontId="5" numFmtId="1" xfId="0" applyAlignment="1" applyBorder="1" applyFont="1" applyNumberFormat="1">
      <alignment horizontal="center" readingOrder="0"/>
    </xf>
    <xf borderId="4" fillId="3" fontId="5" numFmtId="2" xfId="0" applyAlignment="1" applyBorder="1" applyFill="1" applyFont="1" applyNumberFormat="1">
      <alignment horizontal="center" shrinkToFit="0" wrapText="1"/>
    </xf>
    <xf borderId="4" fillId="3" fontId="5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3" fontId="5" numFmtId="0" xfId="0" applyAlignment="1" applyFill="1" applyFont="1">
      <alignment horizontal="center"/>
    </xf>
    <xf borderId="4" fillId="0" fontId="5" numFmtId="0" xfId="0" applyAlignment="1" applyBorder="1" applyFont="1">
      <alignment horizontal="center" vertical="bottom"/>
    </xf>
    <xf borderId="0" fillId="3" fontId="5" numFmtId="3" xfId="0" applyAlignment="1" applyFill="1" applyFont="1" applyNumberFormat="1">
      <alignment horizontal="center"/>
    </xf>
    <xf borderId="4" fillId="0" fontId="5" numFmtId="0" xfId="0" applyAlignment="1" applyBorder="1" applyFont="1">
      <alignment horizontal="center" readingOrder="0" vertical="bottom"/>
    </xf>
    <xf borderId="0" fillId="3" fontId="5" numFmtId="1" xfId="0" applyAlignment="1" applyFill="1" applyFont="1" applyNumberFormat="1">
      <alignment horizontal="center"/>
    </xf>
    <xf borderId="0" fillId="0" fontId="3" numFmtId="0" xfId="0" applyAlignment="1" applyFont="1">
      <alignment readingOrder="0"/>
    </xf>
    <xf borderId="4" fillId="4" fontId="5" numFmtId="2" xfId="0" applyAlignment="1" applyBorder="1" applyFill="1" applyFont="1" applyNumberFormat="1">
      <alignment horizontal="center"/>
    </xf>
    <xf borderId="4" fillId="3" fontId="5" numFmtId="0" xfId="0" applyAlignment="1" applyBorder="1" applyFill="1" applyFont="1">
      <alignment horizontal="center" readingOrder="0"/>
    </xf>
    <xf borderId="0" fillId="3" fontId="5" numFmtId="2" xfId="0" applyAlignment="1" applyFill="1" applyFont="1" applyNumberFormat="1">
      <alignment horizontal="center"/>
    </xf>
    <xf borderId="4" fillId="0" fontId="5" numFmtId="1" xfId="0" applyAlignment="1" applyBorder="1" applyFont="1" applyNumberFormat="1">
      <alignment horizontal="center"/>
    </xf>
    <xf borderId="0" fillId="3" fontId="5" numFmtId="0" xfId="0" applyAlignment="1" applyFill="1" applyFont="1">
      <alignment horizontal="center" shrinkToFit="0" wrapText="1"/>
    </xf>
    <xf borderId="4" fillId="3" fontId="5" numFmtId="0" xfId="0" applyAlignment="1" applyBorder="1" applyFill="1" applyFont="1">
      <alignment horizontal="center"/>
    </xf>
    <xf borderId="4" fillId="3" fontId="5" numFmtId="3" xfId="0" applyAlignment="1" applyBorder="1" applyFill="1" applyFont="1" applyNumberFormat="1">
      <alignment horizontal="center" shrinkToFit="0" wrapText="1"/>
    </xf>
    <xf borderId="4" fillId="3" fontId="5" numFmtId="1" xfId="0" applyAlignment="1" applyBorder="1" applyFill="1" applyFont="1" applyNumberFormat="1">
      <alignment horizontal="center" readingOrder="0" shrinkToFit="0" wrapText="1"/>
    </xf>
    <xf borderId="0" fillId="3" fontId="3" numFmtId="0" xfId="0" applyFill="1" applyFont="1"/>
    <xf borderId="4" fillId="0" fontId="5" numFmtId="2" xfId="0" applyAlignment="1" applyBorder="1" applyFont="1" applyNumberFormat="1">
      <alignment horizontal="center" readingOrder="0"/>
    </xf>
    <xf borderId="6" fillId="2" fontId="1" numFmtId="0" xfId="0" applyAlignment="1" applyBorder="1" applyFill="1" applyFont="1">
      <alignment horizontal="center" readingOrder="0"/>
    </xf>
    <xf borderId="7" fillId="0" fontId="2" numFmtId="0" xfId="0" applyBorder="1" applyFont="1"/>
    <xf borderId="6" fillId="3" fontId="5" numFmtId="0" xfId="0" applyAlignment="1" applyBorder="1" applyFill="1" applyFont="1">
      <alignment horizontal="center" readingOrder="0" shrinkToFit="0" wrapText="1"/>
    </xf>
    <xf borderId="6" fillId="0" fontId="5" numFmtId="2" xfId="0" applyAlignment="1" applyBorder="1" applyFont="1" applyNumberFormat="1">
      <alignment horizontal="center"/>
    </xf>
    <xf borderId="6" fillId="0" fontId="5" numFmtId="1" xfId="0" applyAlignment="1" applyBorder="1" applyFont="1" applyNumberFormat="1">
      <alignment horizontal="center" readingOrder="0"/>
    </xf>
    <xf borderId="6" fillId="2" fontId="1" numFmtId="0" xfId="0" applyAlignment="1" applyBorder="1" applyFill="1" applyFont="1">
      <alignment horizontal="center" readingOrder="0" shrinkToFit="0" wrapText="1"/>
    </xf>
    <xf borderId="6" fillId="0" fontId="5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4" fillId="3" fontId="5" numFmtId="3" xfId="0" applyAlignment="1" applyBorder="1" applyFill="1" applyFont="1" applyNumberFormat="1">
      <alignment horizontal="center" readingOrder="0" shrinkToFit="0" wrapText="1"/>
    </xf>
    <xf borderId="0" fillId="0" fontId="5" numFmtId="2" xfId="0" applyAlignment="1" applyFont="1" applyNumberFormat="1">
      <alignment horizontal="center"/>
    </xf>
    <xf borderId="0" fillId="0" fontId="5" numFmtId="1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3" fontId="6" numFmtId="3" xfId="0" applyAlignment="1" applyFill="1" applyFont="1" applyNumberFormat="1">
      <alignment horizontal="center"/>
    </xf>
    <xf borderId="4" fillId="4" fontId="5" numFmtId="0" xfId="0" applyAlignment="1" applyBorder="1" applyFill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8" fillId="0" fontId="2" numFmtId="0" xfId="0" applyBorder="1" applyFont="1"/>
    <xf borderId="4" fillId="0" fontId="5" numFmtId="165" xfId="0" applyAlignment="1" applyBorder="1" applyFont="1" applyNumberFormat="1">
      <alignment horizontal="center"/>
    </xf>
    <xf borderId="4" fillId="5" fontId="5" numFmtId="2" xfId="0" applyAlignment="1" applyBorder="1" applyFill="1" applyFont="1" applyNumberFormat="1">
      <alignment horizontal="center"/>
    </xf>
    <xf borderId="6" fillId="2" fontId="1" numFmtId="0" xfId="0" applyAlignment="1" applyBorder="1" applyFill="1" applyFont="1">
      <alignment horizontal="center"/>
    </xf>
    <xf borderId="1" fillId="2" fontId="7" numFmtId="0" xfId="0" applyAlignment="1" applyBorder="1" applyFill="1" applyFont="1">
      <alignment horizontal="center" readingOrder="0"/>
    </xf>
    <xf borderId="4" fillId="2" fontId="8" numFmtId="0" xfId="0" applyAlignment="1" applyBorder="1" applyFill="1" applyFont="1">
      <alignment horizontal="center"/>
    </xf>
    <xf borderId="4" fillId="0" fontId="9" numFmtId="0" xfId="0" applyAlignment="1" applyBorder="1" applyFont="1">
      <alignment horizontal="center"/>
    </xf>
    <xf borderId="0" fillId="0" fontId="3" numFmtId="2" xfId="0" applyFont="1" applyNumberFormat="1"/>
    <xf borderId="0" fillId="6" fontId="3" numFmtId="0" xfId="0" applyAlignment="1" applyFill="1" applyFont="1">
      <alignment readingOrder="0"/>
    </xf>
    <xf borderId="0" fillId="6" fontId="3" numFmtId="0" xfId="0" applyFill="1" applyFont="1"/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Font="1"/>
    <xf borderId="4" fillId="4" fontId="5" numFmtId="0" xfId="0" applyAlignment="1" applyBorder="1" applyFill="1" applyFont="1">
      <alignment horizontal="center"/>
    </xf>
    <xf borderId="8" fillId="2" fontId="1" numFmtId="0" xfId="0" applyAlignment="1" applyBorder="1" applyFill="1" applyFont="1">
      <alignment horizontal="center" shrinkToFit="0" wrapText="1"/>
    </xf>
    <xf borderId="0" fillId="2" fontId="4" numFmtId="0" xfId="0" applyAlignment="1" applyFill="1" applyFont="1">
      <alignment readingOrder="0" shrinkToFit="0" wrapText="1"/>
    </xf>
    <xf borderId="8" fillId="2" fontId="1" numFmtId="0" xfId="0" applyAlignment="1" applyBorder="1" applyFill="1" applyFont="1">
      <alignment horizontal="center"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8" fillId="2" fontId="1" numFmtId="0" xfId="0" applyAlignment="1" applyBorder="1" applyFill="1" applyFont="1">
      <alignment horizontal="center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center"/>
    </xf>
    <xf borderId="9" fillId="5" fontId="10" numFmtId="0" xfId="0" applyAlignment="1" applyBorder="1" applyFill="1" applyFont="1">
      <alignment horizontal="center"/>
    </xf>
    <xf borderId="6" fillId="0" fontId="5" numFmtId="0" xfId="0" applyAlignment="1" applyBorder="1" applyFon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0" fillId="0" fontId="9" numFmtId="0" xfId="0" applyAlignment="1" applyFont="1">
      <alignment vertical="bottom"/>
    </xf>
    <xf borderId="12" fillId="5" fontId="10" numFmtId="0" xfId="0" applyAlignment="1" applyBorder="1" applyFill="1" applyFont="1">
      <alignment horizontal="center"/>
    </xf>
    <xf borderId="12" fillId="5" fontId="10" numFmtId="0" xfId="0" applyAlignment="1" applyBorder="1" applyFill="1" applyFont="1">
      <alignment horizontal="center" readingOrder="0"/>
    </xf>
    <xf borderId="13" fillId="5" fontId="10" numFmtId="0" xfId="0" applyAlignment="1" applyBorder="1" applyFill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16" fillId="5" fontId="6" numFmtId="0" xfId="0" applyAlignment="1" applyBorder="1" applyFill="1" applyFont="1">
      <alignment horizontal="center"/>
    </xf>
    <xf borderId="16" fillId="5" fontId="6" numFmtId="164" xfId="0" applyAlignment="1" applyBorder="1" applyFill="1" applyFont="1" applyNumberFormat="1">
      <alignment horizontal="center"/>
    </xf>
    <xf borderId="15" fillId="5" fontId="6" numFmtId="0" xfId="0" applyAlignment="1" applyBorder="1" applyFill="1" applyFont="1">
      <alignment horizontal="center"/>
    </xf>
    <xf borderId="15" fillId="5" fontId="6" numFmtId="2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/>
    </xf>
    <xf borderId="15" fillId="5" fontId="6" numFmtId="1" xfId="0" applyAlignment="1" applyBorder="1" applyFill="1" applyFont="1" applyNumberFormat="1">
      <alignment horizontal="center"/>
    </xf>
    <xf borderId="0" fillId="0" fontId="9" numFmtId="0" xfId="0" applyFont="1"/>
    <xf borderId="17" fillId="5" fontId="10" numFmtId="0" xfId="0" applyAlignment="1" applyBorder="1" applyFill="1" applyFont="1">
      <alignment horizontal="center" shrinkToFit="0" wrapText="1"/>
    </xf>
    <xf borderId="18" fillId="3" fontId="9" numFmtId="0" xfId="0" applyAlignment="1" applyBorder="1" applyFill="1" applyFont="1">
      <alignment vertical="bottom"/>
    </xf>
    <xf borderId="17" fillId="3" fontId="9" numFmtId="0" xfId="0" applyAlignment="1" applyBorder="1" applyFill="1" applyFont="1">
      <alignment vertical="bottom"/>
    </xf>
    <xf borderId="1" fillId="5" fontId="10" numFmtId="0" xfId="0" applyAlignment="1" applyBorder="1" applyFill="1" applyFont="1">
      <alignment horizontal="center"/>
    </xf>
    <xf borderId="0" fillId="0" fontId="6" numFmtId="1" xfId="0" applyAlignment="1" applyFont="1" applyNumberFormat="1">
      <alignment horizontal="center" vertical="bottom"/>
    </xf>
    <xf borderId="6" fillId="5" fontId="10" numFmtId="0" xfId="0" applyAlignment="1" applyBorder="1" applyFill="1" applyFont="1">
      <alignment horizontal="center"/>
    </xf>
    <xf borderId="6" fillId="5" fontId="10" numFmtId="0" xfId="0" applyAlignment="1" applyBorder="1" applyFill="1" applyFont="1">
      <alignment horizontal="center" readingOrder="0"/>
    </xf>
    <xf borderId="0" fillId="0" fontId="6" numFmtId="3" xfId="0" applyAlignment="1" applyFont="1" applyNumberFormat="1">
      <alignment horizontal="center" vertical="bottom"/>
    </xf>
    <xf borderId="1" fillId="6" fontId="10" numFmtId="0" xfId="0" applyAlignment="1" applyBorder="1" applyFill="1" applyFont="1">
      <alignment horizontal="center" readingOrder="0"/>
    </xf>
    <xf borderId="4" fillId="5" fontId="6" numFmtId="0" xfId="0" applyAlignment="1" applyBorder="1" applyFill="1" applyFont="1">
      <alignment horizontal="center"/>
    </xf>
    <xf borderId="4" fillId="5" fontId="6" numFmtId="164" xfId="0" applyAlignment="1" applyBorder="1" applyFill="1" applyFont="1" applyNumberFormat="1">
      <alignment horizontal="center"/>
    </xf>
    <xf borderId="1" fillId="0" fontId="11" numFmtId="0" xfId="0" applyAlignment="1" applyBorder="1" applyFont="1">
      <alignment horizontal="center" readingOrder="0"/>
    </xf>
    <xf borderId="4" fillId="6" fontId="10" numFmtId="0" xfId="0" applyAlignment="1" applyBorder="1" applyFill="1" applyFont="1">
      <alignment horizontal="center" readingOrder="0"/>
    </xf>
    <xf borderId="4" fillId="5" fontId="6" numFmtId="1" xfId="0" applyAlignment="1" applyBorder="1" applyFill="1" applyFont="1" applyNumberFormat="1">
      <alignment horizontal="center"/>
    </xf>
    <xf borderId="4" fillId="6" fontId="4" numFmtId="0" xfId="0" applyAlignment="1" applyBorder="1" applyFill="1" applyFont="1">
      <alignment readingOrder="0"/>
    </xf>
    <xf borderId="4" fillId="6" fontId="10" numFmtId="0" xfId="0" applyAlignment="1" applyBorder="1" applyFill="1" applyFont="1">
      <alignment horizontal="center"/>
    </xf>
    <xf borderId="4" fillId="5" fontId="6" numFmtId="2" xfId="0" applyAlignment="1" applyBorder="1" applyFill="1" applyFont="1" applyNumberFormat="1">
      <alignment horizontal="center"/>
    </xf>
    <xf borderId="4" fillId="5" fontId="6" numFmtId="0" xfId="0" applyAlignment="1" applyBorder="1" applyFill="1" applyFont="1">
      <alignment horizontal="center" readingOrder="0"/>
    </xf>
    <xf borderId="17" fillId="2" fontId="8" numFmtId="0" xfId="0" applyAlignment="1" applyBorder="1" applyFill="1" applyFont="1">
      <alignment horizontal="center"/>
    </xf>
    <xf borderId="19" fillId="6" fontId="10" numFmtId="0" xfId="0" applyAlignment="1" applyBorder="1" applyFill="1" applyFont="1">
      <alignment horizontal="center" readingOrder="0"/>
    </xf>
    <xf borderId="20" fillId="0" fontId="2" numFmtId="0" xfId="0" applyBorder="1" applyFont="1"/>
    <xf borderId="21" fillId="0" fontId="2" numFmtId="0" xfId="0" applyBorder="1" applyFont="1"/>
    <xf borderId="4" fillId="5" fontId="6" numFmtId="0" xfId="0" applyAlignment="1" applyBorder="1" applyFill="1" applyFont="1">
      <alignment horizontal="center" readingOrder="0"/>
    </xf>
    <xf borderId="4" fillId="5" fontId="6" numFmtId="164" xfId="0" applyAlignment="1" applyBorder="1" applyFill="1" applyFont="1" applyNumberFormat="1">
      <alignment horizontal="center"/>
    </xf>
    <xf borderId="4" fillId="5" fontId="6" numFmtId="0" xfId="0" applyAlignment="1" applyBorder="1" applyFill="1" applyFont="1">
      <alignment horizontal="center"/>
    </xf>
    <xf borderId="4" fillId="0" fontId="3" numFmtId="0" xfId="0" applyAlignment="1" applyBorder="1" applyFont="1">
      <alignment readingOrder="0"/>
    </xf>
    <xf borderId="4" fillId="5" fontId="6" numFmtId="10" xfId="0" applyAlignment="1" applyBorder="1" applyFill="1" applyFont="1" applyNumberFormat="1">
      <alignment horizontal="center"/>
    </xf>
    <xf borderId="0" fillId="0" fontId="12" numFmtId="0" xfId="0" applyAlignment="1" applyFont="1">
      <alignment readingOrder="0"/>
    </xf>
    <xf borderId="0" fillId="0" fontId="9" numFmtId="2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12" fillId="5" fontId="5" numFmtId="0" xfId="0" applyAlignment="1" applyBorder="1" applyFill="1" applyFont="1">
      <alignment horizontal="center" shrinkToFit="0" wrapText="1"/>
    </xf>
    <xf borderId="4" fillId="7" fontId="6" numFmtId="0" xfId="0" applyAlignment="1" applyBorder="1" applyFill="1" applyFont="1">
      <alignment horizontal="center" readingOrder="0"/>
    </xf>
    <xf borderId="22" fillId="5" fontId="5" numFmtId="0" xfId="0" applyAlignment="1" applyBorder="1" applyFill="1" applyFont="1">
      <alignment horizontal="center"/>
    </xf>
    <xf borderId="4" fillId="7" fontId="6" numFmtId="164" xfId="0" applyAlignment="1" applyBorder="1" applyFill="1" applyFont="1" applyNumberFormat="1">
      <alignment horizontal="center"/>
    </xf>
    <xf borderId="13" fillId="5" fontId="10" numFmtId="0" xfId="0" applyAlignment="1" applyBorder="1" applyFill="1" applyFont="1">
      <alignment horizontal="center" readingOrder="0"/>
    </xf>
    <xf borderId="4" fillId="7" fontId="6" numFmtId="0" xfId="0" applyAlignment="1" applyBorder="1" applyFill="1" applyFont="1">
      <alignment horizontal="center"/>
    </xf>
    <xf borderId="17" fillId="5" fontId="5" numFmtId="0" xfId="0" applyAlignment="1" applyBorder="1" applyFill="1" applyFont="1">
      <alignment horizontal="center"/>
    </xf>
    <xf borderId="23" fillId="3" fontId="9" numFmtId="0" xfId="0" applyAlignment="1" applyBorder="1" applyFill="1" applyFont="1">
      <alignment vertical="bottom"/>
    </xf>
    <xf borderId="24" fillId="3" fontId="9" numFmtId="0" xfId="0" applyAlignment="1" applyBorder="1" applyFill="1" applyFont="1">
      <alignment vertical="bottom"/>
    </xf>
    <xf borderId="4" fillId="7" fontId="6" numFmtId="10" xfId="0" applyAlignment="1" applyBorder="1" applyFill="1" applyFont="1" applyNumberFormat="1">
      <alignment horizontal="center"/>
    </xf>
    <xf borderId="25" fillId="3" fontId="9" numFmtId="0" xfId="0" applyAlignment="1" applyBorder="1" applyFill="1" applyFont="1">
      <alignment vertical="bottom"/>
    </xf>
    <xf borderId="0" fillId="5" fontId="5" numFmtId="0" xfId="0" applyAlignment="1" applyFill="1" applyFont="1">
      <alignment horizontal="center"/>
    </xf>
    <xf borderId="4" fillId="5" fontId="6" numFmtId="166" xfId="0" applyAlignment="1" applyBorder="1" applyFill="1" applyFont="1" applyNumberFormat="1">
      <alignment horizontal="center"/>
    </xf>
    <xf borderId="16" fillId="5" fontId="5" numFmtId="0" xfId="0" applyAlignment="1" applyBorder="1" applyFill="1" applyFont="1">
      <alignment horizontal="center"/>
    </xf>
    <xf borderId="26" fillId="5" fontId="5" numFmtId="0" xfId="0" applyAlignment="1" applyBorder="1" applyFill="1" applyFont="1">
      <alignment horizontal="center"/>
    </xf>
    <xf borderId="27" fillId="0" fontId="2" numFmtId="0" xfId="0" applyBorder="1" applyFont="1"/>
    <xf borderId="5" fillId="5" fontId="5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right" vertical="bottom"/>
    </xf>
    <xf borderId="4" fillId="7" fontId="6" numFmtId="166" xfId="0" applyAlignment="1" applyBorder="1" applyFill="1" applyFont="1" applyNumberFormat="1">
      <alignment horizontal="center"/>
    </xf>
    <xf borderId="1" fillId="5" fontId="5" numFmtId="0" xfId="0" applyAlignment="1" applyBorder="1" applyFill="1" applyFont="1">
      <alignment horizontal="center"/>
    </xf>
    <xf borderId="4" fillId="5" fontId="6" numFmtId="2" xfId="0" applyAlignment="1" applyBorder="1" applyFill="1" applyFont="1" applyNumberFormat="1">
      <alignment horizontal="center" readingOrder="0"/>
    </xf>
    <xf borderId="4" fillId="5" fontId="5" numFmtId="0" xfId="0" applyAlignment="1" applyBorder="1" applyFill="1" applyFont="1">
      <alignment horizontal="center" vertical="bottom"/>
    </xf>
    <xf borderId="28" fillId="8" fontId="5" numFmtId="0" xfId="0" applyAlignment="1" applyBorder="1" applyFill="1" applyFont="1">
      <alignment horizontal="center" vertical="bottom"/>
    </xf>
    <xf borderId="17" fillId="5" fontId="5" numFmtId="0" xfId="0" applyAlignment="1" applyBorder="1" applyFill="1" applyFont="1">
      <alignment horizontal="center" vertical="bottom"/>
    </xf>
    <xf borderId="22" fillId="5" fontId="9" numFmtId="0" xfId="0" applyBorder="1" applyFill="1" applyFont="1"/>
    <xf borderId="17" fillId="5" fontId="5" numFmtId="2" xfId="0" applyAlignment="1" applyBorder="1" applyFill="1" applyFont="1" applyNumberFormat="1">
      <alignment horizontal="center" vertical="bottom"/>
    </xf>
    <xf borderId="22" fillId="5" fontId="9" numFmtId="2" xfId="0" applyBorder="1" applyFill="1" applyFont="1" applyNumberFormat="1"/>
    <xf borderId="17" fillId="5" fontId="5" numFmtId="0" xfId="0" applyAlignment="1" applyBorder="1" applyFill="1" applyFont="1">
      <alignment horizontal="center"/>
    </xf>
    <xf borderId="17" fillId="7" fontId="5" numFmtId="0" xfId="0" applyAlignment="1" applyBorder="1" applyFill="1" applyFont="1">
      <alignment horizontal="center" vertical="bottom"/>
    </xf>
    <xf borderId="16" fillId="5" fontId="6" numFmtId="2" xfId="0" applyAlignment="1" applyBorder="1" applyFill="1" applyFont="1" applyNumberFormat="1">
      <alignment horizontal="center"/>
    </xf>
    <xf borderId="17" fillId="7" fontId="5" numFmtId="0" xfId="0" applyAlignment="1" applyBorder="1" applyFill="1" applyFont="1">
      <alignment horizontal="center"/>
    </xf>
    <xf borderId="16" fillId="5" fontId="6" numFmtId="10" xfId="0" applyAlignment="1" applyBorder="1" applyFill="1" applyFont="1" applyNumberFormat="1">
      <alignment horizontal="center"/>
    </xf>
    <xf borderId="17" fillId="5" fontId="9" numFmtId="0" xfId="0" applyBorder="1" applyFill="1" applyFont="1"/>
    <xf borderId="16" fillId="7" fontId="5" numFmtId="0" xfId="0" applyAlignment="1" applyBorder="1" applyFill="1" applyFont="1">
      <alignment horizontal="center" vertical="bottom"/>
    </xf>
    <xf borderId="17" fillId="5" fontId="9" numFmtId="164" xfId="0" applyBorder="1" applyFill="1" applyFont="1" applyNumberFormat="1"/>
    <xf borderId="17" fillId="7" fontId="5" numFmtId="0" xfId="0" applyAlignment="1" applyBorder="1" applyFill="1" applyFont="1">
      <alignment horizontal="center" readingOrder="0"/>
    </xf>
    <xf borderId="28" fillId="8" fontId="1" numFmtId="0" xfId="0" applyAlignment="1" applyBorder="1" applyFill="1" applyFont="1">
      <alignment horizontal="center"/>
    </xf>
    <xf borderId="17" fillId="5" fontId="9" numFmtId="10" xfId="0" applyBorder="1" applyFill="1" applyFont="1" applyNumberFormat="1"/>
    <xf borderId="28" fillId="8" fontId="9" numFmtId="0" xfId="0" applyBorder="1" applyFill="1" applyFont="1"/>
    <xf borderId="0" fillId="0" fontId="9" numFmtId="2" xfId="0" applyFont="1" applyNumberFormat="1"/>
    <xf borderId="4" fillId="5" fontId="6" numFmtId="0" xfId="0" applyAlignment="1" applyBorder="1" applyFill="1" applyFont="1">
      <alignment horizontal="center" shrinkToFit="0" wrapText="1"/>
    </xf>
    <xf borderId="4" fillId="5" fontId="6" numFmtId="166" xfId="0" applyAlignment="1" applyBorder="1" applyFill="1" applyFont="1" applyNumberFormat="1">
      <alignment horizontal="center"/>
    </xf>
    <xf borderId="4" fillId="5" fontId="6" numFmtId="10" xfId="0" applyAlignment="1" applyBorder="1" applyFill="1" applyFont="1" applyNumberFormat="1">
      <alignment horizontal="center"/>
    </xf>
    <xf borderId="17" fillId="3" fontId="9" numFmtId="0" xfId="0" applyBorder="1" applyFill="1" applyFont="1"/>
    <xf borderId="18" fillId="5" fontId="10" numFmtId="0" xfId="0" applyAlignment="1" applyBorder="1" applyFill="1" applyFont="1">
      <alignment horizontal="center" shrinkToFit="0" wrapText="1"/>
    </xf>
    <xf borderId="29" fillId="0" fontId="11" numFmtId="0" xfId="0" applyAlignment="1" applyBorder="1" applyFont="1">
      <alignment horizontal="center" readingOrder="0"/>
    </xf>
    <xf borderId="30" fillId="0" fontId="2" numFmtId="0" xfId="0" applyBorder="1" applyFont="1"/>
    <xf borderId="1" fillId="6" fontId="10" numFmtId="0" xfId="0" applyAlignment="1" applyBorder="1" applyFill="1" applyFont="1">
      <alignment horizontal="center"/>
    </xf>
    <xf borderId="19" fillId="6" fontId="10" numFmtId="0" xfId="0" applyAlignment="1" applyBorder="1" applyFill="1" applyFont="1">
      <alignment horizontal="center"/>
    </xf>
    <xf borderId="4" fillId="6" fontId="4" numFmtId="0" xfId="0" applyAlignment="1" applyBorder="1" applyFill="1" applyFont="1">
      <alignment horizontal="center" readingOrder="0"/>
    </xf>
    <xf borderId="31" fillId="2" fontId="8" numFmtId="0" xfId="0" applyAlignment="1" applyBorder="1" applyFill="1" applyFont="1">
      <alignment horizontal="center"/>
    </xf>
    <xf borderId="1" fillId="5" fontId="10" numFmtId="0" xfId="0" applyAlignment="1" applyBorder="1" applyFill="1" applyFont="1">
      <alignment horizontal="center" readingOrder="0"/>
    </xf>
    <xf borderId="28" fillId="8" fontId="13" numFmtId="0" xfId="0" applyAlignment="1" applyBorder="1" applyFill="1" applyFont="1">
      <alignment horizontal="center"/>
    </xf>
    <xf borderId="16" fillId="5" fontId="5" numFmtId="0" xfId="0" applyAlignment="1" applyBorder="1" applyFill="1" applyFont="1">
      <alignment horizontal="center"/>
    </xf>
    <xf borderId="16" fillId="5" fontId="5" numFmtId="167" xfId="0" applyAlignment="1" applyBorder="1" applyFill="1" applyFont="1" applyNumberFormat="1">
      <alignment horizontal="center"/>
    </xf>
    <xf borderId="16" fillId="5" fontId="9" numFmtId="1" xfId="0" applyBorder="1" applyFill="1" applyFont="1" applyNumberFormat="1"/>
    <xf borderId="16" fillId="5" fontId="5" numFmtId="1" xfId="0" applyAlignment="1" applyBorder="1" applyFill="1" applyFont="1" applyNumberFormat="1">
      <alignment horizontal="center"/>
    </xf>
    <xf borderId="16" fillId="5" fontId="5" numFmtId="10" xfId="0" applyAlignment="1" applyBorder="1" applyFill="1" applyFont="1" applyNumberFormat="1">
      <alignment horizontal="center"/>
    </xf>
    <xf borderId="0" fillId="3" fontId="3" numFmtId="0" xfId="0" applyAlignment="1" applyFill="1" applyFont="1">
      <alignment readingOrder="0"/>
    </xf>
    <xf borderId="22" fillId="5" fontId="6" numFmtId="0" xfId="0" applyAlignment="1" applyBorder="1" applyFill="1" applyFont="1">
      <alignment horizontal="center"/>
    </xf>
    <xf borderId="22" fillId="5" fontId="6" numFmtId="2" xfId="0" applyAlignment="1" applyBorder="1" applyFill="1" applyFont="1" applyNumberFormat="1">
      <alignment horizontal="center"/>
    </xf>
    <xf borderId="22" fillId="5" fontId="6" numFmtId="1" xfId="0" applyAlignment="1" applyBorder="1" applyFill="1" applyFont="1" applyNumberFormat="1">
      <alignment horizontal="center"/>
    </xf>
    <xf borderId="17" fillId="5" fontId="6" numFmtId="0" xfId="0" applyAlignment="1" applyBorder="1" applyFill="1" applyFont="1">
      <alignment horizontal="center"/>
    </xf>
    <xf borderId="17" fillId="5" fontId="6" numFmtId="2" xfId="0" applyAlignment="1" applyBorder="1" applyFill="1" applyFont="1" applyNumberFormat="1">
      <alignment horizontal="center"/>
    </xf>
    <xf borderId="17" fillId="5" fontId="9" numFmtId="0" xfId="0" applyAlignment="1" applyBorder="1" applyFill="1" applyFont="1">
      <alignment vertical="bottom"/>
    </xf>
    <xf borderId="32" fillId="5" fontId="1" numFmtId="0" xfId="0" applyAlignment="1" applyBorder="1" applyFill="1" applyFont="1">
      <alignment horizontal="center" shrinkToFit="0" wrapText="1"/>
    </xf>
    <xf borderId="17" fillId="5" fontId="6" numFmtId="1" xfId="0" applyAlignment="1" applyBorder="1" applyFill="1" applyFont="1" applyNumberFormat="1">
      <alignment horizontal="center"/>
    </xf>
    <xf borderId="3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4" fillId="0" fontId="1" numFmtId="164" xfId="0" applyAlignment="1" applyBorder="1" applyFont="1" applyNumberFormat="1">
      <alignment horizontal="center" shrinkToFit="0" wrapText="1"/>
    </xf>
    <xf borderId="4" fillId="5" fontId="1" numFmtId="0" xfId="0" applyAlignment="1" applyBorder="1" applyFill="1" applyFont="1">
      <alignment horizontal="center" shrinkToFit="0" wrapText="1"/>
    </xf>
    <xf borderId="32" fillId="5" fontId="5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center"/>
    </xf>
    <xf borderId="0" fillId="3" fontId="1" numFmtId="0" xfId="0" applyAlignment="1" applyFill="1" applyFont="1">
      <alignment horizontal="center"/>
    </xf>
    <xf borderId="4" fillId="0" fontId="5" numFmtId="164" xfId="0" applyAlignment="1" applyBorder="1" applyFont="1" applyNumberFormat="1">
      <alignment horizontal="center"/>
    </xf>
    <xf borderId="0" fillId="0" fontId="10" numFmtId="0" xfId="0" applyAlignment="1" applyFont="1">
      <alignment horizontal="center" readingOrder="0"/>
    </xf>
    <xf borderId="4" fillId="5" fontId="5" numFmtId="164" xfId="0" applyAlignment="1" applyBorder="1" applyFill="1" applyFont="1" applyNumberFormat="1">
      <alignment horizontal="center"/>
    </xf>
    <xf borderId="0" fillId="0" fontId="14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4" numFmtId="0" xfId="0" applyFont="1"/>
    <xf borderId="17" fillId="4" fontId="5" numFmtId="0" xfId="0" applyAlignment="1" applyBorder="1" applyFill="1" applyFont="1">
      <alignment horizontal="center"/>
    </xf>
    <xf borderId="17" fillId="4" fontId="9" numFmtId="0" xfId="0" applyBorder="1" applyFill="1" applyFont="1"/>
    <xf borderId="17" fillId="4" fontId="9" numFmtId="0" xfId="0" applyAlignment="1" applyBorder="1" applyFill="1" applyFont="1">
      <alignment horizontal="right" vertical="bottom"/>
    </xf>
    <xf borderId="17" fillId="4" fontId="9" numFmtId="0" xfId="0" applyAlignment="1" applyBorder="1" applyFill="1" applyFont="1">
      <alignment vertical="bottom"/>
    </xf>
    <xf borderId="17" fillId="5" fontId="6" numFmtId="2" xfId="0" applyAlignment="1" applyBorder="1" applyFill="1" applyFont="1" applyNumberFormat="1">
      <alignment horizontal="center"/>
    </xf>
    <xf borderId="17" fillId="5" fontId="6" numFmtId="1" xfId="0" applyAlignment="1" applyBorder="1" applyFill="1" applyFont="1" applyNumberFormat="1">
      <alignment horizontal="center"/>
    </xf>
    <xf borderId="16" fillId="7" fontId="6" numFmtId="0" xfId="0" applyAlignment="1" applyBorder="1" applyFill="1" applyFont="1">
      <alignment horizontal="center"/>
    </xf>
    <xf borderId="16" fillId="5" fontId="6" numFmtId="0" xfId="0" applyAlignment="1" applyBorder="1" applyFill="1" applyFont="1">
      <alignment horizontal="center"/>
    </xf>
    <xf borderId="17" fillId="5" fontId="9" numFmtId="2" xfId="0" applyBorder="1" applyFill="1" applyFont="1" applyNumberFormat="1"/>
    <xf borderId="17" fillId="5" fontId="9" numFmtId="0" xfId="0" applyBorder="1" applyFill="1" applyFont="1"/>
    <xf borderId="17" fillId="5" fontId="6" numFmtId="0" xfId="0" applyAlignment="1" applyBorder="1" applyFill="1" applyFont="1">
      <alignment horizontal="center"/>
    </xf>
    <xf borderId="0" fillId="0" fontId="9" numFmtId="0" xfId="0" applyAlignment="1" applyFont="1">
      <alignment horizontal="center" readingOrder="0"/>
    </xf>
    <xf borderId="0" fillId="3" fontId="10" numFmtId="0" xfId="0" applyAlignment="1" applyFill="1" applyFont="1">
      <alignment horizontal="center" shrinkToFit="0" wrapText="1"/>
    </xf>
    <xf borderId="0" fillId="3" fontId="15" numFmtId="1" xfId="0" applyAlignment="1" applyFill="1" applyFont="1" applyNumberFormat="1">
      <alignment horizontal="center" vertical="bottom"/>
    </xf>
    <xf borderId="0" fillId="3" fontId="9" numFmtId="0" xfId="0" applyFill="1" applyFont="1"/>
    <xf borderId="0" fillId="3" fontId="9" numFmtId="0" xfId="0" applyAlignment="1" applyFill="1" applyFont="1">
      <alignment vertical="bottom"/>
    </xf>
    <xf borderId="0" fillId="3" fontId="15" numFmtId="3" xfId="0" applyAlignment="1" applyFill="1" applyFont="1" applyNumberFormat="1">
      <alignment horizontal="center" vertical="bottom"/>
    </xf>
    <xf borderId="0" fillId="3" fontId="10" numFmtId="0" xfId="0" applyAlignment="1" applyFill="1" applyFont="1">
      <alignment horizontal="center"/>
    </xf>
    <xf borderId="0" fillId="3" fontId="8" numFmtId="0" xfId="0" applyAlignment="1" applyFill="1" applyFont="1">
      <alignment horizontal="center"/>
    </xf>
    <xf borderId="0" fillId="3" fontId="6" numFmtId="0" xfId="0" applyAlignment="1" applyFill="1" applyFont="1">
      <alignment horizontal="center"/>
    </xf>
    <xf borderId="0" fillId="3" fontId="6" numFmtId="164" xfId="0" applyAlignment="1" applyFill="1" applyFont="1" applyNumberFormat="1">
      <alignment horizontal="center"/>
    </xf>
    <xf borderId="0" fillId="3" fontId="6" numFmtId="10" xfId="0" applyAlignment="1" applyFill="1" applyFont="1" applyNumberFormat="1">
      <alignment horizontal="center"/>
    </xf>
    <xf borderId="0" fillId="3" fontId="9" numFmtId="0" xfId="0" applyAlignment="1" applyFill="1" applyFont="1">
      <alignment horizontal="center"/>
    </xf>
    <xf borderId="0" fillId="3" fontId="6" numFmtId="166" xfId="0" applyAlignment="1" applyFill="1" applyFont="1" applyNumberFormat="1">
      <alignment horizontal="center"/>
    </xf>
    <xf borderId="0" fillId="3" fontId="9" numFmtId="164" xfId="0" applyFill="1" applyFont="1" applyNumberFormat="1"/>
    <xf borderId="0" fillId="3" fontId="9" numFmtId="10" xfId="0" applyFill="1" applyFont="1" applyNumberFormat="1"/>
    <xf borderId="0" fillId="3" fontId="9" numFmtId="166" xfId="0" applyFill="1" applyFont="1" applyNumberFormat="1"/>
    <xf borderId="0" fillId="0" fontId="6" numFmtId="3" xfId="0" applyAlignment="1" applyFont="1" applyNumberFormat="1">
      <alignment horizontal="center" readingOrder="0" vertical="bottom"/>
    </xf>
    <xf borderId="0" fillId="3" fontId="3" numFmtId="0" xfId="0" applyAlignment="1" applyFill="1" applyFont="1">
      <alignment horizontal="center" readingOrder="0"/>
    </xf>
    <xf borderId="4" fillId="3" fontId="6" numFmtId="0" xfId="0" applyAlignment="1" applyBorder="1" applyFill="1" applyFont="1">
      <alignment horizontal="center" readingOrder="0"/>
    </xf>
    <xf borderId="4" fillId="3" fontId="6" numFmtId="164" xfId="0" applyAlignment="1" applyBorder="1" applyFill="1" applyFont="1" applyNumberFormat="1">
      <alignment horizontal="center"/>
    </xf>
    <xf borderId="4" fillId="3" fontId="3" numFmtId="0" xfId="0" applyAlignment="1" applyBorder="1" applyFill="1" applyFont="1">
      <alignment readingOrder="0"/>
    </xf>
    <xf borderId="4" fillId="3" fontId="6" numFmtId="0" xfId="0" applyAlignment="1" applyBorder="1" applyFill="1" applyFont="1">
      <alignment horizontal="center"/>
    </xf>
    <xf borderId="4" fillId="3" fontId="6" numFmtId="166" xfId="0" applyAlignment="1" applyBorder="1" applyFill="1" applyFont="1" applyNumberFormat="1">
      <alignment horizontal="center"/>
    </xf>
    <xf borderId="4" fillId="3" fontId="6" numFmtId="10" xfId="0" applyAlignment="1" applyBorder="1" applyFill="1" applyFont="1" applyNumberFormat="1">
      <alignment horizontal="center"/>
    </xf>
    <xf borderId="0" fillId="7" fontId="6" numFmtId="0" xfId="0" applyAlignment="1" applyFill="1" applyFont="1">
      <alignment horizontal="center"/>
    </xf>
    <xf borderId="0" fillId="3" fontId="3" numFmtId="0" xfId="0" applyAlignment="1" applyFill="1" applyFont="1">
      <alignment readingOrder="0"/>
    </xf>
    <xf borderId="0" fillId="7" fontId="10" numFmtId="0" xfId="0" applyAlignment="1" applyFill="1" applyFont="1">
      <alignment horizontal="center"/>
    </xf>
    <xf borderId="0" fillId="7" fontId="3" numFmtId="0" xfId="0" applyFill="1" applyFont="1"/>
    <xf borderId="0" fillId="5" fontId="3" numFmtId="0" xfId="0" applyFill="1" applyFont="1"/>
    <xf borderId="18" fillId="5" fontId="9" numFmtId="0" xfId="0" applyBorder="1" applyFill="1" applyFont="1"/>
    <xf borderId="18" fillId="5" fontId="9" numFmtId="164" xfId="0" applyBorder="1" applyFill="1" applyFont="1" applyNumberFormat="1"/>
    <xf borderId="18" fillId="5" fontId="9" numFmtId="166" xfId="0" applyBorder="1" applyFill="1" applyFont="1" applyNumberFormat="1"/>
    <xf borderId="18" fillId="5" fontId="9" numFmtId="10" xfId="0" applyBorder="1" applyFill="1" applyFont="1" applyNumberFormat="1"/>
    <xf borderId="0" fillId="3" fontId="10" numFmtId="164" xfId="0" applyAlignment="1" applyFill="1" applyFont="1" applyNumberFormat="1">
      <alignment horizontal="center"/>
    </xf>
    <xf borderId="0" fillId="3" fontId="10" numFmtId="10" xfId="0" applyAlignment="1" applyFill="1" applyFont="1" applyNumberFormat="1">
      <alignment horizontal="center"/>
    </xf>
    <xf borderId="0" fillId="3" fontId="10" numFmtId="166" xfId="0" applyAlignment="1" applyFill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22">
    <tableStyle count="3" pivot="0" name="QDL-QUEDA DE TENSÃO-style">
      <tableStyleElement dxfId="1" type="headerRow"/>
      <tableStyleElement dxfId="2" type="firstRowStripe"/>
      <tableStyleElement dxfId="3" type="secondRowStripe"/>
    </tableStyle>
    <tableStyle count="3" pivot="0" name="QDL-QUEDA DE TENSÃO-style 2">
      <tableStyleElement dxfId="1" type="headerRow"/>
      <tableStyleElement dxfId="2" type="firstRowStripe"/>
      <tableStyleElement dxfId="3" type="secondRowStripe"/>
    </tableStyle>
    <tableStyle count="2" pivot="0" name="QDL-QUEDA DE TENSÃO-style 3">
      <tableStyleElement dxfId="3" type="firstRowStripe"/>
      <tableStyleElement dxfId="2" type="secondRowStripe"/>
    </tableStyle>
    <tableStyle count="3" pivot="0" name="QDL-QUEDA DE TENSÃO-style 4">
      <tableStyleElement dxfId="1" type="headerRow"/>
      <tableStyleElement dxfId="2" type="firstRowStripe"/>
      <tableStyleElement dxfId="3" type="secondRowStripe"/>
    </tableStyle>
    <tableStyle count="3" pivot="0" name="QDL-QUEDA DE TENSÃO-style 5">
      <tableStyleElement dxfId="1" type="headerRow"/>
      <tableStyleElement dxfId="2" type="firstRowStripe"/>
      <tableStyleElement dxfId="3" type="secondRowStripe"/>
    </tableStyle>
    <tableStyle count="3" pivot="0" name="QDL-QUEDA DE TENSÃO-style 6">
      <tableStyleElement dxfId="1" type="headerRow"/>
      <tableStyleElement dxfId="2" type="firstRowStripe"/>
      <tableStyleElement dxfId="3" type="secondRowStripe"/>
    </tableStyle>
    <tableStyle count="2" pivot="0" name="QDL-QUEDA DE TENSÃO-style 7">
      <tableStyleElement dxfId="3" type="firstRowStripe"/>
      <tableStyleElement dxfId="2" type="secondRowStripe"/>
    </tableStyle>
    <tableStyle count="3" pivot="0" name="QDL-QUEDA DE TENSÃO-style 8">
      <tableStyleElement dxfId="1" type="headerRow"/>
      <tableStyleElement dxfId="2" type="firstRowStripe"/>
      <tableStyleElement dxfId="3" type="secondRowStripe"/>
    </tableStyle>
    <tableStyle count="3" pivot="0" name="QDL-QUEDA DE TENSÃO-style 9">
      <tableStyleElement dxfId="1" type="headerRow"/>
      <tableStyleElement dxfId="2" type="firstRowStripe"/>
      <tableStyleElement dxfId="3" type="secondRowStripe"/>
    </tableStyle>
    <tableStyle count="2" pivot="0" name="QDL-QUEDA DE TENSÃO-style 10">
      <tableStyleElement dxfId="3" type="firstRowStripe"/>
      <tableStyleElement dxfId="2" type="secondRowStripe"/>
    </tableStyle>
    <tableStyle count="3" pivot="0" name="QDL-QUEDA DE TENSÃO-style 11">
      <tableStyleElement dxfId="1" type="headerRow"/>
      <tableStyleElement dxfId="2" type="firstRowStripe"/>
      <tableStyleElement dxfId="3" type="secondRowStripe"/>
    </tableStyle>
    <tableStyle count="3" pivot="0" name="QDL-QUEDA DE TENSÃO-style 12">
      <tableStyleElement dxfId="1" type="headerRow"/>
      <tableStyleElement dxfId="2" type="firstRowStripe"/>
      <tableStyleElement dxfId="3" type="secondRowStripe"/>
    </tableStyle>
    <tableStyle count="2" pivot="0" name="QDL-QUEDA DE TENSÃO-style 13">
      <tableStyleElement dxfId="3" type="firstRowStripe"/>
      <tableStyleElement dxfId="2" type="secondRowStripe"/>
    </tableStyle>
    <tableStyle count="3" pivot="0" name="QDL-QUEDA DE TENSÃO-style 14">
      <tableStyleElement dxfId="1" type="headerRow"/>
      <tableStyleElement dxfId="2" type="firstRowStripe"/>
      <tableStyleElement dxfId="3" type="secondRowStripe"/>
    </tableStyle>
    <tableStyle count="3" pivot="0" name="QDL-QUEDA DE TENSÃO-style 15">
      <tableStyleElement dxfId="1" type="headerRow"/>
      <tableStyleElement dxfId="2" type="firstRowStripe"/>
      <tableStyleElement dxfId="3" type="secondRowStripe"/>
    </tableStyle>
    <tableStyle count="3" pivot="0" name="QDL-QUEDA DE TENSÃO-style 16">
      <tableStyleElement dxfId="1" type="headerRow"/>
      <tableStyleElement dxfId="2" type="firstRowStripe"/>
      <tableStyleElement dxfId="3" type="secondRowStripe"/>
    </tableStyle>
    <tableStyle count="3" pivot="0" name="QDL-QUEDA DE TENSÃO-style 17">
      <tableStyleElement dxfId="1" type="headerRow"/>
      <tableStyleElement dxfId="2" type="firstRowStripe"/>
      <tableStyleElement dxfId="3" type="secondRowStripe"/>
    </tableStyle>
    <tableStyle count="2" pivot="0" name="QDL-QUEDA DE TENSÃO-style 18">
      <tableStyleElement dxfId="3" type="firstRowStripe"/>
      <tableStyleElement dxfId="2" type="secondRowStripe"/>
    </tableStyle>
    <tableStyle count="2" pivot="0" name="QDL-QUEDA DE TENSÃO-style 19">
      <tableStyleElement dxfId="2" type="firstRowStripe"/>
      <tableStyleElement dxfId="3" type="secondRowStripe"/>
    </tableStyle>
    <tableStyle count="2" pivot="0" name="QDL-BALANÇO POTENCIAS-style">
      <tableStyleElement dxfId="3" type="firstRowStripe"/>
      <tableStyleElement dxfId="2" type="secondRowStripe"/>
    </tableStyle>
    <tableStyle count="3" pivot="0" name="QDGL-style">
      <tableStyleElement dxfId="1" type="headerRow"/>
      <tableStyleElement dxfId="2" type="firstRowStripe"/>
      <tableStyleElement dxfId="3" type="secondRowStripe"/>
    </tableStyle>
    <tableStyle count="3" pivot="0" name="QDGL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6.png"/><Relationship Id="rId3" Type="http://schemas.openxmlformats.org/officeDocument/2006/relationships/image" Target="../media/image1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2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10" Type="http://schemas.openxmlformats.org/officeDocument/2006/relationships/image" Target="../media/image23.png"/><Relationship Id="rId9" Type="http://schemas.openxmlformats.org/officeDocument/2006/relationships/image" Target="../media/image25.png"/><Relationship Id="rId5" Type="http://schemas.openxmlformats.org/officeDocument/2006/relationships/image" Target="../media/image21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2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Relationship Id="rId3" Type="http://schemas.openxmlformats.org/officeDocument/2006/relationships/image" Target="../media/image17.png"/><Relationship Id="rId4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6.png"/><Relationship Id="rId3" Type="http://schemas.openxmlformats.org/officeDocument/2006/relationships/image" Target="../media/image13.png"/><Relationship Id="rId4" Type="http://schemas.openxmlformats.org/officeDocument/2006/relationships/image" Target="../media/image16.png"/><Relationship Id="rId5" Type="http://schemas.openxmlformats.org/officeDocument/2006/relationships/image" Target="../media/image4.png"/><Relationship Id="rId6" Type="http://schemas.openxmlformats.org/officeDocument/2006/relationships/image" Target="../media/image7.png"/><Relationship Id="rId7" Type="http://schemas.openxmlformats.org/officeDocument/2006/relationships/image" Target="../media/image11.png"/><Relationship Id="rId8" Type="http://schemas.openxmlformats.org/officeDocument/2006/relationships/image" Target="../media/image2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Relationship Id="rId3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4.png"/><Relationship Id="rId3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295275</xdr:colOff>
      <xdr:row>5</xdr:row>
      <xdr:rowOff>38100</xdr:rowOff>
    </xdr:from>
    <xdr:ext cx="4610100" cy="5257800"/>
    <xdr:pic>
      <xdr:nvPicPr>
        <xdr:cNvPr id="0" name="image2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152400</xdr:colOff>
      <xdr:row>5</xdr:row>
      <xdr:rowOff>38100</xdr:rowOff>
    </xdr:from>
    <xdr:ext cx="4876800" cy="5143500"/>
    <xdr:pic>
      <xdr:nvPicPr>
        <xdr:cNvPr id="0" name="image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6</xdr:row>
      <xdr:rowOff>0</xdr:rowOff>
    </xdr:from>
    <xdr:ext cx="4876800" cy="5295900"/>
    <xdr:pic>
      <xdr:nvPicPr>
        <xdr:cNvPr id="0" name="image1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790575</xdr:colOff>
      <xdr:row>25</xdr:row>
      <xdr:rowOff>180975</xdr:rowOff>
    </xdr:from>
    <xdr:ext cx="4876800" cy="3038475"/>
    <xdr:pic>
      <xdr:nvPicPr>
        <xdr:cNvPr id="0" name="image2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447675</xdr:colOff>
      <xdr:row>2</xdr:row>
      <xdr:rowOff>19050</xdr:rowOff>
    </xdr:from>
    <xdr:ext cx="8334375" cy="4600575"/>
    <xdr:pic>
      <xdr:nvPicPr>
        <xdr:cNvPr id="0" name="image2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790575</xdr:colOff>
      <xdr:row>44</xdr:row>
      <xdr:rowOff>180975</xdr:rowOff>
    </xdr:from>
    <xdr:ext cx="5457825" cy="4019550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495300</xdr:colOff>
      <xdr:row>41</xdr:row>
      <xdr:rowOff>180975</xdr:rowOff>
    </xdr:from>
    <xdr:ext cx="6705600" cy="438150"/>
    <xdr:pic>
      <xdr:nvPicPr>
        <xdr:cNvPr id="0" name="image3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904875</xdr:colOff>
      <xdr:row>79</xdr:row>
      <xdr:rowOff>19050</xdr:rowOff>
    </xdr:from>
    <xdr:ext cx="4876800" cy="3305175"/>
    <xdr:pic>
      <xdr:nvPicPr>
        <xdr:cNvPr id="0" name="image21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400050</xdr:colOff>
      <xdr:row>100</xdr:row>
      <xdr:rowOff>28575</xdr:rowOff>
    </xdr:from>
    <xdr:ext cx="3990975" cy="3571875"/>
    <xdr:pic>
      <xdr:nvPicPr>
        <xdr:cNvPr id="0" name="image10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400050</xdr:colOff>
      <xdr:row>131</xdr:row>
      <xdr:rowOff>104775</xdr:rowOff>
    </xdr:from>
    <xdr:ext cx="4876800" cy="5962650"/>
    <xdr:pic>
      <xdr:nvPicPr>
        <xdr:cNvPr id="0" name="image9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400050</xdr:colOff>
      <xdr:row>161</xdr:row>
      <xdr:rowOff>171450</xdr:rowOff>
    </xdr:from>
    <xdr:ext cx="6162675" cy="3038475"/>
    <xdr:pic>
      <xdr:nvPicPr>
        <xdr:cNvPr id="0" name="image28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790575</xdr:colOff>
      <xdr:row>178</xdr:row>
      <xdr:rowOff>9525</xdr:rowOff>
    </xdr:from>
    <xdr:ext cx="5619750" cy="6153150"/>
    <xdr:pic>
      <xdr:nvPicPr>
        <xdr:cNvPr id="0" name="image25.png" title="Imagem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323850</xdr:colOff>
      <xdr:row>102</xdr:row>
      <xdr:rowOff>161925</xdr:rowOff>
    </xdr:from>
    <xdr:ext cx="4876800" cy="3333750"/>
    <xdr:pic>
      <xdr:nvPicPr>
        <xdr:cNvPr id="0" name="image23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933450</xdr:colOff>
      <xdr:row>5</xdr:row>
      <xdr:rowOff>76200</xdr:rowOff>
    </xdr:from>
    <xdr:ext cx="6838950" cy="5572125"/>
    <xdr:pic>
      <xdr:nvPicPr>
        <xdr:cNvPr id="0" name="image1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933450</xdr:colOff>
      <xdr:row>34</xdr:row>
      <xdr:rowOff>95250</xdr:rowOff>
    </xdr:from>
    <xdr:ext cx="4876800" cy="5886450"/>
    <xdr:pic>
      <xdr:nvPicPr>
        <xdr:cNvPr id="0" name="image5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790575</xdr:colOff>
      <xdr:row>74</xdr:row>
      <xdr:rowOff>9525</xdr:rowOff>
    </xdr:from>
    <xdr:ext cx="5419725" cy="6619875"/>
    <xdr:pic>
      <xdr:nvPicPr>
        <xdr:cNvPr id="0" name="image17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323850</xdr:colOff>
      <xdr:row>107</xdr:row>
      <xdr:rowOff>161925</xdr:rowOff>
    </xdr:from>
    <xdr:ext cx="4876800" cy="6248400"/>
    <xdr:pic>
      <xdr:nvPicPr>
        <xdr:cNvPr id="0" name="image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5</xdr:row>
      <xdr:rowOff>0</xdr:rowOff>
    </xdr:from>
    <xdr:ext cx="6696075" cy="19050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34</xdr:row>
      <xdr:rowOff>142875</xdr:rowOff>
    </xdr:from>
    <xdr:ext cx="7620000" cy="1438275"/>
    <xdr:pic>
      <xdr:nvPicPr>
        <xdr:cNvPr id="0" name="image2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638175</xdr:colOff>
      <xdr:row>0</xdr:row>
      <xdr:rowOff>152400</xdr:rowOff>
    </xdr:from>
    <xdr:ext cx="6800850" cy="7543800"/>
    <xdr:pic>
      <xdr:nvPicPr>
        <xdr:cNvPr id="0" name="image2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76</xdr:row>
      <xdr:rowOff>95250</xdr:rowOff>
    </xdr:from>
    <xdr:ext cx="4876800" cy="3895725"/>
    <xdr:pic>
      <xdr:nvPicPr>
        <xdr:cNvPr id="0" name="image1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24</xdr:row>
      <xdr:rowOff>66675</xdr:rowOff>
    </xdr:from>
    <xdr:ext cx="4305300" cy="1971675"/>
    <xdr:pic>
      <xdr:nvPicPr>
        <xdr:cNvPr id="0" name="image1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200025</xdr:rowOff>
    </xdr:from>
    <xdr:ext cx="4876800" cy="3314700"/>
    <xdr:pic>
      <xdr:nvPicPr>
        <xdr:cNvPr id="0" name="image4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200025</xdr:rowOff>
    </xdr:from>
    <xdr:ext cx="4876800" cy="3314700"/>
    <xdr:pic>
      <xdr:nvPicPr>
        <xdr:cNvPr id="0" name="image4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590550</xdr:colOff>
      <xdr:row>73</xdr:row>
      <xdr:rowOff>57150</xdr:rowOff>
    </xdr:from>
    <xdr:ext cx="5867400" cy="4533900"/>
    <xdr:pic>
      <xdr:nvPicPr>
        <xdr:cNvPr id="0" name="image7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101</xdr:row>
      <xdr:rowOff>0</xdr:rowOff>
    </xdr:from>
    <xdr:ext cx="4876800" cy="322897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238125</xdr:colOff>
      <xdr:row>73</xdr:row>
      <xdr:rowOff>57150</xdr:rowOff>
    </xdr:from>
    <xdr:ext cx="4876800" cy="322897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180975</xdr:rowOff>
    </xdr:from>
    <xdr:ext cx="6096000" cy="2790825"/>
    <xdr:pic>
      <xdr:nvPicPr>
        <xdr:cNvPr id="0" name="image1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228600</xdr:colOff>
      <xdr:row>123</xdr:row>
      <xdr:rowOff>19050</xdr:rowOff>
    </xdr:from>
    <xdr:ext cx="6096000" cy="2790825"/>
    <xdr:pic>
      <xdr:nvPicPr>
        <xdr:cNvPr id="0" name="image1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156</xdr:row>
      <xdr:rowOff>209550</xdr:rowOff>
    </xdr:from>
    <xdr:ext cx="4876800" cy="3895725"/>
    <xdr:pic>
      <xdr:nvPicPr>
        <xdr:cNvPr id="0" name="image1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</xdr:row>
      <xdr:rowOff>47625</xdr:rowOff>
    </xdr:from>
    <xdr:ext cx="4876800" cy="3314700"/>
    <xdr:pic>
      <xdr:nvPicPr>
        <xdr:cNvPr id="0" name="image4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904875</xdr:colOff>
      <xdr:row>152</xdr:row>
      <xdr:rowOff>190500</xdr:rowOff>
    </xdr:from>
    <xdr:ext cx="5867400" cy="4533900"/>
    <xdr:pic>
      <xdr:nvPicPr>
        <xdr:cNvPr id="0" name="image7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723900</xdr:colOff>
      <xdr:row>180</xdr:row>
      <xdr:rowOff>19050</xdr:rowOff>
    </xdr:from>
    <xdr:ext cx="4876800" cy="322897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228600</xdr:colOff>
      <xdr:row>202</xdr:row>
      <xdr:rowOff>209550</xdr:rowOff>
    </xdr:from>
    <xdr:ext cx="6096000" cy="2790825"/>
    <xdr:pic>
      <xdr:nvPicPr>
        <xdr:cNvPr id="0" name="image1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202</xdr:row>
      <xdr:rowOff>85725</xdr:rowOff>
    </xdr:from>
    <xdr:ext cx="6096000" cy="2790825"/>
    <xdr:pic>
      <xdr:nvPicPr>
        <xdr:cNvPr id="0" name="image1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121</xdr:row>
      <xdr:rowOff>95250</xdr:rowOff>
    </xdr:from>
    <xdr:ext cx="6096000" cy="2790825"/>
    <xdr:pic>
      <xdr:nvPicPr>
        <xdr:cNvPr id="0" name="image1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241</xdr:row>
      <xdr:rowOff>142875</xdr:rowOff>
    </xdr:from>
    <xdr:ext cx="4876800" cy="3895725"/>
    <xdr:pic>
      <xdr:nvPicPr>
        <xdr:cNvPr id="0" name="image1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263</xdr:row>
      <xdr:rowOff>133350</xdr:rowOff>
    </xdr:from>
    <xdr:ext cx="4876800" cy="3314700"/>
    <xdr:pic>
      <xdr:nvPicPr>
        <xdr:cNvPr id="0" name="image4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286</xdr:row>
      <xdr:rowOff>85725</xdr:rowOff>
    </xdr:from>
    <xdr:ext cx="6096000" cy="2790825"/>
    <xdr:pic>
      <xdr:nvPicPr>
        <xdr:cNvPr id="0" name="image1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971550</xdr:colOff>
      <xdr:row>237</xdr:row>
      <xdr:rowOff>161925</xdr:rowOff>
    </xdr:from>
    <xdr:ext cx="5867400" cy="4533900"/>
    <xdr:pic>
      <xdr:nvPicPr>
        <xdr:cNvPr id="0" name="image7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904875</xdr:colOff>
      <xdr:row>264</xdr:row>
      <xdr:rowOff>19050</xdr:rowOff>
    </xdr:from>
    <xdr:ext cx="4876800" cy="322897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361950</xdr:colOff>
      <xdr:row>287</xdr:row>
      <xdr:rowOff>95250</xdr:rowOff>
    </xdr:from>
    <xdr:ext cx="6096000" cy="2790825"/>
    <xdr:pic>
      <xdr:nvPicPr>
        <xdr:cNvPr id="0" name="image1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335</xdr:row>
      <xdr:rowOff>209550</xdr:rowOff>
    </xdr:from>
    <xdr:ext cx="4876800" cy="3895725"/>
    <xdr:pic>
      <xdr:nvPicPr>
        <xdr:cNvPr id="0" name="image1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363</xdr:row>
      <xdr:rowOff>66675</xdr:rowOff>
    </xdr:from>
    <xdr:ext cx="4876800" cy="3314700"/>
    <xdr:pic>
      <xdr:nvPicPr>
        <xdr:cNvPr id="0" name="image4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386</xdr:row>
      <xdr:rowOff>9525</xdr:rowOff>
    </xdr:from>
    <xdr:ext cx="6096000" cy="2790825"/>
    <xdr:pic>
      <xdr:nvPicPr>
        <xdr:cNvPr id="0" name="image1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161925</xdr:colOff>
      <xdr:row>327</xdr:row>
      <xdr:rowOff>66675</xdr:rowOff>
    </xdr:from>
    <xdr:ext cx="5867400" cy="4533900"/>
    <xdr:pic>
      <xdr:nvPicPr>
        <xdr:cNvPr id="0" name="image7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704850</xdr:colOff>
      <xdr:row>351</xdr:row>
      <xdr:rowOff>200025</xdr:rowOff>
    </xdr:from>
    <xdr:ext cx="4876800" cy="3228975"/>
    <xdr:pic>
      <xdr:nvPicPr>
        <xdr:cNvPr id="0" name="image11.png" title="Imagem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376</xdr:row>
      <xdr:rowOff>66675</xdr:rowOff>
    </xdr:from>
    <xdr:ext cx="6096000" cy="2790825"/>
    <xdr:pic>
      <xdr:nvPicPr>
        <xdr:cNvPr id="0" name="image1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142875</xdr:colOff>
      <xdr:row>88</xdr:row>
      <xdr:rowOff>200025</xdr:rowOff>
    </xdr:from>
    <xdr:ext cx="8372475" cy="5124450"/>
    <xdr:pic>
      <xdr:nvPicPr>
        <xdr:cNvPr id="0" name="image27.png" title="Imagem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514350</xdr:colOff>
      <xdr:row>5</xdr:row>
      <xdr:rowOff>28575</xdr:rowOff>
    </xdr:from>
    <xdr:ext cx="4876800" cy="3067050"/>
    <xdr:pic>
      <xdr:nvPicPr>
        <xdr:cNvPr id="0" name="image1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4876800" cy="4086225"/>
    <xdr:pic>
      <xdr:nvPicPr>
        <xdr:cNvPr id="0" name="image19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914400</xdr:colOff>
      <xdr:row>50</xdr:row>
      <xdr:rowOff>47625</xdr:rowOff>
    </xdr:from>
    <xdr:ext cx="4876800" cy="2990850"/>
    <xdr:pic>
      <xdr:nvPicPr>
        <xdr:cNvPr id="0" name="image1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0</xdr:row>
      <xdr:rowOff>15659100</xdr:rowOff>
    </xdr:from>
    <xdr:ext cx="4876800" cy="3067050"/>
    <xdr:pic>
      <xdr:nvPicPr>
        <xdr:cNvPr id="0" name="image1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590550</xdr:colOff>
      <xdr:row>95</xdr:row>
      <xdr:rowOff>114300</xdr:rowOff>
    </xdr:from>
    <xdr:ext cx="4876800" cy="4086225"/>
    <xdr:pic>
      <xdr:nvPicPr>
        <xdr:cNvPr id="0" name="image19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122</xdr:row>
      <xdr:rowOff>85725</xdr:rowOff>
    </xdr:from>
    <xdr:ext cx="4876800" cy="2990850"/>
    <xdr:pic>
      <xdr:nvPicPr>
        <xdr:cNvPr id="0" name="image1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409575</xdr:colOff>
      <xdr:row>147</xdr:row>
      <xdr:rowOff>19050</xdr:rowOff>
    </xdr:from>
    <xdr:ext cx="4876800" cy="3067050"/>
    <xdr:pic>
      <xdr:nvPicPr>
        <xdr:cNvPr id="0" name="image1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866775</xdr:colOff>
      <xdr:row>166</xdr:row>
      <xdr:rowOff>152400</xdr:rowOff>
    </xdr:from>
    <xdr:ext cx="4876800" cy="4086225"/>
    <xdr:pic>
      <xdr:nvPicPr>
        <xdr:cNvPr id="0" name="image19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914400</xdr:colOff>
      <xdr:row>191</xdr:row>
      <xdr:rowOff>47625</xdr:rowOff>
    </xdr:from>
    <xdr:ext cx="4876800" cy="2990850"/>
    <xdr:pic>
      <xdr:nvPicPr>
        <xdr:cNvPr id="0" name="image1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409575</xdr:colOff>
      <xdr:row>213</xdr:row>
      <xdr:rowOff>19050</xdr:rowOff>
    </xdr:from>
    <xdr:ext cx="4876800" cy="3067050"/>
    <xdr:pic>
      <xdr:nvPicPr>
        <xdr:cNvPr id="0" name="image1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819150</xdr:colOff>
      <xdr:row>232</xdr:row>
      <xdr:rowOff>114300</xdr:rowOff>
    </xdr:from>
    <xdr:ext cx="4876800" cy="4086225"/>
    <xdr:pic>
      <xdr:nvPicPr>
        <xdr:cNvPr id="0" name="image19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914400</xdr:colOff>
      <xdr:row>257</xdr:row>
      <xdr:rowOff>152400</xdr:rowOff>
    </xdr:from>
    <xdr:ext cx="4876800" cy="2990850"/>
    <xdr:pic>
      <xdr:nvPicPr>
        <xdr:cNvPr id="0" name="image1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952500</xdr:colOff>
      <xdr:row>65</xdr:row>
      <xdr:rowOff>104775</xdr:rowOff>
    </xdr:from>
    <xdr:ext cx="4876800" cy="3895725"/>
    <xdr:pic>
      <xdr:nvPicPr>
        <xdr:cNvPr id="0" name="image1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857250</xdr:colOff>
      <xdr:row>86</xdr:row>
      <xdr:rowOff>171450</xdr:rowOff>
    </xdr:from>
    <xdr:ext cx="4876800" cy="3314700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857250</xdr:colOff>
      <xdr:row>111</xdr:row>
      <xdr:rowOff>38100</xdr:rowOff>
    </xdr:from>
    <xdr:ext cx="6096000" cy="2790825"/>
    <xdr:pic>
      <xdr:nvPicPr>
        <xdr:cNvPr id="0" name="image16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5:J58" displayName="Table_1" name="Table_1" id="1">
  <tableColumns count="10">
    <tableColumn name="Circuito L0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L-QUEDA DE TENSÃO-style" showColumnStripes="0" showFirstColumn="1" showLastColumn="1" showRowStripes="1"/>
</table>
</file>

<file path=xl/tables/table2.xml><?xml version="1.0" encoding="utf-8"?>
<table xmlns="http://schemas.openxmlformats.org/spreadsheetml/2006/main" ref="P56:W59" displayName="Table_2" name="Table_2" id="2">
  <tableColumns count="8">
    <tableColumn name="Circuito L0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L-QUEDA DE TENSÃO-style 2" showColumnStripes="0" showFirstColumn="1" showLastColumn="1" showRowStripes="1"/>
</table>
</file>

<file path=xl/tables/table3.xml><?xml version="1.0" encoding="utf-8"?>
<table xmlns="http://schemas.openxmlformats.org/spreadsheetml/2006/main" headerRowCount="0" ref="A59:J59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L-QUEDA DE TENSÃO-style 3" showColumnStripes="0" showFirstColumn="1" showLastColumn="1" showRowStripes="1"/>
</table>
</file>

<file path=xl/tables/table4.xml><?xml version="1.0" encoding="utf-8"?>
<table xmlns="http://schemas.openxmlformats.org/spreadsheetml/2006/main" ref="A65:J68" displayName="Table_4" name="Table_4" id="4">
  <tableColumns count="10">
    <tableColumn name="Circuito L1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L-QUEDA DE TENSÃO-style 4" showColumnStripes="0" showFirstColumn="1" showLastColumn="1" showRowStripes="1"/>
</table>
</file>

<file path=xl/tables/table5.xml><?xml version="1.0" encoding="utf-8"?>
<table xmlns="http://schemas.openxmlformats.org/spreadsheetml/2006/main" ref="P65:W69" displayName="Table_5" name="Table_5" id="5">
  <tableColumns count="8">
    <tableColumn name="Circuito L1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L-QUEDA DE TENSÃO-style 5" showColumnStripes="0" showFirstColumn="1" showLastColumn="1" showRowStripes="1"/>
</table>
</file>

<file path=xl/tables/table6.xml><?xml version="1.0" encoding="utf-8"?>
<table xmlns="http://schemas.openxmlformats.org/spreadsheetml/2006/main" headerRowCount="0" ref="Z66:AA69" displayName="Table_6" name="Table_6" id="6">
  <tableColumns count="2">
    <tableColumn name="Column1" id="1"/>
    <tableColumn name="Column2" id="2"/>
  </tableColumns>
  <tableStyleInfo name="QDL-QUEDA DE TENSÃO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69:J69" displayName="Table_7" name="Table_7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L-QUEDA DE TENSÃO-style 7" showColumnStripes="0" showFirstColumn="1" showLastColumn="1" showRowStripes="1"/>
</table>
</file>

<file path=xl/tables/table8.xml><?xml version="1.0" encoding="utf-8"?>
<table xmlns="http://schemas.openxmlformats.org/spreadsheetml/2006/main" ref="A141:J144" displayName="Table_8" name="Table_8" id="8">
  <tableColumns count="10">
    <tableColumn name="Circuito L2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L-QUEDA DE TENSÃO-style 8" showColumnStripes="0" showFirstColumn="1" showLastColumn="1" showRowStripes="1"/>
</table>
</file>

<file path=xl/tables/table9.xml><?xml version="1.0" encoding="utf-8"?>
<table xmlns="http://schemas.openxmlformats.org/spreadsheetml/2006/main" ref="P141:W147" displayName="Table_9" name="Table_9" id="9">
  <tableColumns count="8">
    <tableColumn name="Circuito L2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L-QUEDA DE TENSÃO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145:J147" displayName="Table_10" name="Table_10" id="1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L-QUEDA DE TENSÃO-style 10" showColumnStripes="0" showFirstColumn="1" showLastColumn="1" showRowStripes="1"/>
</table>
</file>

<file path=xl/tables/table11.xml><?xml version="1.0" encoding="utf-8"?>
<table xmlns="http://schemas.openxmlformats.org/spreadsheetml/2006/main" ref="A225:J228" displayName="Table_11" name="Table_11" id="11">
  <tableColumns count="10">
    <tableColumn name="Circuito L3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L-QUEDA DE TENSÃO-style 11" showColumnStripes="0" showFirstColumn="1" showLastColumn="1" showRowStripes="1"/>
</table>
</file>

<file path=xl/tables/table12.xml><?xml version="1.0" encoding="utf-8"?>
<table xmlns="http://schemas.openxmlformats.org/spreadsheetml/2006/main" ref="P225:W231" displayName="Table_12" name="Table_12" id="12">
  <tableColumns count="8">
    <tableColumn name="Circuito L3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L-QUEDA DE TENSÃO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229:J231" displayName="Table_13" name="Table_13" id="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L-QUEDA DE TENSÃO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249:I255" displayName="Table_14" name="Table_14" id="1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QDL-QUEDA DE TENSÃO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O249:T255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DL-QUEDA DE TENSÃO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ref="A313:J316" displayName="Table_16" name="Table_16" id="16">
  <tableColumns count="10">
    <tableColumn name="Circuito L4/L5" id="1"/>
    <tableColumn name="Corrente Ip (A)" id="2"/>
    <tableColumn name="Distância L (m)" id="3"/>
    <tableColumn name="Seção (mm²)" id="4"/>
    <tableColumn name="R [Ω/m]" id="5"/>
    <tableColumn name="X [Ω/m]" id="6"/>
    <tableColumn name="FP" id="7"/>
    <tableColumn name="ΔV (V)" id="8"/>
    <tableColumn name="ΔV (%)" id="9"/>
    <tableColumn name="ΔV(%)*" id="10"/>
  </tableColumns>
  <tableStyleInfo name="QDL-QUEDA DE TENSÃO-style 16" showColumnStripes="0" showFirstColumn="1" showLastColumn="1" showRowStripes="1"/>
</table>
</file>

<file path=xl/tables/table17.xml><?xml version="1.0" encoding="utf-8"?>
<table xmlns="http://schemas.openxmlformats.org/spreadsheetml/2006/main" ref="P313:W319" displayName="Table_17" name="Table_17" id="17">
  <tableColumns count="8">
    <tableColumn name="Circuito L4/L5" id="1"/>
    <tableColumn name="Corrente Ip (A)" id="2"/>
    <tableColumn name="Distância L (m)" id="3"/>
    <tableColumn name="Seção (mm²)" id="4"/>
    <tableColumn name="FP" id="5"/>
    <tableColumn name="ΔV unitário (V)" id="6"/>
    <tableColumn name="ΔV (%)" id="7"/>
    <tableColumn name="ΔV(%)*" id="8"/>
  </tableColumns>
  <tableStyleInfo name="QDL-QUEDA DE TENSÃO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317:J326" displayName="Table_18" name="Table_18" id="18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QDL-QUEDA DE TENSÃO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O345:T346" displayName="Table_19" name="Table_19" id="1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DL-QUEDA DE TENSÃO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B226:H227" displayName="Table_20" name="Table_20" id="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DL-BALANÇO POTENCIAS-style" showColumnStripes="0" showFirstColumn="1" showLastColumn="1" showRowStripes="1"/>
</table>
</file>

<file path=xl/tables/table21.xml><?xml version="1.0" encoding="utf-8"?>
<table xmlns="http://schemas.openxmlformats.org/spreadsheetml/2006/main" headerRowCount="0" ref="A45:F53" displayName="Table_21" name="Table_21" id="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DG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59:K60" displayName="Table_22" name="Table_22" id="2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QDG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table" Target="../tables/table11.xml"/><Relationship Id="rId30" Type="http://schemas.openxmlformats.org/officeDocument/2006/relationships/table" Target="../tables/table10.xml"/><Relationship Id="rId22" Type="http://schemas.openxmlformats.org/officeDocument/2006/relationships/table" Target="../tables/table2.xml"/><Relationship Id="rId33" Type="http://schemas.openxmlformats.org/officeDocument/2006/relationships/table" Target="../tables/table13.xml"/><Relationship Id="rId21" Type="http://schemas.openxmlformats.org/officeDocument/2006/relationships/table" Target="../tables/table1.xml"/><Relationship Id="rId32" Type="http://schemas.openxmlformats.org/officeDocument/2006/relationships/table" Target="../tables/table12.xml"/><Relationship Id="rId24" Type="http://schemas.openxmlformats.org/officeDocument/2006/relationships/table" Target="../tables/table4.xml"/><Relationship Id="rId35" Type="http://schemas.openxmlformats.org/officeDocument/2006/relationships/table" Target="../tables/table15.xml"/><Relationship Id="rId23" Type="http://schemas.openxmlformats.org/officeDocument/2006/relationships/table" Target="../tables/table3.xml"/><Relationship Id="rId34" Type="http://schemas.openxmlformats.org/officeDocument/2006/relationships/table" Target="../tables/table14.xml"/><Relationship Id="rId1" Type="http://schemas.openxmlformats.org/officeDocument/2006/relationships/drawing" Target="../drawings/drawing5.xml"/><Relationship Id="rId26" Type="http://schemas.openxmlformats.org/officeDocument/2006/relationships/table" Target="../tables/table6.xml"/><Relationship Id="rId37" Type="http://schemas.openxmlformats.org/officeDocument/2006/relationships/table" Target="../tables/table17.xml"/><Relationship Id="rId25" Type="http://schemas.openxmlformats.org/officeDocument/2006/relationships/table" Target="../tables/table5.xml"/><Relationship Id="rId36" Type="http://schemas.openxmlformats.org/officeDocument/2006/relationships/table" Target="../tables/table16.xml"/><Relationship Id="rId28" Type="http://schemas.openxmlformats.org/officeDocument/2006/relationships/table" Target="../tables/table8.xml"/><Relationship Id="rId39" Type="http://schemas.openxmlformats.org/officeDocument/2006/relationships/table" Target="../tables/table19.xml"/><Relationship Id="rId27" Type="http://schemas.openxmlformats.org/officeDocument/2006/relationships/table" Target="../tables/table7.xml"/><Relationship Id="rId38" Type="http://schemas.openxmlformats.org/officeDocument/2006/relationships/table" Target="../tables/table18.xml"/><Relationship Id="rId29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0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21.xml"/><Relationship Id="rId5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>
      <c r="A2" s="7" t="s">
        <v>4</v>
      </c>
      <c r="B2" s="7" t="s">
        <v>5</v>
      </c>
      <c r="C2" s="7" t="s">
        <v>6</v>
      </c>
      <c r="D2" s="7" t="s">
        <v>9</v>
      </c>
      <c r="E2" s="7" t="s">
        <v>11</v>
      </c>
      <c r="F2" s="7" t="s">
        <v>13</v>
      </c>
      <c r="G2" s="7" t="s">
        <v>14</v>
      </c>
      <c r="H2" s="7" t="s">
        <v>18</v>
      </c>
      <c r="I2" s="7" t="s">
        <v>19</v>
      </c>
      <c r="J2" s="13" t="s">
        <v>15</v>
      </c>
      <c r="K2" s="15" t="s">
        <v>26</v>
      </c>
      <c r="M2" s="17" t="s">
        <v>28</v>
      </c>
    </row>
    <row r="3">
      <c r="A3" s="15" t="s">
        <v>20</v>
      </c>
      <c r="B3" s="18" t="s">
        <v>22</v>
      </c>
      <c r="C3" s="20" t="s">
        <v>25</v>
      </c>
      <c r="D3" s="20">
        <v>220.0</v>
      </c>
      <c r="E3" s="20">
        <v>33.0</v>
      </c>
      <c r="F3" s="20" t="s">
        <v>35</v>
      </c>
      <c r="G3" s="20">
        <v>5.0</v>
      </c>
      <c r="H3" s="20">
        <v>500.0</v>
      </c>
      <c r="I3" s="18">
        <f t="shared" ref="I3:I8" si="1">H3*G3</f>
        <v>2500</v>
      </c>
      <c r="J3" s="26">
        <f t="shared" ref="J3:J8" si="2">I3/D3</f>
        <v>11.36363636</v>
      </c>
      <c r="K3" s="27">
        <v>0.95</v>
      </c>
      <c r="M3" s="28" t="s">
        <v>41</v>
      </c>
      <c r="V3" s="29"/>
      <c r="W3" s="29"/>
      <c r="X3" s="29"/>
      <c r="Y3" s="29"/>
      <c r="Z3" s="31"/>
      <c r="AA3" s="33"/>
      <c r="AB3" s="29"/>
      <c r="AC3" s="37"/>
      <c r="AD3" s="39"/>
    </row>
    <row r="4">
      <c r="A4" s="15" t="s">
        <v>43</v>
      </c>
      <c r="B4" s="18" t="s">
        <v>44</v>
      </c>
      <c r="C4" s="27" t="s">
        <v>45</v>
      </c>
      <c r="D4" s="18">
        <v>220.0</v>
      </c>
      <c r="E4" s="18">
        <v>13.0</v>
      </c>
      <c r="F4" s="18" t="s">
        <v>46</v>
      </c>
      <c r="G4" s="41">
        <v>4.0</v>
      </c>
      <c r="H4" s="42">
        <v>440.0</v>
      </c>
      <c r="I4" s="18">
        <f t="shared" si="1"/>
        <v>1760</v>
      </c>
      <c r="J4" s="26">
        <f t="shared" si="2"/>
        <v>8</v>
      </c>
      <c r="K4" s="27">
        <v>0.85</v>
      </c>
      <c r="V4" s="43"/>
      <c r="W4" s="43"/>
      <c r="X4" s="43"/>
      <c r="Y4" s="43"/>
      <c r="Z4" s="43"/>
      <c r="AA4" s="43"/>
      <c r="AB4" s="43"/>
      <c r="AC4" s="43"/>
      <c r="AD4" s="43"/>
    </row>
    <row r="5">
      <c r="A5" s="15" t="s">
        <v>48</v>
      </c>
      <c r="B5" s="18" t="s">
        <v>49</v>
      </c>
      <c r="C5" s="27" t="s">
        <v>50</v>
      </c>
      <c r="D5" s="18">
        <v>220.0</v>
      </c>
      <c r="E5" s="18">
        <v>13.0</v>
      </c>
      <c r="F5" s="18" t="s">
        <v>46</v>
      </c>
      <c r="G5" s="41">
        <v>6.0</v>
      </c>
      <c r="H5" s="42">
        <v>440.0</v>
      </c>
      <c r="I5" s="18">
        <f t="shared" si="1"/>
        <v>2640</v>
      </c>
      <c r="J5" s="26">
        <f t="shared" si="2"/>
        <v>12</v>
      </c>
      <c r="K5" s="27">
        <v>0.85</v>
      </c>
      <c r="V5" s="43"/>
      <c r="W5" s="43"/>
      <c r="X5" s="43"/>
      <c r="Y5" s="43"/>
      <c r="Z5" s="43"/>
      <c r="AA5" s="43"/>
      <c r="AB5" s="43"/>
      <c r="AC5" s="43"/>
      <c r="AD5" s="43"/>
    </row>
    <row r="6">
      <c r="A6" s="15" t="s">
        <v>51</v>
      </c>
      <c r="B6" s="18" t="s">
        <v>52</v>
      </c>
      <c r="C6" s="20" t="s">
        <v>57</v>
      </c>
      <c r="D6" s="18">
        <v>220.0</v>
      </c>
      <c r="E6" s="18">
        <v>13.0</v>
      </c>
      <c r="F6" s="18" t="s">
        <v>46</v>
      </c>
      <c r="G6" s="41">
        <v>6.0</v>
      </c>
      <c r="H6" s="42">
        <v>440.0</v>
      </c>
      <c r="I6" s="18">
        <f t="shared" si="1"/>
        <v>2640</v>
      </c>
      <c r="J6" s="26">
        <f t="shared" si="2"/>
        <v>12</v>
      </c>
      <c r="K6" s="27">
        <v>0.85</v>
      </c>
      <c r="V6" s="39"/>
      <c r="W6" s="43"/>
      <c r="X6" s="43"/>
      <c r="Y6" s="43"/>
      <c r="Z6" s="43"/>
      <c r="AA6" s="43"/>
      <c r="AB6" s="43"/>
      <c r="AC6" s="43"/>
      <c r="AD6" s="43"/>
    </row>
    <row r="7">
      <c r="A7" s="50" t="s">
        <v>54</v>
      </c>
      <c r="B7" s="18" t="s">
        <v>55</v>
      </c>
      <c r="C7" s="27" t="s">
        <v>56</v>
      </c>
      <c r="D7" s="18">
        <v>220.0</v>
      </c>
      <c r="E7" s="18">
        <v>13.0</v>
      </c>
      <c r="F7" s="18" t="s">
        <v>46</v>
      </c>
      <c r="G7" s="53">
        <v>6.0</v>
      </c>
      <c r="H7" s="42">
        <v>440.0</v>
      </c>
      <c r="I7" s="18">
        <f t="shared" si="1"/>
        <v>2640</v>
      </c>
      <c r="J7" s="26">
        <f t="shared" si="2"/>
        <v>12</v>
      </c>
      <c r="K7" s="27">
        <v>0.85</v>
      </c>
      <c r="V7" s="39"/>
      <c r="W7" s="29"/>
      <c r="X7" s="39"/>
      <c r="Y7" s="39"/>
      <c r="Z7" s="57"/>
      <c r="AA7" s="33"/>
      <c r="AB7" s="29"/>
      <c r="AC7" s="37"/>
      <c r="AD7" s="39"/>
    </row>
    <row r="8">
      <c r="A8" s="46"/>
      <c r="B8" s="18" t="s">
        <v>58</v>
      </c>
      <c r="C8" s="27" t="s">
        <v>56</v>
      </c>
      <c r="D8" s="18">
        <v>220.0</v>
      </c>
      <c r="E8" s="18">
        <v>13.0</v>
      </c>
      <c r="F8" s="18" t="s">
        <v>46</v>
      </c>
      <c r="G8" s="53">
        <v>6.0</v>
      </c>
      <c r="H8" s="42">
        <v>440.0</v>
      </c>
      <c r="I8" s="18">
        <f t="shared" si="1"/>
        <v>2640</v>
      </c>
      <c r="J8" s="26">
        <f t="shared" si="2"/>
        <v>12</v>
      </c>
      <c r="K8" s="27">
        <v>0.85</v>
      </c>
      <c r="V8" s="39"/>
      <c r="W8" s="29"/>
      <c r="X8" s="39"/>
      <c r="Y8" s="39"/>
      <c r="Z8" s="57"/>
      <c r="AA8" s="33"/>
      <c r="AB8" s="29"/>
      <c r="AC8" s="37"/>
      <c r="AD8" s="39"/>
    </row>
    <row r="9">
      <c r="A9" s="46"/>
      <c r="B9" s="58" t="s">
        <v>59</v>
      </c>
      <c r="C9" s="59"/>
      <c r="D9" s="59"/>
      <c r="E9" s="59"/>
      <c r="F9" s="59"/>
      <c r="G9" s="59"/>
      <c r="H9" s="59"/>
      <c r="I9" s="59"/>
      <c r="J9" s="59"/>
      <c r="K9" s="59"/>
      <c r="V9" s="39"/>
      <c r="W9" s="29"/>
      <c r="X9" s="39"/>
      <c r="Y9" s="39"/>
      <c r="Z9" s="57"/>
      <c r="AA9" s="33"/>
      <c r="AB9" s="29"/>
      <c r="AC9" s="37"/>
      <c r="AD9" s="39"/>
    </row>
    <row r="10">
      <c r="A10" s="46"/>
      <c r="B10" s="58" t="s">
        <v>60</v>
      </c>
      <c r="C10" s="59"/>
      <c r="D10" s="59"/>
      <c r="E10" s="59"/>
      <c r="F10" s="59"/>
      <c r="G10" s="59"/>
      <c r="H10" s="59"/>
      <c r="I10" s="59"/>
      <c r="J10" s="59"/>
      <c r="K10" s="59"/>
      <c r="V10" s="39"/>
      <c r="W10" s="29"/>
      <c r="X10" s="39"/>
      <c r="Y10" s="39"/>
      <c r="Z10" s="57"/>
      <c r="AA10" s="33"/>
      <c r="AB10" s="29"/>
      <c r="AC10" s="37"/>
      <c r="AD10" s="39"/>
    </row>
    <row r="11">
      <c r="A11" s="46"/>
      <c r="B11" s="58" t="s">
        <v>61</v>
      </c>
      <c r="C11" s="59"/>
      <c r="D11" s="59"/>
      <c r="E11" s="59"/>
      <c r="F11" s="59"/>
      <c r="G11" s="59"/>
      <c r="H11" s="59"/>
      <c r="I11" s="59"/>
      <c r="J11" s="59"/>
      <c r="K11" s="59"/>
      <c r="V11" s="39"/>
      <c r="W11" s="29"/>
      <c r="X11" s="39"/>
      <c r="Y11" s="39"/>
      <c r="Z11" s="57"/>
      <c r="AA11" s="33"/>
      <c r="AB11" s="29"/>
      <c r="AC11" s="37"/>
      <c r="AD11" s="39"/>
    </row>
    <row r="12">
      <c r="A12" s="46"/>
      <c r="B12" s="58" t="s">
        <v>62</v>
      </c>
      <c r="C12" s="59"/>
      <c r="D12" s="59"/>
      <c r="E12" s="59"/>
      <c r="F12" s="59"/>
      <c r="G12" s="59"/>
      <c r="H12" s="59"/>
      <c r="I12" s="59"/>
      <c r="J12" s="59"/>
      <c r="K12" s="59"/>
      <c r="V12" s="39"/>
      <c r="W12" s="29"/>
      <c r="X12" s="39"/>
      <c r="Y12" s="39"/>
      <c r="Z12" s="57"/>
      <c r="AA12" s="33"/>
      <c r="AB12" s="29"/>
      <c r="AC12" s="37"/>
      <c r="AD12" s="39"/>
    </row>
    <row r="13">
      <c r="A13" s="46"/>
      <c r="B13" s="58" t="s">
        <v>63</v>
      </c>
      <c r="C13" s="59"/>
      <c r="D13" s="59"/>
      <c r="E13" s="59"/>
      <c r="F13" s="59"/>
      <c r="G13" s="59"/>
      <c r="H13" s="59"/>
      <c r="I13" s="59"/>
      <c r="J13" s="59"/>
      <c r="K13" s="59"/>
      <c r="V13" s="39"/>
      <c r="W13" s="29"/>
      <c r="X13" s="39"/>
      <c r="Y13" s="39"/>
      <c r="Z13" s="57"/>
      <c r="AA13" s="33"/>
      <c r="AB13" s="29"/>
      <c r="AC13" s="37"/>
      <c r="AD13" s="39"/>
    </row>
    <row r="14">
      <c r="A14" s="46"/>
      <c r="B14" s="58" t="s">
        <v>64</v>
      </c>
      <c r="C14" s="59"/>
      <c r="D14" s="59"/>
      <c r="E14" s="59"/>
      <c r="F14" s="59"/>
      <c r="G14" s="59"/>
      <c r="H14" s="59"/>
      <c r="I14" s="59"/>
      <c r="J14" s="59"/>
      <c r="K14" s="59"/>
      <c r="V14" s="39"/>
      <c r="W14" s="29"/>
      <c r="X14" s="39"/>
      <c r="Y14" s="39"/>
      <c r="Z14" s="57"/>
      <c r="AA14" s="33"/>
      <c r="AB14" s="29"/>
      <c r="AC14" s="37"/>
      <c r="AD14" s="39"/>
    </row>
    <row r="15">
      <c r="A15" s="46"/>
      <c r="B15" s="58" t="s">
        <v>65</v>
      </c>
      <c r="C15" s="59"/>
      <c r="D15" s="59"/>
      <c r="E15" s="59"/>
      <c r="F15" s="59"/>
      <c r="G15" s="59"/>
      <c r="H15" s="59"/>
      <c r="I15" s="59"/>
      <c r="J15" s="59"/>
      <c r="K15" s="59"/>
      <c r="V15" s="39"/>
      <c r="W15" s="29"/>
      <c r="X15" s="39"/>
      <c r="Y15" s="39"/>
      <c r="Z15" s="57"/>
      <c r="AA15" s="33"/>
      <c r="AB15" s="29"/>
      <c r="AC15" s="37"/>
      <c r="AD15" s="39"/>
    </row>
    <row r="16">
      <c r="A16" s="46"/>
      <c r="B16" s="58" t="s">
        <v>66</v>
      </c>
      <c r="C16" s="59"/>
      <c r="D16" s="59"/>
      <c r="E16" s="59"/>
      <c r="F16" s="59"/>
      <c r="G16" s="59"/>
      <c r="H16" s="59"/>
      <c r="I16" s="59"/>
      <c r="J16" s="59"/>
      <c r="K16" s="59"/>
      <c r="V16" s="39"/>
      <c r="W16" s="29"/>
      <c r="X16" s="39"/>
      <c r="Y16" s="39"/>
      <c r="Z16" s="57"/>
      <c r="AA16" s="33"/>
      <c r="AB16" s="29"/>
      <c r="AC16" s="37"/>
      <c r="AD16" s="39"/>
    </row>
    <row r="17">
      <c r="A17" s="46"/>
      <c r="B17" s="58" t="s">
        <v>67</v>
      </c>
      <c r="C17" s="59"/>
      <c r="D17" s="59"/>
      <c r="E17" s="59"/>
      <c r="F17" s="59"/>
      <c r="G17" s="59"/>
      <c r="H17" s="59"/>
      <c r="I17" s="59"/>
      <c r="J17" s="59"/>
      <c r="K17" s="59"/>
      <c r="V17" s="39"/>
      <c r="W17" s="29"/>
      <c r="X17" s="39"/>
      <c r="Y17" s="39"/>
      <c r="Z17" s="57"/>
      <c r="AA17" s="33"/>
      <c r="AB17" s="29"/>
      <c r="AC17" s="37"/>
      <c r="AD17" s="39"/>
    </row>
    <row r="18">
      <c r="A18" s="46"/>
      <c r="B18" s="58" t="s">
        <v>68</v>
      </c>
      <c r="C18" s="59"/>
      <c r="D18" s="59"/>
      <c r="E18" s="59"/>
      <c r="F18" s="59"/>
      <c r="G18" s="59"/>
      <c r="H18" s="59"/>
      <c r="I18" s="59"/>
      <c r="J18" s="59"/>
      <c r="K18" s="59"/>
      <c r="V18" s="39"/>
      <c r="W18" s="29"/>
      <c r="X18" s="39"/>
      <c r="Y18" s="39"/>
      <c r="Z18" s="57"/>
      <c r="AA18" s="33"/>
      <c r="AB18" s="29"/>
      <c r="AC18" s="37"/>
      <c r="AD18" s="39"/>
    </row>
    <row r="19">
      <c r="A19" s="46"/>
      <c r="B19" s="58" t="s">
        <v>69</v>
      </c>
      <c r="C19" s="59"/>
      <c r="D19" s="59"/>
      <c r="E19" s="59"/>
      <c r="F19" s="59"/>
      <c r="G19" s="59"/>
      <c r="H19" s="59"/>
      <c r="I19" s="59"/>
      <c r="J19" s="59"/>
      <c r="K19" s="59"/>
      <c r="V19" s="43"/>
      <c r="W19" s="43"/>
      <c r="X19" s="43"/>
      <c r="Y19" s="43"/>
      <c r="Z19" s="43"/>
      <c r="AA19" s="43"/>
      <c r="AB19" s="43"/>
      <c r="AC19" s="43"/>
      <c r="AD19" s="43"/>
    </row>
    <row r="20">
      <c r="A20" s="60"/>
      <c r="B20" s="58" t="s">
        <v>70</v>
      </c>
      <c r="C20" s="59"/>
      <c r="D20" s="59"/>
      <c r="E20" s="59"/>
      <c r="F20" s="59"/>
      <c r="G20" s="59"/>
      <c r="H20" s="59"/>
      <c r="I20" s="59"/>
      <c r="J20" s="59"/>
      <c r="K20" s="59"/>
      <c r="V20" s="43"/>
      <c r="W20" s="43"/>
      <c r="X20" s="43"/>
      <c r="Y20" s="43"/>
      <c r="Z20" s="43"/>
      <c r="AA20" s="43"/>
      <c r="AB20" s="43"/>
      <c r="AC20" s="43"/>
      <c r="AD20" s="43"/>
    </row>
    <row r="21">
      <c r="A21" s="15" t="s">
        <v>71</v>
      </c>
      <c r="B21" s="58" t="s">
        <v>72</v>
      </c>
      <c r="C21" s="59"/>
      <c r="D21" s="59"/>
      <c r="E21" s="59"/>
      <c r="F21" s="59"/>
      <c r="G21" s="59"/>
      <c r="H21" s="59"/>
      <c r="I21" s="59"/>
      <c r="J21" s="59"/>
      <c r="K21" s="59"/>
      <c r="V21" s="29"/>
      <c r="W21" s="29"/>
      <c r="X21" s="29"/>
      <c r="Y21" s="29"/>
      <c r="Z21" s="31"/>
      <c r="AA21" s="33"/>
      <c r="AB21" s="29"/>
      <c r="AC21" s="37"/>
      <c r="AD21" s="39"/>
    </row>
    <row r="22">
      <c r="A22" s="50" t="s">
        <v>73</v>
      </c>
      <c r="B22" s="58" t="s">
        <v>74</v>
      </c>
      <c r="C22" s="59"/>
      <c r="D22" s="59"/>
      <c r="E22" s="59"/>
      <c r="F22" s="59"/>
      <c r="G22" s="59"/>
      <c r="H22" s="59"/>
      <c r="I22" s="59"/>
      <c r="J22" s="59"/>
      <c r="K22" s="59"/>
      <c r="V22" s="39"/>
      <c r="W22" s="29"/>
      <c r="X22" s="29"/>
      <c r="Y22" s="29"/>
      <c r="Z22" s="31"/>
      <c r="AA22" s="33"/>
      <c r="AB22" s="29"/>
      <c r="AC22" s="37"/>
      <c r="AD22" s="39"/>
    </row>
    <row r="23">
      <c r="A23" s="60"/>
      <c r="B23" s="58" t="s">
        <v>75</v>
      </c>
      <c r="C23" s="59"/>
      <c r="D23" s="59"/>
      <c r="E23" s="59"/>
      <c r="F23" s="59"/>
      <c r="G23" s="59"/>
      <c r="H23" s="59"/>
      <c r="I23" s="59"/>
      <c r="J23" s="59"/>
      <c r="K23" s="59"/>
      <c r="V23" s="39"/>
      <c r="W23" s="29"/>
      <c r="X23" s="29"/>
      <c r="Y23" s="29"/>
      <c r="Z23" s="31"/>
      <c r="AA23" s="33"/>
      <c r="AB23" s="29"/>
      <c r="AC23" s="37"/>
      <c r="AD23" s="39"/>
    </row>
    <row r="24">
      <c r="A24" s="15" t="s">
        <v>76</v>
      </c>
      <c r="B24" s="58" t="s">
        <v>77</v>
      </c>
      <c r="C24" s="59"/>
      <c r="D24" s="59"/>
      <c r="E24" s="59"/>
      <c r="F24" s="59"/>
      <c r="G24" s="59"/>
      <c r="H24" s="59"/>
      <c r="I24" s="59"/>
      <c r="J24" s="59"/>
      <c r="K24" s="59"/>
      <c r="V24" s="29"/>
      <c r="W24" s="29"/>
      <c r="X24" s="29"/>
      <c r="Y24" s="29"/>
      <c r="Z24" s="31"/>
      <c r="AA24" s="33"/>
      <c r="AB24" s="29"/>
      <c r="AC24" s="37"/>
      <c r="AD24" s="39"/>
    </row>
    <row r="33">
      <c r="M33" s="17" t="s">
        <v>81</v>
      </c>
    </row>
    <row r="37">
      <c r="M37" s="17" t="s">
        <v>82</v>
      </c>
    </row>
    <row r="38">
      <c r="M38" s="17"/>
      <c r="N38" s="17"/>
      <c r="O38" s="17"/>
      <c r="P38" s="17"/>
      <c r="Q38" s="17"/>
      <c r="R38" s="17"/>
      <c r="S38" s="17"/>
      <c r="T38" s="17"/>
    </row>
    <row r="39">
      <c r="M39" s="17"/>
      <c r="N39" s="17"/>
      <c r="O39" s="17"/>
      <c r="P39" s="17"/>
      <c r="Q39" s="17"/>
      <c r="R39" s="17"/>
      <c r="S39" s="17"/>
      <c r="T39" s="17"/>
    </row>
    <row r="40">
      <c r="M40" s="17"/>
      <c r="N40" s="17"/>
      <c r="O40" s="17"/>
      <c r="P40" s="17"/>
      <c r="Q40" s="17"/>
      <c r="R40" s="17"/>
      <c r="S40" s="17"/>
      <c r="T40" s="17"/>
    </row>
  </sheetData>
  <mergeCells count="7">
    <mergeCell ref="A1:K1"/>
    <mergeCell ref="M2:T2"/>
    <mergeCell ref="M3:T5"/>
    <mergeCell ref="A7:A20"/>
    <mergeCell ref="A22:A23"/>
    <mergeCell ref="M33:T35"/>
    <mergeCell ref="M37:T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5" max="7" width="16.5"/>
  </cols>
  <sheetData>
    <row r="1">
      <c r="A1" s="1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7" t="s">
        <v>4</v>
      </c>
      <c r="B2" s="7" t="s">
        <v>5</v>
      </c>
      <c r="C2" s="7" t="s">
        <v>6</v>
      </c>
      <c r="D2" s="7" t="s">
        <v>8</v>
      </c>
      <c r="E2" s="7" t="s">
        <v>11</v>
      </c>
      <c r="F2" s="7" t="s">
        <v>13</v>
      </c>
      <c r="G2" s="10" t="s">
        <v>16</v>
      </c>
      <c r="H2" s="12" t="s">
        <v>21</v>
      </c>
      <c r="I2" s="7" t="s">
        <v>23</v>
      </c>
      <c r="J2" s="15" t="s">
        <v>24</v>
      </c>
      <c r="K2" s="7" t="s">
        <v>27</v>
      </c>
      <c r="L2" s="7" t="s">
        <v>29</v>
      </c>
      <c r="M2" s="13" t="s">
        <v>15</v>
      </c>
      <c r="N2" s="7" t="s">
        <v>30</v>
      </c>
      <c r="O2" s="7" t="s">
        <v>31</v>
      </c>
      <c r="P2" s="7" t="s">
        <v>32</v>
      </c>
      <c r="R2" s="17" t="s">
        <v>33</v>
      </c>
    </row>
    <row r="3">
      <c r="A3" s="11" t="s">
        <v>20</v>
      </c>
      <c r="B3" s="14" t="s">
        <v>22</v>
      </c>
      <c r="C3" s="16" t="s">
        <v>25</v>
      </c>
      <c r="D3" s="14">
        <v>1.0</v>
      </c>
      <c r="E3" s="16">
        <v>33.0</v>
      </c>
      <c r="F3" s="16" t="s">
        <v>35</v>
      </c>
      <c r="G3" s="16">
        <v>1.0</v>
      </c>
      <c r="H3" s="16">
        <v>1.0</v>
      </c>
      <c r="I3" s="24">
        <v>1.0</v>
      </c>
      <c r="J3" s="14">
        <f>S69</f>
        <v>0.87</v>
      </c>
      <c r="K3" s="14">
        <v>1.15</v>
      </c>
      <c r="L3" s="14" t="s">
        <v>40</v>
      </c>
      <c r="M3" s="22">
        <f>QDL!J3</f>
        <v>11.36363636</v>
      </c>
      <c r="N3" s="35">
        <f t="shared" ref="N3:N8" si="1">((M3*K3)/(J3*I3))</f>
        <v>15.02089864</v>
      </c>
      <c r="O3" s="22">
        <v>23.0</v>
      </c>
      <c r="P3" s="22">
        <f t="shared" ref="P3:P8" si="2">J3*I3*O3</f>
        <v>20.01</v>
      </c>
    </row>
    <row r="4">
      <c r="A4" s="11" t="s">
        <v>43</v>
      </c>
      <c r="B4" s="14" t="s">
        <v>44</v>
      </c>
      <c r="C4" s="36" t="s">
        <v>45</v>
      </c>
      <c r="D4" s="14">
        <v>1.0</v>
      </c>
      <c r="E4" s="40">
        <v>13.0</v>
      </c>
      <c r="F4" s="40" t="s">
        <v>46</v>
      </c>
      <c r="G4" s="16">
        <v>4.0</v>
      </c>
      <c r="H4" s="16">
        <v>1.0</v>
      </c>
      <c r="I4" s="24">
        <v>1.0</v>
      </c>
      <c r="J4" s="14">
        <f>S69</f>
        <v>0.87</v>
      </c>
      <c r="K4" s="14">
        <v>1.15</v>
      </c>
      <c r="L4" s="14" t="s">
        <v>40</v>
      </c>
      <c r="M4" s="22">
        <f>QDL!J4</f>
        <v>8</v>
      </c>
      <c r="N4" s="35">
        <f t="shared" si="1"/>
        <v>10.57471264</v>
      </c>
      <c r="O4" s="44">
        <v>22.0</v>
      </c>
      <c r="P4" s="22">
        <f t="shared" si="2"/>
        <v>19.14</v>
      </c>
    </row>
    <row r="5">
      <c r="A5" s="11" t="s">
        <v>48</v>
      </c>
      <c r="B5" s="14" t="s">
        <v>49</v>
      </c>
      <c r="C5" s="36" t="s">
        <v>50</v>
      </c>
      <c r="D5" s="14">
        <v>1.0</v>
      </c>
      <c r="E5" s="40">
        <v>13.0</v>
      </c>
      <c r="F5" s="40" t="s">
        <v>46</v>
      </c>
      <c r="G5" s="16">
        <v>4.0</v>
      </c>
      <c r="H5" s="16">
        <v>1.0</v>
      </c>
      <c r="I5" s="24">
        <v>1.0</v>
      </c>
      <c r="J5" s="14">
        <f>S69</f>
        <v>0.87</v>
      </c>
      <c r="K5" s="14">
        <v>1.15</v>
      </c>
      <c r="L5" s="14" t="s">
        <v>40</v>
      </c>
      <c r="M5" s="22">
        <f>QDL!J5</f>
        <v>12</v>
      </c>
      <c r="N5" s="35">
        <f t="shared" si="1"/>
        <v>15.86206897</v>
      </c>
      <c r="O5" s="44">
        <v>22.0</v>
      </c>
      <c r="P5" s="22">
        <f t="shared" si="2"/>
        <v>19.14</v>
      </c>
    </row>
    <row r="6">
      <c r="A6" s="11" t="s">
        <v>51</v>
      </c>
      <c r="B6" s="14" t="s">
        <v>52</v>
      </c>
      <c r="C6" s="16" t="s">
        <v>53</v>
      </c>
      <c r="D6" s="14">
        <v>1.0</v>
      </c>
      <c r="E6" s="18">
        <v>13.0</v>
      </c>
      <c r="F6" s="18" t="s">
        <v>46</v>
      </c>
      <c r="G6" s="16">
        <v>4.0</v>
      </c>
      <c r="H6" s="16">
        <v>1.0</v>
      </c>
      <c r="I6" s="24">
        <v>1.0</v>
      </c>
      <c r="J6" s="14">
        <f>S69</f>
        <v>0.87</v>
      </c>
      <c r="K6" s="14">
        <v>1.15</v>
      </c>
      <c r="L6" s="14" t="s">
        <v>40</v>
      </c>
      <c r="M6" s="22">
        <f>QDL!J6</f>
        <v>12</v>
      </c>
      <c r="N6" s="35">
        <f t="shared" si="1"/>
        <v>15.86206897</v>
      </c>
      <c r="O6" s="44">
        <v>22.0</v>
      </c>
      <c r="P6" s="22">
        <f t="shared" si="2"/>
        <v>19.14</v>
      </c>
    </row>
    <row r="7">
      <c r="A7" s="45" t="s">
        <v>54</v>
      </c>
      <c r="B7" s="14" t="s">
        <v>55</v>
      </c>
      <c r="C7" s="27" t="s">
        <v>56</v>
      </c>
      <c r="D7" s="14">
        <v>2.0</v>
      </c>
      <c r="E7" s="40">
        <v>13.0</v>
      </c>
      <c r="F7" s="40" t="s">
        <v>46</v>
      </c>
      <c r="G7" s="16">
        <v>4.0</v>
      </c>
      <c r="H7" s="16">
        <v>2.0</v>
      </c>
      <c r="I7" s="24">
        <v>0.88</v>
      </c>
      <c r="J7" s="14">
        <f>S69</f>
        <v>0.87</v>
      </c>
      <c r="K7" s="14">
        <v>1.15</v>
      </c>
      <c r="L7" s="14" t="s">
        <v>40</v>
      </c>
      <c r="M7" s="22">
        <f>QDL!J7</f>
        <v>12</v>
      </c>
      <c r="N7" s="35">
        <f t="shared" si="1"/>
        <v>18.02507837</v>
      </c>
      <c r="O7" s="44">
        <v>30.0</v>
      </c>
      <c r="P7" s="22">
        <f t="shared" si="2"/>
        <v>22.968</v>
      </c>
    </row>
    <row r="8">
      <c r="A8" s="46"/>
      <c r="B8" s="14" t="s">
        <v>58</v>
      </c>
      <c r="C8" s="27" t="s">
        <v>56</v>
      </c>
      <c r="D8" s="14">
        <v>2.0</v>
      </c>
      <c r="E8" s="40">
        <v>13.0</v>
      </c>
      <c r="F8" s="40" t="s">
        <v>46</v>
      </c>
      <c r="G8" s="16">
        <v>4.0</v>
      </c>
      <c r="H8" s="16">
        <v>2.0</v>
      </c>
      <c r="I8" s="24">
        <v>0.88</v>
      </c>
      <c r="J8" s="14">
        <f>S69</f>
        <v>0.87</v>
      </c>
      <c r="K8" s="14">
        <v>1.15</v>
      </c>
      <c r="L8" s="14" t="s">
        <v>40</v>
      </c>
      <c r="M8" s="22">
        <f>QDL!J8</f>
        <v>12</v>
      </c>
      <c r="N8" s="35">
        <f t="shared" si="1"/>
        <v>18.02507837</v>
      </c>
      <c r="O8" s="44">
        <v>30.0</v>
      </c>
      <c r="P8" s="22">
        <f t="shared" si="2"/>
        <v>22.968</v>
      </c>
    </row>
    <row r="9">
      <c r="A9" s="46"/>
      <c r="B9" s="14" t="s">
        <v>59</v>
      </c>
      <c r="C9" s="52"/>
      <c r="D9" s="14"/>
      <c r="E9" s="52"/>
      <c r="F9" s="52"/>
      <c r="G9" s="14"/>
      <c r="H9" s="14"/>
      <c r="I9" s="14"/>
      <c r="J9" s="14"/>
      <c r="K9" s="22"/>
      <c r="L9" s="22"/>
      <c r="M9" s="61"/>
      <c r="N9" s="61"/>
      <c r="O9" s="52"/>
      <c r="P9" s="52"/>
    </row>
    <row r="10">
      <c r="A10" s="46"/>
      <c r="B10" s="14" t="s">
        <v>60</v>
      </c>
      <c r="C10" s="52"/>
      <c r="D10" s="14"/>
      <c r="E10" s="52"/>
      <c r="F10" s="52"/>
      <c r="G10" s="14"/>
      <c r="H10" s="14"/>
      <c r="I10" s="14"/>
      <c r="J10" s="14"/>
      <c r="K10" s="22"/>
      <c r="L10" s="62"/>
      <c r="M10" s="61"/>
      <c r="N10" s="61"/>
      <c r="O10" s="52"/>
      <c r="P10" s="52"/>
    </row>
    <row r="11">
      <c r="A11" s="46"/>
      <c r="B11" s="14" t="s">
        <v>61</v>
      </c>
      <c r="C11" s="52"/>
      <c r="D11" s="14"/>
      <c r="E11" s="52"/>
      <c r="F11" s="52"/>
      <c r="G11" s="14"/>
      <c r="H11" s="14"/>
      <c r="I11" s="14"/>
      <c r="J11" s="14"/>
      <c r="K11" s="22"/>
      <c r="L11" s="62"/>
      <c r="M11" s="61"/>
      <c r="N11" s="61"/>
      <c r="O11" s="52"/>
      <c r="P11" s="52"/>
    </row>
    <row r="12">
      <c r="A12" s="46"/>
      <c r="B12" s="14" t="s">
        <v>62</v>
      </c>
      <c r="C12" s="52"/>
      <c r="D12" s="14"/>
      <c r="E12" s="52"/>
      <c r="F12" s="52"/>
      <c r="G12" s="14"/>
      <c r="H12" s="14"/>
      <c r="I12" s="14"/>
      <c r="J12" s="14"/>
      <c r="K12" s="22"/>
      <c r="L12" s="62"/>
      <c r="M12" s="61"/>
      <c r="N12" s="61"/>
      <c r="O12" s="52"/>
      <c r="P12" s="52"/>
    </row>
    <row r="13">
      <c r="A13" s="46"/>
      <c r="B13" s="14" t="s">
        <v>63</v>
      </c>
      <c r="C13" s="52"/>
      <c r="D13" s="14"/>
      <c r="E13" s="52"/>
      <c r="F13" s="52"/>
      <c r="G13" s="14"/>
      <c r="H13" s="14"/>
      <c r="I13" s="14"/>
      <c r="J13" s="14"/>
      <c r="K13" s="22"/>
      <c r="L13" s="62"/>
      <c r="M13" s="61"/>
      <c r="N13" s="61"/>
      <c r="O13" s="52"/>
      <c r="P13" s="52"/>
    </row>
    <row r="14">
      <c r="A14" s="46"/>
      <c r="B14" s="14" t="s">
        <v>64</v>
      </c>
      <c r="C14" s="52"/>
      <c r="D14" s="14"/>
      <c r="E14" s="52"/>
      <c r="F14" s="52"/>
      <c r="G14" s="14"/>
      <c r="H14" s="14"/>
      <c r="I14" s="14"/>
      <c r="J14" s="14"/>
      <c r="K14" s="22"/>
      <c r="L14" s="62"/>
      <c r="M14" s="61"/>
      <c r="N14" s="61"/>
      <c r="O14" s="52"/>
      <c r="P14" s="52"/>
    </row>
    <row r="15">
      <c r="A15" s="46"/>
      <c r="B15" s="14" t="s">
        <v>65</v>
      </c>
      <c r="C15" s="52"/>
      <c r="D15" s="14"/>
      <c r="E15" s="52"/>
      <c r="F15" s="52"/>
      <c r="G15" s="14"/>
      <c r="H15" s="14"/>
      <c r="I15" s="14"/>
      <c r="J15" s="14"/>
      <c r="K15" s="22"/>
      <c r="L15" s="62"/>
      <c r="M15" s="61"/>
      <c r="N15" s="61"/>
      <c r="O15" s="52"/>
      <c r="P15" s="52"/>
    </row>
    <row r="16">
      <c r="A16" s="46"/>
      <c r="B16" s="14" t="s">
        <v>66</v>
      </c>
      <c r="C16" s="52"/>
      <c r="D16" s="14"/>
      <c r="E16" s="52"/>
      <c r="F16" s="52"/>
      <c r="G16" s="14"/>
      <c r="H16" s="14"/>
      <c r="I16" s="14"/>
      <c r="J16" s="14"/>
      <c r="K16" s="22"/>
      <c r="L16" s="62"/>
      <c r="M16" s="61"/>
      <c r="N16" s="61"/>
      <c r="O16" s="52"/>
      <c r="P16" s="52"/>
    </row>
    <row r="17">
      <c r="A17" s="46"/>
      <c r="B17" s="14" t="s">
        <v>67</v>
      </c>
      <c r="C17" s="52"/>
      <c r="D17" s="14"/>
      <c r="E17" s="52"/>
      <c r="F17" s="52"/>
      <c r="G17" s="14"/>
      <c r="H17" s="14"/>
      <c r="I17" s="14"/>
      <c r="J17" s="14"/>
      <c r="K17" s="22"/>
      <c r="L17" s="62"/>
      <c r="M17" s="61"/>
      <c r="N17" s="61"/>
      <c r="O17" s="52"/>
      <c r="P17" s="52"/>
    </row>
    <row r="18">
      <c r="A18" s="46"/>
      <c r="B18" s="14" t="s">
        <v>68</v>
      </c>
      <c r="C18" s="52"/>
      <c r="D18" s="14"/>
      <c r="E18" s="52"/>
      <c r="F18" s="52"/>
      <c r="G18" s="14"/>
      <c r="H18" s="14"/>
      <c r="I18" s="14"/>
      <c r="J18" s="14"/>
      <c r="K18" s="22"/>
      <c r="L18" s="62"/>
      <c r="M18" s="61"/>
      <c r="N18" s="61"/>
      <c r="O18" s="52"/>
      <c r="P18" s="52"/>
    </row>
    <row r="19">
      <c r="A19" s="46"/>
      <c r="B19" s="14" t="s">
        <v>69</v>
      </c>
      <c r="C19" s="52"/>
      <c r="D19" s="14"/>
      <c r="E19" s="52"/>
      <c r="F19" s="52"/>
      <c r="G19" s="14"/>
      <c r="H19" s="14"/>
      <c r="I19" s="14"/>
      <c r="J19" s="14"/>
      <c r="K19" s="22"/>
      <c r="L19" s="62"/>
      <c r="M19" s="61"/>
      <c r="N19" s="61"/>
      <c r="O19" s="52"/>
      <c r="P19" s="52"/>
    </row>
    <row r="20">
      <c r="A20" s="60"/>
      <c r="B20" s="14" t="s">
        <v>70</v>
      </c>
      <c r="C20" s="52"/>
      <c r="D20" s="14"/>
      <c r="E20" s="52"/>
      <c r="F20" s="52"/>
      <c r="G20" s="14"/>
      <c r="H20" s="14"/>
      <c r="I20" s="14"/>
      <c r="J20" s="14"/>
      <c r="K20" s="22"/>
      <c r="L20" s="62"/>
      <c r="M20" s="61"/>
      <c r="N20" s="61"/>
      <c r="O20" s="52"/>
      <c r="P20" s="52"/>
    </row>
    <row r="21">
      <c r="A21" s="11" t="s">
        <v>71</v>
      </c>
      <c r="B21" s="14" t="s">
        <v>72</v>
      </c>
      <c r="C21" s="52"/>
      <c r="D21" s="14"/>
      <c r="E21" s="52"/>
      <c r="F21" s="52"/>
      <c r="G21" s="14"/>
      <c r="H21" s="14"/>
      <c r="I21" s="14"/>
      <c r="J21" s="14"/>
      <c r="K21" s="22"/>
      <c r="L21" s="62"/>
      <c r="M21" s="61"/>
      <c r="N21" s="61"/>
      <c r="O21" s="52"/>
      <c r="P21" s="52"/>
    </row>
    <row r="22">
      <c r="A22" s="45" t="s">
        <v>73</v>
      </c>
      <c r="B22" s="14" t="s">
        <v>74</v>
      </c>
      <c r="C22" s="52"/>
      <c r="D22" s="14"/>
      <c r="E22" s="52"/>
      <c r="F22" s="52"/>
      <c r="G22" s="14"/>
      <c r="H22" s="14"/>
      <c r="I22" s="14"/>
      <c r="J22" s="14"/>
      <c r="K22" s="22"/>
      <c r="L22" s="62"/>
      <c r="M22" s="61"/>
      <c r="N22" s="61"/>
      <c r="O22" s="52"/>
      <c r="P22" s="52"/>
    </row>
    <row r="23">
      <c r="A23" s="60"/>
      <c r="B23" s="14" t="s">
        <v>75</v>
      </c>
      <c r="C23" s="52"/>
      <c r="D23" s="14"/>
      <c r="E23" s="52"/>
      <c r="F23" s="52"/>
      <c r="G23" s="14"/>
      <c r="H23" s="14"/>
      <c r="I23" s="14"/>
      <c r="J23" s="14"/>
      <c r="K23" s="22"/>
      <c r="L23" s="62"/>
      <c r="M23" s="61"/>
      <c r="N23" s="61"/>
      <c r="O23" s="52"/>
      <c r="P23" s="52"/>
    </row>
    <row r="24">
      <c r="A24" s="11" t="s">
        <v>76</v>
      </c>
      <c r="B24" s="14" t="s">
        <v>77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</row>
    <row r="27">
      <c r="C27" s="7" t="s">
        <v>11</v>
      </c>
    </row>
    <row r="28">
      <c r="C28" s="16">
        <v>33.0</v>
      </c>
    </row>
    <row r="29">
      <c r="C29" s="40">
        <v>13.0</v>
      </c>
    </row>
    <row r="30">
      <c r="C30" s="40">
        <v>13.0</v>
      </c>
    </row>
    <row r="31">
      <c r="C31" s="18">
        <v>13.0</v>
      </c>
    </row>
    <row r="32">
      <c r="C32" s="40">
        <v>13.0</v>
      </c>
    </row>
    <row r="33">
      <c r="C33" s="40">
        <v>13.0</v>
      </c>
    </row>
    <row r="67">
      <c r="Q67" s="64" t="s">
        <v>83</v>
      </c>
      <c r="R67" s="3"/>
      <c r="S67" s="4"/>
    </row>
    <row r="68">
      <c r="Q68" s="65" t="s">
        <v>84</v>
      </c>
      <c r="R68" s="65" t="s">
        <v>85</v>
      </c>
      <c r="S68" s="65" t="s">
        <v>40</v>
      </c>
    </row>
    <row r="69">
      <c r="Q69" s="66">
        <v>45.0</v>
      </c>
      <c r="R69" s="66">
        <v>0.79</v>
      </c>
      <c r="S69" s="66">
        <v>0.87</v>
      </c>
    </row>
    <row r="71">
      <c r="Q71" s="17" t="s">
        <v>86</v>
      </c>
    </row>
    <row r="77">
      <c r="Q77" s="17" t="s">
        <v>87</v>
      </c>
    </row>
    <row r="99">
      <c r="Q99" s="34" t="s">
        <v>30</v>
      </c>
    </row>
    <row r="100">
      <c r="Q100" s="67"/>
    </row>
    <row r="101">
      <c r="Q101" s="67"/>
    </row>
    <row r="102">
      <c r="Q102" s="67"/>
    </row>
    <row r="103">
      <c r="Q103" s="67"/>
    </row>
    <row r="104">
      <c r="Q104" s="67"/>
    </row>
    <row r="105">
      <c r="Q105" s="67"/>
    </row>
    <row r="106">
      <c r="Q106" s="67"/>
    </row>
    <row r="107">
      <c r="Q107" s="67"/>
    </row>
    <row r="108">
      <c r="Q108" s="67"/>
    </row>
    <row r="109">
      <c r="Q109" s="67"/>
    </row>
    <row r="110">
      <c r="Q110" s="67"/>
    </row>
    <row r="111">
      <c r="Q111" s="67"/>
    </row>
    <row r="112">
      <c r="Q112" s="67"/>
    </row>
    <row r="120">
      <c r="W120" s="34"/>
      <c r="X120" s="34"/>
      <c r="Y120" s="34"/>
    </row>
    <row r="121">
      <c r="O121" s="17" t="s">
        <v>88</v>
      </c>
      <c r="W121" s="34"/>
      <c r="X121" s="34"/>
      <c r="Y121" s="34"/>
    </row>
    <row r="122">
      <c r="W122" s="34"/>
      <c r="X122" s="34"/>
      <c r="Y122" s="34"/>
    </row>
    <row r="123">
      <c r="U123" s="34"/>
      <c r="V123" s="34"/>
      <c r="W123" s="34"/>
      <c r="X123" s="34"/>
      <c r="Y123" s="34"/>
    </row>
    <row r="125">
      <c r="Q125" s="68" t="s">
        <v>89</v>
      </c>
      <c r="R125" s="69"/>
    </row>
    <row r="126">
      <c r="Q126" s="68" t="s">
        <v>90</v>
      </c>
    </row>
    <row r="129">
      <c r="Q129" s="17" t="s">
        <v>91</v>
      </c>
    </row>
  </sheetData>
  <mergeCells count="10">
    <mergeCell ref="O121:T123"/>
    <mergeCell ref="Q126:S126"/>
    <mergeCell ref="Q129:V131"/>
    <mergeCell ref="A1:P1"/>
    <mergeCell ref="R2:Y2"/>
    <mergeCell ref="A7:A20"/>
    <mergeCell ref="A22:A23"/>
    <mergeCell ref="Q67:S67"/>
    <mergeCell ref="Q71:U74"/>
    <mergeCell ref="Q77:V7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1" t="s">
        <v>7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7" t="s">
        <v>4</v>
      </c>
      <c r="B2" s="7" t="s">
        <v>5</v>
      </c>
      <c r="C2" s="7" t="s">
        <v>6</v>
      </c>
      <c r="D2" s="12" t="s">
        <v>21</v>
      </c>
      <c r="E2" s="19" t="s">
        <v>8</v>
      </c>
      <c r="F2" s="21" t="s">
        <v>34</v>
      </c>
      <c r="G2" s="7" t="s">
        <v>29</v>
      </c>
      <c r="H2" s="7" t="s">
        <v>11</v>
      </c>
      <c r="I2" s="7" t="s">
        <v>13</v>
      </c>
      <c r="J2" s="23" t="s">
        <v>36</v>
      </c>
      <c r="K2" s="23" t="s">
        <v>37</v>
      </c>
      <c r="L2" s="23" t="s">
        <v>38</v>
      </c>
      <c r="Q2" s="17" t="s">
        <v>39</v>
      </c>
    </row>
    <row r="3">
      <c r="A3" s="11" t="s">
        <v>20</v>
      </c>
      <c r="B3" s="14" t="s">
        <v>22</v>
      </c>
      <c r="C3" s="16" t="s">
        <v>25</v>
      </c>
      <c r="D3" s="16">
        <v>1.0</v>
      </c>
      <c r="E3" s="30">
        <v>1.0</v>
      </c>
      <c r="F3" s="32">
        <v>2.0</v>
      </c>
      <c r="G3" s="14" t="s">
        <v>40</v>
      </c>
      <c r="H3" s="16">
        <v>33.0</v>
      </c>
      <c r="I3" s="16" t="s">
        <v>35</v>
      </c>
      <c r="J3" s="14">
        <v>1.5</v>
      </c>
      <c r="K3" s="14">
        <v>1.5</v>
      </c>
      <c r="L3" s="14">
        <v>1.5</v>
      </c>
    </row>
    <row r="4">
      <c r="A4" s="11" t="s">
        <v>43</v>
      </c>
      <c r="B4" s="14" t="s">
        <v>44</v>
      </c>
      <c r="C4" s="36" t="s">
        <v>45</v>
      </c>
      <c r="D4" s="16">
        <v>1.0</v>
      </c>
      <c r="E4" s="30">
        <v>1.0</v>
      </c>
      <c r="F4" s="32">
        <v>2.0</v>
      </c>
      <c r="G4" s="14" t="s">
        <v>40</v>
      </c>
      <c r="H4" s="40">
        <v>13.0</v>
      </c>
      <c r="I4" s="40" t="s">
        <v>46</v>
      </c>
      <c r="J4" s="14">
        <v>1.5</v>
      </c>
      <c r="K4" s="14">
        <v>1.5</v>
      </c>
      <c r="L4" s="14">
        <v>1.5</v>
      </c>
    </row>
    <row r="5">
      <c r="A5" s="11" t="s">
        <v>48</v>
      </c>
      <c r="B5" s="14" t="s">
        <v>49</v>
      </c>
      <c r="C5" s="36" t="s">
        <v>50</v>
      </c>
      <c r="D5" s="16">
        <v>1.0</v>
      </c>
      <c r="E5" s="30">
        <v>1.0</v>
      </c>
      <c r="F5" s="32">
        <v>2.0</v>
      </c>
      <c r="G5" s="14" t="s">
        <v>40</v>
      </c>
      <c r="H5" s="40">
        <v>13.0</v>
      </c>
      <c r="I5" s="40" t="s">
        <v>46</v>
      </c>
      <c r="J5" s="14">
        <v>1.5</v>
      </c>
      <c r="K5" s="14">
        <v>1.5</v>
      </c>
      <c r="L5" s="14">
        <v>1.5</v>
      </c>
    </row>
    <row r="6">
      <c r="A6" s="11" t="s">
        <v>51</v>
      </c>
      <c r="B6" s="14" t="s">
        <v>52</v>
      </c>
      <c r="C6" s="16" t="s">
        <v>53</v>
      </c>
      <c r="D6" s="16">
        <v>1.0</v>
      </c>
      <c r="E6" s="30">
        <v>1.0</v>
      </c>
      <c r="F6" s="32">
        <v>2.0</v>
      </c>
      <c r="G6" s="14" t="s">
        <v>40</v>
      </c>
      <c r="H6" s="18">
        <v>13.0</v>
      </c>
      <c r="I6" s="18" t="s">
        <v>46</v>
      </c>
      <c r="J6" s="14">
        <v>1.5</v>
      </c>
      <c r="K6" s="14">
        <v>1.5</v>
      </c>
      <c r="L6" s="14">
        <v>1.5</v>
      </c>
    </row>
    <row r="7">
      <c r="A7" s="45" t="s">
        <v>54</v>
      </c>
      <c r="B7" s="14" t="s">
        <v>55</v>
      </c>
      <c r="C7" s="27" t="s">
        <v>56</v>
      </c>
      <c r="D7" s="16">
        <v>2.0</v>
      </c>
      <c r="E7" s="30">
        <v>2.0</v>
      </c>
      <c r="F7" s="32">
        <v>3.0</v>
      </c>
      <c r="G7" s="14" t="s">
        <v>40</v>
      </c>
      <c r="H7" s="40">
        <v>13.0</v>
      </c>
      <c r="I7" s="40" t="s">
        <v>46</v>
      </c>
      <c r="J7" s="14">
        <v>2.5</v>
      </c>
      <c r="K7" s="14">
        <v>2.5</v>
      </c>
      <c r="L7" s="14">
        <v>2.5</v>
      </c>
    </row>
    <row r="8">
      <c r="A8" s="46"/>
      <c r="B8" s="14" t="s">
        <v>58</v>
      </c>
      <c r="C8" s="27" t="s">
        <v>56</v>
      </c>
      <c r="D8" s="16">
        <v>2.0</v>
      </c>
      <c r="E8" s="30">
        <v>2.0</v>
      </c>
      <c r="F8" s="32">
        <v>3.0</v>
      </c>
      <c r="G8" s="14" t="s">
        <v>40</v>
      </c>
      <c r="H8" s="40">
        <v>13.0</v>
      </c>
      <c r="I8" s="40" t="s">
        <v>46</v>
      </c>
      <c r="J8" s="14">
        <v>2.5</v>
      </c>
      <c r="K8" s="14">
        <v>2.5</v>
      </c>
      <c r="L8" s="14">
        <v>2.5</v>
      </c>
    </row>
    <row r="9">
      <c r="A9" s="46"/>
      <c r="B9" s="14" t="s">
        <v>59</v>
      </c>
      <c r="C9" s="52"/>
      <c r="D9" s="52"/>
      <c r="E9" s="52"/>
      <c r="F9" s="52"/>
      <c r="G9" s="52"/>
      <c r="H9" s="52"/>
      <c r="I9" s="52"/>
      <c r="J9" s="52"/>
      <c r="K9" s="52"/>
      <c r="L9" s="52"/>
    </row>
    <row r="10">
      <c r="A10" s="46"/>
      <c r="B10" s="14" t="s">
        <v>60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</row>
    <row r="11">
      <c r="A11" s="46"/>
      <c r="B11" s="14" t="s">
        <v>61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</row>
    <row r="12">
      <c r="A12" s="46"/>
      <c r="B12" s="14" t="s">
        <v>62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>
      <c r="A13" s="46"/>
      <c r="B13" s="14" t="s">
        <v>63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</row>
    <row r="14">
      <c r="A14" s="46"/>
      <c r="B14" s="14" t="s">
        <v>64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</row>
    <row r="15">
      <c r="A15" s="46"/>
      <c r="B15" s="14" t="s">
        <v>65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</row>
    <row r="16">
      <c r="A16" s="46"/>
      <c r="B16" s="14" t="s">
        <v>66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</row>
    <row r="17">
      <c r="A17" s="46"/>
      <c r="B17" s="14" t="s">
        <v>67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</row>
    <row r="18">
      <c r="A18" s="46"/>
      <c r="B18" s="14" t="s">
        <v>68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</row>
    <row r="19">
      <c r="A19" s="46"/>
      <c r="B19" s="14" t="s">
        <v>69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</row>
    <row r="20">
      <c r="A20" s="60"/>
      <c r="B20" s="14" t="s">
        <v>70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</row>
    <row r="21">
      <c r="A21" s="23" t="s">
        <v>78</v>
      </c>
      <c r="B21" s="14" t="s">
        <v>72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</row>
    <row r="22">
      <c r="A22" s="63" t="s">
        <v>79</v>
      </c>
      <c r="B22" s="14" t="s">
        <v>74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</row>
    <row r="23">
      <c r="A23" s="60"/>
      <c r="B23" s="14" t="s">
        <v>75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</row>
    <row r="24">
      <c r="A24" s="23" t="s">
        <v>80</v>
      </c>
      <c r="B24" s="14" t="s">
        <v>77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</row>
    <row r="32">
      <c r="C32" s="56"/>
      <c r="D32" s="56"/>
    </row>
    <row r="33">
      <c r="C33" s="55"/>
      <c r="D33" s="55"/>
    </row>
    <row r="34">
      <c r="C34" s="56"/>
      <c r="D34" s="56"/>
    </row>
    <row r="35">
      <c r="C35" s="56"/>
      <c r="D35" s="56"/>
    </row>
    <row r="36">
      <c r="C36" s="56"/>
      <c r="D36" s="56"/>
    </row>
    <row r="37">
      <c r="C37" s="56"/>
      <c r="D37" s="56"/>
    </row>
    <row r="38">
      <c r="C38" s="56"/>
      <c r="D38" s="56"/>
    </row>
    <row r="39">
      <c r="C39" s="56"/>
      <c r="D39" s="56"/>
    </row>
    <row r="40">
      <c r="C40" s="56"/>
      <c r="D40" s="56"/>
    </row>
    <row r="41">
      <c r="C41" s="56"/>
      <c r="D41" s="56"/>
    </row>
    <row r="42">
      <c r="C42" s="56"/>
      <c r="D42" s="56"/>
    </row>
    <row r="43">
      <c r="C43" s="56"/>
      <c r="D43" s="56"/>
    </row>
    <row r="46">
      <c r="C46" s="56"/>
      <c r="D46" s="56"/>
    </row>
    <row r="47">
      <c r="C47" s="56"/>
      <c r="D47" s="56"/>
    </row>
    <row r="48">
      <c r="C48" s="56"/>
      <c r="D48" s="56"/>
    </row>
    <row r="49">
      <c r="C49" s="56"/>
      <c r="D49" s="56"/>
    </row>
  </sheetData>
  <mergeCells count="4">
    <mergeCell ref="A1:L1"/>
    <mergeCell ref="Q2:T3"/>
    <mergeCell ref="A7:A20"/>
    <mergeCell ref="A22:A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7" max="7" width="20.63"/>
    <col customWidth="1" min="8" max="8" width="14.75"/>
  </cols>
  <sheetData>
    <row r="1">
      <c r="A1" s="1" t="s">
        <v>0</v>
      </c>
      <c r="B1" s="3"/>
      <c r="C1" s="3"/>
      <c r="D1" s="3"/>
      <c r="E1" s="3"/>
      <c r="F1" s="4"/>
      <c r="G1" s="5"/>
      <c r="H1" s="6" t="s">
        <v>3</v>
      </c>
    </row>
    <row r="2">
      <c r="A2" s="8" t="s">
        <v>4</v>
      </c>
      <c r="B2" s="8" t="s">
        <v>5</v>
      </c>
      <c r="C2" s="7" t="s">
        <v>6</v>
      </c>
      <c r="D2" s="9" t="s">
        <v>10</v>
      </c>
      <c r="E2" s="9" t="s">
        <v>12</v>
      </c>
      <c r="F2" s="9" t="s">
        <v>15</v>
      </c>
      <c r="G2" s="9" t="s">
        <v>17</v>
      </c>
    </row>
    <row r="3">
      <c r="A3" s="11" t="s">
        <v>20</v>
      </c>
      <c r="B3" s="14" t="s">
        <v>22</v>
      </c>
      <c r="C3" s="16" t="s">
        <v>25</v>
      </c>
      <c r="D3" s="22">
        <f>'QDL-FATOR CORREÇÃO'!P3</f>
        <v>20.01</v>
      </c>
      <c r="E3" s="25">
        <v>16.0</v>
      </c>
      <c r="F3" s="22">
        <f>'QDL-FATOR CORREÇÃO'!M3</f>
        <v>11.36363636</v>
      </c>
      <c r="G3" s="14" t="str">
        <f t="shared" ref="G3:G8" si="1">IF(AND(D3&gt;E3,E3&gt;F3),"OK","MUDAR DISJUNTOR")</f>
        <v>OK</v>
      </c>
      <c r="H3" s="34" t="s">
        <v>42</v>
      </c>
    </row>
    <row r="4">
      <c r="A4" s="11" t="s">
        <v>43</v>
      </c>
      <c r="B4" s="14" t="s">
        <v>44</v>
      </c>
      <c r="C4" s="36" t="s">
        <v>45</v>
      </c>
      <c r="D4" s="22">
        <f>'QDL-FATOR CORREÇÃO'!P4</f>
        <v>19.14</v>
      </c>
      <c r="E4" s="38">
        <v>10.0</v>
      </c>
      <c r="F4" s="22">
        <f>'QDL-FATOR CORREÇÃO'!M4</f>
        <v>8</v>
      </c>
      <c r="G4" s="14" t="str">
        <f t="shared" si="1"/>
        <v>OK</v>
      </c>
      <c r="J4" s="34" t="s">
        <v>47</v>
      </c>
    </row>
    <row r="5">
      <c r="A5" s="11" t="s">
        <v>48</v>
      </c>
      <c r="B5" s="14" t="s">
        <v>49</v>
      </c>
      <c r="C5" s="36" t="s">
        <v>50</v>
      </c>
      <c r="D5" s="22">
        <f>'QDL-FATOR CORREÇÃO'!P5</f>
        <v>19.14</v>
      </c>
      <c r="E5" s="25">
        <v>16.0</v>
      </c>
      <c r="F5" s="22">
        <f>'QDL-FATOR CORREÇÃO'!M5</f>
        <v>12</v>
      </c>
      <c r="G5" s="14" t="str">
        <f t="shared" si="1"/>
        <v>OK</v>
      </c>
      <c r="H5" s="34" t="s">
        <v>42</v>
      </c>
    </row>
    <row r="6">
      <c r="A6" s="11" t="s">
        <v>51</v>
      </c>
      <c r="B6" s="14" t="s">
        <v>52</v>
      </c>
      <c r="C6" s="34" t="s">
        <v>53</v>
      </c>
      <c r="D6" s="22">
        <f>'QDL-FATOR CORREÇÃO'!P6</f>
        <v>19.14</v>
      </c>
      <c r="E6" s="25">
        <v>16.0</v>
      </c>
      <c r="F6" s="22">
        <f>'QDL-FATOR CORREÇÃO'!M6</f>
        <v>12</v>
      </c>
      <c r="G6" s="14" t="str">
        <f t="shared" si="1"/>
        <v>OK</v>
      </c>
      <c r="H6" s="34" t="s">
        <v>42</v>
      </c>
    </row>
    <row r="7">
      <c r="A7" s="45" t="s">
        <v>54</v>
      </c>
      <c r="B7" s="14" t="s">
        <v>55</v>
      </c>
      <c r="C7" s="27" t="s">
        <v>56</v>
      </c>
      <c r="D7" s="22">
        <f>'QDL-FATOR CORREÇÃO'!P7</f>
        <v>22.968</v>
      </c>
      <c r="E7" s="25">
        <v>16.0</v>
      </c>
      <c r="F7" s="22">
        <f>'QDL-FATOR CORREÇÃO'!M7</f>
        <v>12</v>
      </c>
      <c r="G7" s="14" t="str">
        <f t="shared" si="1"/>
        <v>OK</v>
      </c>
    </row>
    <row r="8">
      <c r="A8" s="46"/>
      <c r="B8" s="14" t="s">
        <v>58</v>
      </c>
      <c r="C8" s="47" t="s">
        <v>56</v>
      </c>
      <c r="D8" s="48">
        <f>'QDL-FATOR CORREÇÃO'!P8</f>
        <v>22.968</v>
      </c>
      <c r="E8" s="49">
        <v>16.0</v>
      </c>
      <c r="F8" s="22">
        <f>'QDL-FATOR CORREÇÃO'!M8</f>
        <v>12</v>
      </c>
      <c r="G8" s="51" t="str">
        <f t="shared" si="1"/>
        <v>OK</v>
      </c>
    </row>
    <row r="9">
      <c r="A9" s="46"/>
      <c r="B9" s="14" t="s">
        <v>59</v>
      </c>
      <c r="D9" s="54"/>
      <c r="E9" s="55"/>
      <c r="F9" s="54"/>
      <c r="G9" s="56"/>
    </row>
    <row r="10">
      <c r="A10" s="46"/>
      <c r="B10" s="14" t="s">
        <v>60</v>
      </c>
      <c r="D10" s="54"/>
      <c r="E10" s="55"/>
      <c r="F10" s="54"/>
      <c r="G10" s="56"/>
    </row>
    <row r="11">
      <c r="A11" s="46"/>
      <c r="B11" s="14" t="s">
        <v>61</v>
      </c>
      <c r="D11" s="54"/>
      <c r="E11" s="55"/>
      <c r="F11" s="54"/>
      <c r="G11" s="56"/>
    </row>
    <row r="12">
      <c r="A12" s="46"/>
      <c r="B12" s="14" t="s">
        <v>62</v>
      </c>
      <c r="D12" s="54"/>
      <c r="E12" s="55"/>
      <c r="F12" s="54"/>
      <c r="G12" s="56"/>
    </row>
    <row r="13">
      <c r="A13" s="46"/>
      <c r="B13" s="14" t="s">
        <v>63</v>
      </c>
      <c r="D13" s="54"/>
      <c r="E13" s="55"/>
      <c r="F13" s="54"/>
      <c r="G13" s="56"/>
    </row>
    <row r="14">
      <c r="A14" s="46"/>
      <c r="B14" s="14" t="s">
        <v>64</v>
      </c>
      <c r="D14" s="54"/>
      <c r="E14" s="55"/>
      <c r="F14" s="54"/>
      <c r="G14" s="56"/>
    </row>
    <row r="15">
      <c r="A15" s="46"/>
      <c r="B15" s="14" t="s">
        <v>65</v>
      </c>
      <c r="D15" s="54"/>
      <c r="E15" s="55"/>
      <c r="F15" s="54"/>
      <c r="G15" s="56"/>
    </row>
    <row r="16">
      <c r="A16" s="46"/>
      <c r="B16" s="14" t="s">
        <v>66</v>
      </c>
      <c r="D16" s="54"/>
      <c r="E16" s="55"/>
      <c r="F16" s="54"/>
      <c r="G16" s="56"/>
    </row>
    <row r="17">
      <c r="A17" s="46"/>
      <c r="B17" s="14" t="s">
        <v>67</v>
      </c>
      <c r="D17" s="54"/>
      <c r="E17" s="55"/>
      <c r="F17" s="54"/>
      <c r="G17" s="56"/>
    </row>
    <row r="18">
      <c r="A18" s="46"/>
      <c r="B18" s="14" t="s">
        <v>68</v>
      </c>
      <c r="D18" s="54"/>
      <c r="E18" s="55"/>
      <c r="F18" s="54"/>
      <c r="G18" s="56"/>
    </row>
    <row r="19">
      <c r="A19" s="46"/>
      <c r="B19" s="14" t="s">
        <v>69</v>
      </c>
      <c r="D19" s="54"/>
      <c r="E19" s="55"/>
      <c r="F19" s="54"/>
      <c r="G19" s="56"/>
    </row>
    <row r="20">
      <c r="A20" s="60"/>
      <c r="B20" s="14" t="s">
        <v>70</v>
      </c>
      <c r="D20" s="54"/>
      <c r="E20" s="55"/>
      <c r="F20" s="54"/>
      <c r="G20" s="56"/>
    </row>
    <row r="21">
      <c r="A21" s="11" t="s">
        <v>71</v>
      </c>
      <c r="B21" s="14" t="s">
        <v>72</v>
      </c>
      <c r="D21" s="54"/>
      <c r="E21" s="55"/>
      <c r="F21" s="54"/>
      <c r="G21" s="56"/>
    </row>
    <row r="22">
      <c r="A22" s="45" t="s">
        <v>73</v>
      </c>
      <c r="B22" s="14" t="s">
        <v>74</v>
      </c>
      <c r="D22" s="54"/>
      <c r="E22" s="55"/>
      <c r="F22" s="54"/>
      <c r="G22" s="56"/>
    </row>
    <row r="23">
      <c r="A23" s="60"/>
      <c r="B23" s="14" t="s">
        <v>75</v>
      </c>
      <c r="D23" s="54"/>
      <c r="E23" s="55"/>
      <c r="F23" s="54"/>
      <c r="G23" s="56"/>
    </row>
    <row r="24">
      <c r="A24" s="11" t="s">
        <v>76</v>
      </c>
      <c r="B24" s="14" t="s">
        <v>77</v>
      </c>
      <c r="D24" s="54"/>
      <c r="E24" s="55"/>
      <c r="F24" s="54"/>
      <c r="G24" s="56"/>
    </row>
  </sheetData>
  <mergeCells count="5">
    <mergeCell ref="A1:F1"/>
    <mergeCell ref="H1:H2"/>
    <mergeCell ref="J4:P4"/>
    <mergeCell ref="A7:A20"/>
    <mergeCell ref="A22:A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I2" s="1" t="s">
        <v>7</v>
      </c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3">
      <c r="I3" s="75" t="s">
        <v>4</v>
      </c>
      <c r="J3" s="75" t="s">
        <v>5</v>
      </c>
      <c r="K3" s="7" t="s">
        <v>6</v>
      </c>
      <c r="L3" s="76" t="s">
        <v>21</v>
      </c>
      <c r="M3" s="77" t="s">
        <v>8</v>
      </c>
      <c r="N3" s="78" t="s">
        <v>34</v>
      </c>
      <c r="O3" s="75" t="s">
        <v>29</v>
      </c>
      <c r="P3" s="7" t="s">
        <v>11</v>
      </c>
      <c r="Q3" s="7" t="s">
        <v>13</v>
      </c>
      <c r="R3" s="79" t="s">
        <v>36</v>
      </c>
      <c r="S3" s="79" t="s">
        <v>37</v>
      </c>
      <c r="T3" s="79" t="s">
        <v>38</v>
      </c>
    </row>
    <row r="4">
      <c r="I4" s="11" t="s">
        <v>20</v>
      </c>
      <c r="J4" s="14" t="s">
        <v>22</v>
      </c>
      <c r="K4" s="16" t="s">
        <v>25</v>
      </c>
      <c r="L4" s="34">
        <v>1.0</v>
      </c>
      <c r="M4" s="30">
        <v>1.0</v>
      </c>
      <c r="N4" s="80">
        <v>2.0</v>
      </c>
      <c r="O4" s="14" t="s">
        <v>40</v>
      </c>
      <c r="P4" s="16">
        <v>33.0</v>
      </c>
      <c r="Q4" s="16" t="s">
        <v>35</v>
      </c>
      <c r="R4" s="14">
        <v>1.5</v>
      </c>
      <c r="S4" s="14">
        <v>1.5</v>
      </c>
      <c r="T4" s="14">
        <v>1.5</v>
      </c>
    </row>
    <row r="5">
      <c r="I5" s="11" t="s">
        <v>43</v>
      </c>
      <c r="J5" s="14" t="s">
        <v>44</v>
      </c>
      <c r="K5" s="36" t="s">
        <v>45</v>
      </c>
      <c r="L5" s="34">
        <v>1.0</v>
      </c>
      <c r="M5" s="30">
        <v>1.0</v>
      </c>
      <c r="N5" s="80">
        <v>2.0</v>
      </c>
      <c r="O5" s="14" t="s">
        <v>40</v>
      </c>
      <c r="P5" s="40">
        <v>13.0</v>
      </c>
      <c r="Q5" s="40" t="s">
        <v>46</v>
      </c>
      <c r="R5" s="14">
        <v>1.5</v>
      </c>
      <c r="S5" s="14">
        <v>1.5</v>
      </c>
      <c r="T5" s="14">
        <v>1.5</v>
      </c>
    </row>
    <row r="6">
      <c r="I6" s="11" t="s">
        <v>48</v>
      </c>
      <c r="J6" s="14" t="s">
        <v>49</v>
      </c>
      <c r="K6" s="36" t="s">
        <v>50</v>
      </c>
      <c r="L6" s="34">
        <v>1.0</v>
      </c>
      <c r="M6" s="30">
        <v>1.0</v>
      </c>
      <c r="N6" s="80">
        <v>2.0</v>
      </c>
      <c r="O6" s="14" t="s">
        <v>40</v>
      </c>
      <c r="P6" s="40">
        <v>13.0</v>
      </c>
      <c r="Q6" s="40" t="s">
        <v>46</v>
      </c>
      <c r="R6" s="14">
        <v>1.5</v>
      </c>
      <c r="S6" s="14">
        <v>1.5</v>
      </c>
      <c r="T6" s="14">
        <v>1.5</v>
      </c>
    </row>
    <row r="7">
      <c r="I7" s="11" t="s">
        <v>51</v>
      </c>
      <c r="J7" s="14" t="s">
        <v>52</v>
      </c>
      <c r="K7" s="34" t="s">
        <v>53</v>
      </c>
      <c r="L7" s="34">
        <v>1.0</v>
      </c>
      <c r="M7" s="30">
        <v>1.0</v>
      </c>
      <c r="N7" s="80">
        <v>2.0</v>
      </c>
      <c r="O7" s="14" t="s">
        <v>40</v>
      </c>
      <c r="P7" s="18">
        <v>13.0</v>
      </c>
      <c r="Q7" s="18" t="s">
        <v>46</v>
      </c>
      <c r="R7" s="14">
        <v>1.5</v>
      </c>
      <c r="S7" s="14">
        <v>1.5</v>
      </c>
      <c r="T7" s="14">
        <v>1.5</v>
      </c>
    </row>
    <row r="8">
      <c r="I8" s="45" t="s">
        <v>54</v>
      </c>
      <c r="J8" s="14" t="s">
        <v>55</v>
      </c>
      <c r="K8" s="27" t="s">
        <v>56</v>
      </c>
      <c r="L8" s="34">
        <v>2.0</v>
      </c>
      <c r="M8" s="30">
        <v>2.0</v>
      </c>
      <c r="N8" s="80">
        <v>3.0</v>
      </c>
      <c r="O8" s="14" t="s">
        <v>40</v>
      </c>
      <c r="P8" s="40">
        <v>13.0</v>
      </c>
      <c r="Q8" s="40" t="s">
        <v>46</v>
      </c>
      <c r="R8" s="14">
        <v>2.5</v>
      </c>
      <c r="S8" s="14">
        <v>2.5</v>
      </c>
      <c r="T8" s="14">
        <v>2.5</v>
      </c>
    </row>
    <row r="9">
      <c r="I9" s="46"/>
      <c r="J9" s="14" t="s">
        <v>58</v>
      </c>
      <c r="K9" s="47" t="s">
        <v>56</v>
      </c>
      <c r="L9" s="34">
        <v>2.0</v>
      </c>
      <c r="M9" s="83">
        <v>2.0</v>
      </c>
      <c r="N9" s="80">
        <v>3.0</v>
      </c>
      <c r="O9" s="51" t="s">
        <v>40</v>
      </c>
      <c r="P9" s="40">
        <v>13.0</v>
      </c>
      <c r="Q9" s="40" t="s">
        <v>46</v>
      </c>
      <c r="R9" s="14">
        <v>2.5</v>
      </c>
      <c r="S9" s="14">
        <v>2.5</v>
      </c>
      <c r="T9" s="14">
        <v>2.5</v>
      </c>
    </row>
    <row r="10">
      <c r="I10" s="46"/>
      <c r="J10" s="74" t="s">
        <v>59</v>
      </c>
    </row>
    <row r="11">
      <c r="I11" s="46"/>
      <c r="J11" s="74" t="s">
        <v>60</v>
      </c>
    </row>
    <row r="12">
      <c r="I12" s="46"/>
      <c r="J12" s="74" t="s">
        <v>61</v>
      </c>
    </row>
    <row r="13">
      <c r="I13" s="46"/>
      <c r="J13" s="74" t="s">
        <v>62</v>
      </c>
    </row>
    <row r="14">
      <c r="I14" s="46"/>
      <c r="J14" s="74" t="s">
        <v>63</v>
      </c>
    </row>
    <row r="15">
      <c r="I15" s="46"/>
      <c r="J15" s="74" t="s">
        <v>64</v>
      </c>
    </row>
    <row r="16">
      <c r="I16" s="46"/>
      <c r="J16" s="74" t="s">
        <v>65</v>
      </c>
    </row>
    <row r="17">
      <c r="I17" s="46"/>
      <c r="J17" s="74" t="s">
        <v>66</v>
      </c>
    </row>
    <row r="18">
      <c r="I18" s="46"/>
      <c r="J18" s="74" t="s">
        <v>67</v>
      </c>
    </row>
    <row r="19">
      <c r="I19" s="46"/>
      <c r="J19" s="74" t="s">
        <v>68</v>
      </c>
    </row>
    <row r="20">
      <c r="I20" s="46"/>
      <c r="J20" s="74" t="s">
        <v>69</v>
      </c>
    </row>
    <row r="21">
      <c r="I21" s="60"/>
      <c r="J21" s="74" t="s">
        <v>70</v>
      </c>
    </row>
    <row r="22">
      <c r="I22" s="11" t="s">
        <v>71</v>
      </c>
      <c r="J22" s="74" t="s">
        <v>72</v>
      </c>
    </row>
    <row r="23">
      <c r="I23" s="45" t="s">
        <v>73</v>
      </c>
      <c r="J23" s="74" t="s">
        <v>74</v>
      </c>
    </row>
    <row r="24">
      <c r="I24" s="60"/>
      <c r="J24" s="74" t="s">
        <v>75</v>
      </c>
    </row>
    <row r="25">
      <c r="I25" s="11" t="s">
        <v>76</v>
      </c>
      <c r="J25" s="74" t="s">
        <v>77</v>
      </c>
    </row>
    <row r="45">
      <c r="I45" s="34" t="s">
        <v>110</v>
      </c>
    </row>
    <row r="51">
      <c r="A51" s="96" t="s">
        <v>9</v>
      </c>
      <c r="B51" s="56">
        <v>220.0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86"/>
      <c r="P51" s="86"/>
      <c r="Q51" s="86"/>
      <c r="R51" s="86"/>
      <c r="S51" s="86"/>
      <c r="T51" s="86"/>
    </row>
    <row r="52">
      <c r="A52" s="99" t="s">
        <v>111</v>
      </c>
      <c r="B52" s="103">
        <f>QDL!$H$3</f>
        <v>500</v>
      </c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</row>
    <row r="53">
      <c r="A53" s="99" t="s">
        <v>113</v>
      </c>
      <c r="B53" s="106">
        <f>QDL!$G$3</f>
        <v>5</v>
      </c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</row>
    <row r="54">
      <c r="A54" s="107" t="s">
        <v>104</v>
      </c>
      <c r="B54" s="3"/>
      <c r="C54" s="3"/>
      <c r="D54" s="3"/>
      <c r="E54" s="3"/>
      <c r="F54" s="3"/>
      <c r="G54" s="3"/>
      <c r="H54" s="3"/>
      <c r="I54" s="3"/>
      <c r="J54" s="4"/>
      <c r="K54" s="98"/>
      <c r="L54" s="98"/>
      <c r="M54" s="98"/>
      <c r="N54" s="98"/>
      <c r="P54" s="110" t="s">
        <v>114</v>
      </c>
      <c r="Q54" s="3"/>
      <c r="R54" s="3"/>
      <c r="S54" s="3"/>
      <c r="T54" s="3"/>
      <c r="U54" s="3"/>
      <c r="V54" s="3"/>
      <c r="W54" s="4"/>
    </row>
    <row r="55">
      <c r="A55" s="111" t="s">
        <v>115</v>
      </c>
      <c r="B55" s="111" t="s">
        <v>116</v>
      </c>
      <c r="C55" s="111" t="s">
        <v>117</v>
      </c>
      <c r="D55" s="113" t="s">
        <v>118</v>
      </c>
      <c r="E55" s="114" t="s">
        <v>119</v>
      </c>
      <c r="F55" s="114" t="s">
        <v>120</v>
      </c>
      <c r="G55" s="114" t="s">
        <v>26</v>
      </c>
      <c r="H55" s="114" t="s">
        <v>122</v>
      </c>
      <c r="I55" s="114" t="s">
        <v>123</v>
      </c>
      <c r="J55" s="114" t="s">
        <v>124</v>
      </c>
      <c r="L55" s="117" t="s">
        <v>125</v>
      </c>
      <c r="M55" s="117" t="s">
        <v>126</v>
      </c>
      <c r="N55" s="117" t="s">
        <v>127</v>
      </c>
      <c r="P55" s="118" t="s">
        <v>104</v>
      </c>
      <c r="Q55" s="119"/>
      <c r="R55" s="119"/>
      <c r="S55" s="119"/>
      <c r="T55" s="119"/>
      <c r="U55" s="119"/>
      <c r="V55" s="119"/>
      <c r="W55" s="120"/>
    </row>
    <row r="56">
      <c r="A56" s="121"/>
      <c r="B56" s="122"/>
      <c r="C56" s="123"/>
      <c r="D56" s="124"/>
      <c r="E56" s="123"/>
      <c r="F56" s="123"/>
      <c r="G56" s="123"/>
      <c r="H56" s="122"/>
      <c r="I56" s="125"/>
      <c r="J56" s="125"/>
      <c r="K56" s="127"/>
      <c r="L56" s="128"/>
      <c r="M56" s="128"/>
      <c r="N56" s="98"/>
      <c r="P56" s="111" t="s">
        <v>115</v>
      </c>
      <c r="Q56" s="111" t="s">
        <v>116</v>
      </c>
      <c r="R56" s="111" t="s">
        <v>117</v>
      </c>
      <c r="S56" s="113" t="s">
        <v>118</v>
      </c>
      <c r="T56" s="114" t="s">
        <v>26</v>
      </c>
      <c r="U56" s="114" t="s">
        <v>131</v>
      </c>
      <c r="V56" s="114" t="s">
        <v>123</v>
      </c>
      <c r="W56" s="114" t="s">
        <v>124</v>
      </c>
    </row>
    <row r="57">
      <c r="A57" s="130"/>
      <c r="B57" s="132"/>
      <c r="C57" s="134"/>
      <c r="D57" s="124"/>
      <c r="E57" s="134"/>
      <c r="F57" s="134"/>
      <c r="G57" s="134"/>
      <c r="H57" s="132"/>
      <c r="I57" s="138"/>
      <c r="J57" s="138"/>
      <c r="K57" s="127"/>
      <c r="L57" s="128"/>
      <c r="M57" s="128"/>
      <c r="N57" s="98"/>
      <c r="P57" s="123" t="str">
        <f t="shared" ref="P57:R57" si="1">A56</f>
        <v/>
      </c>
      <c r="Q57" s="122" t="str">
        <f t="shared" si="1"/>
        <v/>
      </c>
      <c r="R57" s="122" t="str">
        <f t="shared" si="1"/>
        <v/>
      </c>
      <c r="S57" s="124"/>
      <c r="T57" s="123"/>
      <c r="U57" s="121"/>
      <c r="V57" s="141"/>
      <c r="W57" s="125"/>
    </row>
    <row r="58">
      <c r="A58" s="121"/>
      <c r="B58" s="122"/>
      <c r="C58" s="123"/>
      <c r="D58" s="124"/>
      <c r="E58" s="123"/>
      <c r="F58" s="123"/>
      <c r="G58" s="123"/>
      <c r="H58" s="122"/>
      <c r="I58" s="125"/>
      <c r="J58" s="125"/>
      <c r="K58" s="127"/>
      <c r="L58" s="128"/>
      <c r="M58" s="128"/>
      <c r="N58" s="98"/>
      <c r="P58" s="123" t="str">
        <f t="shared" ref="P58:R58" si="2">A57</f>
        <v/>
      </c>
      <c r="Q58" s="132" t="str">
        <f t="shared" si="2"/>
        <v/>
      </c>
      <c r="R58" s="132" t="str">
        <f t="shared" si="2"/>
        <v/>
      </c>
      <c r="S58" s="124"/>
      <c r="T58" s="123"/>
      <c r="U58" s="130"/>
      <c r="V58" s="147"/>
      <c r="W58" s="138"/>
    </row>
    <row r="59">
      <c r="A59" s="130"/>
      <c r="B59" s="132"/>
      <c r="C59" s="134"/>
      <c r="D59" s="124"/>
      <c r="E59" s="134"/>
      <c r="F59" s="134"/>
      <c r="G59" s="134"/>
      <c r="H59" s="132"/>
      <c r="I59" s="138"/>
      <c r="J59" s="138"/>
      <c r="K59" s="127"/>
      <c r="L59" s="128"/>
      <c r="M59" s="128"/>
      <c r="N59" s="98"/>
      <c r="P59" s="123" t="str">
        <f t="shared" ref="P59:R59" si="3">A58</f>
        <v/>
      </c>
      <c r="Q59" s="122" t="str">
        <f t="shared" si="3"/>
        <v/>
      </c>
      <c r="R59" s="122" t="str">
        <f t="shared" si="3"/>
        <v/>
      </c>
      <c r="S59" s="124"/>
      <c r="T59" s="123"/>
      <c r="U59" s="121"/>
      <c r="V59" s="141"/>
      <c r="W59" s="125"/>
    </row>
    <row r="60">
      <c r="A60" s="92"/>
      <c r="B60" s="93"/>
      <c r="C60" s="158"/>
      <c r="D60" s="92"/>
      <c r="E60" s="92"/>
      <c r="F60" s="92"/>
      <c r="G60" s="93"/>
      <c r="H60" s="160"/>
      <c r="I60" s="160"/>
      <c r="J60" s="98"/>
      <c r="K60" s="127"/>
      <c r="L60" s="128"/>
      <c r="M60" s="128"/>
      <c r="N60" s="98"/>
      <c r="P60" s="123" t="str">
        <f t="shared" ref="P60:R60" si="4">A59</f>
        <v/>
      </c>
      <c r="Q60" s="132" t="str">
        <f t="shared" si="4"/>
        <v/>
      </c>
      <c r="R60" s="132" t="str">
        <f t="shared" si="4"/>
        <v/>
      </c>
      <c r="S60" s="124"/>
      <c r="T60" s="123"/>
      <c r="U60" s="130"/>
      <c r="V60" s="141"/>
      <c r="W60" s="125"/>
    </row>
    <row r="61">
      <c r="A61" s="161"/>
      <c r="B61" s="163"/>
      <c r="C61" s="161"/>
      <c r="D61" s="161"/>
      <c r="E61" s="161"/>
      <c r="F61" s="161"/>
      <c r="G61" s="163"/>
      <c r="H61" s="166"/>
      <c r="I61" s="166"/>
      <c r="J61" s="98"/>
      <c r="K61" s="168"/>
      <c r="L61" s="98"/>
      <c r="M61" s="98"/>
      <c r="N61" s="98"/>
      <c r="P61" s="169"/>
      <c r="Q61" s="109"/>
      <c r="R61" s="109"/>
      <c r="S61" s="108"/>
      <c r="T61" s="170"/>
      <c r="U61" s="171"/>
    </row>
    <row r="62">
      <c r="A62" s="99" t="s">
        <v>155</v>
      </c>
      <c r="B62" s="103">
        <f>QDL!$H$4</f>
        <v>440</v>
      </c>
      <c r="C62" s="161"/>
      <c r="D62" s="161"/>
      <c r="E62" s="161"/>
      <c r="F62" s="161"/>
      <c r="G62" s="163"/>
      <c r="H62" s="166"/>
      <c r="I62" s="166"/>
      <c r="J62" s="98"/>
      <c r="K62" s="168"/>
      <c r="L62" s="98"/>
      <c r="M62" s="98"/>
      <c r="N62" s="98"/>
    </row>
    <row r="63">
      <c r="A63" s="173" t="s">
        <v>113</v>
      </c>
      <c r="B63" s="106">
        <f>QDL!$G$4</f>
        <v>4</v>
      </c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P63" s="174" t="s">
        <v>114</v>
      </c>
      <c r="Q63" s="84"/>
      <c r="R63" s="84"/>
      <c r="S63" s="84"/>
      <c r="T63" s="84"/>
      <c r="U63" s="84"/>
      <c r="V63" s="84"/>
      <c r="W63" s="175"/>
    </row>
    <row r="64">
      <c r="A64" s="176" t="s">
        <v>112</v>
      </c>
      <c r="B64" s="3"/>
      <c r="C64" s="3"/>
      <c r="D64" s="3"/>
      <c r="E64" s="3"/>
      <c r="F64" s="3"/>
      <c r="G64" s="3"/>
      <c r="H64" s="3"/>
      <c r="I64" s="3"/>
      <c r="J64" s="4"/>
      <c r="K64" s="128"/>
      <c r="L64" s="81"/>
      <c r="M64" s="81"/>
      <c r="N64" s="81"/>
      <c r="O64" s="81"/>
      <c r="P64" s="177" t="s">
        <v>112</v>
      </c>
      <c r="Q64" s="119"/>
      <c r="R64" s="119"/>
      <c r="S64" s="119"/>
      <c r="T64" s="119"/>
      <c r="U64" s="119"/>
      <c r="V64" s="119"/>
      <c r="W64" s="120"/>
    </row>
    <row r="65">
      <c r="A65" s="114" t="s">
        <v>153</v>
      </c>
      <c r="B65" s="111" t="s">
        <v>116</v>
      </c>
      <c r="C65" s="111" t="s">
        <v>117</v>
      </c>
      <c r="D65" s="178" t="s">
        <v>118</v>
      </c>
      <c r="E65" s="114" t="s">
        <v>119</v>
      </c>
      <c r="F65" s="114" t="s">
        <v>120</v>
      </c>
      <c r="G65" s="114" t="s">
        <v>26</v>
      </c>
      <c r="H65" s="114" t="s">
        <v>122</v>
      </c>
      <c r="I65" s="114" t="s">
        <v>123</v>
      </c>
      <c r="J65" s="114" t="s">
        <v>124</v>
      </c>
      <c r="K65" s="81"/>
      <c r="L65" s="179" t="s">
        <v>125</v>
      </c>
      <c r="M65" s="117" t="s">
        <v>126</v>
      </c>
      <c r="N65" s="117" t="s">
        <v>127</v>
      </c>
      <c r="O65" s="81"/>
      <c r="P65" s="114" t="s">
        <v>153</v>
      </c>
      <c r="Q65" s="111" t="s">
        <v>116</v>
      </c>
      <c r="R65" s="111" t="s">
        <v>117</v>
      </c>
      <c r="S65" s="178" t="s">
        <v>118</v>
      </c>
      <c r="T65" s="114" t="s">
        <v>26</v>
      </c>
      <c r="U65" s="114" t="s">
        <v>131</v>
      </c>
      <c r="V65" s="114" t="s">
        <v>123</v>
      </c>
      <c r="W65" s="114" t="s">
        <v>124</v>
      </c>
    </row>
    <row r="66">
      <c r="A66" s="121" t="s">
        <v>157</v>
      </c>
      <c r="B66" s="122">
        <f>($B$62*4)/$B$51</f>
        <v>8</v>
      </c>
      <c r="C66" s="123">
        <f t="shared" ref="C66:C69" si="6">L66+(M66*1.5)+N66</f>
        <v>11.42</v>
      </c>
      <c r="D66" s="16">
        <v>1.5</v>
      </c>
      <c r="E66" s="123">
        <f t="shared" ref="E66:E69" si="7">14.8137*10^-3</f>
        <v>0.0148137</v>
      </c>
      <c r="F66" s="123">
        <f t="shared" ref="F66:F69" si="8">0.1378*10^-3</f>
        <v>0.0001378</v>
      </c>
      <c r="G66" s="123">
        <f>QDL!K$4</f>
        <v>0.85</v>
      </c>
      <c r="H66" s="122">
        <f t="shared" ref="H66:H69" si="9">2*B66*C66*(E66*G66+F66*SIN(ACOS(G66)))</f>
        <v>2.314009139</v>
      </c>
      <c r="I66" s="125">
        <f t="shared" ref="I66:I69" si="10">H66/220</f>
        <v>0.01051822336</v>
      </c>
      <c r="J66" s="125">
        <f>I66</f>
        <v>0.01051822336</v>
      </c>
      <c r="K66" s="81"/>
      <c r="L66" s="128">
        <f>1.5+1.42</f>
        <v>2.92</v>
      </c>
      <c r="M66" s="128">
        <v>2.0</v>
      </c>
      <c r="N66" s="128">
        <f>7-1.5</f>
        <v>5.5</v>
      </c>
      <c r="O66" s="81"/>
      <c r="P66" s="123" t="str">
        <f t="shared" ref="P66:R66" si="5">A66</f>
        <v>QDL1-LU1</v>
      </c>
      <c r="Q66" s="122">
        <f t="shared" si="5"/>
        <v>8</v>
      </c>
      <c r="R66" s="122">
        <f t="shared" si="5"/>
        <v>11.42</v>
      </c>
      <c r="S66" s="16">
        <v>1.5</v>
      </c>
      <c r="T66" s="123">
        <f t="shared" ref="T66:T69" si="12">G66</f>
        <v>0.85</v>
      </c>
      <c r="U66" s="121">
        <v>23.0</v>
      </c>
      <c r="V66" s="141">
        <f t="shared" ref="V66:V69" si="13">(R66/1000)*Q66*U66*(100/220)/100</f>
        <v>0.009551272727</v>
      </c>
      <c r="W66" s="125">
        <f>V66</f>
        <v>0.009551272727</v>
      </c>
    </row>
    <row r="67">
      <c r="A67" s="130" t="s">
        <v>158</v>
      </c>
      <c r="B67" s="132">
        <f>($B$62*3)/$B$51</f>
        <v>6</v>
      </c>
      <c r="C67" s="134">
        <f t="shared" si="6"/>
        <v>3.98</v>
      </c>
      <c r="D67" s="16">
        <v>1.5</v>
      </c>
      <c r="E67" s="134">
        <f t="shared" si="7"/>
        <v>0.0148137</v>
      </c>
      <c r="F67" s="134">
        <f t="shared" si="8"/>
        <v>0.0001378</v>
      </c>
      <c r="G67" s="134">
        <f>QDL!K$4</f>
        <v>0.85</v>
      </c>
      <c r="H67" s="132">
        <f t="shared" si="9"/>
        <v>0.6048438949</v>
      </c>
      <c r="I67" s="138">
        <f t="shared" si="10"/>
        <v>0.002749290431</v>
      </c>
      <c r="J67" s="138">
        <f t="shared" ref="J67:J69" si="14">J66+I67</f>
        <v>0.01326751379</v>
      </c>
      <c r="K67" s="81"/>
      <c r="L67" s="128">
        <v>3.98</v>
      </c>
      <c r="M67" s="128">
        <v>0.0</v>
      </c>
      <c r="N67" s="128">
        <v>0.0</v>
      </c>
      <c r="O67" s="81"/>
      <c r="P67" s="123" t="str">
        <f t="shared" ref="P67:R67" si="11">A67</f>
        <v>LU1-LU2</v>
      </c>
      <c r="Q67" s="132">
        <f t="shared" si="11"/>
        <v>6</v>
      </c>
      <c r="R67" s="132">
        <f t="shared" si="11"/>
        <v>3.98</v>
      </c>
      <c r="S67" s="16">
        <v>1.5</v>
      </c>
      <c r="T67" s="123">
        <f t="shared" si="12"/>
        <v>0.85</v>
      </c>
      <c r="U67" s="130">
        <v>23.0</v>
      </c>
      <c r="V67" s="147">
        <f t="shared" si="13"/>
        <v>0.002496545455</v>
      </c>
      <c r="W67" s="138">
        <f t="shared" ref="W67:W69" si="16">W66+V67</f>
        <v>0.01204781818</v>
      </c>
    </row>
    <row r="68">
      <c r="A68" s="121" t="s">
        <v>165</v>
      </c>
      <c r="B68" s="122">
        <f>($B$62*2)/$B$51</f>
        <v>4</v>
      </c>
      <c r="C68" s="123">
        <f t="shared" si="6"/>
        <v>3.98</v>
      </c>
      <c r="D68" s="16">
        <v>1.5</v>
      </c>
      <c r="E68" s="123">
        <f t="shared" si="7"/>
        <v>0.0148137</v>
      </c>
      <c r="F68" s="123">
        <f t="shared" si="8"/>
        <v>0.0001378</v>
      </c>
      <c r="G68" s="123">
        <f>QDL!K$4</f>
        <v>0.85</v>
      </c>
      <c r="H68" s="122">
        <f t="shared" si="9"/>
        <v>0.4032292632</v>
      </c>
      <c r="I68" s="125">
        <f t="shared" si="10"/>
        <v>0.001832860287</v>
      </c>
      <c r="J68" s="125">
        <f t="shared" si="14"/>
        <v>0.01510037408</v>
      </c>
      <c r="K68" s="81"/>
      <c r="L68" s="128">
        <v>3.98</v>
      </c>
      <c r="M68" s="128">
        <v>0.0</v>
      </c>
      <c r="N68" s="128">
        <v>0.0</v>
      </c>
      <c r="O68" s="81"/>
      <c r="P68" s="123" t="str">
        <f t="shared" ref="P68:R68" si="15">A68</f>
        <v>LU2-LU3</v>
      </c>
      <c r="Q68" s="122">
        <f t="shared" si="15"/>
        <v>4</v>
      </c>
      <c r="R68" s="122">
        <f t="shared" si="15"/>
        <v>3.98</v>
      </c>
      <c r="S68" s="16">
        <v>1.5</v>
      </c>
      <c r="T68" s="123">
        <f t="shared" si="12"/>
        <v>0.85</v>
      </c>
      <c r="U68" s="121">
        <v>23.0</v>
      </c>
      <c r="V68" s="141">
        <f t="shared" si="13"/>
        <v>0.001664363636</v>
      </c>
      <c r="W68" s="125">
        <f t="shared" si="16"/>
        <v>0.01371218182</v>
      </c>
    </row>
    <row r="69">
      <c r="A69" s="130" t="s">
        <v>171</v>
      </c>
      <c r="B69" s="132">
        <f>($B$62*1)/$B$51</f>
        <v>2</v>
      </c>
      <c r="C69" s="134">
        <f t="shared" si="6"/>
        <v>3.98</v>
      </c>
      <c r="D69" s="16">
        <v>1.5</v>
      </c>
      <c r="E69" s="134">
        <f t="shared" si="7"/>
        <v>0.0148137</v>
      </c>
      <c r="F69" s="134">
        <f t="shared" si="8"/>
        <v>0.0001378</v>
      </c>
      <c r="G69" s="134">
        <f>QDL!K$4</f>
        <v>0.85</v>
      </c>
      <c r="H69" s="132">
        <f t="shared" si="9"/>
        <v>0.2016146316</v>
      </c>
      <c r="I69" s="138">
        <f t="shared" si="10"/>
        <v>0.0009164301437</v>
      </c>
      <c r="J69" s="138">
        <f t="shared" si="14"/>
        <v>0.01601680422</v>
      </c>
      <c r="K69" s="81"/>
      <c r="L69" s="128">
        <v>3.98</v>
      </c>
      <c r="M69" s="128">
        <v>0.0</v>
      </c>
      <c r="N69" s="128">
        <v>0.0</v>
      </c>
      <c r="O69" s="81"/>
      <c r="P69" s="123" t="str">
        <f t="shared" ref="P69:R69" si="17">A69</f>
        <v>LU3-LU4*</v>
      </c>
      <c r="Q69" s="132">
        <f t="shared" si="17"/>
        <v>2</v>
      </c>
      <c r="R69" s="132">
        <f t="shared" si="17"/>
        <v>3.98</v>
      </c>
      <c r="S69" s="16">
        <v>1.5</v>
      </c>
      <c r="T69" s="123">
        <f t="shared" si="12"/>
        <v>0.85</v>
      </c>
      <c r="U69" s="130">
        <v>23.0</v>
      </c>
      <c r="V69" s="141">
        <f t="shared" si="13"/>
        <v>0.0008321818182</v>
      </c>
      <c r="W69" s="125">
        <f t="shared" si="16"/>
        <v>0.01454436364</v>
      </c>
    </row>
    <row r="70">
      <c r="J70" s="202"/>
      <c r="L70" s="34" t="s">
        <v>177</v>
      </c>
    </row>
    <row r="71">
      <c r="A71" s="34" t="s">
        <v>166</v>
      </c>
      <c r="J71" s="202"/>
      <c r="K71" s="202"/>
    </row>
    <row r="72">
      <c r="P72" s="34" t="s">
        <v>178</v>
      </c>
    </row>
    <row r="73">
      <c r="A73" s="34" t="s">
        <v>167</v>
      </c>
    </row>
    <row r="74">
      <c r="A74" s="34" t="s">
        <v>168</v>
      </c>
    </row>
    <row r="76">
      <c r="A76" s="34" t="s">
        <v>169</v>
      </c>
    </row>
    <row r="97">
      <c r="A97" s="34" t="s">
        <v>170</v>
      </c>
    </row>
    <row r="98">
      <c r="N98" s="34" t="s">
        <v>179</v>
      </c>
    </row>
    <row r="101">
      <c r="U101" s="204"/>
    </row>
    <row r="102">
      <c r="U102" s="206"/>
    </row>
    <row r="103">
      <c r="U103" s="207"/>
    </row>
    <row r="104">
      <c r="U104" s="208"/>
    </row>
    <row r="105">
      <c r="U105" s="209"/>
    </row>
    <row r="117">
      <c r="A117" s="17" t="s">
        <v>172</v>
      </c>
    </row>
    <row r="120">
      <c r="A120" s="17" t="s">
        <v>173</v>
      </c>
      <c r="N120" s="17" t="s">
        <v>173</v>
      </c>
    </row>
    <row r="137">
      <c r="A137" s="99" t="s">
        <v>155</v>
      </c>
      <c r="B137" s="103">
        <f>QDL!H5</f>
        <v>440</v>
      </c>
    </row>
    <row r="138">
      <c r="A138" s="173" t="s">
        <v>113</v>
      </c>
      <c r="B138" s="106">
        <f>QDL!G5</f>
        <v>6</v>
      </c>
    </row>
    <row r="139">
      <c r="P139" s="174" t="s">
        <v>114</v>
      </c>
      <c r="Q139" s="84"/>
      <c r="R139" s="84"/>
      <c r="S139" s="84"/>
      <c r="T139" s="84"/>
      <c r="U139" s="84"/>
      <c r="V139" s="84"/>
      <c r="W139" s="175"/>
    </row>
    <row r="140">
      <c r="A140" s="107" t="s">
        <v>181</v>
      </c>
      <c r="B140" s="3"/>
      <c r="C140" s="3"/>
      <c r="D140" s="3"/>
      <c r="E140" s="3"/>
      <c r="F140" s="3"/>
      <c r="G140" s="3"/>
      <c r="H140" s="3"/>
      <c r="I140" s="3"/>
      <c r="J140" s="4"/>
      <c r="K140" s="98"/>
      <c r="P140" s="118" t="s">
        <v>181</v>
      </c>
      <c r="Q140" s="119"/>
      <c r="R140" s="119"/>
      <c r="S140" s="119"/>
      <c r="T140" s="119"/>
      <c r="U140" s="119"/>
      <c r="V140" s="119"/>
      <c r="W140" s="120"/>
    </row>
    <row r="141">
      <c r="A141" s="111" t="s">
        <v>182</v>
      </c>
      <c r="B141" s="111" t="s">
        <v>116</v>
      </c>
      <c r="C141" s="111" t="s">
        <v>117</v>
      </c>
      <c r="D141" s="113" t="s">
        <v>118</v>
      </c>
      <c r="E141" s="114" t="s">
        <v>119</v>
      </c>
      <c r="F141" s="114" t="s">
        <v>120</v>
      </c>
      <c r="G141" s="114" t="s">
        <v>26</v>
      </c>
      <c r="H141" s="114" t="s">
        <v>122</v>
      </c>
      <c r="I141" s="114" t="s">
        <v>123</v>
      </c>
      <c r="J141" s="114" t="s">
        <v>124</v>
      </c>
      <c r="L141" s="179" t="s">
        <v>125</v>
      </c>
      <c r="M141" s="117" t="s">
        <v>126</v>
      </c>
      <c r="N141" s="117" t="s">
        <v>127</v>
      </c>
      <c r="P141" s="111" t="s">
        <v>182</v>
      </c>
      <c r="Q141" s="111" t="s">
        <v>116</v>
      </c>
      <c r="R141" s="111" t="s">
        <v>117</v>
      </c>
      <c r="S141" s="113" t="s">
        <v>118</v>
      </c>
      <c r="T141" s="114" t="s">
        <v>26</v>
      </c>
      <c r="U141" s="114" t="s">
        <v>131</v>
      </c>
      <c r="V141" s="114" t="s">
        <v>123</v>
      </c>
      <c r="W141" s="114" t="s">
        <v>124</v>
      </c>
    </row>
    <row r="142">
      <c r="A142" s="121" t="s">
        <v>184</v>
      </c>
      <c r="B142" s="122">
        <f>($B$137*6)/$B$51</f>
        <v>12</v>
      </c>
      <c r="C142" s="123">
        <f t="shared" ref="C142:C147" si="19">L142+(M142*1.5)+N142</f>
        <v>10.74</v>
      </c>
      <c r="D142" s="124">
        <v>1.5</v>
      </c>
      <c r="E142" s="123">
        <f t="shared" ref="E142:E147" si="20">14.8137*10^-3</f>
        <v>0.0148137</v>
      </c>
      <c r="F142" s="123">
        <f t="shared" ref="F142:F147" si="21">0.1378*10^-3</f>
        <v>0.0001378</v>
      </c>
      <c r="G142" s="123">
        <f>QDL!K$4</f>
        <v>0.85</v>
      </c>
      <c r="H142" s="122">
        <f t="shared" ref="H142:H147" si="22">2*B142*C142*(E142*G142+F142*SIN(ACOS(G142)))</f>
        <v>3.264333382</v>
      </c>
      <c r="I142" s="125">
        <f t="shared" ref="I142:I147" si="23">H142/220</f>
        <v>0.01483787901</v>
      </c>
      <c r="J142" s="125">
        <f>I142</f>
        <v>0.01483787901</v>
      </c>
      <c r="L142" s="128">
        <f>0.99+1.25</f>
        <v>2.24</v>
      </c>
      <c r="M142" s="221">
        <v>2.0</v>
      </c>
      <c r="N142" s="128">
        <f>7-1.5</f>
        <v>5.5</v>
      </c>
      <c r="P142" s="121" t="str">
        <f t="shared" ref="P142:R142" si="18">A142</f>
        <v>QDL2-LU1</v>
      </c>
      <c r="Q142" s="122">
        <f t="shared" si="18"/>
        <v>12</v>
      </c>
      <c r="R142" s="122">
        <f t="shared" si="18"/>
        <v>10.74</v>
      </c>
      <c r="S142" s="124">
        <v>1.5</v>
      </c>
      <c r="T142" s="123">
        <f t="shared" ref="T142:T147" si="25">G142</f>
        <v>0.85</v>
      </c>
      <c r="U142" s="121">
        <v>23.0</v>
      </c>
      <c r="V142" s="141">
        <f t="shared" ref="V142:V147" si="26">(R142/1000)*Q142*U142*(100/220)/100</f>
        <v>0.01347381818</v>
      </c>
      <c r="W142" s="125">
        <f>V142</f>
        <v>0.01347381818</v>
      </c>
    </row>
    <row r="143">
      <c r="A143" s="130" t="s">
        <v>158</v>
      </c>
      <c r="B143" s="132">
        <f>($B$62*5)/$B$51</f>
        <v>10</v>
      </c>
      <c r="C143" s="134">
        <f t="shared" si="19"/>
        <v>3.09</v>
      </c>
      <c r="D143" s="124">
        <v>1.5</v>
      </c>
      <c r="E143" s="134">
        <f t="shared" si="20"/>
        <v>0.0148137</v>
      </c>
      <c r="F143" s="134">
        <f t="shared" si="21"/>
        <v>0.0001378</v>
      </c>
      <c r="G143" s="134">
        <f>QDL!K$4</f>
        <v>0.85</v>
      </c>
      <c r="H143" s="132">
        <f t="shared" si="22"/>
        <v>0.7826497634</v>
      </c>
      <c r="I143" s="138">
        <f t="shared" si="23"/>
        <v>0.003557498925</v>
      </c>
      <c r="J143" s="138">
        <f t="shared" ref="J143:J147" si="27">J142+I143</f>
        <v>0.01839537794</v>
      </c>
      <c r="L143" s="128">
        <v>3.09</v>
      </c>
      <c r="M143" s="128">
        <v>0.0</v>
      </c>
      <c r="N143" s="128">
        <v>0.0</v>
      </c>
      <c r="P143" s="121" t="str">
        <f t="shared" ref="P143:R143" si="24">A143</f>
        <v>LU1-LU2</v>
      </c>
      <c r="Q143" s="132">
        <f t="shared" si="24"/>
        <v>10</v>
      </c>
      <c r="R143" s="132">
        <f t="shared" si="24"/>
        <v>3.09</v>
      </c>
      <c r="S143" s="124">
        <v>1.5</v>
      </c>
      <c r="T143" s="123">
        <f t="shared" si="25"/>
        <v>0.85</v>
      </c>
      <c r="U143" s="130">
        <v>23.0</v>
      </c>
      <c r="V143" s="147">
        <f t="shared" si="26"/>
        <v>0.003230454545</v>
      </c>
      <c r="W143" s="138">
        <f t="shared" ref="W143:W147" si="29">W142+V143</f>
        <v>0.01670427273</v>
      </c>
    </row>
    <row r="144">
      <c r="A144" s="121" t="s">
        <v>165</v>
      </c>
      <c r="B144" s="122">
        <f>($B$62*4)/$B$51</f>
        <v>8</v>
      </c>
      <c r="C144" s="123">
        <f t="shared" si="19"/>
        <v>3.09</v>
      </c>
      <c r="D144" s="124">
        <v>1.5</v>
      </c>
      <c r="E144" s="123">
        <f t="shared" si="20"/>
        <v>0.0148137</v>
      </c>
      <c r="F144" s="123">
        <f t="shared" si="21"/>
        <v>0.0001378</v>
      </c>
      <c r="G144" s="123">
        <f>QDL!K$4</f>
        <v>0.85</v>
      </c>
      <c r="H144" s="122">
        <f t="shared" si="22"/>
        <v>0.6261198108</v>
      </c>
      <c r="I144" s="125">
        <f t="shared" si="23"/>
        <v>0.00284599914</v>
      </c>
      <c r="J144" s="125">
        <f t="shared" si="27"/>
        <v>0.02124137707</v>
      </c>
      <c r="L144" s="128">
        <v>3.09</v>
      </c>
      <c r="M144" s="128">
        <v>0.0</v>
      </c>
      <c r="N144" s="128">
        <v>0.0</v>
      </c>
      <c r="P144" s="121" t="str">
        <f t="shared" ref="P144:R144" si="28">A144</f>
        <v>LU2-LU3</v>
      </c>
      <c r="Q144" s="122">
        <f t="shared" si="28"/>
        <v>8</v>
      </c>
      <c r="R144" s="122">
        <f t="shared" si="28"/>
        <v>3.09</v>
      </c>
      <c r="S144" s="124">
        <v>1.5</v>
      </c>
      <c r="T144" s="123">
        <f t="shared" si="25"/>
        <v>0.85</v>
      </c>
      <c r="U144" s="121">
        <v>23.0</v>
      </c>
      <c r="V144" s="141">
        <f t="shared" si="26"/>
        <v>0.002584363636</v>
      </c>
      <c r="W144" s="125">
        <f t="shared" si="29"/>
        <v>0.01928863636</v>
      </c>
    </row>
    <row r="145">
      <c r="A145" s="130" t="s">
        <v>189</v>
      </c>
      <c r="B145" s="132">
        <f>($B$62*3)/$B$51</f>
        <v>6</v>
      </c>
      <c r="C145" s="134">
        <f t="shared" si="19"/>
        <v>6.3</v>
      </c>
      <c r="D145" s="124">
        <v>1.5</v>
      </c>
      <c r="E145" s="134">
        <f t="shared" si="20"/>
        <v>0.0148137</v>
      </c>
      <c r="F145" s="134">
        <f t="shared" si="21"/>
        <v>0.0001378</v>
      </c>
      <c r="G145" s="134">
        <f>QDL!K$4</f>
        <v>0.85</v>
      </c>
      <c r="H145" s="132">
        <f t="shared" si="22"/>
        <v>0.9574162155</v>
      </c>
      <c r="I145" s="138">
        <f t="shared" si="23"/>
        <v>0.004351891888</v>
      </c>
      <c r="J145" s="138">
        <f t="shared" si="27"/>
        <v>0.02559326896</v>
      </c>
      <c r="L145" s="128">
        <v>4.8</v>
      </c>
      <c r="M145" s="128">
        <v>1.0</v>
      </c>
      <c r="N145" s="128">
        <v>0.0</v>
      </c>
      <c r="P145" s="121" t="str">
        <f t="shared" ref="P145:R145" si="30">A145</f>
        <v>LU3-LU4</v>
      </c>
      <c r="Q145" s="132">
        <f t="shared" si="30"/>
        <v>6</v>
      </c>
      <c r="R145" s="132">
        <f t="shared" si="30"/>
        <v>6.3</v>
      </c>
      <c r="S145" s="124">
        <v>1.5</v>
      </c>
      <c r="T145" s="123">
        <f t="shared" si="25"/>
        <v>0.85</v>
      </c>
      <c r="U145" s="130">
        <v>23.0</v>
      </c>
      <c r="V145" s="141">
        <f t="shared" si="26"/>
        <v>0.003951818182</v>
      </c>
      <c r="W145" s="125">
        <f t="shared" si="29"/>
        <v>0.02324045455</v>
      </c>
    </row>
    <row r="146">
      <c r="A146" s="130" t="s">
        <v>190</v>
      </c>
      <c r="B146" s="132">
        <f>($B$62*2)/$B$51</f>
        <v>4</v>
      </c>
      <c r="C146" s="134">
        <f t="shared" si="19"/>
        <v>4.59</v>
      </c>
      <c r="D146" s="124">
        <v>1.5</v>
      </c>
      <c r="E146" s="134">
        <f t="shared" si="20"/>
        <v>0.0148137</v>
      </c>
      <c r="F146" s="134">
        <f t="shared" si="21"/>
        <v>0.0001378</v>
      </c>
      <c r="G146" s="134">
        <f>QDL!K$4</f>
        <v>0.85</v>
      </c>
      <c r="H146" s="132">
        <f t="shared" si="22"/>
        <v>0.4650307332</v>
      </c>
      <c r="I146" s="138">
        <f t="shared" si="23"/>
        <v>0.00211377606</v>
      </c>
      <c r="J146" s="138">
        <f t="shared" si="27"/>
        <v>0.02770704502</v>
      </c>
      <c r="L146" s="128">
        <v>3.09</v>
      </c>
      <c r="M146" s="128">
        <v>1.0</v>
      </c>
      <c r="N146" s="128">
        <v>0.0</v>
      </c>
      <c r="P146" s="121" t="str">
        <f t="shared" ref="P146:R146" si="31">A146</f>
        <v>LU4-LU5</v>
      </c>
      <c r="Q146" s="132">
        <f t="shared" si="31"/>
        <v>4</v>
      </c>
      <c r="R146" s="132">
        <f t="shared" si="31"/>
        <v>4.59</v>
      </c>
      <c r="S146" s="124">
        <v>1.5</v>
      </c>
      <c r="T146" s="123">
        <f t="shared" si="25"/>
        <v>0.85</v>
      </c>
      <c r="U146" s="130">
        <v>23.0</v>
      </c>
      <c r="V146" s="141">
        <f t="shared" si="26"/>
        <v>0.001919454545</v>
      </c>
      <c r="W146" s="125">
        <f t="shared" si="29"/>
        <v>0.02515990909</v>
      </c>
    </row>
    <row r="147">
      <c r="A147" s="130" t="s">
        <v>191</v>
      </c>
      <c r="B147" s="132">
        <f>($B$62*1)/$B$51</f>
        <v>2</v>
      </c>
      <c r="C147" s="134">
        <f t="shared" si="19"/>
        <v>3.09</v>
      </c>
      <c r="D147" s="124">
        <v>1.5</v>
      </c>
      <c r="E147" s="134">
        <f t="shared" si="20"/>
        <v>0.0148137</v>
      </c>
      <c r="F147" s="134">
        <f t="shared" si="21"/>
        <v>0.0001378</v>
      </c>
      <c r="G147" s="134">
        <f>QDL!K$4</f>
        <v>0.85</v>
      </c>
      <c r="H147" s="132">
        <f t="shared" si="22"/>
        <v>0.1565299527</v>
      </c>
      <c r="I147" s="138">
        <f t="shared" si="23"/>
        <v>0.0007114997849</v>
      </c>
      <c r="J147" s="138">
        <f t="shared" si="27"/>
        <v>0.02841854481</v>
      </c>
      <c r="K147" s="202"/>
      <c r="L147" s="128">
        <v>3.09</v>
      </c>
      <c r="M147" s="128">
        <v>0.0</v>
      </c>
      <c r="N147" s="128">
        <v>0.0</v>
      </c>
      <c r="P147" s="121" t="str">
        <f t="shared" ref="P147:R147" si="32">A147</f>
        <v>LU5-LU6*</v>
      </c>
      <c r="Q147" s="132">
        <f t="shared" si="32"/>
        <v>2</v>
      </c>
      <c r="R147" s="132">
        <f t="shared" si="32"/>
        <v>3.09</v>
      </c>
      <c r="S147" s="124">
        <v>1.5</v>
      </c>
      <c r="T147" s="123">
        <f t="shared" si="25"/>
        <v>0.85</v>
      </c>
      <c r="U147" s="130">
        <v>23.0</v>
      </c>
      <c r="V147" s="141">
        <f t="shared" si="26"/>
        <v>0.0006460909091</v>
      </c>
      <c r="W147" s="125">
        <f t="shared" si="29"/>
        <v>0.025806</v>
      </c>
    </row>
    <row r="148">
      <c r="L148" s="34" t="s">
        <v>192</v>
      </c>
    </row>
    <row r="149">
      <c r="L149" s="34" t="s">
        <v>193</v>
      </c>
    </row>
    <row r="150">
      <c r="L150" s="34" t="s">
        <v>194</v>
      </c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M151" s="43"/>
      <c r="N151" s="43"/>
      <c r="O151" s="43"/>
      <c r="P151" s="43"/>
      <c r="Q151" s="43"/>
      <c r="R151" s="43"/>
      <c r="S151" s="43"/>
      <c r="T151" s="43"/>
    </row>
    <row r="152">
      <c r="A152" s="187" t="s">
        <v>166</v>
      </c>
      <c r="J152" s="202"/>
      <c r="K152" s="202"/>
      <c r="M152" s="43"/>
      <c r="N152" s="43"/>
      <c r="O152" s="43"/>
      <c r="P152" s="43"/>
      <c r="Q152" s="43"/>
      <c r="R152" s="43"/>
      <c r="S152" s="43"/>
      <c r="T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M153" s="43"/>
      <c r="N153" s="43"/>
      <c r="O153" s="43"/>
      <c r="P153" s="187" t="s">
        <v>178</v>
      </c>
      <c r="S153" s="43"/>
      <c r="T153" s="43"/>
    </row>
    <row r="154">
      <c r="A154" s="187" t="s">
        <v>167</v>
      </c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</row>
    <row r="155">
      <c r="A155" s="187" t="s">
        <v>168</v>
      </c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</row>
    <row r="157">
      <c r="A157" s="187" t="s">
        <v>169</v>
      </c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</row>
    <row r="178">
      <c r="A178" s="34" t="s">
        <v>170</v>
      </c>
    </row>
    <row r="179">
      <c r="O179" s="34" t="s">
        <v>179</v>
      </c>
    </row>
    <row r="198">
      <c r="A198" s="17" t="s">
        <v>172</v>
      </c>
    </row>
    <row r="201">
      <c r="A201" s="17" t="s">
        <v>173</v>
      </c>
      <c r="N201" s="17" t="s">
        <v>173</v>
      </c>
    </row>
    <row r="221">
      <c r="A221" s="99" t="s">
        <v>155</v>
      </c>
      <c r="B221" s="103">
        <f>QDL!H6</f>
        <v>440</v>
      </c>
    </row>
    <row r="222">
      <c r="A222" s="173" t="s">
        <v>113</v>
      </c>
      <c r="B222" s="106">
        <f>QDL!G6</f>
        <v>6</v>
      </c>
    </row>
    <row r="223">
      <c r="P223" s="174" t="s">
        <v>114</v>
      </c>
      <c r="Q223" s="84"/>
      <c r="R223" s="84"/>
      <c r="S223" s="84"/>
      <c r="T223" s="84"/>
      <c r="U223" s="84"/>
      <c r="V223" s="84"/>
      <c r="W223" s="175"/>
    </row>
    <row r="224">
      <c r="A224" s="107" t="s">
        <v>156</v>
      </c>
      <c r="B224" s="3"/>
      <c r="C224" s="3"/>
      <c r="D224" s="3"/>
      <c r="E224" s="3"/>
      <c r="F224" s="3"/>
      <c r="G224" s="3"/>
      <c r="H224" s="3"/>
      <c r="I224" s="3"/>
      <c r="J224" s="4"/>
      <c r="K224" s="98"/>
      <c r="P224" s="118" t="s">
        <v>156</v>
      </c>
      <c r="Q224" s="119"/>
      <c r="R224" s="119"/>
      <c r="S224" s="119"/>
      <c r="T224" s="119"/>
      <c r="U224" s="119"/>
      <c r="V224" s="119"/>
      <c r="W224" s="120"/>
    </row>
    <row r="225">
      <c r="A225" s="111" t="s">
        <v>195</v>
      </c>
      <c r="B225" s="111" t="s">
        <v>116</v>
      </c>
      <c r="C225" s="111" t="s">
        <v>117</v>
      </c>
      <c r="D225" s="113" t="s">
        <v>118</v>
      </c>
      <c r="E225" s="114" t="s">
        <v>119</v>
      </c>
      <c r="F225" s="114" t="s">
        <v>120</v>
      </c>
      <c r="G225" s="114" t="s">
        <v>26</v>
      </c>
      <c r="H225" s="114" t="s">
        <v>122</v>
      </c>
      <c r="I225" s="114" t="s">
        <v>123</v>
      </c>
      <c r="J225" s="114" t="s">
        <v>124</v>
      </c>
      <c r="L225" s="179" t="s">
        <v>125</v>
      </c>
      <c r="M225" s="117" t="s">
        <v>126</v>
      </c>
      <c r="N225" s="117" t="s">
        <v>127</v>
      </c>
      <c r="P225" s="111" t="s">
        <v>195</v>
      </c>
      <c r="Q225" s="111" t="s">
        <v>116</v>
      </c>
      <c r="R225" s="111" t="s">
        <v>117</v>
      </c>
      <c r="S225" s="113" t="s">
        <v>118</v>
      </c>
      <c r="T225" s="114" t="s">
        <v>26</v>
      </c>
      <c r="U225" s="114" t="s">
        <v>131</v>
      </c>
      <c r="V225" s="114" t="s">
        <v>123</v>
      </c>
      <c r="W225" s="114" t="s">
        <v>124</v>
      </c>
    </row>
    <row r="226">
      <c r="A226" s="121" t="s">
        <v>196</v>
      </c>
      <c r="B226" s="122">
        <f>($B$221*6)/$B$51</f>
        <v>12</v>
      </c>
      <c r="C226" s="123">
        <f t="shared" ref="C226:C231" si="34">L226+(M226*1.5)+N226</f>
        <v>11.71</v>
      </c>
      <c r="D226" s="124">
        <v>1.5</v>
      </c>
      <c r="E226" s="123">
        <f t="shared" ref="E226:E231" si="35">14.8137*10^-3</f>
        <v>0.0148137</v>
      </c>
      <c r="F226" s="123">
        <f t="shared" ref="F226:F231" si="36">0.1378*10^-3</f>
        <v>0.0001378</v>
      </c>
      <c r="G226" s="123">
        <f>QDL!K$4</f>
        <v>0.85</v>
      </c>
      <c r="H226" s="122">
        <f t="shared" ref="H226:H231" si="37">2*B226*C226*(E226*G226+F226*SIN(ACOS(G226)))</f>
        <v>3.559156788</v>
      </c>
      <c r="I226" s="125">
        <f t="shared" ref="I226:I231" si="38">H226/220</f>
        <v>0.0161779854</v>
      </c>
      <c r="J226" s="125">
        <f>I226</f>
        <v>0.0161779854</v>
      </c>
      <c r="L226" s="128">
        <f>1.84+1.37</f>
        <v>3.21</v>
      </c>
      <c r="M226" s="128">
        <v>2.0</v>
      </c>
      <c r="N226" s="128">
        <v>5.5</v>
      </c>
      <c r="P226" s="121" t="str">
        <f t="shared" ref="P226:R226" si="33">A226</f>
        <v>QDL3-LU1</v>
      </c>
      <c r="Q226" s="122">
        <f t="shared" si="33"/>
        <v>12</v>
      </c>
      <c r="R226" s="122">
        <f t="shared" si="33"/>
        <v>11.71</v>
      </c>
      <c r="S226" s="124">
        <v>1.5</v>
      </c>
      <c r="T226" s="123">
        <f t="shared" ref="T226:T231" si="40">G226</f>
        <v>0.85</v>
      </c>
      <c r="U226" s="121">
        <v>23.0</v>
      </c>
      <c r="V226" s="141">
        <f t="shared" ref="V226:V231" si="41">(R226/1000)*Q226*U226*(100/220)/100</f>
        <v>0.01469072727</v>
      </c>
      <c r="W226" s="125">
        <f>V226</f>
        <v>0.01469072727</v>
      </c>
    </row>
    <row r="227">
      <c r="A227" s="130" t="s">
        <v>158</v>
      </c>
      <c r="B227" s="132">
        <f>($B$62*5)/$B$51</f>
        <v>10</v>
      </c>
      <c r="C227" s="134">
        <f t="shared" si="34"/>
        <v>5.59</v>
      </c>
      <c r="D227" s="124">
        <v>1.5</v>
      </c>
      <c r="E227" s="134">
        <f t="shared" si="35"/>
        <v>0.0148137</v>
      </c>
      <c r="F227" s="134">
        <f t="shared" si="36"/>
        <v>0.0001378</v>
      </c>
      <c r="G227" s="134">
        <f>QDL!K$4</f>
        <v>0.85</v>
      </c>
      <c r="H227" s="132">
        <f t="shared" si="37"/>
        <v>1.415861546</v>
      </c>
      <c r="I227" s="138">
        <f t="shared" si="38"/>
        <v>0.006435734301</v>
      </c>
      <c r="J227" s="138">
        <f t="shared" ref="J227:J231" si="42">J226+I227</f>
        <v>0.0226137197</v>
      </c>
      <c r="L227" s="128">
        <v>5.59</v>
      </c>
      <c r="M227" s="128">
        <v>0.0</v>
      </c>
      <c r="N227" s="128">
        <v>0.0</v>
      </c>
      <c r="P227" s="121" t="str">
        <f t="shared" ref="P227:R227" si="39">A227</f>
        <v>LU1-LU2</v>
      </c>
      <c r="Q227" s="132">
        <f t="shared" si="39"/>
        <v>10</v>
      </c>
      <c r="R227" s="132">
        <f t="shared" si="39"/>
        <v>5.59</v>
      </c>
      <c r="S227" s="124">
        <v>1.5</v>
      </c>
      <c r="T227" s="123">
        <f t="shared" si="40"/>
        <v>0.85</v>
      </c>
      <c r="U227" s="130">
        <v>23.0</v>
      </c>
      <c r="V227" s="147">
        <f t="shared" si="41"/>
        <v>0.005844090909</v>
      </c>
      <c r="W227" s="138">
        <f t="shared" ref="W227:W231" si="44">W226+V227</f>
        <v>0.02053481818</v>
      </c>
    </row>
    <row r="228">
      <c r="A228" s="121" t="s">
        <v>197</v>
      </c>
      <c r="B228" s="122">
        <f>($B$62*4)/$B$51</f>
        <v>8</v>
      </c>
      <c r="C228" s="123">
        <f t="shared" si="34"/>
        <v>6.3</v>
      </c>
      <c r="D228" s="124">
        <v>1.5</v>
      </c>
      <c r="E228" s="123">
        <f t="shared" si="35"/>
        <v>0.0148137</v>
      </c>
      <c r="F228" s="123">
        <f t="shared" si="36"/>
        <v>0.0001378</v>
      </c>
      <c r="G228" s="123">
        <f>QDL!K$4</f>
        <v>0.85</v>
      </c>
      <c r="H228" s="122">
        <f t="shared" si="37"/>
        <v>1.276554954</v>
      </c>
      <c r="I228" s="125">
        <f t="shared" si="38"/>
        <v>0.005802522518</v>
      </c>
      <c r="J228" s="125">
        <f t="shared" si="42"/>
        <v>0.02841624222</v>
      </c>
      <c r="L228" s="128">
        <v>4.8</v>
      </c>
      <c r="M228" s="128">
        <v>1.0</v>
      </c>
      <c r="N228" s="128">
        <v>0.0</v>
      </c>
      <c r="P228" s="121" t="str">
        <f t="shared" ref="P228:R228" si="43">A228</f>
        <v>LU1-LU3</v>
      </c>
      <c r="Q228" s="122">
        <f t="shared" si="43"/>
        <v>8</v>
      </c>
      <c r="R228" s="122">
        <f t="shared" si="43"/>
        <v>6.3</v>
      </c>
      <c r="S228" s="124">
        <v>1.5</v>
      </c>
      <c r="T228" s="123">
        <f t="shared" si="40"/>
        <v>0.85</v>
      </c>
      <c r="U228" s="121">
        <v>23.0</v>
      </c>
      <c r="V228" s="141">
        <f t="shared" si="41"/>
        <v>0.005269090909</v>
      </c>
      <c r="W228" s="125">
        <f t="shared" si="44"/>
        <v>0.02580390909</v>
      </c>
    </row>
    <row r="229">
      <c r="A229" s="130" t="s">
        <v>189</v>
      </c>
      <c r="B229" s="132">
        <f>($B$62*3)/$B$51</f>
        <v>6</v>
      </c>
      <c r="C229" s="134">
        <f t="shared" si="34"/>
        <v>7.09</v>
      </c>
      <c r="D229" s="124">
        <v>1.5</v>
      </c>
      <c r="E229" s="134">
        <f t="shared" si="35"/>
        <v>0.0148137</v>
      </c>
      <c r="F229" s="134">
        <f t="shared" si="36"/>
        <v>0.0001378</v>
      </c>
      <c r="G229" s="134">
        <f>QDL!K$4</f>
        <v>0.85</v>
      </c>
      <c r="H229" s="132">
        <f t="shared" si="37"/>
        <v>1.077473169</v>
      </c>
      <c r="I229" s="138">
        <f t="shared" si="38"/>
        <v>0.004897605316</v>
      </c>
      <c r="J229" s="138">
        <f t="shared" si="42"/>
        <v>0.03331384754</v>
      </c>
      <c r="L229" s="221">
        <v>5.59</v>
      </c>
      <c r="M229" s="221">
        <v>1.0</v>
      </c>
      <c r="N229" s="128">
        <v>0.0</v>
      </c>
      <c r="P229" s="121" t="str">
        <f t="shared" ref="P229:R229" si="45">A229</f>
        <v>LU3-LU4</v>
      </c>
      <c r="Q229" s="132">
        <f t="shared" si="45"/>
        <v>6</v>
      </c>
      <c r="R229" s="132">
        <f t="shared" si="45"/>
        <v>7.09</v>
      </c>
      <c r="S229" s="124">
        <v>1.5</v>
      </c>
      <c r="T229" s="123">
        <f t="shared" si="40"/>
        <v>0.85</v>
      </c>
      <c r="U229" s="130">
        <v>23.0</v>
      </c>
      <c r="V229" s="141">
        <f t="shared" si="41"/>
        <v>0.004447363636</v>
      </c>
      <c r="W229" s="125">
        <f t="shared" si="44"/>
        <v>0.03025127273</v>
      </c>
    </row>
    <row r="230">
      <c r="A230" s="130" t="s">
        <v>190</v>
      </c>
      <c r="B230" s="132">
        <f>($B$62*2)/$B$51</f>
        <v>4</v>
      </c>
      <c r="C230" s="134">
        <f t="shared" si="34"/>
        <v>7.1</v>
      </c>
      <c r="D230" s="124">
        <v>1.5</v>
      </c>
      <c r="E230" s="134">
        <f t="shared" si="35"/>
        <v>0.0148137</v>
      </c>
      <c r="F230" s="134">
        <f t="shared" si="36"/>
        <v>0.0001378</v>
      </c>
      <c r="G230" s="134">
        <f>QDL!K$4</f>
        <v>0.85</v>
      </c>
      <c r="H230" s="132">
        <f t="shared" si="37"/>
        <v>0.7193285852</v>
      </c>
      <c r="I230" s="138">
        <f t="shared" si="38"/>
        <v>0.003269675387</v>
      </c>
      <c r="J230" s="138">
        <f t="shared" si="42"/>
        <v>0.03658352292</v>
      </c>
      <c r="L230" s="128">
        <f>5.6</f>
        <v>5.6</v>
      </c>
      <c r="M230" s="221">
        <v>1.0</v>
      </c>
      <c r="N230" s="128">
        <v>0.0</v>
      </c>
      <c r="P230" s="121" t="str">
        <f t="shared" ref="P230:R230" si="46">A230</f>
        <v>LU4-LU5</v>
      </c>
      <c r="Q230" s="132">
        <f t="shared" si="46"/>
        <v>4</v>
      </c>
      <c r="R230" s="132">
        <f t="shared" si="46"/>
        <v>7.1</v>
      </c>
      <c r="S230" s="124">
        <v>1.5</v>
      </c>
      <c r="T230" s="123">
        <f t="shared" si="40"/>
        <v>0.85</v>
      </c>
      <c r="U230" s="130">
        <v>23.0</v>
      </c>
      <c r="V230" s="141">
        <f t="shared" si="41"/>
        <v>0.002969090909</v>
      </c>
      <c r="W230" s="125">
        <f t="shared" si="44"/>
        <v>0.03322036364</v>
      </c>
    </row>
    <row r="231">
      <c r="A231" s="130" t="s">
        <v>191</v>
      </c>
      <c r="B231" s="132">
        <f>($B$62*1)/$B$51</f>
        <v>2</v>
      </c>
      <c r="C231" s="134">
        <f t="shared" si="34"/>
        <v>5.56</v>
      </c>
      <c r="D231" s="124">
        <v>1.5</v>
      </c>
      <c r="E231" s="134">
        <f t="shared" si="35"/>
        <v>0.0148137</v>
      </c>
      <c r="F231" s="134">
        <f t="shared" si="36"/>
        <v>0.0001378</v>
      </c>
      <c r="G231" s="134">
        <f>QDL!K$4</f>
        <v>0.85</v>
      </c>
      <c r="H231" s="132">
        <f t="shared" si="37"/>
        <v>0.281652601</v>
      </c>
      <c r="I231" s="138">
        <f t="shared" si="38"/>
        <v>0.001280239095</v>
      </c>
      <c r="J231" s="138">
        <f t="shared" si="42"/>
        <v>0.03786376202</v>
      </c>
      <c r="K231" s="202"/>
      <c r="L231" s="128">
        <v>4.06</v>
      </c>
      <c r="M231" s="128">
        <v>1.0</v>
      </c>
      <c r="N231" s="128">
        <v>0.0</v>
      </c>
      <c r="P231" s="121" t="str">
        <f t="shared" ref="P231:R231" si="47">A231</f>
        <v>LU5-LU6*</v>
      </c>
      <c r="Q231" s="132">
        <f t="shared" si="47"/>
        <v>2</v>
      </c>
      <c r="R231" s="132">
        <f t="shared" si="47"/>
        <v>5.56</v>
      </c>
      <c r="S231" s="124">
        <v>1.5</v>
      </c>
      <c r="T231" s="123">
        <f t="shared" si="40"/>
        <v>0.85</v>
      </c>
      <c r="U231" s="130">
        <v>23.0</v>
      </c>
      <c r="V231" s="141">
        <f t="shared" si="41"/>
        <v>0.001162545455</v>
      </c>
      <c r="W231" s="125">
        <f t="shared" si="44"/>
        <v>0.03438290909</v>
      </c>
    </row>
    <row r="232">
      <c r="L232" s="34" t="s">
        <v>198</v>
      </c>
    </row>
    <row r="233">
      <c r="L233" s="34" t="s">
        <v>199</v>
      </c>
    </row>
    <row r="234">
      <c r="L234" s="34" t="s">
        <v>200</v>
      </c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34" t="s">
        <v>201</v>
      </c>
      <c r="O235" s="43"/>
      <c r="P235" s="43"/>
      <c r="Q235" s="43"/>
      <c r="R235" s="43"/>
      <c r="S235" s="43"/>
      <c r="T235" s="43"/>
    </row>
    <row r="236">
      <c r="A236" s="187" t="s">
        <v>166</v>
      </c>
      <c r="J236" s="202"/>
      <c r="K236" s="202"/>
      <c r="L236" s="34" t="s">
        <v>194</v>
      </c>
      <c r="O236" s="43"/>
      <c r="P236" s="43"/>
      <c r="Q236" s="43"/>
      <c r="R236" s="43"/>
      <c r="S236" s="43"/>
      <c r="T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187" t="s">
        <v>178</v>
      </c>
      <c r="S237" s="43"/>
      <c r="T237" s="43"/>
    </row>
    <row r="238">
      <c r="A238" s="187" t="s">
        <v>167</v>
      </c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</row>
    <row r="239">
      <c r="A239" s="187" t="s">
        <v>168</v>
      </c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</row>
    <row r="241">
      <c r="A241" s="187" t="s">
        <v>169</v>
      </c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</row>
    <row r="246">
      <c r="A246" s="222"/>
      <c r="B246" s="223"/>
      <c r="C246" s="224"/>
      <c r="D246" s="224"/>
      <c r="E246" s="224"/>
      <c r="F246" s="224"/>
      <c r="G246" s="224"/>
      <c r="H246" s="224"/>
      <c r="I246" s="224"/>
      <c r="J246" s="224"/>
      <c r="K246" s="224"/>
      <c r="L246" s="224"/>
      <c r="M246" s="224"/>
      <c r="N246" s="224"/>
      <c r="O246" s="225"/>
      <c r="P246" s="224"/>
      <c r="Q246" s="224"/>
      <c r="R246" s="224"/>
      <c r="S246" s="224"/>
      <c r="T246" s="224"/>
    </row>
    <row r="247">
      <c r="A247" s="222"/>
      <c r="B247" s="226"/>
      <c r="C247" s="224"/>
      <c r="D247" s="224"/>
      <c r="E247" s="224"/>
      <c r="F247" s="224"/>
      <c r="G247" s="224"/>
      <c r="H247" s="224"/>
      <c r="I247" s="224"/>
      <c r="J247" s="224"/>
      <c r="K247" s="224"/>
      <c r="L247" s="224"/>
      <c r="M247" s="224"/>
      <c r="N247" s="224"/>
      <c r="O247" s="224"/>
      <c r="P247" s="224"/>
      <c r="Q247" s="224"/>
      <c r="R247" s="224"/>
      <c r="S247" s="224"/>
      <c r="T247" s="224"/>
    </row>
    <row r="248">
      <c r="A248" s="227"/>
      <c r="B248" s="227"/>
      <c r="C248" s="227"/>
      <c r="D248" s="227"/>
      <c r="E248" s="227"/>
      <c r="F248" s="227"/>
      <c r="G248" s="227"/>
      <c r="H248" s="227"/>
      <c r="I248" s="227"/>
      <c r="J248" s="224"/>
      <c r="K248" s="224"/>
      <c r="L248" s="224"/>
      <c r="M248" s="224"/>
      <c r="N248" s="224"/>
      <c r="O248" s="227"/>
    </row>
    <row r="249">
      <c r="A249" s="227"/>
      <c r="B249" s="227"/>
      <c r="C249" s="227"/>
      <c r="D249" s="227"/>
      <c r="E249" s="227"/>
      <c r="F249" s="227"/>
      <c r="G249" s="227"/>
      <c r="H249" s="227"/>
      <c r="I249" s="227"/>
      <c r="J249" s="224"/>
      <c r="K249" s="228"/>
      <c r="L249" s="228"/>
      <c r="M249" s="228"/>
      <c r="N249" s="224"/>
      <c r="O249" s="227"/>
      <c r="P249" s="227"/>
      <c r="Q249" s="227"/>
      <c r="R249" s="227"/>
      <c r="S249" s="227"/>
      <c r="T249" s="227"/>
    </row>
    <row r="250">
      <c r="A250" s="229"/>
      <c r="B250" s="230"/>
      <c r="C250" s="229"/>
      <c r="D250" s="229"/>
      <c r="E250" s="229"/>
      <c r="F250" s="229"/>
      <c r="G250" s="230"/>
      <c r="H250" s="231"/>
      <c r="I250" s="231"/>
      <c r="J250" s="224"/>
      <c r="K250" s="232"/>
      <c r="L250" s="232"/>
      <c r="M250" s="232"/>
      <c r="N250" s="224"/>
      <c r="O250" s="229"/>
      <c r="P250" s="230"/>
      <c r="Q250" s="230"/>
      <c r="R250" s="229"/>
      <c r="S250" s="233"/>
      <c r="T250" s="231"/>
    </row>
    <row r="251">
      <c r="A251" s="229"/>
      <c r="B251" s="230"/>
      <c r="C251" s="229"/>
      <c r="D251" s="229"/>
      <c r="E251" s="229"/>
      <c r="F251" s="229"/>
      <c r="G251" s="230"/>
      <c r="H251" s="231"/>
      <c r="I251" s="231"/>
      <c r="J251" s="224"/>
      <c r="K251" s="232"/>
      <c r="L251" s="232"/>
      <c r="M251" s="232"/>
      <c r="N251" s="224"/>
      <c r="O251" s="229"/>
      <c r="P251" s="230"/>
      <c r="Q251" s="230"/>
      <c r="R251" s="229"/>
      <c r="S251" s="233"/>
      <c r="T251" s="231"/>
    </row>
    <row r="252">
      <c r="A252" s="229"/>
      <c r="B252" s="230"/>
      <c r="C252" s="229"/>
      <c r="D252" s="229"/>
      <c r="E252" s="229"/>
      <c r="F252" s="229"/>
      <c r="G252" s="230"/>
      <c r="H252" s="231"/>
      <c r="I252" s="231"/>
      <c r="J252" s="224"/>
      <c r="K252" s="232"/>
      <c r="L252" s="232"/>
      <c r="M252" s="232"/>
      <c r="N252" s="224"/>
      <c r="O252" s="229"/>
      <c r="P252" s="230"/>
      <c r="Q252" s="230"/>
      <c r="R252" s="229"/>
      <c r="S252" s="233"/>
      <c r="T252" s="231"/>
    </row>
    <row r="253">
      <c r="A253" s="229"/>
      <c r="B253" s="230"/>
      <c r="C253" s="229"/>
      <c r="D253" s="229"/>
      <c r="E253" s="229"/>
      <c r="F253" s="229"/>
      <c r="G253" s="230"/>
      <c r="H253" s="231"/>
      <c r="I253" s="231"/>
      <c r="J253" s="224"/>
      <c r="K253" s="232"/>
      <c r="L253" s="232"/>
      <c r="M253" s="232"/>
      <c r="N253" s="224"/>
      <c r="O253" s="229"/>
      <c r="P253" s="230"/>
      <c r="Q253" s="230"/>
      <c r="R253" s="229"/>
      <c r="S253" s="233"/>
      <c r="T253" s="231"/>
    </row>
    <row r="254">
      <c r="A254" s="229"/>
      <c r="B254" s="230"/>
      <c r="C254" s="229"/>
      <c r="D254" s="229"/>
      <c r="E254" s="229"/>
      <c r="F254" s="229"/>
      <c r="G254" s="230"/>
      <c r="H254" s="231"/>
      <c r="I254" s="231"/>
      <c r="J254" s="224"/>
      <c r="K254" s="232"/>
      <c r="L254" s="232"/>
      <c r="M254" s="232"/>
      <c r="N254" s="224"/>
      <c r="O254" s="229"/>
      <c r="P254" s="230"/>
      <c r="Q254" s="230"/>
      <c r="R254" s="229"/>
      <c r="S254" s="233"/>
      <c r="T254" s="231"/>
    </row>
    <row r="255">
      <c r="A255" s="229"/>
      <c r="B255" s="230"/>
      <c r="C255" s="229"/>
      <c r="D255" s="229"/>
      <c r="E255" s="229"/>
      <c r="F255" s="229"/>
      <c r="G255" s="230"/>
      <c r="H255" s="231"/>
      <c r="I255" s="231"/>
      <c r="J255" s="224"/>
      <c r="K255" s="232"/>
      <c r="L255" s="232"/>
      <c r="M255" s="232"/>
      <c r="N255" s="224"/>
      <c r="O255" s="229"/>
      <c r="P255" s="230"/>
      <c r="Q255" s="230"/>
      <c r="R255" s="229"/>
      <c r="S255" s="233"/>
      <c r="T255" s="231"/>
    </row>
    <row r="256">
      <c r="A256" s="224"/>
      <c r="B256" s="234"/>
      <c r="C256" s="224"/>
      <c r="D256" s="224"/>
      <c r="E256" s="224"/>
      <c r="F256" s="224"/>
      <c r="G256" s="234"/>
      <c r="H256" s="235"/>
      <c r="I256" s="235"/>
      <c r="J256" s="224"/>
      <c r="K256" s="224"/>
      <c r="L256" s="224"/>
      <c r="M256" s="224"/>
      <c r="N256" s="224"/>
      <c r="O256" s="224"/>
      <c r="P256" s="234"/>
      <c r="Q256" s="234"/>
      <c r="R256" s="224"/>
      <c r="S256" s="236"/>
      <c r="T256" s="235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</row>
    <row r="262">
      <c r="A262" s="34" t="s">
        <v>170</v>
      </c>
    </row>
    <row r="263">
      <c r="O263" s="34" t="s">
        <v>179</v>
      </c>
    </row>
    <row r="282">
      <c r="A282" s="17" t="s">
        <v>172</v>
      </c>
    </row>
    <row r="285">
      <c r="A285" s="17" t="s">
        <v>173</v>
      </c>
      <c r="N285" s="17" t="s">
        <v>173</v>
      </c>
    </row>
    <row r="309">
      <c r="A309" s="99" t="s">
        <v>155</v>
      </c>
      <c r="B309" s="103">
        <f>QDL!H7</f>
        <v>440</v>
      </c>
    </row>
    <row r="310">
      <c r="A310" s="173" t="s">
        <v>113</v>
      </c>
      <c r="B310" s="237">
        <v>12.0</v>
      </c>
    </row>
    <row r="311">
      <c r="P311" s="174" t="s">
        <v>114</v>
      </c>
      <c r="Q311" s="84"/>
      <c r="R311" s="84"/>
      <c r="S311" s="84"/>
      <c r="T311" s="84"/>
      <c r="U311" s="84"/>
      <c r="V311" s="84"/>
      <c r="W311" s="175"/>
    </row>
    <row r="312">
      <c r="A312" s="107" t="s">
        <v>159</v>
      </c>
      <c r="B312" s="3"/>
      <c r="C312" s="3"/>
      <c r="D312" s="3"/>
      <c r="E312" s="3"/>
      <c r="F312" s="3"/>
      <c r="G312" s="3"/>
      <c r="H312" s="3"/>
      <c r="I312" s="3"/>
      <c r="J312" s="4"/>
      <c r="K312" s="98"/>
      <c r="P312" s="118" t="s">
        <v>202</v>
      </c>
      <c r="Q312" s="119"/>
      <c r="R312" s="119"/>
      <c r="S312" s="119"/>
      <c r="T312" s="119"/>
      <c r="U312" s="119"/>
      <c r="V312" s="119"/>
      <c r="W312" s="120"/>
    </row>
    <row r="313">
      <c r="A313" s="111" t="s">
        <v>203</v>
      </c>
      <c r="B313" s="111" t="s">
        <v>116</v>
      </c>
      <c r="C313" s="111" t="s">
        <v>117</v>
      </c>
      <c r="D313" s="113" t="s">
        <v>118</v>
      </c>
      <c r="E313" s="114" t="s">
        <v>119</v>
      </c>
      <c r="F313" s="114" t="s">
        <v>120</v>
      </c>
      <c r="G313" s="114" t="s">
        <v>26</v>
      </c>
      <c r="H313" s="114" t="s">
        <v>122</v>
      </c>
      <c r="I313" s="114" t="s">
        <v>123</v>
      </c>
      <c r="J313" s="114" t="s">
        <v>124</v>
      </c>
      <c r="L313" s="179" t="s">
        <v>125</v>
      </c>
      <c r="M313" s="117" t="s">
        <v>126</v>
      </c>
      <c r="N313" s="117" t="s">
        <v>127</v>
      </c>
      <c r="P313" s="111" t="s">
        <v>203</v>
      </c>
      <c r="Q313" s="111" t="s">
        <v>116</v>
      </c>
      <c r="R313" s="111" t="s">
        <v>117</v>
      </c>
      <c r="S313" s="113" t="s">
        <v>118</v>
      </c>
      <c r="T313" s="114" t="s">
        <v>26</v>
      </c>
      <c r="U313" s="114" t="s">
        <v>131</v>
      </c>
      <c r="V313" s="114" t="s">
        <v>123</v>
      </c>
      <c r="W313" s="114" t="s">
        <v>124</v>
      </c>
    </row>
    <row r="314">
      <c r="A314" s="121" t="s">
        <v>204</v>
      </c>
      <c r="B314" s="122">
        <f>($B$221*12)/$B$51</f>
        <v>24</v>
      </c>
      <c r="C314" s="123">
        <f t="shared" ref="C314:C325" si="49">L314+(M314*1.5)+N314</f>
        <v>9.23</v>
      </c>
      <c r="D314" s="124">
        <v>2.5</v>
      </c>
      <c r="E314" s="123">
        <f t="shared" ref="E314:E325" si="50">8.8882*10^-3</f>
        <v>0.0088882</v>
      </c>
      <c r="F314" s="123">
        <f t="shared" ref="F314:F325" si="51">0.1345*10^-3</f>
        <v>0.0001345</v>
      </c>
      <c r="G314" s="123">
        <f>QDL!K$4</f>
        <v>0.85</v>
      </c>
      <c r="H314" s="122">
        <f t="shared" ref="H314:H325" si="52">2*B314*C314*(E314*G314+F314*SIN(ACOS(G314)))</f>
        <v>3.378544299</v>
      </c>
      <c r="I314" s="125">
        <f t="shared" ref="I314:I325" si="53">H314/220</f>
        <v>0.01535701954</v>
      </c>
      <c r="J314" s="125">
        <f>I314</f>
        <v>0.01535701954</v>
      </c>
      <c r="L314" s="128">
        <f>2.23</f>
        <v>2.23</v>
      </c>
      <c r="M314" s="221">
        <v>1.0</v>
      </c>
      <c r="N314" s="128">
        <v>5.5</v>
      </c>
      <c r="P314" s="121" t="str">
        <f t="shared" ref="P314:R314" si="48">A314</f>
        <v>QDL4-LU1</v>
      </c>
      <c r="Q314" s="122">
        <f t="shared" si="48"/>
        <v>24</v>
      </c>
      <c r="R314" s="122">
        <f t="shared" si="48"/>
        <v>9.23</v>
      </c>
      <c r="S314" s="124">
        <v>2.5</v>
      </c>
      <c r="T314" s="123">
        <f t="shared" ref="T314:T325" si="55">G314</f>
        <v>0.85</v>
      </c>
      <c r="U314" s="121">
        <v>14.0</v>
      </c>
      <c r="V314" s="141">
        <f t="shared" ref="V314:V325" si="56">(R314/1000)*Q314*U314*(100/220)/100</f>
        <v>0.01409672727</v>
      </c>
      <c r="W314" s="125">
        <f>V314</f>
        <v>0.01409672727</v>
      </c>
    </row>
    <row r="315">
      <c r="A315" s="130" t="s">
        <v>158</v>
      </c>
      <c r="B315" s="132">
        <f>($B$62*11)/$B$51</f>
        <v>22</v>
      </c>
      <c r="C315" s="134">
        <f t="shared" si="49"/>
        <v>6.65</v>
      </c>
      <c r="D315" s="124">
        <v>2.5</v>
      </c>
      <c r="E315" s="123">
        <f t="shared" si="50"/>
        <v>0.0088882</v>
      </c>
      <c r="F315" s="123">
        <f t="shared" si="51"/>
        <v>0.0001345</v>
      </c>
      <c r="G315" s="134">
        <f>QDL!K$4</f>
        <v>0.85</v>
      </c>
      <c r="H315" s="132">
        <f t="shared" si="52"/>
        <v>2.231315597</v>
      </c>
      <c r="I315" s="138">
        <f t="shared" si="53"/>
        <v>0.01014234362</v>
      </c>
      <c r="J315" s="138">
        <f t="shared" ref="J315:J325" si="57">J314+I315</f>
        <v>0.02549936316</v>
      </c>
      <c r="L315" s="221">
        <v>5.15</v>
      </c>
      <c r="M315" s="221">
        <v>1.0</v>
      </c>
      <c r="N315" s="128">
        <v>0.0</v>
      </c>
      <c r="P315" s="121" t="str">
        <f t="shared" ref="P315:R315" si="54">A315</f>
        <v>LU1-LU2</v>
      </c>
      <c r="Q315" s="122">
        <f t="shared" si="54"/>
        <v>22</v>
      </c>
      <c r="R315" s="132">
        <f t="shared" si="54"/>
        <v>6.65</v>
      </c>
      <c r="S315" s="124">
        <v>2.5</v>
      </c>
      <c r="T315" s="123">
        <f t="shared" si="55"/>
        <v>0.85</v>
      </c>
      <c r="U315" s="121">
        <v>14.0</v>
      </c>
      <c r="V315" s="147">
        <f t="shared" si="56"/>
        <v>0.00931</v>
      </c>
      <c r="W315" s="138">
        <f t="shared" ref="W315:W325" si="59">W314+V315</f>
        <v>0.02340672727</v>
      </c>
    </row>
    <row r="316">
      <c r="A316" s="121" t="s">
        <v>165</v>
      </c>
      <c r="B316" s="122">
        <f>($B$62*10)/$B$51</f>
        <v>20</v>
      </c>
      <c r="C316" s="123">
        <f t="shared" si="49"/>
        <v>5.15</v>
      </c>
      <c r="D316" s="124">
        <v>2.5</v>
      </c>
      <c r="E316" s="123">
        <f t="shared" si="50"/>
        <v>0.0088882</v>
      </c>
      <c r="F316" s="123">
        <f t="shared" si="51"/>
        <v>0.0001345</v>
      </c>
      <c r="G316" s="123">
        <f>QDL!K$4</f>
        <v>0.85</v>
      </c>
      <c r="H316" s="122">
        <f t="shared" si="52"/>
        <v>1.570919388</v>
      </c>
      <c r="I316" s="125">
        <f t="shared" si="53"/>
        <v>0.007140542672</v>
      </c>
      <c r="J316" s="125">
        <f t="shared" si="57"/>
        <v>0.03263990584</v>
      </c>
      <c r="L316" s="221">
        <v>5.15</v>
      </c>
      <c r="M316" s="221">
        <v>0.0</v>
      </c>
      <c r="N316" s="128">
        <v>0.0</v>
      </c>
      <c r="P316" s="121" t="str">
        <f t="shared" ref="P316:R316" si="58">A316</f>
        <v>LU2-LU3</v>
      </c>
      <c r="Q316" s="122">
        <f t="shared" si="58"/>
        <v>20</v>
      </c>
      <c r="R316" s="122">
        <f t="shared" si="58"/>
        <v>5.15</v>
      </c>
      <c r="S316" s="124">
        <v>2.5</v>
      </c>
      <c r="T316" s="123">
        <f t="shared" si="55"/>
        <v>0.85</v>
      </c>
      <c r="U316" s="121">
        <v>14.0</v>
      </c>
      <c r="V316" s="141">
        <f t="shared" si="56"/>
        <v>0.006554545455</v>
      </c>
      <c r="W316" s="125">
        <f t="shared" si="59"/>
        <v>0.02996127273</v>
      </c>
    </row>
    <row r="317">
      <c r="A317" s="130" t="s">
        <v>205</v>
      </c>
      <c r="B317" s="132">
        <f>($B$62*9)/$B$51</f>
        <v>18</v>
      </c>
      <c r="C317" s="134">
        <f t="shared" si="49"/>
        <v>6.65</v>
      </c>
      <c r="D317" s="124">
        <v>2.5</v>
      </c>
      <c r="E317" s="123">
        <f t="shared" si="50"/>
        <v>0.0088882</v>
      </c>
      <c r="F317" s="123">
        <f t="shared" si="51"/>
        <v>0.0001345</v>
      </c>
      <c r="G317" s="134">
        <f>QDL!K$4</f>
        <v>0.85</v>
      </c>
      <c r="H317" s="132">
        <f t="shared" si="52"/>
        <v>1.825621852</v>
      </c>
      <c r="I317" s="138">
        <f t="shared" si="53"/>
        <v>0.008298281145</v>
      </c>
      <c r="J317" s="138">
        <f t="shared" si="57"/>
        <v>0.04093818698</v>
      </c>
      <c r="L317" s="221">
        <v>5.15</v>
      </c>
      <c r="M317" s="221">
        <v>1.0</v>
      </c>
      <c r="N317" s="128">
        <v>0.0</v>
      </c>
      <c r="P317" s="121" t="str">
        <f t="shared" ref="P317:R317" si="60">A317</f>
        <v>LU1-LU4</v>
      </c>
      <c r="Q317" s="122">
        <f t="shared" si="60"/>
        <v>18</v>
      </c>
      <c r="R317" s="132">
        <f t="shared" si="60"/>
        <v>6.65</v>
      </c>
      <c r="S317" s="124">
        <v>2.5</v>
      </c>
      <c r="T317" s="123">
        <f t="shared" si="55"/>
        <v>0.85</v>
      </c>
      <c r="U317" s="121">
        <v>14.0</v>
      </c>
      <c r="V317" s="141">
        <f t="shared" si="56"/>
        <v>0.007617272727</v>
      </c>
      <c r="W317" s="125">
        <f t="shared" si="59"/>
        <v>0.03757854545</v>
      </c>
    </row>
    <row r="318">
      <c r="A318" s="130" t="s">
        <v>190</v>
      </c>
      <c r="B318" s="132">
        <f>($B$62*8)/$B$51</f>
        <v>16</v>
      </c>
      <c r="C318" s="134">
        <f t="shared" si="49"/>
        <v>5.15</v>
      </c>
      <c r="D318" s="124">
        <v>2.5</v>
      </c>
      <c r="E318" s="123">
        <f t="shared" si="50"/>
        <v>0.0088882</v>
      </c>
      <c r="F318" s="123">
        <f t="shared" si="51"/>
        <v>0.0001345</v>
      </c>
      <c r="G318" s="134">
        <f>QDL!K$4</f>
        <v>0.85</v>
      </c>
      <c r="H318" s="132">
        <f t="shared" si="52"/>
        <v>1.25673551</v>
      </c>
      <c r="I318" s="138">
        <f t="shared" si="53"/>
        <v>0.005712434138</v>
      </c>
      <c r="J318" s="138">
        <f t="shared" si="57"/>
        <v>0.04665062112</v>
      </c>
      <c r="L318" s="221">
        <v>5.15</v>
      </c>
      <c r="M318" s="221">
        <v>0.0</v>
      </c>
      <c r="N318" s="128">
        <v>0.0</v>
      </c>
      <c r="P318" s="121" t="str">
        <f t="shared" ref="P318:R318" si="61">A318</f>
        <v>LU4-LU5</v>
      </c>
      <c r="Q318" s="122">
        <f t="shared" si="61"/>
        <v>16</v>
      </c>
      <c r="R318" s="132">
        <f t="shared" si="61"/>
        <v>5.15</v>
      </c>
      <c r="S318" s="124">
        <v>2.5</v>
      </c>
      <c r="T318" s="123">
        <f t="shared" si="55"/>
        <v>0.85</v>
      </c>
      <c r="U318" s="121">
        <v>14.0</v>
      </c>
      <c r="V318" s="141">
        <f t="shared" si="56"/>
        <v>0.005243636364</v>
      </c>
      <c r="W318" s="125">
        <f t="shared" si="59"/>
        <v>0.04282218182</v>
      </c>
    </row>
    <row r="319">
      <c r="A319" s="130" t="s">
        <v>191</v>
      </c>
      <c r="B319" s="132">
        <f>($B$62*7)/$B$51</f>
        <v>14</v>
      </c>
      <c r="C319" s="134">
        <f t="shared" si="49"/>
        <v>5.15</v>
      </c>
      <c r="D319" s="124">
        <v>2.5</v>
      </c>
      <c r="E319" s="123">
        <f t="shared" si="50"/>
        <v>0.0088882</v>
      </c>
      <c r="F319" s="123">
        <f t="shared" si="51"/>
        <v>0.0001345</v>
      </c>
      <c r="G319" s="134">
        <f>QDL!K$4</f>
        <v>0.85</v>
      </c>
      <c r="H319" s="132">
        <f t="shared" si="52"/>
        <v>1.099643572</v>
      </c>
      <c r="I319" s="138">
        <f t="shared" si="53"/>
        <v>0.004998379871</v>
      </c>
      <c r="J319" s="138">
        <f t="shared" si="57"/>
        <v>0.05164900099</v>
      </c>
      <c r="K319" s="202"/>
      <c r="L319" s="221">
        <v>5.15</v>
      </c>
      <c r="M319" s="221">
        <v>0.0</v>
      </c>
      <c r="N319" s="128">
        <v>0.0</v>
      </c>
      <c r="P319" s="121" t="str">
        <f t="shared" ref="P319:R319" si="62">A319</f>
        <v>LU5-LU6*</v>
      </c>
      <c r="Q319" s="122">
        <f t="shared" si="62"/>
        <v>14</v>
      </c>
      <c r="R319" s="132">
        <f t="shared" si="62"/>
        <v>5.15</v>
      </c>
      <c r="S319" s="124">
        <v>2.5</v>
      </c>
      <c r="T319" s="123">
        <f t="shared" si="55"/>
        <v>0.85</v>
      </c>
      <c r="U319" s="121">
        <v>14.0</v>
      </c>
      <c r="V319" s="141">
        <f t="shared" si="56"/>
        <v>0.004588181818</v>
      </c>
      <c r="W319" s="125">
        <f t="shared" si="59"/>
        <v>0.04741036364</v>
      </c>
    </row>
    <row r="320">
      <c r="A320" s="130" t="s">
        <v>206</v>
      </c>
      <c r="B320" s="132">
        <f>($B$62*6)/$B$51</f>
        <v>12</v>
      </c>
      <c r="C320" s="134">
        <f t="shared" si="49"/>
        <v>4.06</v>
      </c>
      <c r="D320" s="124">
        <v>2.5</v>
      </c>
      <c r="E320" s="123">
        <f t="shared" si="50"/>
        <v>0.0088882</v>
      </c>
      <c r="F320" s="123">
        <f t="shared" si="51"/>
        <v>0.0001345</v>
      </c>
      <c r="G320" s="134">
        <f>QDL!K$4</f>
        <v>0.85</v>
      </c>
      <c r="H320" s="132">
        <f t="shared" si="52"/>
        <v>0.7430601221</v>
      </c>
      <c r="I320" s="138">
        <f t="shared" si="53"/>
        <v>0.00337754601</v>
      </c>
      <c r="J320" s="138">
        <f t="shared" si="57"/>
        <v>0.055026547</v>
      </c>
      <c r="L320" s="70">
        <v>4.06</v>
      </c>
      <c r="M320" s="70">
        <v>0.0</v>
      </c>
      <c r="N320" s="70">
        <v>0.0</v>
      </c>
      <c r="P320" s="121" t="str">
        <f t="shared" ref="P320:R320" si="63">A320</f>
        <v>LU1-LU7</v>
      </c>
      <c r="Q320" s="122">
        <f t="shared" si="63"/>
        <v>12</v>
      </c>
      <c r="R320" s="132">
        <f t="shared" si="63"/>
        <v>4.06</v>
      </c>
      <c r="S320" s="124">
        <v>2.5</v>
      </c>
      <c r="T320" s="123">
        <f t="shared" si="55"/>
        <v>0.85</v>
      </c>
      <c r="U320" s="121">
        <v>14.0</v>
      </c>
      <c r="V320" s="141">
        <f t="shared" si="56"/>
        <v>0.003100363636</v>
      </c>
      <c r="W320" s="125">
        <f t="shared" si="59"/>
        <v>0.05051072727</v>
      </c>
    </row>
    <row r="321">
      <c r="A321" s="130" t="s">
        <v>207</v>
      </c>
      <c r="B321" s="132">
        <f>($B$62*5)/$B$51</f>
        <v>10</v>
      </c>
      <c r="C321" s="134">
        <f t="shared" si="49"/>
        <v>6.65</v>
      </c>
      <c r="D321" s="124">
        <v>2.5</v>
      </c>
      <c r="E321" s="123">
        <f t="shared" si="50"/>
        <v>0.0088882</v>
      </c>
      <c r="F321" s="123">
        <f t="shared" si="51"/>
        <v>0.0001345</v>
      </c>
      <c r="G321" s="134">
        <f>QDL!K$4</f>
        <v>0.85</v>
      </c>
      <c r="H321" s="132">
        <f t="shared" si="52"/>
        <v>1.014234362</v>
      </c>
      <c r="I321" s="138">
        <f t="shared" si="53"/>
        <v>0.004610156191</v>
      </c>
      <c r="J321" s="138">
        <f t="shared" si="57"/>
        <v>0.05963670319</v>
      </c>
      <c r="L321" s="221">
        <v>5.15</v>
      </c>
      <c r="M321" s="70">
        <v>1.0</v>
      </c>
      <c r="N321" s="70">
        <v>0.0</v>
      </c>
      <c r="P321" s="121" t="str">
        <f t="shared" ref="P321:R321" si="64">A321</f>
        <v>LU7-LU8</v>
      </c>
      <c r="Q321" s="122">
        <f t="shared" si="64"/>
        <v>10</v>
      </c>
      <c r="R321" s="132">
        <f t="shared" si="64"/>
        <v>6.65</v>
      </c>
      <c r="S321" s="124">
        <v>2.5</v>
      </c>
      <c r="T321" s="123">
        <f t="shared" si="55"/>
        <v>0.85</v>
      </c>
      <c r="U321" s="121">
        <v>14.0</v>
      </c>
      <c r="V321" s="141">
        <f t="shared" si="56"/>
        <v>0.004231818182</v>
      </c>
      <c r="W321" s="125">
        <f t="shared" si="59"/>
        <v>0.05474254545</v>
      </c>
    </row>
    <row r="322">
      <c r="A322" s="130" t="s">
        <v>208</v>
      </c>
      <c r="B322" s="132">
        <f>($B$62*4)/$B$51</f>
        <v>8</v>
      </c>
      <c r="C322" s="134">
        <f t="shared" si="49"/>
        <v>5.15</v>
      </c>
      <c r="D322" s="124">
        <v>2.5</v>
      </c>
      <c r="E322" s="123">
        <f t="shared" si="50"/>
        <v>0.0088882</v>
      </c>
      <c r="F322" s="123">
        <f t="shared" si="51"/>
        <v>0.0001345</v>
      </c>
      <c r="G322" s="134">
        <f>QDL!K$4</f>
        <v>0.85</v>
      </c>
      <c r="H322" s="132">
        <f t="shared" si="52"/>
        <v>0.6283677552</v>
      </c>
      <c r="I322" s="138">
        <f t="shared" si="53"/>
        <v>0.002856217069</v>
      </c>
      <c r="J322" s="138">
        <f t="shared" si="57"/>
        <v>0.06249292026</v>
      </c>
      <c r="L322" s="221">
        <v>5.15</v>
      </c>
      <c r="M322" s="70">
        <v>0.0</v>
      </c>
      <c r="N322" s="70">
        <v>0.0</v>
      </c>
      <c r="P322" s="121" t="str">
        <f t="shared" ref="P322:R322" si="65">A322</f>
        <v>LU8-LU9</v>
      </c>
      <c r="Q322" s="122">
        <f t="shared" si="65"/>
        <v>8</v>
      </c>
      <c r="R322" s="132">
        <f t="shared" si="65"/>
        <v>5.15</v>
      </c>
      <c r="S322" s="124">
        <v>2.5</v>
      </c>
      <c r="T322" s="123">
        <f t="shared" si="55"/>
        <v>0.85</v>
      </c>
      <c r="U322" s="121">
        <v>14.0</v>
      </c>
      <c r="V322" s="141">
        <f t="shared" si="56"/>
        <v>0.002621818182</v>
      </c>
      <c r="W322" s="125">
        <f t="shared" si="59"/>
        <v>0.05736436364</v>
      </c>
    </row>
    <row r="323">
      <c r="A323" s="130" t="s">
        <v>209</v>
      </c>
      <c r="B323" s="132">
        <f>($B$62*3)/$B$51</f>
        <v>6</v>
      </c>
      <c r="C323" s="134">
        <f t="shared" si="49"/>
        <v>6.65</v>
      </c>
      <c r="D323" s="124">
        <v>2.5</v>
      </c>
      <c r="E323" s="123">
        <f t="shared" si="50"/>
        <v>0.0088882</v>
      </c>
      <c r="F323" s="123">
        <f t="shared" si="51"/>
        <v>0.0001345</v>
      </c>
      <c r="G323" s="134">
        <f>QDL!K$4</f>
        <v>0.85</v>
      </c>
      <c r="H323" s="132">
        <f t="shared" si="52"/>
        <v>0.6085406173</v>
      </c>
      <c r="I323" s="138">
        <f t="shared" si="53"/>
        <v>0.002766093715</v>
      </c>
      <c r="J323" s="138">
        <f t="shared" si="57"/>
        <v>0.06525901397</v>
      </c>
      <c r="K323" s="43"/>
      <c r="L323" s="221">
        <v>5.15</v>
      </c>
      <c r="M323" s="70">
        <v>1.0</v>
      </c>
      <c r="N323" s="70">
        <v>0.0</v>
      </c>
      <c r="P323" s="121" t="str">
        <f t="shared" ref="P323:R323" si="66">A323</f>
        <v>LU7-LU10</v>
      </c>
      <c r="Q323" s="122">
        <f t="shared" si="66"/>
        <v>6</v>
      </c>
      <c r="R323" s="132">
        <f t="shared" si="66"/>
        <v>6.65</v>
      </c>
      <c r="S323" s="124">
        <v>2.5</v>
      </c>
      <c r="T323" s="123">
        <f t="shared" si="55"/>
        <v>0.85</v>
      </c>
      <c r="U323" s="121">
        <v>14.0</v>
      </c>
      <c r="V323" s="141">
        <f t="shared" si="56"/>
        <v>0.002539090909</v>
      </c>
      <c r="W323" s="125">
        <f t="shared" si="59"/>
        <v>0.05990345455</v>
      </c>
    </row>
    <row r="324">
      <c r="A324" s="130" t="s">
        <v>210</v>
      </c>
      <c r="B324" s="132">
        <f>($B$62*2)/$B$51</f>
        <v>4</v>
      </c>
      <c r="C324" s="134">
        <f t="shared" si="49"/>
        <v>5.15</v>
      </c>
      <c r="D324" s="124">
        <v>2.5</v>
      </c>
      <c r="E324" s="123">
        <f t="shared" si="50"/>
        <v>0.0088882</v>
      </c>
      <c r="F324" s="123">
        <f t="shared" si="51"/>
        <v>0.0001345</v>
      </c>
      <c r="G324" s="134">
        <f>QDL!K$4</f>
        <v>0.85</v>
      </c>
      <c r="H324" s="132">
        <f t="shared" si="52"/>
        <v>0.3141838776</v>
      </c>
      <c r="I324" s="138">
        <f t="shared" si="53"/>
        <v>0.001428108534</v>
      </c>
      <c r="J324" s="138">
        <f t="shared" si="57"/>
        <v>0.06668712251</v>
      </c>
      <c r="K324" s="202"/>
      <c r="L324" s="221">
        <v>5.15</v>
      </c>
      <c r="M324" s="70">
        <v>0.0</v>
      </c>
      <c r="N324" s="70">
        <v>0.0</v>
      </c>
      <c r="P324" s="121" t="str">
        <f t="shared" ref="P324:R324" si="67">A324</f>
        <v>LU10-LU11</v>
      </c>
      <c r="Q324" s="122">
        <f t="shared" si="67"/>
        <v>4</v>
      </c>
      <c r="R324" s="132">
        <f t="shared" si="67"/>
        <v>5.15</v>
      </c>
      <c r="S324" s="124">
        <v>2.5</v>
      </c>
      <c r="T324" s="123">
        <f t="shared" si="55"/>
        <v>0.85</v>
      </c>
      <c r="U324" s="121">
        <v>14.0</v>
      </c>
      <c r="V324" s="141">
        <f t="shared" si="56"/>
        <v>0.001310909091</v>
      </c>
      <c r="W324" s="125">
        <f t="shared" si="59"/>
        <v>0.06121436364</v>
      </c>
    </row>
    <row r="325">
      <c r="A325" s="130" t="s">
        <v>211</v>
      </c>
      <c r="B325" s="132">
        <f>($B$62*1)/$B$51</f>
        <v>2</v>
      </c>
      <c r="C325" s="134">
        <f t="shared" si="49"/>
        <v>5.15</v>
      </c>
      <c r="D325" s="124">
        <v>2.5</v>
      </c>
      <c r="E325" s="123">
        <f t="shared" si="50"/>
        <v>0.0088882</v>
      </c>
      <c r="F325" s="123">
        <f t="shared" si="51"/>
        <v>0.0001345</v>
      </c>
      <c r="G325" s="134">
        <f>QDL!K$4</f>
        <v>0.85</v>
      </c>
      <c r="H325" s="132">
        <f t="shared" si="52"/>
        <v>0.1570919388</v>
      </c>
      <c r="I325" s="138">
        <f t="shared" si="53"/>
        <v>0.0007140542672</v>
      </c>
      <c r="J325" s="138">
        <f t="shared" si="57"/>
        <v>0.06740117677</v>
      </c>
      <c r="K325" s="43"/>
      <c r="L325" s="221">
        <v>5.15</v>
      </c>
      <c r="M325" s="238">
        <v>0.0</v>
      </c>
      <c r="N325" s="238">
        <v>0.0</v>
      </c>
      <c r="O325" s="43"/>
      <c r="P325" s="239" t="str">
        <f t="shared" ref="P325:R325" si="68">A325</f>
        <v>LU11-LU12</v>
      </c>
      <c r="Q325" s="240">
        <f t="shared" si="68"/>
        <v>2</v>
      </c>
      <c r="R325" s="240">
        <f t="shared" si="68"/>
        <v>5.15</v>
      </c>
      <c r="S325" s="241">
        <v>2.5</v>
      </c>
      <c r="T325" s="242">
        <f t="shared" si="55"/>
        <v>0.85</v>
      </c>
      <c r="U325" s="239">
        <v>14.0</v>
      </c>
      <c r="V325" s="243">
        <f t="shared" si="56"/>
        <v>0.0006554545455</v>
      </c>
      <c r="W325" s="244">
        <f t="shared" si="59"/>
        <v>0.06186981818</v>
      </c>
    </row>
    <row r="326">
      <c r="B326" s="245"/>
      <c r="C326" s="245"/>
      <c r="D326" s="246"/>
      <c r="E326" s="245"/>
      <c r="F326" s="245"/>
      <c r="G326" s="245"/>
      <c r="H326" s="245"/>
      <c r="I326" s="245"/>
      <c r="J326" s="247"/>
      <c r="K326" s="43"/>
      <c r="L326" s="34" t="s">
        <v>212</v>
      </c>
      <c r="O326" s="43"/>
      <c r="P326" s="43"/>
      <c r="Q326" s="43"/>
      <c r="R326" s="43"/>
      <c r="S326" s="43"/>
      <c r="T326" s="43"/>
      <c r="U326" s="43"/>
      <c r="V326" s="43"/>
      <c r="W326" s="43"/>
    </row>
    <row r="327">
      <c r="J327" s="43"/>
      <c r="K327" s="43"/>
      <c r="L327" s="34" t="s">
        <v>213</v>
      </c>
      <c r="O327" s="43"/>
      <c r="P327" s="187" t="s">
        <v>178</v>
      </c>
      <c r="S327" s="43"/>
      <c r="T327" s="43"/>
      <c r="U327" s="248"/>
    </row>
    <row r="328">
      <c r="J328" s="43"/>
      <c r="K328" s="43"/>
      <c r="L328" s="34" t="s">
        <v>214</v>
      </c>
      <c r="P328" s="43"/>
      <c r="Q328" s="43"/>
      <c r="R328" s="43"/>
      <c r="S328" s="43"/>
      <c r="T328" s="43"/>
      <c r="U328" s="249"/>
    </row>
    <row r="329">
      <c r="J329" s="43"/>
      <c r="K329" s="43"/>
      <c r="O329" s="43"/>
      <c r="P329" s="43"/>
      <c r="Q329" s="43"/>
      <c r="R329" s="43"/>
      <c r="S329" s="43"/>
      <c r="T329" s="43"/>
      <c r="U329" s="248"/>
    </row>
    <row r="330">
      <c r="A330" s="187" t="s">
        <v>166</v>
      </c>
      <c r="J330" s="43"/>
      <c r="K330" s="43"/>
      <c r="P330" s="43"/>
      <c r="Q330" s="43"/>
      <c r="R330" s="43"/>
      <c r="S330" s="43"/>
      <c r="T330" s="43"/>
      <c r="U330" s="249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34" t="s">
        <v>215</v>
      </c>
      <c r="O331" s="43"/>
      <c r="P331" s="43"/>
      <c r="Q331" s="43"/>
      <c r="R331" s="43"/>
      <c r="S331" s="43"/>
      <c r="T331" s="43"/>
      <c r="U331" s="248"/>
    </row>
    <row r="332">
      <c r="A332" s="187" t="s">
        <v>167</v>
      </c>
      <c r="L332" s="34" t="s">
        <v>216</v>
      </c>
      <c r="O332" s="43"/>
      <c r="P332" s="249"/>
      <c r="Q332" s="249"/>
      <c r="R332" s="249"/>
      <c r="S332" s="249"/>
      <c r="T332" s="249"/>
      <c r="U332" s="249"/>
    </row>
    <row r="333">
      <c r="A333" s="187" t="s">
        <v>168</v>
      </c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224"/>
      <c r="K334" s="224"/>
      <c r="L334" s="224"/>
      <c r="M334" s="224"/>
      <c r="N334" s="224"/>
      <c r="O334" s="225"/>
      <c r="P334" s="224"/>
      <c r="Q334" s="224"/>
      <c r="R334" s="224"/>
      <c r="S334" s="224"/>
      <c r="T334" s="224"/>
    </row>
    <row r="335">
      <c r="A335" s="187" t="s">
        <v>169</v>
      </c>
      <c r="I335" s="43"/>
      <c r="J335" s="98"/>
      <c r="K335" s="98"/>
      <c r="L335" s="98"/>
      <c r="M335" s="98"/>
      <c r="N335" s="98"/>
      <c r="O335" s="250"/>
      <c r="P335" s="251"/>
      <c r="Q335" s="251"/>
      <c r="R335" s="250"/>
      <c r="S335" s="252"/>
      <c r="T335" s="253"/>
    </row>
    <row r="336">
      <c r="A336" s="222"/>
      <c r="B336" s="226"/>
      <c r="C336" s="224"/>
      <c r="D336" s="224"/>
      <c r="E336" s="224"/>
      <c r="F336" s="224"/>
      <c r="G336" s="224"/>
      <c r="H336" s="224"/>
      <c r="I336" s="224"/>
      <c r="J336" s="224"/>
      <c r="K336" s="224"/>
      <c r="L336" s="224"/>
      <c r="M336" s="224"/>
      <c r="N336" s="224"/>
      <c r="O336" s="224"/>
      <c r="P336" s="234"/>
      <c r="Q336" s="234"/>
      <c r="R336" s="224"/>
      <c r="S336" s="236"/>
      <c r="T336" s="235"/>
    </row>
    <row r="337">
      <c r="A337" s="227"/>
      <c r="J337" s="224"/>
      <c r="K337" s="224"/>
      <c r="L337" s="224"/>
      <c r="M337" s="224"/>
      <c r="N337" s="224"/>
      <c r="O337" s="227"/>
    </row>
    <row r="338">
      <c r="A338" s="227"/>
      <c r="B338" s="254"/>
      <c r="C338" s="227"/>
      <c r="D338" s="227"/>
      <c r="E338" s="227"/>
      <c r="F338" s="227"/>
      <c r="G338" s="254"/>
      <c r="H338" s="255"/>
      <c r="I338" s="255"/>
      <c r="J338" s="224"/>
      <c r="K338" s="228"/>
      <c r="L338" s="228"/>
      <c r="M338" s="228"/>
      <c r="N338" s="224"/>
      <c r="O338" s="227"/>
      <c r="P338" s="254"/>
      <c r="Q338" s="254"/>
      <c r="R338" s="227"/>
      <c r="S338" s="256"/>
      <c r="T338" s="255"/>
    </row>
    <row r="339">
      <c r="A339" s="229"/>
      <c r="B339" s="230"/>
      <c r="C339" s="229"/>
      <c r="D339" s="229"/>
      <c r="E339" s="229"/>
      <c r="F339" s="229"/>
      <c r="G339" s="230"/>
      <c r="H339" s="231"/>
      <c r="I339" s="231"/>
      <c r="J339" s="224"/>
      <c r="K339" s="232"/>
      <c r="L339" s="232"/>
      <c r="M339" s="232"/>
      <c r="N339" s="224"/>
      <c r="O339" s="229"/>
      <c r="P339" s="230"/>
      <c r="Q339" s="230"/>
      <c r="R339" s="229"/>
      <c r="S339" s="233"/>
      <c r="T339" s="231"/>
    </row>
    <row r="340">
      <c r="A340" s="229"/>
      <c r="B340" s="230"/>
      <c r="C340" s="229"/>
      <c r="D340" s="229"/>
      <c r="E340" s="229"/>
      <c r="F340" s="229"/>
      <c r="G340" s="230"/>
      <c r="H340" s="231"/>
      <c r="I340" s="231"/>
      <c r="J340" s="224"/>
      <c r="K340" s="232"/>
      <c r="L340" s="232"/>
      <c r="M340" s="232"/>
      <c r="N340" s="224"/>
      <c r="O340" s="229"/>
      <c r="P340" s="230"/>
      <c r="Q340" s="230"/>
      <c r="R340" s="229"/>
      <c r="S340" s="233"/>
      <c r="T340" s="231"/>
    </row>
    <row r="341">
      <c r="A341" s="229"/>
      <c r="B341" s="230"/>
      <c r="C341" s="229"/>
      <c r="D341" s="229"/>
      <c r="E341" s="229"/>
      <c r="F341" s="229"/>
      <c r="G341" s="230"/>
      <c r="H341" s="231"/>
      <c r="I341" s="231"/>
      <c r="J341" s="224"/>
      <c r="K341" s="232"/>
      <c r="L341" s="232"/>
      <c r="M341" s="232"/>
      <c r="N341" s="224"/>
      <c r="O341" s="229"/>
      <c r="P341" s="230"/>
      <c r="Q341" s="230"/>
      <c r="R341" s="229"/>
      <c r="S341" s="233"/>
      <c r="T341" s="231"/>
    </row>
    <row r="342">
      <c r="A342" s="229"/>
      <c r="B342" s="230"/>
      <c r="C342" s="229"/>
      <c r="D342" s="229"/>
      <c r="E342" s="229"/>
      <c r="F342" s="229"/>
      <c r="G342" s="230"/>
      <c r="H342" s="231"/>
      <c r="I342" s="231"/>
      <c r="J342" s="224"/>
      <c r="K342" s="232"/>
      <c r="L342" s="232"/>
      <c r="M342" s="232"/>
      <c r="N342" s="224"/>
      <c r="O342" s="229"/>
      <c r="P342" s="230"/>
      <c r="Q342" s="230"/>
      <c r="R342" s="229"/>
      <c r="S342" s="233"/>
      <c r="T342" s="231"/>
    </row>
    <row r="343">
      <c r="A343" s="229"/>
      <c r="B343" s="230"/>
      <c r="C343" s="229"/>
      <c r="D343" s="229"/>
      <c r="E343" s="229"/>
      <c r="F343" s="229"/>
      <c r="G343" s="230"/>
      <c r="H343" s="231"/>
      <c r="I343" s="231"/>
      <c r="J343" s="224"/>
      <c r="K343" s="232"/>
      <c r="L343" s="232"/>
      <c r="M343" s="232"/>
      <c r="N343" s="224"/>
      <c r="O343" s="229"/>
      <c r="P343" s="230"/>
      <c r="Q343" s="230"/>
      <c r="R343" s="229"/>
      <c r="S343" s="233"/>
      <c r="T343" s="231"/>
    </row>
    <row r="344">
      <c r="A344" s="229"/>
      <c r="B344" s="230"/>
      <c r="C344" s="229"/>
      <c r="D344" s="229"/>
      <c r="E344" s="229"/>
      <c r="F344" s="229"/>
      <c r="G344" s="230"/>
      <c r="H344" s="231"/>
      <c r="I344" s="231"/>
      <c r="J344" s="224"/>
      <c r="K344" s="232"/>
      <c r="L344" s="232"/>
      <c r="M344" s="232"/>
      <c r="N344" s="224"/>
      <c r="O344" s="229"/>
      <c r="P344" s="230"/>
      <c r="Q344" s="230"/>
      <c r="R344" s="229"/>
      <c r="S344" s="233"/>
      <c r="T344" s="231"/>
    </row>
    <row r="345">
      <c r="A345" s="229"/>
      <c r="B345" s="230"/>
      <c r="C345" s="229"/>
      <c r="D345" s="229"/>
      <c r="E345" s="229"/>
      <c r="F345" s="229"/>
      <c r="G345" s="230"/>
      <c r="H345" s="231"/>
      <c r="I345" s="231"/>
      <c r="J345" s="224"/>
      <c r="K345" s="232"/>
      <c r="L345" s="232"/>
      <c r="M345" s="232"/>
      <c r="N345" s="224"/>
      <c r="O345" s="229"/>
      <c r="P345" s="230"/>
      <c r="Q345" s="230"/>
      <c r="R345" s="229"/>
      <c r="S345" s="233"/>
      <c r="T345" s="231"/>
    </row>
    <row r="346">
      <c r="A346" s="229"/>
      <c r="B346" s="230"/>
      <c r="C346" s="229"/>
      <c r="D346" s="229"/>
      <c r="E346" s="229"/>
      <c r="F346" s="229"/>
      <c r="G346" s="230"/>
      <c r="H346" s="231"/>
      <c r="I346" s="231"/>
      <c r="J346" s="224"/>
      <c r="K346" s="232"/>
      <c r="L346" s="232"/>
      <c r="M346" s="232"/>
      <c r="N346" s="224"/>
      <c r="O346" s="229"/>
      <c r="P346" s="230"/>
      <c r="Q346" s="230"/>
      <c r="R346" s="229"/>
      <c r="S346" s="233"/>
      <c r="T346" s="231"/>
    </row>
    <row r="347">
      <c r="A347" s="229"/>
      <c r="B347" s="230"/>
      <c r="C347" s="229"/>
      <c r="D347" s="229"/>
      <c r="E347" s="229"/>
      <c r="F347" s="229"/>
      <c r="G347" s="230"/>
      <c r="H347" s="231"/>
      <c r="I347" s="231"/>
      <c r="J347" s="224"/>
      <c r="K347" s="232"/>
      <c r="L347" s="232"/>
      <c r="M347" s="232"/>
      <c r="N347" s="224"/>
      <c r="O347" s="229"/>
      <c r="P347" s="230"/>
      <c r="Q347" s="230"/>
      <c r="R347" s="229"/>
      <c r="S347" s="233"/>
      <c r="T347" s="231"/>
    </row>
    <row r="348">
      <c r="A348" s="224"/>
      <c r="B348" s="234"/>
      <c r="C348" s="224"/>
      <c r="D348" s="224"/>
      <c r="E348" s="224"/>
      <c r="F348" s="224"/>
      <c r="G348" s="234"/>
      <c r="H348" s="235"/>
      <c r="I348" s="235"/>
      <c r="J348" s="224"/>
      <c r="K348" s="224"/>
      <c r="L348" s="224"/>
      <c r="M348" s="224"/>
      <c r="N348" s="224"/>
      <c r="O348" s="224"/>
      <c r="P348" s="234"/>
      <c r="Q348" s="234"/>
      <c r="R348" s="224"/>
      <c r="S348" s="236"/>
      <c r="T348" s="235"/>
    </row>
    <row r="350">
      <c r="A350" s="34" t="s">
        <v>170</v>
      </c>
    </row>
    <row r="351">
      <c r="O351" s="34" t="s">
        <v>179</v>
      </c>
    </row>
    <row r="363">
      <c r="A363" s="34" t="s">
        <v>170</v>
      </c>
    </row>
    <row r="373">
      <c r="N373" s="17" t="s">
        <v>173</v>
      </c>
    </row>
    <row r="382">
      <c r="A382" s="17" t="s">
        <v>172</v>
      </c>
    </row>
    <row r="384">
      <c r="A384" s="17" t="s">
        <v>173</v>
      </c>
    </row>
  </sheetData>
  <mergeCells count="58">
    <mergeCell ref="A285:G286"/>
    <mergeCell ref="N285:T286"/>
    <mergeCell ref="P311:W311"/>
    <mergeCell ref="A312:J312"/>
    <mergeCell ref="P312:W312"/>
    <mergeCell ref="P327:R327"/>
    <mergeCell ref="A330:I330"/>
    <mergeCell ref="A332:I332"/>
    <mergeCell ref="A333:I333"/>
    <mergeCell ref="A335:H335"/>
    <mergeCell ref="A337:I337"/>
    <mergeCell ref="O337:T337"/>
    <mergeCell ref="O351:Q351"/>
    <mergeCell ref="N373:T374"/>
    <mergeCell ref="I2:T2"/>
    <mergeCell ref="I8:I21"/>
    <mergeCell ref="I23:I24"/>
    <mergeCell ref="I45:O45"/>
    <mergeCell ref="A54:J54"/>
    <mergeCell ref="P54:W54"/>
    <mergeCell ref="P55:W55"/>
    <mergeCell ref="P63:W63"/>
    <mergeCell ref="A64:J64"/>
    <mergeCell ref="P64:W64"/>
    <mergeCell ref="A71:I71"/>
    <mergeCell ref="A73:I73"/>
    <mergeCell ref="A74:I74"/>
    <mergeCell ref="A76:H76"/>
    <mergeCell ref="P72:R72"/>
    <mergeCell ref="N98:P98"/>
    <mergeCell ref="A117:G118"/>
    <mergeCell ref="A120:G121"/>
    <mergeCell ref="N120:T121"/>
    <mergeCell ref="P139:W139"/>
    <mergeCell ref="P140:W140"/>
    <mergeCell ref="A140:J140"/>
    <mergeCell ref="A152:I152"/>
    <mergeCell ref="P153:R153"/>
    <mergeCell ref="A154:I154"/>
    <mergeCell ref="A155:I155"/>
    <mergeCell ref="A157:H157"/>
    <mergeCell ref="O179:Q179"/>
    <mergeCell ref="A198:G199"/>
    <mergeCell ref="A201:G202"/>
    <mergeCell ref="N201:T202"/>
    <mergeCell ref="P223:W223"/>
    <mergeCell ref="A224:J224"/>
    <mergeCell ref="P224:W224"/>
    <mergeCell ref="P237:R237"/>
    <mergeCell ref="A236:I236"/>
    <mergeCell ref="A238:I238"/>
    <mergeCell ref="A239:I239"/>
    <mergeCell ref="A241:H241"/>
    <mergeCell ref="O248:T248"/>
    <mergeCell ref="O263:Q263"/>
    <mergeCell ref="A282:G283"/>
    <mergeCell ref="A382:G383"/>
    <mergeCell ref="A384:G385"/>
  </mergeCells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4" max="4" width="13.25"/>
  </cols>
  <sheetData>
    <row r="2">
      <c r="A2" s="70" t="s">
        <v>92</v>
      </c>
    </row>
    <row r="3">
      <c r="A3" s="5"/>
      <c r="B3" s="5"/>
      <c r="C3" s="5"/>
      <c r="D3" s="5"/>
      <c r="E3" s="71" t="s">
        <v>93</v>
      </c>
    </row>
    <row r="4">
      <c r="A4" s="7" t="s">
        <v>4</v>
      </c>
      <c r="B4" s="7" t="s">
        <v>5</v>
      </c>
      <c r="C4" s="7" t="s">
        <v>6</v>
      </c>
      <c r="D4" s="6" t="s">
        <v>94</v>
      </c>
      <c r="E4" s="72" t="s">
        <v>95</v>
      </c>
      <c r="F4" s="72" t="s">
        <v>96</v>
      </c>
      <c r="G4" s="72" t="s">
        <v>97</v>
      </c>
    </row>
    <row r="5">
      <c r="A5" s="11" t="s">
        <v>20</v>
      </c>
      <c r="B5" s="40" t="s">
        <v>22</v>
      </c>
      <c r="C5" s="16" t="s">
        <v>25</v>
      </c>
      <c r="D5" s="73">
        <f>QDL!I3</f>
        <v>2500</v>
      </c>
      <c r="E5" s="34">
        <v>2500.0</v>
      </c>
      <c r="F5" s="34" t="s">
        <v>98</v>
      </c>
      <c r="G5" s="34" t="s">
        <v>98</v>
      </c>
    </row>
    <row r="6">
      <c r="A6" s="11" t="s">
        <v>43</v>
      </c>
      <c r="B6" s="40" t="s">
        <v>44</v>
      </c>
      <c r="C6" s="36" t="s">
        <v>45</v>
      </c>
      <c r="D6" s="73">
        <f>QDL!I4</f>
        <v>1760</v>
      </c>
      <c r="E6" s="34" t="s">
        <v>98</v>
      </c>
      <c r="F6" s="34">
        <v>1760.0</v>
      </c>
      <c r="G6" s="34" t="s">
        <v>98</v>
      </c>
    </row>
    <row r="7">
      <c r="A7" s="11" t="s">
        <v>48</v>
      </c>
      <c r="B7" s="40" t="s">
        <v>49</v>
      </c>
      <c r="C7" s="36" t="s">
        <v>50</v>
      </c>
      <c r="D7" s="73">
        <f>QDL!I5</f>
        <v>2640</v>
      </c>
      <c r="E7" s="34" t="s">
        <v>98</v>
      </c>
      <c r="F7" s="34" t="s">
        <v>98</v>
      </c>
      <c r="G7" s="34">
        <v>2640.0</v>
      </c>
    </row>
    <row r="8">
      <c r="A8" s="11" t="s">
        <v>51</v>
      </c>
      <c r="B8" s="40" t="s">
        <v>52</v>
      </c>
      <c r="C8" s="34" t="s">
        <v>53</v>
      </c>
      <c r="D8" s="73">
        <f>QDL!I6</f>
        <v>2640</v>
      </c>
      <c r="E8" s="34">
        <v>2640.0</v>
      </c>
      <c r="F8" s="34" t="s">
        <v>98</v>
      </c>
      <c r="G8" s="34" t="s">
        <v>98</v>
      </c>
    </row>
    <row r="9">
      <c r="A9" s="45" t="s">
        <v>54</v>
      </c>
      <c r="B9" s="40" t="s">
        <v>55</v>
      </c>
      <c r="C9" s="27" t="s">
        <v>56</v>
      </c>
      <c r="D9" s="73">
        <f>QDL!I7</f>
        <v>2640</v>
      </c>
      <c r="E9" s="34" t="s">
        <v>98</v>
      </c>
      <c r="F9" s="34">
        <v>2640.0</v>
      </c>
      <c r="G9" s="34" t="s">
        <v>98</v>
      </c>
    </row>
    <row r="10">
      <c r="A10" s="46"/>
      <c r="B10" s="40" t="s">
        <v>58</v>
      </c>
      <c r="C10" s="27" t="s">
        <v>56</v>
      </c>
      <c r="D10" s="73">
        <f>QDL!I8</f>
        <v>2640</v>
      </c>
      <c r="E10" s="34" t="s">
        <v>98</v>
      </c>
      <c r="F10" s="34" t="s">
        <v>98</v>
      </c>
      <c r="G10" s="34">
        <v>2640.0</v>
      </c>
    </row>
    <row r="11">
      <c r="A11" s="46"/>
      <c r="B11" s="74" t="s">
        <v>59</v>
      </c>
    </row>
    <row r="12">
      <c r="A12" s="46"/>
      <c r="B12" s="74" t="s">
        <v>60</v>
      </c>
    </row>
    <row r="13">
      <c r="A13" s="46"/>
      <c r="B13" s="74" t="s">
        <v>61</v>
      </c>
    </row>
    <row r="14">
      <c r="A14" s="46"/>
      <c r="B14" s="74" t="s">
        <v>62</v>
      </c>
    </row>
    <row r="15">
      <c r="A15" s="46"/>
      <c r="B15" s="74" t="s">
        <v>63</v>
      </c>
    </row>
    <row r="16">
      <c r="A16" s="46"/>
      <c r="B16" s="74" t="s">
        <v>64</v>
      </c>
    </row>
    <row r="17">
      <c r="A17" s="46"/>
      <c r="B17" s="74" t="s">
        <v>65</v>
      </c>
    </row>
    <row r="18">
      <c r="A18" s="46"/>
      <c r="B18" s="74" t="s">
        <v>66</v>
      </c>
    </row>
    <row r="19">
      <c r="A19" s="46"/>
      <c r="B19" s="74" t="s">
        <v>67</v>
      </c>
    </row>
    <row r="20">
      <c r="A20" s="46"/>
      <c r="B20" s="74" t="s">
        <v>68</v>
      </c>
    </row>
    <row r="21">
      <c r="A21" s="46"/>
      <c r="B21" s="74" t="s">
        <v>69</v>
      </c>
    </row>
    <row r="22">
      <c r="A22" s="60"/>
      <c r="B22" s="74" t="s">
        <v>70</v>
      </c>
    </row>
    <row r="23">
      <c r="A23" s="11" t="s">
        <v>71</v>
      </c>
      <c r="B23" s="74" t="s">
        <v>72</v>
      </c>
    </row>
    <row r="24">
      <c r="A24" s="45" t="s">
        <v>73</v>
      </c>
      <c r="B24" s="74" t="s">
        <v>74</v>
      </c>
    </row>
    <row r="25">
      <c r="A25" s="60"/>
      <c r="B25" s="74" t="s">
        <v>75</v>
      </c>
    </row>
    <row r="26">
      <c r="A26" s="11" t="s">
        <v>76</v>
      </c>
      <c r="B26" s="74" t="s">
        <v>77</v>
      </c>
    </row>
    <row r="28">
      <c r="A28" s="72" t="s">
        <v>99</v>
      </c>
      <c r="E28" s="73">
        <f t="shared" ref="E28:G28" si="1">SUM(E3:E27)</f>
        <v>5140</v>
      </c>
      <c r="F28" s="73">
        <f t="shared" si="1"/>
        <v>4400</v>
      </c>
      <c r="G28" s="73">
        <f t="shared" si="1"/>
        <v>5280</v>
      </c>
    </row>
    <row r="29">
      <c r="A29" s="72" t="s">
        <v>100</v>
      </c>
      <c r="E29" s="81">
        <f>SUM(E28:G28)</f>
        <v>14820</v>
      </c>
    </row>
    <row r="30">
      <c r="C30" s="34" t="s">
        <v>101</v>
      </c>
      <c r="E30" s="73">
        <f>E29/3</f>
        <v>4940</v>
      </c>
    </row>
    <row r="31">
      <c r="C31" s="34" t="s">
        <v>102</v>
      </c>
      <c r="E31" s="73">
        <f>G28/220</f>
        <v>24</v>
      </c>
    </row>
    <row r="35">
      <c r="A35" s="34" t="s">
        <v>103</v>
      </c>
    </row>
  </sheetData>
  <mergeCells count="10">
    <mergeCell ref="E30:G30"/>
    <mergeCell ref="E31:G31"/>
    <mergeCell ref="A35:G35"/>
    <mergeCell ref="A2:G2"/>
    <mergeCell ref="E3:G3"/>
    <mergeCell ref="A9:A22"/>
    <mergeCell ref="A24:A25"/>
    <mergeCell ref="A28:D28"/>
    <mergeCell ref="A29:D29"/>
    <mergeCell ref="E29:G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23.0"/>
    <col customWidth="1" min="4" max="4" width="21.0"/>
    <col customWidth="1" min="5" max="5" width="36.13"/>
  </cols>
  <sheetData>
    <row r="1">
      <c r="A1" s="82" t="s">
        <v>104</v>
      </c>
      <c r="B1" s="84"/>
      <c r="C1" s="84"/>
      <c r="D1" s="84"/>
      <c r="E1" s="84"/>
      <c r="F1" s="84"/>
      <c r="G1" s="84"/>
      <c r="H1" s="85"/>
      <c r="I1" s="86"/>
      <c r="J1" s="86"/>
      <c r="K1" s="86"/>
    </row>
    <row r="2">
      <c r="A2" s="87" t="s">
        <v>105</v>
      </c>
      <c r="B2" s="88" t="s">
        <v>6</v>
      </c>
      <c r="C2" s="88" t="s">
        <v>106</v>
      </c>
      <c r="D2" s="87" t="s">
        <v>107</v>
      </c>
      <c r="E2" s="87" t="s">
        <v>108</v>
      </c>
      <c r="F2" s="89" t="s">
        <v>109</v>
      </c>
      <c r="G2" s="3"/>
      <c r="H2" s="90"/>
      <c r="I2" s="86"/>
      <c r="J2" s="86"/>
      <c r="K2" s="86"/>
    </row>
    <row r="3">
      <c r="A3" s="91"/>
      <c r="B3" s="91"/>
      <c r="C3" s="91"/>
      <c r="D3" s="91"/>
      <c r="E3" s="91"/>
      <c r="F3" s="92" t="s">
        <v>95</v>
      </c>
      <c r="G3" s="92" t="s">
        <v>96</v>
      </c>
      <c r="H3" s="93" t="s">
        <v>97</v>
      </c>
      <c r="I3" s="86"/>
      <c r="J3" s="86"/>
      <c r="K3" s="86"/>
    </row>
    <row r="4">
      <c r="A4" s="94"/>
      <c r="B4" s="95"/>
      <c r="C4" s="95"/>
      <c r="D4" s="97"/>
      <c r="E4" s="94"/>
      <c r="F4" s="92"/>
      <c r="G4" s="92"/>
      <c r="H4" s="92"/>
      <c r="I4" s="86"/>
      <c r="J4" s="86"/>
      <c r="K4" s="86"/>
    </row>
    <row r="5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</row>
    <row r="6">
      <c r="A6" s="100"/>
      <c r="B6" s="100"/>
      <c r="C6" s="100"/>
      <c r="D6" s="100"/>
      <c r="E6" s="100"/>
      <c r="F6" s="100"/>
      <c r="G6" s="100"/>
      <c r="H6" s="100"/>
      <c r="I6" s="101"/>
      <c r="J6" s="101"/>
      <c r="K6" s="101"/>
    </row>
    <row r="7">
      <c r="A7" s="102" t="s">
        <v>112</v>
      </c>
      <c r="B7" s="3"/>
      <c r="C7" s="3"/>
      <c r="D7" s="3"/>
      <c r="E7" s="3"/>
      <c r="F7" s="3"/>
      <c r="G7" s="3"/>
      <c r="H7" s="4"/>
      <c r="I7" s="86"/>
      <c r="J7" s="86"/>
      <c r="K7" s="86"/>
    </row>
    <row r="8">
      <c r="A8" s="104" t="s">
        <v>105</v>
      </c>
      <c r="B8" s="105" t="s">
        <v>6</v>
      </c>
      <c r="C8" s="105" t="s">
        <v>106</v>
      </c>
      <c r="D8" s="104" t="s">
        <v>107</v>
      </c>
      <c r="E8" s="104" t="s">
        <v>108</v>
      </c>
      <c r="F8" s="102" t="s">
        <v>109</v>
      </c>
      <c r="G8" s="3"/>
      <c r="H8" s="4"/>
      <c r="I8" s="86"/>
      <c r="J8" s="86"/>
      <c r="K8" s="86"/>
    </row>
    <row r="9">
      <c r="A9" s="60"/>
      <c r="B9" s="60"/>
      <c r="C9" s="60"/>
      <c r="D9" s="60"/>
      <c r="E9" s="60"/>
      <c r="F9" s="108" t="s">
        <v>95</v>
      </c>
      <c r="G9" s="108" t="s">
        <v>96</v>
      </c>
      <c r="H9" s="109" t="s">
        <v>97</v>
      </c>
      <c r="I9" s="86"/>
      <c r="J9" s="86"/>
      <c r="K9" s="86"/>
    </row>
    <row r="10">
      <c r="A10" s="108" t="str">
        <f>QDL!B4</f>
        <v>L1</v>
      </c>
      <c r="B10" s="112" t="str">
        <f>QDL!C4</f>
        <v>SALA DE CALDEIRAS</v>
      </c>
      <c r="C10" s="112">
        <f>DISJUNTORES!E4</f>
        <v>10</v>
      </c>
      <c r="D10" s="115" t="s">
        <v>121</v>
      </c>
      <c r="E10" s="116">
        <v>5.0</v>
      </c>
      <c r="F10" s="108" t="str">
        <f>'QDL-BALANÇO TOTAL'!E6</f>
        <v>-</v>
      </c>
      <c r="G10" s="108">
        <f>'QDL-BALANÇO TOTAL'!F6</f>
        <v>1760</v>
      </c>
      <c r="H10" s="108" t="str">
        <f>'QDL-BALANÇO TOTAL'!G6</f>
        <v>-</v>
      </c>
      <c r="I10" s="86"/>
      <c r="J10" s="86"/>
      <c r="K10" s="86"/>
    </row>
    <row r="11">
      <c r="A11" s="86"/>
      <c r="B11" s="86"/>
      <c r="C11" s="86"/>
      <c r="E11" s="86"/>
      <c r="F11" s="86"/>
      <c r="G11" s="86"/>
      <c r="H11" s="86"/>
      <c r="I11" s="86"/>
      <c r="J11" s="86"/>
      <c r="K11" s="86"/>
    </row>
    <row r="23">
      <c r="J23" s="126" t="s">
        <v>128</v>
      </c>
    </row>
    <row r="46">
      <c r="J46" s="34" t="s">
        <v>108</v>
      </c>
    </row>
    <row r="48">
      <c r="J48" s="68" t="s">
        <v>129</v>
      </c>
    </row>
    <row r="68">
      <c r="J68" s="133" t="s">
        <v>134</v>
      </c>
      <c r="K68" s="3"/>
      <c r="L68" s="3"/>
      <c r="M68" s="3"/>
      <c r="N68" s="90"/>
    </row>
    <row r="71">
      <c r="A71" s="136"/>
      <c r="B71" s="137"/>
      <c r="C71" s="137"/>
      <c r="D71" s="137"/>
      <c r="E71" s="137"/>
      <c r="F71" s="137"/>
      <c r="G71" s="137"/>
      <c r="H71" s="139"/>
    </row>
    <row r="72">
      <c r="A72" s="102" t="s">
        <v>140</v>
      </c>
      <c r="B72" s="3"/>
      <c r="C72" s="3"/>
      <c r="D72" s="3"/>
      <c r="E72" s="3"/>
      <c r="F72" s="3"/>
      <c r="G72" s="3"/>
      <c r="H72" s="4"/>
    </row>
    <row r="73">
      <c r="A73" s="104" t="s">
        <v>105</v>
      </c>
      <c r="B73" s="105" t="s">
        <v>6</v>
      </c>
      <c r="C73" s="105" t="s">
        <v>106</v>
      </c>
      <c r="D73" s="104" t="s">
        <v>107</v>
      </c>
      <c r="E73" s="104" t="s">
        <v>108</v>
      </c>
      <c r="F73" s="102" t="s">
        <v>109</v>
      </c>
      <c r="G73" s="3"/>
      <c r="H73" s="4"/>
    </row>
    <row r="74">
      <c r="A74" s="60"/>
      <c r="B74" s="60"/>
      <c r="C74" s="60"/>
      <c r="D74" s="60"/>
      <c r="E74" s="60"/>
      <c r="F74" s="108" t="s">
        <v>95</v>
      </c>
      <c r="G74" s="108" t="s">
        <v>96</v>
      </c>
      <c r="H74" s="109" t="s">
        <v>97</v>
      </c>
    </row>
    <row r="75">
      <c r="A75" s="108" t="str">
        <f>QDL!B5</f>
        <v>L2</v>
      </c>
      <c r="B75" s="112" t="str">
        <f>QDL!C5</f>
        <v>COMPRESSOR (BOMBAS E PRENSA)</v>
      </c>
      <c r="C75" s="112">
        <f>DISJUNTORES!E5</f>
        <v>16</v>
      </c>
      <c r="D75" s="149" t="s">
        <v>147</v>
      </c>
      <c r="E75" s="116">
        <v>5.0</v>
      </c>
      <c r="F75" s="108" t="str">
        <f>'QDL-BALANÇO TOTAL'!E7</f>
        <v>-</v>
      </c>
      <c r="G75" s="108" t="str">
        <f>'QDL-BALANÇO TOTAL'!F7</f>
        <v>-</v>
      </c>
      <c r="H75" s="108">
        <f>'QDL-BALANÇO TOTAL'!G7</f>
        <v>2640</v>
      </c>
    </row>
    <row r="76">
      <c r="A76" s="153"/>
      <c r="B76" s="155"/>
      <c r="C76" s="155"/>
      <c r="D76" s="153"/>
      <c r="E76" s="153"/>
      <c r="F76" s="153"/>
      <c r="G76" s="153"/>
      <c r="H76" s="153"/>
    </row>
    <row r="77">
      <c r="J77" s="86"/>
      <c r="K77" s="86"/>
    </row>
    <row r="78">
      <c r="J78" s="101"/>
      <c r="K78" s="101"/>
    </row>
    <row r="79">
      <c r="J79" s="86"/>
      <c r="K79" s="86"/>
    </row>
    <row r="80">
      <c r="J80" s="86"/>
      <c r="K80" s="86"/>
    </row>
    <row r="81">
      <c r="J81" s="86"/>
      <c r="K81" s="86"/>
    </row>
    <row r="82">
      <c r="J82" s="86"/>
      <c r="K82" s="86"/>
    </row>
    <row r="83">
      <c r="J83" s="86"/>
      <c r="K83" s="86"/>
    </row>
    <row r="95">
      <c r="I95" s="101"/>
      <c r="J95" s="126" t="s">
        <v>128</v>
      </c>
    </row>
    <row r="96">
      <c r="I96" s="161"/>
    </row>
    <row r="97">
      <c r="I97" s="161"/>
    </row>
    <row r="98">
      <c r="I98" s="161"/>
    </row>
    <row r="99">
      <c r="I99" s="161"/>
    </row>
    <row r="100">
      <c r="I100" s="161"/>
    </row>
    <row r="101">
      <c r="A101" s="101"/>
      <c r="B101" s="101"/>
      <c r="C101" s="101"/>
      <c r="D101" s="101"/>
      <c r="E101" s="101"/>
      <c r="F101" s="101"/>
      <c r="G101" s="101"/>
      <c r="H101" s="101"/>
      <c r="I101" s="161"/>
    </row>
    <row r="102">
      <c r="I102" s="161"/>
    </row>
    <row r="103">
      <c r="I103" s="161"/>
    </row>
    <row r="104">
      <c r="I104" s="161"/>
    </row>
    <row r="105">
      <c r="I105" s="161"/>
    </row>
    <row r="106">
      <c r="I106" s="161"/>
    </row>
    <row r="107">
      <c r="I107" s="161"/>
    </row>
    <row r="108">
      <c r="I108" s="161"/>
    </row>
    <row r="109">
      <c r="I109" s="161"/>
    </row>
    <row r="110">
      <c r="I110" s="161"/>
    </row>
    <row r="111">
      <c r="I111" s="161"/>
    </row>
    <row r="112">
      <c r="I112" s="172"/>
    </row>
    <row r="113">
      <c r="I113" s="86"/>
    </row>
    <row r="114">
      <c r="I114" s="86"/>
    </row>
    <row r="115">
      <c r="I115" s="86"/>
    </row>
    <row r="116">
      <c r="I116" s="86"/>
    </row>
    <row r="117">
      <c r="I117" s="86"/>
    </row>
    <row r="118">
      <c r="I118" s="86"/>
      <c r="J118" s="34" t="s">
        <v>108</v>
      </c>
    </row>
    <row r="119">
      <c r="I119" s="86"/>
    </row>
    <row r="120">
      <c r="I120" s="86"/>
      <c r="J120" s="68" t="s">
        <v>129</v>
      </c>
    </row>
    <row r="121">
      <c r="I121" s="86"/>
    </row>
    <row r="122">
      <c r="I122" s="86"/>
    </row>
    <row r="123">
      <c r="I123" s="86"/>
    </row>
    <row r="124">
      <c r="I124" s="86"/>
    </row>
    <row r="125">
      <c r="I125" s="86"/>
    </row>
    <row r="140">
      <c r="J140" s="133" t="s">
        <v>134</v>
      </c>
      <c r="K140" s="3"/>
      <c r="L140" s="3"/>
      <c r="M140" s="3"/>
      <c r="N140" s="90"/>
    </row>
    <row r="143">
      <c r="A143" s="102" t="s">
        <v>156</v>
      </c>
      <c r="B143" s="3"/>
      <c r="C143" s="3"/>
      <c r="D143" s="3"/>
      <c r="E143" s="3"/>
      <c r="F143" s="3"/>
      <c r="G143" s="3"/>
      <c r="H143" s="4"/>
    </row>
    <row r="144">
      <c r="A144" s="104" t="s">
        <v>105</v>
      </c>
      <c r="B144" s="105" t="s">
        <v>6</v>
      </c>
      <c r="C144" s="105" t="s">
        <v>106</v>
      </c>
      <c r="D144" s="104" t="s">
        <v>107</v>
      </c>
      <c r="E144" s="104" t="s">
        <v>108</v>
      </c>
      <c r="F144" s="102" t="s">
        <v>109</v>
      </c>
      <c r="G144" s="3"/>
      <c r="H144" s="4"/>
    </row>
    <row r="145">
      <c r="A145" s="60"/>
      <c r="B145" s="60"/>
      <c r="C145" s="60"/>
      <c r="D145" s="60"/>
      <c r="E145" s="60"/>
      <c r="F145" s="108" t="s">
        <v>95</v>
      </c>
      <c r="G145" s="108" t="s">
        <v>96</v>
      </c>
      <c r="H145" s="109" t="s">
        <v>97</v>
      </c>
    </row>
    <row r="146">
      <c r="A146" s="108" t="str">
        <f>QDL!B6</f>
        <v>L3</v>
      </c>
      <c r="B146" s="112" t="str">
        <f>QDL!C6</f>
        <v>DEPÓSITO DE CARCAÇAS</v>
      </c>
      <c r="C146" s="112">
        <f>DISJUNTORES!E6</f>
        <v>16</v>
      </c>
      <c r="D146" s="149" t="s">
        <v>147</v>
      </c>
      <c r="E146" s="116">
        <v>5.0</v>
      </c>
      <c r="F146" s="108">
        <f>'QDL-BALANÇO TOTAL'!E8</f>
        <v>2640</v>
      </c>
      <c r="G146" s="108" t="str">
        <f>'QDL-BALANÇO TOTAL'!F8</f>
        <v>-</v>
      </c>
      <c r="H146" s="108" t="str">
        <f>'QDL-BALANÇO TOTAL'!G8</f>
        <v>-</v>
      </c>
    </row>
    <row r="147">
      <c r="A147" s="153"/>
      <c r="B147" s="155"/>
      <c r="C147" s="155"/>
      <c r="D147" s="153"/>
      <c r="E147" s="153"/>
      <c r="F147" s="153"/>
      <c r="G147" s="153"/>
      <c r="H147" s="153"/>
    </row>
    <row r="148">
      <c r="A148" s="101"/>
      <c r="B148" s="101"/>
      <c r="C148" s="101"/>
      <c r="D148" s="101"/>
      <c r="E148" s="101"/>
      <c r="F148" s="101"/>
      <c r="G148" s="101"/>
      <c r="H148" s="101"/>
      <c r="K148" s="86"/>
      <c r="L148" s="86"/>
    </row>
    <row r="149">
      <c r="K149" s="101"/>
      <c r="L149" s="101"/>
    </row>
    <row r="150">
      <c r="K150" s="86"/>
      <c r="L150" s="86"/>
    </row>
    <row r="151">
      <c r="K151" s="86"/>
      <c r="L151" s="86"/>
    </row>
    <row r="152">
      <c r="K152" s="86"/>
      <c r="L152" s="86"/>
    </row>
    <row r="153">
      <c r="K153" s="86"/>
      <c r="L153" s="86"/>
    </row>
    <row r="154">
      <c r="K154" s="86"/>
      <c r="L154" s="86"/>
    </row>
    <row r="166">
      <c r="J166" s="101"/>
      <c r="K166" s="126" t="s">
        <v>128</v>
      </c>
    </row>
    <row r="167">
      <c r="J167" s="161"/>
    </row>
    <row r="168">
      <c r="J168" s="161"/>
    </row>
    <row r="169">
      <c r="J169" s="161"/>
    </row>
    <row r="170">
      <c r="J170" s="161"/>
    </row>
    <row r="171">
      <c r="J171" s="161"/>
    </row>
    <row r="172">
      <c r="J172" s="161"/>
    </row>
    <row r="173">
      <c r="J173" s="161"/>
    </row>
    <row r="174">
      <c r="J174" s="161"/>
    </row>
    <row r="175">
      <c r="J175" s="161"/>
    </row>
    <row r="176">
      <c r="J176" s="161"/>
    </row>
    <row r="177">
      <c r="J177" s="161"/>
    </row>
    <row r="178">
      <c r="J178" s="161"/>
    </row>
    <row r="179">
      <c r="J179" s="161"/>
    </row>
    <row r="180">
      <c r="J180" s="161"/>
    </row>
    <row r="181">
      <c r="J181" s="161"/>
    </row>
    <row r="182">
      <c r="J182" s="161"/>
    </row>
    <row r="183">
      <c r="J183" s="172"/>
    </row>
    <row r="184">
      <c r="J184" s="86"/>
    </row>
    <row r="185">
      <c r="J185" s="86"/>
    </row>
    <row r="186">
      <c r="J186" s="86"/>
    </row>
    <row r="187">
      <c r="J187" s="86"/>
    </row>
    <row r="188">
      <c r="J188" s="86"/>
    </row>
    <row r="189">
      <c r="J189" s="86"/>
      <c r="K189" s="34" t="s">
        <v>108</v>
      </c>
    </row>
    <row r="190">
      <c r="J190" s="86"/>
    </row>
    <row r="191">
      <c r="J191" s="86"/>
      <c r="K191" s="68" t="s">
        <v>129</v>
      </c>
    </row>
    <row r="192">
      <c r="J192" s="86"/>
    </row>
    <row r="193">
      <c r="J193" s="86"/>
    </row>
    <row r="194">
      <c r="J194" s="86"/>
    </row>
    <row r="195">
      <c r="J195" s="86"/>
    </row>
    <row r="196">
      <c r="J196" s="86"/>
    </row>
    <row r="209">
      <c r="K209" s="133" t="s">
        <v>134</v>
      </c>
      <c r="L209" s="3"/>
      <c r="M209" s="3"/>
      <c r="N209" s="3"/>
      <c r="O209" s="90"/>
    </row>
    <row r="210">
      <c r="A210" s="180" t="s">
        <v>159</v>
      </c>
      <c r="B210" s="3"/>
      <c r="C210" s="3"/>
      <c r="D210" s="3"/>
      <c r="E210" s="3"/>
      <c r="F210" s="3"/>
      <c r="G210" s="3"/>
      <c r="H210" s="4"/>
    </row>
    <row r="211">
      <c r="A211" s="104" t="s">
        <v>105</v>
      </c>
      <c r="B211" s="105" t="s">
        <v>6</v>
      </c>
      <c r="C211" s="105" t="s">
        <v>106</v>
      </c>
      <c r="D211" s="104" t="s">
        <v>107</v>
      </c>
      <c r="E211" s="104" t="s">
        <v>108</v>
      </c>
      <c r="F211" s="102" t="s">
        <v>109</v>
      </c>
      <c r="G211" s="3"/>
      <c r="H211" s="4"/>
    </row>
    <row r="212">
      <c r="A212" s="60"/>
      <c r="B212" s="60"/>
      <c r="C212" s="60"/>
      <c r="D212" s="60"/>
      <c r="E212" s="60"/>
      <c r="F212" s="108" t="s">
        <v>95</v>
      </c>
      <c r="G212" s="108" t="s">
        <v>96</v>
      </c>
      <c r="H212" s="109" t="s">
        <v>97</v>
      </c>
    </row>
    <row r="213">
      <c r="A213" s="108" t="str">
        <f>QDL!B7</f>
        <v>L4</v>
      </c>
      <c r="B213" s="112" t="str">
        <f>QDL!C7</f>
        <v>RASPA</v>
      </c>
      <c r="C213" s="112">
        <f>DISJUNTORES!E7</f>
        <v>16</v>
      </c>
      <c r="D213" s="149" t="s">
        <v>147</v>
      </c>
      <c r="E213" s="116">
        <v>5.0</v>
      </c>
      <c r="F213" s="108" t="str">
        <f>'QDL-BALANÇO TOTAL'!E9</f>
        <v>-</v>
      </c>
      <c r="G213" s="108">
        <f>'QDL-BALANÇO TOTAL'!F9</f>
        <v>2640</v>
      </c>
      <c r="H213" s="108" t="str">
        <f>'QDL-BALANÇO TOTAL'!G9</f>
        <v>-</v>
      </c>
    </row>
    <row r="214">
      <c r="A214" s="108" t="str">
        <f>QDL!B8</f>
        <v>L5</v>
      </c>
      <c r="B214" s="115" t="str">
        <f>QDL!C8</f>
        <v>RASPA</v>
      </c>
      <c r="C214" s="115">
        <f>DISJUNTORES!E8</f>
        <v>16</v>
      </c>
      <c r="D214" s="149" t="s">
        <v>147</v>
      </c>
      <c r="E214" s="108">
        <v>5.0</v>
      </c>
      <c r="F214" s="108" t="str">
        <f>'QDL-BALANÇO TOTAL'!E10</f>
        <v>-</v>
      </c>
      <c r="G214" s="108" t="str">
        <f>'QDL-BALANÇO TOTAL'!F10</f>
        <v>-</v>
      </c>
      <c r="H214" s="108">
        <f>'QDL-BALANÇO TOTAL'!G10</f>
        <v>2640</v>
      </c>
      <c r="L214" s="86"/>
      <c r="M214" s="86"/>
    </row>
    <row r="215">
      <c r="A215" s="188" t="str">
        <f>QDL!B9</f>
        <v>L6</v>
      </c>
      <c r="B215" s="189"/>
      <c r="C215" s="189" t="str">
        <f>DISJUNTORES!E9</f>
        <v/>
      </c>
      <c r="D215" s="190" t="str">
        <f>QDL!D205</f>
        <v/>
      </c>
      <c r="E215" s="188"/>
      <c r="F215" s="94"/>
      <c r="G215" s="94"/>
      <c r="H215" s="94"/>
      <c r="L215" s="101"/>
      <c r="M215" s="101"/>
    </row>
    <row r="216">
      <c r="A216" s="191" t="str">
        <f>QDL!B10</f>
        <v>L7</v>
      </c>
      <c r="B216" s="192"/>
      <c r="C216" s="192" t="str">
        <f>DISJUNTORES!E10</f>
        <v/>
      </c>
      <c r="D216" s="195" t="str">
        <f>QDL!D206</f>
        <v/>
      </c>
      <c r="E216" s="191"/>
      <c r="F216" s="92"/>
      <c r="G216" s="92"/>
      <c r="H216" s="92"/>
      <c r="L216" s="86"/>
      <c r="M216" s="86"/>
    </row>
    <row r="217">
      <c r="A217" s="191" t="str">
        <f>QDL!B11</f>
        <v>L8</v>
      </c>
      <c r="B217" s="192"/>
      <c r="C217" s="192" t="str">
        <f>DISJUNTORES!E11</f>
        <v/>
      </c>
      <c r="D217" s="195" t="str">
        <f>QDL!D207</f>
        <v/>
      </c>
      <c r="E217" s="191"/>
      <c r="F217" s="92"/>
      <c r="G217" s="92"/>
      <c r="H217" s="92"/>
      <c r="L217" s="86"/>
      <c r="M217" s="86"/>
    </row>
    <row r="218">
      <c r="A218" s="191" t="str">
        <f>QDL!B12</f>
        <v>L9</v>
      </c>
      <c r="B218" s="192"/>
      <c r="C218" s="192" t="str">
        <f>DISJUNTORES!E12</f>
        <v/>
      </c>
      <c r="D218" s="195" t="str">
        <f>QDL!D208</f>
        <v/>
      </c>
      <c r="E218" s="191"/>
      <c r="F218" s="92"/>
      <c r="G218" s="92"/>
      <c r="H218" s="92"/>
      <c r="L218" s="86"/>
      <c r="M218" s="86"/>
    </row>
    <row r="219">
      <c r="A219" s="191" t="str">
        <f>QDL!B13</f>
        <v>L10</v>
      </c>
      <c r="B219" s="192"/>
      <c r="C219" s="192" t="str">
        <f>DISJUNTORES!E13</f>
        <v/>
      </c>
      <c r="D219" s="195" t="str">
        <f>QDL!D209</f>
        <v/>
      </c>
      <c r="E219" s="191"/>
      <c r="F219" s="92"/>
      <c r="G219" s="92"/>
      <c r="H219" s="92"/>
      <c r="L219" s="86"/>
      <c r="M219" s="86"/>
    </row>
    <row r="220">
      <c r="A220" s="191" t="str">
        <f>QDL!B14</f>
        <v>L11</v>
      </c>
      <c r="B220" s="192"/>
      <c r="C220" s="192" t="str">
        <f>DISJUNTORES!E14</f>
        <v/>
      </c>
      <c r="D220" s="195" t="str">
        <f>QDL!D210</f>
        <v/>
      </c>
      <c r="E220" s="191"/>
      <c r="F220" s="92"/>
      <c r="G220" s="92"/>
      <c r="H220" s="92"/>
      <c r="L220" s="86"/>
      <c r="M220" s="86"/>
    </row>
    <row r="221">
      <c r="A221" s="191" t="str">
        <f>QDL!B15</f>
        <v>L12</v>
      </c>
      <c r="B221" s="192"/>
      <c r="C221" s="192" t="str">
        <f>DISJUNTORES!E15</f>
        <v/>
      </c>
      <c r="D221" s="195" t="str">
        <f>QDL!D211</f>
        <v/>
      </c>
      <c r="E221" s="191"/>
      <c r="F221" s="92"/>
      <c r="G221" s="92"/>
      <c r="H221" s="92"/>
    </row>
    <row r="222">
      <c r="A222" s="191" t="str">
        <f>QDL!B16</f>
        <v>L13</v>
      </c>
      <c r="B222" s="192"/>
      <c r="C222" s="192" t="str">
        <f>DISJUNTORES!E16</f>
        <v/>
      </c>
      <c r="D222" s="195" t="str">
        <f>QDL!D212</f>
        <v/>
      </c>
      <c r="E222" s="191"/>
      <c r="F222" s="92"/>
      <c r="G222" s="92"/>
      <c r="H222" s="92"/>
    </row>
    <row r="223">
      <c r="A223" s="191" t="str">
        <f>QDL!B17</f>
        <v>L14</v>
      </c>
      <c r="B223" s="192"/>
      <c r="C223" s="192" t="str">
        <f>DISJUNTORES!E17</f>
        <v/>
      </c>
      <c r="D223" s="195" t="str">
        <f>QDL!D213</f>
        <v/>
      </c>
      <c r="E223" s="191"/>
      <c r="F223" s="92"/>
      <c r="G223" s="92"/>
      <c r="H223" s="92"/>
    </row>
    <row r="224">
      <c r="A224" s="191" t="str">
        <f>QDL!B18</f>
        <v>L15</v>
      </c>
      <c r="B224" s="192"/>
      <c r="C224" s="192" t="str">
        <f>DISJUNTORES!E18</f>
        <v/>
      </c>
      <c r="D224" s="195" t="str">
        <f>QDL!D214</f>
        <v/>
      </c>
      <c r="E224" s="191"/>
      <c r="F224" s="92"/>
      <c r="G224" s="92"/>
      <c r="H224" s="92"/>
    </row>
    <row r="225">
      <c r="A225" s="191" t="str">
        <f>QDL!B19</f>
        <v>L16</v>
      </c>
      <c r="B225" s="192"/>
      <c r="C225" s="192" t="str">
        <f>DISJUNTORES!E19</f>
        <v/>
      </c>
      <c r="D225" s="195" t="str">
        <f>QDL!D215</f>
        <v/>
      </c>
      <c r="E225" s="191"/>
      <c r="F225" s="92"/>
      <c r="G225" s="92"/>
      <c r="H225" s="92"/>
    </row>
    <row r="226">
      <c r="A226" s="191" t="str">
        <f>QDL!B20</f>
        <v>L17</v>
      </c>
      <c r="B226" s="214"/>
      <c r="C226" s="192" t="str">
        <f>DISJUNTORES!E20</f>
        <v/>
      </c>
      <c r="D226" s="215" t="str">
        <f>QDL!D216</f>
        <v/>
      </c>
      <c r="E226" s="216"/>
      <c r="F226" s="217"/>
      <c r="G226" s="217"/>
      <c r="H226" s="217"/>
    </row>
    <row r="227">
      <c r="A227" s="161"/>
      <c r="B227" s="218"/>
      <c r="C227" s="218"/>
      <c r="D227" s="219"/>
      <c r="E227" s="220" t="s">
        <v>185</v>
      </c>
      <c r="F227" s="220"/>
      <c r="G227" s="220"/>
      <c r="H227" s="220"/>
    </row>
    <row r="230">
      <c r="E230" s="34" t="s">
        <v>186</v>
      </c>
      <c r="F230" s="73">
        <f>SUM(F227:H227)</f>
        <v>0</v>
      </c>
      <c r="M230" s="86"/>
      <c r="N230" s="86"/>
    </row>
    <row r="231">
      <c r="E231" s="34" t="s">
        <v>187</v>
      </c>
      <c r="F231" s="73">
        <f>F230/3</f>
        <v>0</v>
      </c>
      <c r="M231" s="101"/>
      <c r="N231" s="101"/>
    </row>
    <row r="232">
      <c r="D232" s="34" t="s">
        <v>188</v>
      </c>
      <c r="H232" s="73">
        <f>F229/220</f>
        <v>0</v>
      </c>
      <c r="K232" s="101"/>
      <c r="L232" s="126" t="s">
        <v>128</v>
      </c>
    </row>
    <row r="233">
      <c r="K233" s="161"/>
      <c r="M233" s="86"/>
      <c r="N233" s="86"/>
    </row>
    <row r="234">
      <c r="K234" s="161"/>
      <c r="M234" s="86"/>
      <c r="N234" s="86"/>
    </row>
    <row r="235">
      <c r="K235" s="161"/>
      <c r="M235" s="86"/>
      <c r="N235" s="86"/>
    </row>
    <row r="236">
      <c r="K236" s="161"/>
      <c r="M236" s="86"/>
      <c r="N236" s="86"/>
    </row>
    <row r="237">
      <c r="K237" s="161"/>
    </row>
    <row r="238">
      <c r="K238" s="161"/>
    </row>
    <row r="239">
      <c r="K239" s="161"/>
    </row>
    <row r="240">
      <c r="K240" s="161"/>
    </row>
    <row r="241">
      <c r="K241" s="161"/>
    </row>
    <row r="242">
      <c r="K242" s="161"/>
    </row>
    <row r="243">
      <c r="K243" s="161"/>
    </row>
    <row r="244">
      <c r="K244" s="161"/>
    </row>
    <row r="245">
      <c r="K245" s="161"/>
    </row>
    <row r="246">
      <c r="K246" s="161"/>
    </row>
    <row r="247">
      <c r="K247" s="161"/>
    </row>
    <row r="248">
      <c r="K248" s="161"/>
      <c r="L248" s="101"/>
    </row>
    <row r="249">
      <c r="K249" s="172"/>
      <c r="L249" s="161"/>
    </row>
    <row r="250">
      <c r="K250" s="86"/>
      <c r="L250" s="161"/>
    </row>
    <row r="251">
      <c r="K251" s="86"/>
      <c r="L251" s="161"/>
    </row>
    <row r="252">
      <c r="K252" s="86"/>
      <c r="L252" s="161"/>
    </row>
    <row r="253">
      <c r="K253" s="86"/>
      <c r="L253" s="161"/>
    </row>
    <row r="254">
      <c r="K254" s="86"/>
      <c r="L254" s="161"/>
    </row>
    <row r="255">
      <c r="K255" s="86"/>
      <c r="L255" s="34" t="s">
        <v>108</v>
      </c>
    </row>
    <row r="256">
      <c r="K256" s="86"/>
    </row>
    <row r="257">
      <c r="K257" s="86"/>
      <c r="L257" s="68" t="s">
        <v>129</v>
      </c>
    </row>
    <row r="258">
      <c r="K258" s="86"/>
      <c r="L258" s="161"/>
    </row>
    <row r="259">
      <c r="K259" s="86"/>
      <c r="L259" s="161"/>
    </row>
    <row r="260">
      <c r="K260" s="86"/>
      <c r="L260" s="161"/>
    </row>
    <row r="261">
      <c r="K261" s="86"/>
      <c r="L261" s="161"/>
    </row>
    <row r="262">
      <c r="K262" s="86"/>
      <c r="L262" s="161"/>
    </row>
    <row r="263">
      <c r="L263" s="161"/>
    </row>
    <row r="264">
      <c r="L264" s="161"/>
    </row>
    <row r="265">
      <c r="L265" s="172"/>
    </row>
    <row r="266">
      <c r="L266" s="86"/>
    </row>
    <row r="267">
      <c r="L267" s="86"/>
    </row>
    <row r="268">
      <c r="L268" s="86"/>
    </row>
    <row r="269">
      <c r="L269" s="86"/>
    </row>
    <row r="270">
      <c r="L270" s="86"/>
    </row>
    <row r="271">
      <c r="L271" s="86"/>
    </row>
    <row r="272">
      <c r="L272" s="86"/>
    </row>
    <row r="273">
      <c r="L273" s="86"/>
    </row>
    <row r="275">
      <c r="L275" s="133" t="s">
        <v>134</v>
      </c>
      <c r="M275" s="3"/>
      <c r="N275" s="3"/>
      <c r="O275" s="3"/>
      <c r="P275" s="90"/>
    </row>
    <row r="276">
      <c r="L276" s="86"/>
    </row>
    <row r="277">
      <c r="L277" s="86"/>
    </row>
    <row r="278">
      <c r="L278" s="86"/>
    </row>
  </sheetData>
  <mergeCells count="54">
    <mergeCell ref="K189:P189"/>
    <mergeCell ref="K191:P191"/>
    <mergeCell ref="K209:O209"/>
    <mergeCell ref="A210:H210"/>
    <mergeCell ref="A211:A212"/>
    <mergeCell ref="B211:B212"/>
    <mergeCell ref="C211:C212"/>
    <mergeCell ref="F211:H211"/>
    <mergeCell ref="D211:D212"/>
    <mergeCell ref="E211:E212"/>
    <mergeCell ref="F230:H230"/>
    <mergeCell ref="F231:H231"/>
    <mergeCell ref="D232:E232"/>
    <mergeCell ref="L232:P232"/>
    <mergeCell ref="L255:Q255"/>
    <mergeCell ref="A2:A3"/>
    <mergeCell ref="A8:A9"/>
    <mergeCell ref="B8:B9"/>
    <mergeCell ref="C8:C9"/>
    <mergeCell ref="D8:D9"/>
    <mergeCell ref="E8:E9"/>
    <mergeCell ref="A1:H1"/>
    <mergeCell ref="B2:B3"/>
    <mergeCell ref="C2:C3"/>
    <mergeCell ref="D2:D3"/>
    <mergeCell ref="E2:E3"/>
    <mergeCell ref="F2:H2"/>
    <mergeCell ref="A7:H7"/>
    <mergeCell ref="B73:B74"/>
    <mergeCell ref="C73:C74"/>
    <mergeCell ref="F8:H8"/>
    <mergeCell ref="J23:N23"/>
    <mergeCell ref="J46:O46"/>
    <mergeCell ref="J48:O48"/>
    <mergeCell ref="J68:N68"/>
    <mergeCell ref="A72:H72"/>
    <mergeCell ref="A73:A74"/>
    <mergeCell ref="F73:H73"/>
    <mergeCell ref="D73:D74"/>
    <mergeCell ref="E73:E74"/>
    <mergeCell ref="J95:N95"/>
    <mergeCell ref="J118:O118"/>
    <mergeCell ref="J120:O120"/>
    <mergeCell ref="J140:N140"/>
    <mergeCell ref="A143:H143"/>
    <mergeCell ref="A144:A145"/>
    <mergeCell ref="B144:B145"/>
    <mergeCell ref="C144:C145"/>
    <mergeCell ref="D144:D145"/>
    <mergeCell ref="E144:E145"/>
    <mergeCell ref="F144:H144"/>
    <mergeCell ref="K166:O166"/>
    <mergeCell ref="L257:Q257"/>
    <mergeCell ref="L275:P275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4" max="5" width="16.88"/>
    <col customWidth="1" min="6" max="6" width="16.75"/>
  </cols>
  <sheetData>
    <row r="3">
      <c r="A3" s="7" t="s">
        <v>4</v>
      </c>
      <c r="B3" s="7" t="s">
        <v>5</v>
      </c>
      <c r="C3" s="7" t="s">
        <v>6</v>
      </c>
      <c r="D3" s="6" t="s">
        <v>94</v>
      </c>
      <c r="E3" s="6" t="s">
        <v>26</v>
      </c>
    </row>
    <row r="4">
      <c r="A4" s="11" t="s">
        <v>20</v>
      </c>
      <c r="B4" s="40" t="s">
        <v>22</v>
      </c>
      <c r="C4" s="16" t="s">
        <v>25</v>
      </c>
      <c r="D4" s="73">
        <f>QDL!I3</f>
        <v>2500</v>
      </c>
      <c r="E4" s="73">
        <f>QDL!K3</f>
        <v>0.95</v>
      </c>
    </row>
    <row r="5">
      <c r="A5" s="11" t="s">
        <v>43</v>
      </c>
      <c r="B5" s="40" t="s">
        <v>44</v>
      </c>
      <c r="C5" s="36" t="s">
        <v>45</v>
      </c>
      <c r="D5" s="73">
        <f>QDL!I4</f>
        <v>1760</v>
      </c>
      <c r="E5" s="73">
        <f>QDL!K4</f>
        <v>0.85</v>
      </c>
    </row>
    <row r="6">
      <c r="A6" s="11" t="s">
        <v>48</v>
      </c>
      <c r="B6" s="40" t="s">
        <v>49</v>
      </c>
      <c r="C6" s="36" t="s">
        <v>50</v>
      </c>
      <c r="D6" s="73">
        <f>QDL!I5</f>
        <v>2640</v>
      </c>
      <c r="E6" s="73">
        <f>QDL!K5</f>
        <v>0.85</v>
      </c>
    </row>
    <row r="7">
      <c r="A7" s="11" t="s">
        <v>51</v>
      </c>
      <c r="B7" s="40" t="s">
        <v>52</v>
      </c>
      <c r="C7" s="34" t="s">
        <v>53</v>
      </c>
      <c r="D7" s="73">
        <f>QDL!I6</f>
        <v>2640</v>
      </c>
      <c r="E7" s="73">
        <f>QDL!K6</f>
        <v>0.85</v>
      </c>
    </row>
    <row r="8">
      <c r="A8" s="45" t="s">
        <v>54</v>
      </c>
      <c r="B8" s="40" t="s">
        <v>55</v>
      </c>
      <c r="C8" s="27" t="s">
        <v>56</v>
      </c>
      <c r="D8" s="73">
        <f>QDL!I7</f>
        <v>2640</v>
      </c>
      <c r="E8" s="73">
        <f>QDL!K7</f>
        <v>0.85</v>
      </c>
    </row>
    <row r="9">
      <c r="A9" s="46"/>
      <c r="B9" s="40" t="s">
        <v>58</v>
      </c>
      <c r="C9" s="27" t="s">
        <v>56</v>
      </c>
      <c r="D9" s="73">
        <f>QDL!I8</f>
        <v>2640</v>
      </c>
      <c r="E9" s="73">
        <f>QDL!K8</f>
        <v>0.85</v>
      </c>
    </row>
    <row r="10">
      <c r="A10" s="46"/>
      <c r="B10" s="74" t="s">
        <v>59</v>
      </c>
      <c r="D10" s="73" t="str">
        <f>QDL!I9</f>
        <v/>
      </c>
    </row>
    <row r="11">
      <c r="A11" s="46"/>
      <c r="B11" s="74" t="s">
        <v>60</v>
      </c>
      <c r="D11" s="73" t="str">
        <f>QDL!I10</f>
        <v/>
      </c>
    </row>
    <row r="12">
      <c r="A12" s="46"/>
      <c r="B12" s="74" t="s">
        <v>61</v>
      </c>
      <c r="D12" s="73" t="str">
        <f>QDL!I11</f>
        <v/>
      </c>
    </row>
    <row r="13">
      <c r="A13" s="46"/>
      <c r="B13" s="74" t="s">
        <v>62</v>
      </c>
      <c r="D13" s="73" t="str">
        <f>QDL!I12</f>
        <v/>
      </c>
    </row>
    <row r="14">
      <c r="A14" s="46"/>
      <c r="B14" s="74" t="s">
        <v>63</v>
      </c>
      <c r="D14" s="73" t="str">
        <f>QDL!I13</f>
        <v/>
      </c>
    </row>
    <row r="15">
      <c r="A15" s="46"/>
      <c r="B15" s="74" t="s">
        <v>64</v>
      </c>
      <c r="D15" s="73" t="str">
        <f>QDL!I14</f>
        <v/>
      </c>
    </row>
    <row r="16">
      <c r="A16" s="46"/>
      <c r="B16" s="74" t="s">
        <v>65</v>
      </c>
      <c r="D16" s="73" t="str">
        <f>QDL!I15</f>
        <v/>
      </c>
    </row>
    <row r="17">
      <c r="A17" s="46"/>
      <c r="B17" s="74" t="s">
        <v>66</v>
      </c>
      <c r="D17" s="73" t="str">
        <f>QDL!I16</f>
        <v/>
      </c>
    </row>
    <row r="18">
      <c r="A18" s="46"/>
      <c r="B18" s="74" t="s">
        <v>67</v>
      </c>
      <c r="D18" s="73" t="str">
        <f>QDL!I17</f>
        <v/>
      </c>
    </row>
    <row r="19">
      <c r="A19" s="46"/>
      <c r="B19" s="74" t="s">
        <v>68</v>
      </c>
      <c r="D19" s="73" t="str">
        <f>QDL!I18</f>
        <v/>
      </c>
    </row>
    <row r="20">
      <c r="A20" s="46"/>
      <c r="B20" s="74" t="s">
        <v>69</v>
      </c>
      <c r="D20" s="73" t="str">
        <f>QDL!I19</f>
        <v/>
      </c>
    </row>
    <row r="21">
      <c r="A21" s="60"/>
      <c r="B21" s="74" t="s">
        <v>70</v>
      </c>
      <c r="D21" s="73" t="str">
        <f>QDL!I20</f>
        <v/>
      </c>
    </row>
    <row r="22">
      <c r="A22" s="11" t="s">
        <v>71</v>
      </c>
      <c r="B22" s="74" t="s">
        <v>72</v>
      </c>
    </row>
    <row r="23">
      <c r="A23" s="45" t="s">
        <v>73</v>
      </c>
      <c r="B23" s="74" t="s">
        <v>74</v>
      </c>
    </row>
    <row r="24">
      <c r="A24" s="60"/>
      <c r="B24" s="74" t="s">
        <v>75</v>
      </c>
    </row>
    <row r="25">
      <c r="A25" s="11" t="s">
        <v>76</v>
      </c>
      <c r="B25" s="74" t="s">
        <v>77</v>
      </c>
    </row>
    <row r="28">
      <c r="A28" s="129" t="s">
        <v>105</v>
      </c>
      <c r="B28" s="129" t="s">
        <v>107</v>
      </c>
      <c r="C28" s="129" t="s">
        <v>130</v>
      </c>
      <c r="D28" s="129" t="s">
        <v>132</v>
      </c>
    </row>
    <row r="29">
      <c r="A29" s="91"/>
      <c r="B29" s="91"/>
      <c r="C29" s="91"/>
      <c r="D29" s="91"/>
    </row>
    <row r="30">
      <c r="A30" s="131" t="s">
        <v>133</v>
      </c>
      <c r="B30" s="131" t="s">
        <v>135</v>
      </c>
      <c r="C30" s="131">
        <v>10.0</v>
      </c>
      <c r="D30" s="131">
        <f t="shared" ref="D30:D33" si="1">D4</f>
        <v>2500</v>
      </c>
    </row>
    <row r="31">
      <c r="A31" s="135" t="s">
        <v>136</v>
      </c>
      <c r="B31" s="135" t="s">
        <v>135</v>
      </c>
      <c r="C31" s="135">
        <v>10.0</v>
      </c>
      <c r="D31" s="131">
        <f t="shared" si="1"/>
        <v>1760</v>
      </c>
    </row>
    <row r="32">
      <c r="A32" s="135" t="s">
        <v>137</v>
      </c>
      <c r="B32" s="135" t="s">
        <v>135</v>
      </c>
      <c r="C32" s="135">
        <v>10.0</v>
      </c>
      <c r="D32" s="135">
        <f t="shared" si="1"/>
        <v>2640</v>
      </c>
    </row>
    <row r="33">
      <c r="A33" s="135" t="s">
        <v>138</v>
      </c>
      <c r="B33" s="135" t="s">
        <v>135</v>
      </c>
      <c r="C33" s="135">
        <v>10.0</v>
      </c>
      <c r="D33" s="135">
        <f t="shared" si="1"/>
        <v>2640</v>
      </c>
    </row>
    <row r="34">
      <c r="A34" s="135" t="s">
        <v>139</v>
      </c>
      <c r="B34" s="140" t="s">
        <v>141</v>
      </c>
      <c r="C34" s="135">
        <v>100.0</v>
      </c>
      <c r="D34" s="135">
        <f>SUM(D8:D21)</f>
        <v>5280</v>
      </c>
    </row>
    <row r="35">
      <c r="A35" s="135" t="s">
        <v>78</v>
      </c>
      <c r="B35" s="135" t="s">
        <v>135</v>
      </c>
      <c r="C35" s="135">
        <v>10.0</v>
      </c>
      <c r="D35" s="135" t="str">
        <f>D22</f>
        <v/>
      </c>
    </row>
    <row r="36">
      <c r="A36" s="135" t="s">
        <v>79</v>
      </c>
      <c r="B36" s="135" t="s">
        <v>142</v>
      </c>
      <c r="C36" s="135">
        <v>10.0</v>
      </c>
      <c r="D36" s="135">
        <f>SUM(D23:D24)</f>
        <v>0</v>
      </c>
    </row>
    <row r="37">
      <c r="A37" s="142" t="s">
        <v>80</v>
      </c>
      <c r="B37" s="142" t="s">
        <v>135</v>
      </c>
      <c r="C37" s="142">
        <v>10.0</v>
      </c>
      <c r="D37" s="135" t="str">
        <f>D25</f>
        <v/>
      </c>
    </row>
    <row r="38">
      <c r="A38" s="143" t="s">
        <v>143</v>
      </c>
      <c r="B38" s="119"/>
      <c r="C38" s="144"/>
      <c r="D38" s="145">
        <f>SUM(D30:D37)</f>
        <v>14820</v>
      </c>
    </row>
    <row r="39">
      <c r="A39" s="86" t="s">
        <v>144</v>
      </c>
      <c r="B39" s="86"/>
      <c r="C39" s="86"/>
      <c r="D39" s="146">
        <f>'QDL-BALANÇO TOTAL'!E30</f>
        <v>4940</v>
      </c>
    </row>
    <row r="40">
      <c r="A40" s="86" t="s">
        <v>145</v>
      </c>
      <c r="B40" s="86"/>
      <c r="C40" s="86"/>
      <c r="D40" s="146">
        <f>D39</f>
        <v>4940</v>
      </c>
    </row>
    <row r="41">
      <c r="A41" s="86" t="s">
        <v>146</v>
      </c>
      <c r="B41" s="86"/>
      <c r="C41" s="86"/>
      <c r="D41" s="146">
        <f>D39</f>
        <v>4940</v>
      </c>
    </row>
    <row r="42">
      <c r="A42" s="148" t="s">
        <v>143</v>
      </c>
      <c r="B42" s="3"/>
      <c r="C42" s="4"/>
      <c r="D42" s="150">
        <f>SUM(D38:D41)</f>
        <v>29640</v>
      </c>
    </row>
    <row r="45">
      <c r="A45" s="151" t="s">
        <v>4</v>
      </c>
      <c r="B45" s="151" t="s">
        <v>148</v>
      </c>
      <c r="C45" s="151" t="s">
        <v>149</v>
      </c>
      <c r="D45" s="151" t="s">
        <v>150</v>
      </c>
      <c r="E45" s="151" t="s">
        <v>151</v>
      </c>
    </row>
    <row r="46">
      <c r="A46" s="152" t="s">
        <v>133</v>
      </c>
      <c r="B46" s="152">
        <v>220.0</v>
      </c>
      <c r="C46" s="154">
        <f t="shared" ref="C46:C53" si="2">D30/B46</f>
        <v>11.36363636</v>
      </c>
      <c r="D46" s="156">
        <v>13.0</v>
      </c>
      <c r="E46" s="156" t="s">
        <v>46</v>
      </c>
    </row>
    <row r="47">
      <c r="A47" s="157" t="s">
        <v>136</v>
      </c>
      <c r="B47" s="157">
        <v>220.0</v>
      </c>
      <c r="C47" s="154">
        <f t="shared" si="2"/>
        <v>8</v>
      </c>
      <c r="D47" s="159">
        <v>13.0</v>
      </c>
      <c r="E47" s="159" t="s">
        <v>46</v>
      </c>
    </row>
    <row r="48">
      <c r="A48" s="152" t="s">
        <v>137</v>
      </c>
      <c r="B48" s="152">
        <v>220.0</v>
      </c>
      <c r="C48" s="154">
        <f t="shared" si="2"/>
        <v>12</v>
      </c>
      <c r="D48" s="156">
        <v>13.0</v>
      </c>
      <c r="E48" s="156" t="s">
        <v>46</v>
      </c>
    </row>
    <row r="49">
      <c r="A49" s="157" t="s">
        <v>138</v>
      </c>
      <c r="B49" s="157">
        <v>220.0</v>
      </c>
      <c r="C49" s="154">
        <f t="shared" si="2"/>
        <v>12</v>
      </c>
      <c r="D49" s="159">
        <v>13.0</v>
      </c>
      <c r="E49" s="159" t="s">
        <v>46</v>
      </c>
    </row>
    <row r="50">
      <c r="A50" s="152" t="s">
        <v>139</v>
      </c>
      <c r="B50" s="152">
        <v>380.0</v>
      </c>
      <c r="C50" s="154">
        <f t="shared" si="2"/>
        <v>13.89473684</v>
      </c>
      <c r="D50" s="156">
        <v>13.0</v>
      </c>
      <c r="E50" s="156" t="s">
        <v>46</v>
      </c>
    </row>
    <row r="51">
      <c r="A51" s="157" t="s">
        <v>78</v>
      </c>
      <c r="B51" s="157">
        <v>220.0</v>
      </c>
      <c r="C51" s="154">
        <f t="shared" si="2"/>
        <v>0</v>
      </c>
      <c r="D51" s="159">
        <v>13.0</v>
      </c>
      <c r="E51" s="159" t="s">
        <v>46</v>
      </c>
    </row>
    <row r="52">
      <c r="A52" s="152" t="s">
        <v>79</v>
      </c>
      <c r="B52" s="152">
        <v>220.0</v>
      </c>
      <c r="C52" s="154">
        <f t="shared" si="2"/>
        <v>0</v>
      </c>
      <c r="D52" s="156">
        <v>13.0</v>
      </c>
      <c r="E52" s="156" t="s">
        <v>46</v>
      </c>
    </row>
    <row r="53">
      <c r="A53" s="162" t="s">
        <v>80</v>
      </c>
      <c r="B53" s="162">
        <v>220.0</v>
      </c>
      <c r="C53" s="154">
        <f t="shared" si="2"/>
        <v>0</v>
      </c>
      <c r="D53" s="164">
        <v>13.0</v>
      </c>
      <c r="E53" s="164" t="s">
        <v>46</v>
      </c>
      <c r="F53" s="159"/>
    </row>
    <row r="57">
      <c r="A57" s="34" t="s">
        <v>152</v>
      </c>
    </row>
    <row r="59">
      <c r="A59" s="165" t="s">
        <v>153</v>
      </c>
      <c r="B59" s="165" t="s">
        <v>154</v>
      </c>
      <c r="C59" s="167"/>
      <c r="D59" s="167"/>
      <c r="E59" s="165" t="s">
        <v>160</v>
      </c>
      <c r="F59" s="165" t="s">
        <v>119</v>
      </c>
      <c r="G59" s="165" t="s">
        <v>120</v>
      </c>
      <c r="H59" s="165" t="s">
        <v>26</v>
      </c>
      <c r="I59" s="181" t="s">
        <v>161</v>
      </c>
      <c r="J59" s="181" t="s">
        <v>162</v>
      </c>
      <c r="K59" s="181" t="s">
        <v>163</v>
      </c>
      <c r="N59" s="43"/>
      <c r="O59" s="43"/>
      <c r="P59" s="43"/>
      <c r="Q59" s="43"/>
      <c r="R59" s="43"/>
      <c r="S59" s="43"/>
      <c r="T59" s="43"/>
      <c r="U59" s="43"/>
      <c r="V59" s="43"/>
    </row>
    <row r="60">
      <c r="A60" s="182" t="s">
        <v>164</v>
      </c>
      <c r="B60" s="183" t="str">
        <f>A45</f>
        <v>Quadro</v>
      </c>
      <c r="C60" s="184"/>
      <c r="D60" s="184"/>
      <c r="E60" s="185">
        <v>127.0</v>
      </c>
      <c r="F60" s="182">
        <f>14.8137*10^-3</f>
        <v>0.0148137</v>
      </c>
      <c r="G60" s="182">
        <f>0.1378*10^-3</f>
        <v>0.0001378</v>
      </c>
      <c r="H60" s="182">
        <v>0.92</v>
      </c>
      <c r="I60" s="182" t="str">
        <f>2*B60*E60*(F60*H60+G60*SIN(ACOS(H60)))</f>
        <v>#VALUE!</v>
      </c>
      <c r="J60" s="186" t="str">
        <f>I60/380</f>
        <v>#VALUE!</v>
      </c>
      <c r="K60" s="186" t="str">
        <f>J60</f>
        <v>#VALUE!</v>
      </c>
      <c r="N60" s="187" t="s">
        <v>166</v>
      </c>
    </row>
    <row r="61">
      <c r="N61" s="43"/>
      <c r="O61" s="43"/>
      <c r="P61" s="43"/>
      <c r="Q61" s="43"/>
      <c r="R61" s="43"/>
      <c r="S61" s="43"/>
      <c r="T61" s="43"/>
      <c r="U61" s="43"/>
      <c r="V61" s="43"/>
    </row>
    <row r="62">
      <c r="N62" s="187" t="s">
        <v>167</v>
      </c>
    </row>
    <row r="63">
      <c r="N63" s="187" t="s">
        <v>168</v>
      </c>
    </row>
    <row r="64">
      <c r="N64" s="43"/>
      <c r="O64" s="43"/>
      <c r="P64" s="43"/>
      <c r="Q64" s="43"/>
      <c r="R64" s="43"/>
      <c r="S64" s="43"/>
      <c r="T64" s="43"/>
      <c r="U64" s="43"/>
      <c r="V64" s="43"/>
    </row>
    <row r="65">
      <c r="N65" s="187" t="s">
        <v>169</v>
      </c>
      <c r="V65" s="43"/>
    </row>
    <row r="66">
      <c r="N66" s="43"/>
      <c r="O66" s="43"/>
      <c r="P66" s="43"/>
      <c r="Q66" s="43"/>
      <c r="R66" s="43"/>
      <c r="S66" s="43"/>
      <c r="T66" s="43"/>
      <c r="U66" s="43"/>
      <c r="V66" s="43"/>
    </row>
    <row r="67">
      <c r="N67" s="43"/>
      <c r="O67" s="43"/>
      <c r="P67" s="43"/>
      <c r="Q67" s="43"/>
      <c r="R67" s="43"/>
      <c r="S67" s="43"/>
      <c r="T67" s="43"/>
      <c r="U67" s="43"/>
      <c r="V67" s="43"/>
    </row>
    <row r="86">
      <c r="N86" s="34" t="s">
        <v>170</v>
      </c>
    </row>
    <row r="106">
      <c r="N106" s="17" t="s">
        <v>172</v>
      </c>
    </row>
    <row r="109">
      <c r="N109" s="17" t="s">
        <v>173</v>
      </c>
    </row>
    <row r="125">
      <c r="A125" s="161"/>
      <c r="B125" s="161"/>
      <c r="C125" s="161"/>
      <c r="D125" s="161"/>
      <c r="E125" s="161"/>
      <c r="F125" s="161"/>
      <c r="G125" s="86"/>
      <c r="H125" s="86"/>
      <c r="I125" s="86"/>
      <c r="J125" s="86"/>
      <c r="K125" s="193"/>
    </row>
    <row r="126">
      <c r="A126" s="194" t="s">
        <v>4</v>
      </c>
      <c r="B126" s="196" t="s">
        <v>23</v>
      </c>
      <c r="C126" s="197" t="s">
        <v>174</v>
      </c>
      <c r="D126" s="197" t="s">
        <v>27</v>
      </c>
      <c r="E126" s="197" t="s">
        <v>29</v>
      </c>
      <c r="F126" s="198" t="s">
        <v>149</v>
      </c>
      <c r="G126" s="199" t="s">
        <v>30</v>
      </c>
      <c r="H126" s="197" t="s">
        <v>31</v>
      </c>
      <c r="I126" s="199" t="s">
        <v>175</v>
      </c>
    </row>
    <row r="127">
      <c r="A127" s="200" t="s">
        <v>176</v>
      </c>
      <c r="B127" s="201">
        <v>1.0</v>
      </c>
      <c r="C127" s="14" t="str">
        <f t="array" ref="C127">INDEX('Dados de Entrada'!$A$10:$C$11,2,MATCH(E127,'Dados de Entrada'!$A$10:$C$10,0))</f>
        <v>#REF!</v>
      </c>
      <c r="D127" s="14">
        <v>1.05</v>
      </c>
      <c r="E127" s="14" t="s">
        <v>40</v>
      </c>
      <c r="F127" s="203" t="str">
        <f>A132</f>
        <v>#REF!</v>
      </c>
      <c r="G127" s="205" t="str">
        <f>(F127*D127)/(C127*B127)</f>
        <v>#REF!</v>
      </c>
      <c r="H127" s="61">
        <v>144.0</v>
      </c>
      <c r="I127" s="146" t="str">
        <f>H127*C127*B127</f>
        <v>#REF!</v>
      </c>
    </row>
    <row r="128">
      <c r="A128" s="161"/>
      <c r="B128" s="161"/>
      <c r="C128" s="161"/>
      <c r="D128" s="161"/>
      <c r="E128" s="161"/>
      <c r="F128" s="161"/>
      <c r="G128" s="86"/>
      <c r="H128" s="86"/>
      <c r="I128" s="86"/>
      <c r="J128" s="86"/>
      <c r="K128" s="193"/>
    </row>
    <row r="129">
      <c r="A129" s="161"/>
      <c r="B129" s="161"/>
      <c r="C129" s="161"/>
      <c r="D129" s="161"/>
      <c r="E129" s="161"/>
      <c r="F129" s="161"/>
      <c r="G129" s="86"/>
      <c r="H129" s="86"/>
      <c r="I129" s="86"/>
      <c r="J129" s="86"/>
      <c r="K129" s="193"/>
    </row>
    <row r="130">
      <c r="A130" s="210" t="str">
        <f>'BALANÇO TOTAL'!E127</f>
        <v>#REF!</v>
      </c>
      <c r="B130" s="210" t="s">
        <v>180</v>
      </c>
      <c r="C130" s="161"/>
      <c r="D130" s="161"/>
      <c r="E130" s="161"/>
      <c r="F130" s="161"/>
      <c r="G130" s="86"/>
      <c r="H130" s="86"/>
      <c r="I130" s="86"/>
      <c r="J130" s="86"/>
      <c r="K130" s="193"/>
    </row>
    <row r="131">
      <c r="A131" s="210">
        <f>380*SQRT(3)</f>
        <v>658.1793069</v>
      </c>
      <c r="B131" s="211"/>
      <c r="C131" s="161"/>
      <c r="D131" s="161"/>
      <c r="E131" s="161"/>
      <c r="F131" s="161"/>
      <c r="G131" s="86"/>
      <c r="H131" s="86"/>
      <c r="I131" s="86"/>
      <c r="J131" s="86"/>
      <c r="K131" s="193"/>
    </row>
    <row r="132">
      <c r="A132" s="212" t="str">
        <f>A130/A131</f>
        <v>#REF!</v>
      </c>
      <c r="B132" s="213"/>
      <c r="C132" s="86"/>
      <c r="D132" s="86"/>
      <c r="E132" s="86"/>
      <c r="F132" s="86" t="s">
        <v>183</v>
      </c>
      <c r="G132" s="86"/>
      <c r="H132" s="86"/>
      <c r="I132" s="86"/>
      <c r="J132" s="86"/>
      <c r="K132" s="193"/>
    </row>
  </sheetData>
  <mergeCells count="15">
    <mergeCell ref="A42:C42"/>
    <mergeCell ref="A57:F57"/>
    <mergeCell ref="N60:V60"/>
    <mergeCell ref="N62:V62"/>
    <mergeCell ref="N63:V63"/>
    <mergeCell ref="N65:U65"/>
    <mergeCell ref="N106:T107"/>
    <mergeCell ref="N109:T110"/>
    <mergeCell ref="A8:A21"/>
    <mergeCell ref="A23:A24"/>
    <mergeCell ref="A28:A29"/>
    <mergeCell ref="B28:B29"/>
    <mergeCell ref="C28:C29"/>
    <mergeCell ref="D28:D29"/>
    <mergeCell ref="A38:C38"/>
  </mergeCells>
  <dataValidations>
    <dataValidation type="list" allowBlank="1" showErrorMessage="1" sqref="E127">
      <formula1>"EPR ou XLPE,PVC"</formula1>
    </dataValidation>
  </dataValidations>
  <drawing r:id="rId1"/>
  <tableParts count="2">
    <tablePart r:id="rId4"/>
    <tablePart r:id="rId5"/>
  </tableParts>
</worksheet>
</file>