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eandre\Documents\GitHub\Donjons-et-Barons\"/>
    </mc:Choice>
  </mc:AlternateContent>
  <xr:revisionPtr revIDLastSave="0" documentId="13_ncr:1_{38B850CF-052A-42D7-B27E-6A2E25F9927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imensions" sheetId="6" r:id="rId1"/>
    <sheet name="Recrutement" sheetId="1" r:id="rId2"/>
    <sheet name="Ressources" sheetId="7" r:id="rId3"/>
    <sheet name="Troup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7" l="1"/>
  <c r="C51" i="7"/>
  <c r="D49" i="7"/>
  <c r="D48" i="7"/>
  <c r="D47" i="7"/>
  <c r="D41" i="7"/>
  <c r="C42" i="7"/>
  <c r="D40" i="7"/>
  <c r="D39" i="7"/>
  <c r="D34" i="7"/>
  <c r="D33" i="7"/>
  <c r="C35" i="7"/>
  <c r="C28" i="7"/>
  <c r="D4" i="7"/>
  <c r="D5" i="7"/>
  <c r="D6" i="7"/>
  <c r="D7" i="7"/>
  <c r="D3" i="7"/>
  <c r="E16" i="7"/>
  <c r="E17" i="7"/>
  <c r="C15" i="7"/>
  <c r="C14" i="7" s="1"/>
  <c r="C13" i="7" s="1"/>
  <c r="E13" i="7" s="1"/>
  <c r="I4" i="7"/>
  <c r="I5" i="7"/>
  <c r="I6" i="7"/>
  <c r="I7" i="7"/>
  <c r="I3" i="7"/>
  <c r="H8" i="7"/>
  <c r="B2" i="6"/>
  <c r="B3" i="6"/>
  <c r="C5" i="5"/>
  <c r="D5" i="5"/>
  <c r="B5" i="5"/>
  <c r="C4" i="5"/>
  <c r="D4" i="5"/>
  <c r="B4" i="5"/>
  <c r="H3" i="1"/>
  <c r="H2" i="1"/>
  <c r="D51" i="7" l="1"/>
  <c r="E50" i="7" s="1"/>
  <c r="F50" i="7" s="1"/>
  <c r="G50" i="7" s="1"/>
  <c r="D42" i="7"/>
  <c r="E41" i="7" s="1"/>
  <c r="F41" i="7" s="1"/>
  <c r="G41" i="7" s="1"/>
  <c r="D35" i="7"/>
  <c r="E14" i="7"/>
  <c r="E15" i="7"/>
  <c r="C18" i="7"/>
  <c r="I8" i="7"/>
  <c r="E7" i="7"/>
  <c r="E3" i="7"/>
  <c r="E4" i="7"/>
  <c r="D8" i="7"/>
  <c r="E5" i="7"/>
  <c r="F5" i="7" s="1"/>
  <c r="G5" i="7" s="1"/>
  <c r="E6" i="7"/>
  <c r="E49" i="7" l="1"/>
  <c r="F49" i="7" s="1"/>
  <c r="G49" i="7" s="1"/>
  <c r="E48" i="7"/>
  <c r="F48" i="7" s="1"/>
  <c r="G48" i="7" s="1"/>
  <c r="E47" i="7"/>
  <c r="F47" i="7" s="1"/>
  <c r="E51" i="7"/>
  <c r="E39" i="7"/>
  <c r="E42" i="7" s="1"/>
  <c r="E40" i="7"/>
  <c r="F40" i="7" s="1"/>
  <c r="G40" i="7" s="1"/>
  <c r="E34" i="7"/>
  <c r="F34" i="7" s="1"/>
  <c r="G34" i="7" s="1"/>
  <c r="E33" i="7"/>
  <c r="F33" i="7" s="1"/>
  <c r="G33" i="7" s="1"/>
  <c r="G35" i="7" s="1"/>
  <c r="E18" i="7"/>
  <c r="D13" i="7"/>
  <c r="D16" i="7"/>
  <c r="D17" i="7"/>
  <c r="D14" i="7"/>
  <c r="D15" i="7"/>
  <c r="F4" i="7"/>
  <c r="G4" i="7" s="1"/>
  <c r="F6" i="7"/>
  <c r="G6" i="7" s="1"/>
  <c r="F3" i="7"/>
  <c r="G3" i="7" s="1"/>
  <c r="F7" i="7"/>
  <c r="G7" i="7" s="1"/>
  <c r="E8" i="7"/>
  <c r="F39" i="7" l="1"/>
  <c r="F51" i="7"/>
  <c r="G47" i="7"/>
  <c r="G51" i="7" s="1"/>
  <c r="G39" i="7"/>
  <c r="G42" i="7" s="1"/>
  <c r="F42" i="7"/>
  <c r="E35" i="7"/>
  <c r="F35" i="7"/>
  <c r="D18" i="7"/>
  <c r="G8" i="7"/>
  <c r="F8" i="7"/>
</calcChain>
</file>

<file path=xl/sharedStrings.xml><?xml version="1.0" encoding="utf-8"?>
<sst xmlns="http://schemas.openxmlformats.org/spreadsheetml/2006/main" count="90" uniqueCount="46">
  <si>
    <t>Dé</t>
  </si>
  <si>
    <t>Troupes</t>
  </si>
  <si>
    <t>Troupes avec donjon</t>
  </si>
  <si>
    <t>Troupes sans donjon</t>
  </si>
  <si>
    <t>Moyenne</t>
  </si>
  <si>
    <t>Joueurs</t>
  </si>
  <si>
    <t>37/joueurs*3</t>
  </si>
  <si>
    <t>0.5*37/joueurs*4</t>
  </si>
  <si>
    <t>hauteur [cm]</t>
  </si>
  <si>
    <t>largeur [cm]</t>
  </si>
  <si>
    <t>facteur</t>
  </si>
  <si>
    <t>Mais les paramètres "hauteur" et "largeur"</t>
  </si>
  <si>
    <t>ne semblent pas ce que je crois</t>
  </si>
  <si>
    <t>Donc, ma méthode de construction d'un hexgagone régulier</t>
  </si>
  <si>
    <t>va plutôt passer par l'ajustement à la main</t>
  </si>
  <si>
    <t>d'un cercle</t>
  </si>
  <si>
    <t>Ressource</t>
  </si>
  <si>
    <t>Nombre</t>
  </si>
  <si>
    <t>promontoire</t>
  </si>
  <si>
    <t>forêt</t>
  </si>
  <si>
    <t>Prairie</t>
  </si>
  <si>
    <t>Mine</t>
  </si>
  <si>
    <t>Points</t>
  </si>
  <si>
    <t>Points totaux</t>
  </si>
  <si>
    <t>Total</t>
  </si>
  <si>
    <t>Frequence</t>
  </si>
  <si>
    <t>FrequenceRelative</t>
  </si>
  <si>
    <t>Rang</t>
  </si>
  <si>
    <t>lande</t>
  </si>
  <si>
    <t>NombreReel</t>
  </si>
  <si>
    <t>Points totaux reels</t>
  </si>
  <si>
    <t>Loi de Zipf</t>
  </si>
  <si>
    <t>Loi de Fibonacci</t>
  </si>
  <si>
    <t>Avec ce que j'ai de disponible</t>
  </si>
  <si>
    <t>pauvre</t>
  </si>
  <si>
    <t>riche</t>
  </si>
  <si>
    <t>NombreRelatif</t>
  </si>
  <si>
    <t>Fréquence</t>
  </si>
  <si>
    <t>SommePoints</t>
  </si>
  <si>
    <t>Binaire</t>
  </si>
  <si>
    <t>Ternaire</t>
  </si>
  <si>
    <t>r1</t>
  </si>
  <si>
    <t>r2</t>
  </si>
  <si>
    <t>r3</t>
  </si>
  <si>
    <t>Quaternaire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</si>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</sst>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3" fillId="0" borderId="9" xfId="0" applyNumberFormat="1" applyFont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9" xfId="1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</cellXfs>
  <cellStyles count="2">
    <cellStyle name="Normal" xfId="0" builtinId="0"/>
    <cellStyle name="Pourcentage" xfId="1" builtinId="5"/>
  </cellStyles>
  <dxfs count="108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58540</xdr:colOff>
      <xdr:row>1</xdr:row>
      <xdr:rowOff>91582</xdr:rowOff>
    </xdr:from>
    <xdr:to>
      <xdr:col>7</xdr:col>
      <xdr:colOff>593482</xdr:colOff>
      <xdr:row>14</xdr:row>
      <xdr:rowOff>146538</xdr:rowOff>
    </xdr:to>
    <xdr:sp macro="" textlink="">
      <xdr:nvSpPr>
        <xdr:cNvPr id="4" name="Hexagone 3">
          <a:extLst>
            <a:ext uri="{FF2B5EF4-FFF2-40B4-BE49-F238E27FC236}">
              <a16:creationId xmlns:a16="http://schemas.microsoft.com/office/drawing/2014/main" id="{43BD0124-D694-11A4-E2CE-FAE1C6083238}"/>
            </a:ext>
          </a:extLst>
        </xdr:cNvPr>
        <xdr:cNvSpPr>
          <a:spLocks noChangeAspect="1"/>
        </xdr:cNvSpPr>
      </xdr:nvSpPr>
      <xdr:spPr>
        <a:xfrm>
          <a:off x="3890521" y="282082"/>
          <a:ext cx="2820942" cy="2531456"/>
        </a:xfrm>
        <a:prstGeom prst="hex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209217</xdr:colOff>
      <xdr:row>1</xdr:row>
      <xdr:rowOff>90837</xdr:rowOff>
    </xdr:from>
    <xdr:to>
      <xdr:col>7</xdr:col>
      <xdr:colOff>443217</xdr:colOff>
      <xdr:row>14</xdr:row>
      <xdr:rowOff>129444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6D5CBE63-7C68-002F-7596-EDF1F8BF6840}"/>
            </a:ext>
          </a:extLst>
        </xdr:cNvPr>
        <xdr:cNvSpPr>
          <a:spLocks noChangeAspect="1"/>
        </xdr:cNvSpPr>
      </xdr:nvSpPr>
      <xdr:spPr>
        <a:xfrm>
          <a:off x="4041629" y="281337"/>
          <a:ext cx="2520000" cy="2515107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99411E-CFFA-4600-AB44-E5BC1C3DE055}" name="Tableau1" displayName="Tableau1" ref="A2:I8" totalsRowCount="1" headerRowDxfId="107" headerRowBorderDxfId="106" tableBorderDxfId="105" totalsRowBorderDxfId="104">
  <autoFilter ref="A2:I7" xr:uid="{7199411E-CFFA-4600-AB44-E5BC1C3DE055}"/>
  <tableColumns count="9">
    <tableColumn id="1" xr3:uid="{F858E9F4-AE96-4C5D-8D22-2620CFF6B1D1}" name="Ressource" totalsRowLabel="Total" dataDxfId="103" totalsRowDxfId="102"/>
    <tableColumn id="4" xr3:uid="{05EE0077-D79F-4016-9586-36C2ADD08490}" name="Points" dataDxfId="101" totalsRowDxfId="100"/>
    <tableColumn id="9" xr3:uid="{73FFCB6D-C942-4B7B-9EC1-70102A1FBDF7}" name="Rang" dataDxfId="99" totalsRowDxfId="98"/>
    <tableColumn id="10" xr3:uid="{5DA34DB0-ECB6-4CCD-8C55-D6EB555280F2}" name="FrequenceRelative" totalsRowFunction="sum" dataDxfId="97" totalsRowDxfId="96" dataCellStyle="Pourcentage">
      <calculatedColumnFormula>1/Tableau1[[#This Row],[Rang]]^1.5</calculatedColumnFormula>
    </tableColumn>
    <tableColumn id="2" xr3:uid="{F1384E0B-F0E5-4670-B89E-EF5705088279}" name="Frequence" totalsRowFunction="sum" dataDxfId="95" totalsRowDxfId="94">
      <calculatedColumnFormula>Tableau1[[#This Row],[FrequenceRelative]]/SUM(Tableau1[FrequenceRelative])</calculatedColumnFormula>
    </tableColumn>
    <tableColumn id="11" xr3:uid="{FA35D35B-401E-4AEC-BE35-C2CAC4718886}" name="NombreReel" totalsRowFunction="sum" dataDxfId="93" totalsRowDxfId="92" dataCellStyle="Pourcentage">
      <calculatedColumnFormula>Tableau1[[#This Row],[Frequence]]*37</calculatedColumnFormula>
    </tableColumn>
    <tableColumn id="5" xr3:uid="{174EBAF5-0C68-4E81-BBFE-03B8E207101A}" name="Points totaux reels" totalsRowFunction="sum" dataDxfId="91" totalsRowDxfId="90">
      <calculatedColumnFormula>Tableau1[[#This Row],[NombreReel]]*Tableau1[[#This Row],[Points]]</calculatedColumnFormula>
    </tableColumn>
    <tableColumn id="12" xr3:uid="{AD1C73DB-125E-496E-BF9A-C50E00C25BF2}" name="Nombre" totalsRowFunction="sum" dataDxfId="89" totalsRowDxfId="88"/>
    <tableColumn id="13" xr3:uid="{EEBBC92F-CECA-4B9B-B45B-D321EA3D9EBF}" name="Points totaux" totalsRowFunction="sum" dataDxfId="87" totalsRowDxfId="86">
      <calculatedColumnFormula>Tableau1[[#This Row],[Nombre]]*Tableau1[[#This Row],[Points]]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341CC7-DBF2-4D70-946D-C37644788646}" name="Tableau2" displayName="Tableau2" ref="A12:E18" totalsRowCount="1" headerRowDxfId="85" dataDxfId="83" totalsRowDxfId="81" headerRowBorderDxfId="84" tableBorderDxfId="82" totalsRowBorderDxfId="80">
  <autoFilter ref="A12:E17" xr:uid="{C4341CC7-DBF2-4D70-946D-C37644788646}"/>
  <tableColumns count="5">
    <tableColumn id="1" xr3:uid="{C5073434-1158-41DA-83D2-EAD365A35297}" name="Ressource" totalsRowLabel="Total" dataDxfId="79" totalsRowDxfId="78"/>
    <tableColumn id="2" xr3:uid="{E5857478-C1B5-4E3D-BC07-FACDAE90FD78}" name="Points" dataDxfId="77" totalsRowDxfId="76"/>
    <tableColumn id="3" xr3:uid="{476A896F-4787-40FB-A2BC-927386B0C9EF}" name="Nombre" totalsRowFunction="sum" dataDxfId="75" totalsRowDxfId="74"/>
    <tableColumn id="4" xr3:uid="{49DCB62C-1427-4E4F-B357-F1A9C97DE0A3}" name="Frequence" totalsRowFunction="sum" dataDxfId="73" totalsRowDxfId="72" dataCellStyle="Pourcentage">
      <calculatedColumnFormula>Tableau2[[#This Row],[Nombre]]/Tableau2[[#Totals],[Nombre]]</calculatedColumnFormula>
    </tableColumn>
    <tableColumn id="5" xr3:uid="{76BC6A54-9D20-4F99-BBA3-549440205E76}" name="Points totaux" totalsRowFunction="sum" dataDxfId="71" totalsRowDxfId="70">
      <calculatedColumnFormula>Tableau2[[#This Row],[Nombre]]*Tableau2[[#This Row],[Points]]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36E3E1-FB8C-4D6D-854E-7510C85A4B47}" name="Tableau3" displayName="Tableau3" ref="A22:C28" totalsRowCount="1" headerRowDxfId="69" headerRowBorderDxfId="68" tableBorderDxfId="67" totalsRowBorderDxfId="66">
  <autoFilter ref="A22:C27" xr:uid="{5636E3E1-FB8C-4D6D-854E-7510C85A4B47}"/>
  <tableColumns count="3">
    <tableColumn id="1" xr3:uid="{1968D85F-B0B8-41E7-8CFF-5978F4FE1E62}" name="Ressource" totalsRowLabel="Total" dataDxfId="65" totalsRowDxfId="64"/>
    <tableColumn id="2" xr3:uid="{7FF1C41F-572F-4877-9D2F-CAAEF911E38D}" name="Points" dataDxfId="63" totalsRowDxfId="62"/>
    <tableColumn id="3" xr3:uid="{6CE2C703-3FA2-4CAF-BB9A-BDD7F84057DF}" name="Nombre" totalsRowFunction="sum" dataDxfId="61" totalsRowDxfId="6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9AEE7E-4AB5-4382-83BF-74544EE123B2}" name="Tableau5" displayName="Tableau5" ref="A32:G35" totalsRowCount="1" headerRowDxfId="59" dataDxfId="57" totalsRowDxfId="55" headerRowBorderDxfId="58" tableBorderDxfId="56" totalsRowBorderDxfId="54">
  <autoFilter ref="A32:G34" xr:uid="{089AEE7E-4AB5-4382-83BF-74544EE123B2}"/>
  <tableColumns count="7">
    <tableColumn id="1" xr3:uid="{BEF3ED4B-8C14-49FB-9250-C627BF3DE4D2}" name="Ressource" totalsRowLabel="Total" dataDxfId="53" totalsRowDxfId="52"/>
    <tableColumn id="2" xr3:uid="{61B8AEC7-86FE-4697-93D1-763B488FD723}" name="Points" dataDxfId="51" totalsRowDxfId="50"/>
    <tableColumn id="3" xr3:uid="{819389B4-25A1-4331-84BA-6C347D64278B}" name="Rang" totalsRowFunction="sum" dataDxfId="49" totalsRowDxfId="48"/>
    <tableColumn id="4" xr3:uid="{09B8AF64-8A4B-4DB9-8CCB-BC99E80C370D}" name="NombreRelatif" totalsRowFunction="sum" dataDxfId="47" totalsRowDxfId="46">
      <calculatedColumnFormula>1/Tableau5[[#This Row],[Rang]]^2</calculatedColumnFormula>
    </tableColumn>
    <tableColumn id="5" xr3:uid="{4187A737-7549-4422-BB2B-560E5A1D7E2E}" name="Fréquence" totalsRowFunction="sum" dataDxfId="45" totalsRowDxfId="44" dataCellStyle="Pourcentage">
      <calculatedColumnFormula>Tableau5[[#This Row],[NombreRelatif]]/Tableau5[[#Totals],[NombreRelatif]]</calculatedColumnFormula>
    </tableColumn>
    <tableColumn id="6" xr3:uid="{90BE00BA-725D-4605-A197-781633525FBC}" name="Nombre" totalsRowFunction="sum" dataDxfId="43" totalsRowDxfId="42">
      <calculatedColumnFormula>ROUND(Tableau5[[#This Row],[Fréquence]]*37,0)</calculatedColumnFormula>
    </tableColumn>
    <tableColumn id="7" xr3:uid="{7BF2BAB6-A961-40D7-AE96-7BDC6A103D30}" name="SommePoints" totalsRowFunction="sum" dataDxfId="41" totalsRowDxfId="40">
      <calculatedColumnFormula>Tableau5[[#This Row],[Nombre]]*Tableau5[[#This Row],[Points]]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C4A83B-FC0F-40FF-AC4A-A2BD6C60C871}" name="Tableau55" displayName="Tableau55" ref="A38:G42" totalsRowCount="1" headerRowDxfId="39" dataDxfId="37" totalsRowDxfId="35" headerRowBorderDxfId="38" tableBorderDxfId="36" totalsRowBorderDxfId="34">
  <autoFilter ref="A38:G41" xr:uid="{06C4A83B-FC0F-40FF-AC4A-A2BD6C60C871}"/>
  <tableColumns count="7">
    <tableColumn id="1" xr3:uid="{57259079-2BFB-4626-99F0-67DB5832B318}" name="Ressource" totalsRowLabel="Total" dataDxfId="33" totalsRowDxfId="32"/>
    <tableColumn id="2" xr3:uid="{05BFC6A6-C1B4-4DE5-97B3-3FA82E19E428}" name="Points" dataDxfId="31" totalsRowDxfId="30"/>
    <tableColumn id="3" xr3:uid="{31DFCB04-F660-4E4F-B423-7C1D0703597B}" name="Rang" totalsRowFunction="sum" dataDxfId="29" totalsRowDxfId="28"/>
    <tableColumn id="4" xr3:uid="{382F5270-7E39-408A-A234-9568A0EE9EE2}" name="NombreRelatif" totalsRowFunction="sum" dataDxfId="27" totalsRowDxfId="26">
      <calculatedColumnFormula>1/Tableau55[[#This Row],[Rang]]^2</calculatedColumnFormula>
    </tableColumn>
    <tableColumn id="5" xr3:uid="{2A0E97CF-95FE-410E-9402-FCD172E44A78}" name="Fréquence" totalsRowFunction="sum" dataDxfId="25" totalsRowDxfId="24" dataCellStyle="Pourcentage">
      <calculatedColumnFormula>Tableau55[[#This Row],[NombreRelatif]]/Tableau55[[#Totals],[NombreRelatif]]</calculatedColumnFormula>
    </tableColumn>
    <tableColumn id="6" xr3:uid="{740AF54D-5406-4197-9877-0D01C1AE0D66}" name="Nombre" totalsRowFunction="sum" dataDxfId="23" totalsRowDxfId="22">
      <calculatedColumnFormula>ROUND(Tableau55[[#This Row],[Fréquence]]*37,0)</calculatedColumnFormula>
    </tableColumn>
    <tableColumn id="7" xr3:uid="{EDAAEF34-5F95-40A3-AF8A-9310D3045659}" name="SommePoints" totalsRowFunction="sum" dataDxfId="21" totalsRowDxfId="20">
      <calculatedColumnFormula>Tableau55[[#This Row],[Nombre]]*Tableau55[[#This Row],[Points]]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21EC22-E8F7-4257-B235-459AC9677D12}" name="Tableau557" displayName="Tableau557" ref="A46:G51" totalsRowCount="1" headerRowDxfId="19" dataDxfId="18" totalsRowDxfId="17" headerRowBorderDxfId="15" tableBorderDxfId="16" totalsRowBorderDxfId="14">
  <autoFilter ref="A46:G50" xr:uid="{C221EC22-E8F7-4257-B235-459AC9677D12}"/>
  <tableColumns count="7">
    <tableColumn id="1" xr3:uid="{9168696D-A16F-42E9-93BE-3BFEFA8EDEF0}" name="Ressource" totalsRowLabel="Total" dataDxfId="13" totalsRowDxfId="6"/>
    <tableColumn id="2" xr3:uid="{6CEE42E6-4FD0-49AE-B1A2-48FDCA7D4E95}" name="Points" dataDxfId="12" totalsRowDxfId="5"/>
    <tableColumn id="3" xr3:uid="{015E657B-857D-4CA8-A2B5-A582C81E5B33}" name="Rang" totalsRowFunction="sum" dataDxfId="11" totalsRowDxfId="4"/>
    <tableColumn id="4" xr3:uid="{2ADA9829-8EA4-40EC-A763-D9C7D814F3D2}" name="NombreRelatif" totalsRowFunction="sum" dataDxfId="10" totalsRowDxfId="3">
      <calculatedColumnFormula>1/Tableau557[[#This Row],[Rang]]^2</calculatedColumnFormula>
    </tableColumn>
    <tableColumn id="5" xr3:uid="{605DAA4C-1435-461D-953D-A4DB62FEEEFC}" name="Fréquence" totalsRowFunction="sum" dataDxfId="9" totalsRowDxfId="2" dataCellStyle="Pourcentage">
      <calculatedColumnFormula>Tableau557[[#This Row],[NombreRelatif]]/Tableau557[[#Totals],[NombreRelatif]]</calculatedColumnFormula>
    </tableColumn>
    <tableColumn id="6" xr3:uid="{77758C45-8534-4499-B8AD-9789C309A769}" name="Nombre" totalsRowFunction="sum" dataDxfId="8" totalsRowDxfId="1">
      <calculatedColumnFormula>ROUND(Tableau557[[#This Row],[Fréquence]]*37,0)</calculatedColumnFormula>
    </tableColumn>
    <tableColumn id="7" xr3:uid="{AF7B9E32-E404-4771-A9AE-CAD0963718B8}" name="SommePoints" totalsRowFunction="sum" dataDxfId="7" totalsRowDxfId="0">
      <calculatedColumnFormula>Tableau557[[#This Row],[Nombre]]*Tableau557[[#This Row],[Points]]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FBF6-12B3-45D8-B982-5090B8A756CF}">
  <dimension ref="A1:B9"/>
  <sheetViews>
    <sheetView zoomScale="130" zoomScaleNormal="130" workbookViewId="0">
      <selection activeCell="I11" sqref="I11"/>
    </sheetView>
  </sheetViews>
  <sheetFormatPr baseColWidth="10" defaultRowHeight="15" x14ac:dyDescent="0.25"/>
  <cols>
    <col min="1" max="1" width="23.140625" customWidth="1"/>
  </cols>
  <sheetData>
    <row r="1" spans="1:2" x14ac:dyDescent="0.25">
      <c r="A1" s="1" t="s">
        <v>8</v>
      </c>
      <c r="B1" s="7">
        <v>7</v>
      </c>
    </row>
    <row r="2" spans="1:2" x14ac:dyDescent="0.25">
      <c r="A2" s="1" t="s">
        <v>9</v>
      </c>
      <c r="B2" s="7">
        <f>B1*B3</f>
        <v>8.0829037686547593</v>
      </c>
    </row>
    <row r="3" spans="1:2" x14ac:dyDescent="0.25">
      <c r="A3" s="1" t="s">
        <v>10</v>
      </c>
      <c r="B3" s="8">
        <f>2*SQRT(3)/3</f>
        <v>1.1547005383792515</v>
      </c>
    </row>
    <row r="5" spans="1:2" x14ac:dyDescent="0.25">
      <c r="A5" s="9" t="s">
        <v>11</v>
      </c>
    </row>
    <row r="6" spans="1:2" x14ac:dyDescent="0.25">
      <c r="A6" s="9" t="s">
        <v>12</v>
      </c>
    </row>
    <row r="7" spans="1:2" x14ac:dyDescent="0.25">
      <c r="A7" s="9" t="s">
        <v>13</v>
      </c>
    </row>
    <row r="8" spans="1:2" x14ac:dyDescent="0.25">
      <c r="A8" s="9" t="s">
        <v>14</v>
      </c>
    </row>
    <row r="9" spans="1:2" x14ac:dyDescent="0.25">
      <c r="A9" s="9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sqref="A1:G3"/>
    </sheetView>
  </sheetViews>
  <sheetFormatPr baseColWidth="10" defaultColWidth="9.140625" defaultRowHeight="15" x14ac:dyDescent="0.25"/>
  <cols>
    <col min="1" max="1" width="20.85546875" customWidth="1"/>
  </cols>
  <sheetData>
    <row r="1" spans="1:8" x14ac:dyDescent="0.25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 t="s">
        <v>4</v>
      </c>
    </row>
    <row r="2" spans="1:8" x14ac:dyDescent="0.25">
      <c r="A2" s="3" t="s">
        <v>3</v>
      </c>
      <c r="B2" s="6">
        <v>1</v>
      </c>
      <c r="C2" s="6">
        <v>1</v>
      </c>
      <c r="D2" s="5">
        <v>2</v>
      </c>
      <c r="E2" s="5">
        <v>2</v>
      </c>
      <c r="F2" s="4">
        <v>3</v>
      </c>
      <c r="G2" s="4">
        <v>3</v>
      </c>
      <c r="H2" s="2">
        <f>AVERAGE(B2:G2)</f>
        <v>2</v>
      </c>
    </row>
    <row r="3" spans="1:8" x14ac:dyDescent="0.25">
      <c r="A3" s="3" t="s">
        <v>2</v>
      </c>
      <c r="B3" s="5">
        <v>2</v>
      </c>
      <c r="C3" s="5">
        <v>2</v>
      </c>
      <c r="D3" s="5">
        <v>2</v>
      </c>
      <c r="E3" s="4">
        <v>3</v>
      </c>
      <c r="F3" s="4">
        <v>3</v>
      </c>
      <c r="G3" s="4">
        <v>3</v>
      </c>
      <c r="H3" s="2">
        <f>AVERAGE(B3:G3)</f>
        <v>2.5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F4A5-1DC5-4E3D-A691-49343372E105}">
  <dimension ref="A1:I51"/>
  <sheetViews>
    <sheetView tabSelected="1" topLeftCell="A34" workbookViewId="0">
      <selection activeCell="J51" sqref="J51"/>
    </sheetView>
  </sheetViews>
  <sheetFormatPr baseColWidth="10" defaultRowHeight="15" x14ac:dyDescent="0.25"/>
  <cols>
    <col min="1" max="3" width="17" customWidth="1"/>
    <col min="4" max="4" width="16.85546875" customWidth="1"/>
    <col min="5" max="5" width="18" customWidth="1"/>
    <col min="6" max="6" width="21.140625" customWidth="1"/>
    <col min="7" max="7" width="22" customWidth="1"/>
    <col min="13" max="13" width="17" customWidth="1"/>
  </cols>
  <sheetData>
    <row r="1" spans="1:9" x14ac:dyDescent="0.25">
      <c r="A1" t="s">
        <v>31</v>
      </c>
    </row>
    <row r="2" spans="1:9" x14ac:dyDescent="0.25">
      <c r="A2" s="11" t="s">
        <v>16</v>
      </c>
      <c r="B2" s="11" t="s">
        <v>22</v>
      </c>
      <c r="C2" s="11" t="s">
        <v>27</v>
      </c>
      <c r="D2" s="1" t="s">
        <v>26</v>
      </c>
      <c r="E2" s="1" t="s">
        <v>25</v>
      </c>
      <c r="F2" s="1" t="s">
        <v>29</v>
      </c>
      <c r="G2" s="15" t="s">
        <v>30</v>
      </c>
      <c r="H2" s="1" t="s">
        <v>17</v>
      </c>
      <c r="I2" s="1" t="s">
        <v>23</v>
      </c>
    </row>
    <row r="3" spans="1:9" x14ac:dyDescent="0.25">
      <c r="A3" s="10" t="s">
        <v>28</v>
      </c>
      <c r="B3" s="10">
        <v>1</v>
      </c>
      <c r="C3" s="10">
        <v>1</v>
      </c>
      <c r="D3" s="17">
        <f>1/Tableau1[[#This Row],[Rang]]^1.5</f>
        <v>1</v>
      </c>
      <c r="E3" s="16">
        <f>Tableau1[[#This Row],[FrequenceRelative]]/SUM(Tableau1[FrequenceRelative])</f>
        <v>0.56803780787375269</v>
      </c>
      <c r="F3" s="19">
        <f>Tableau1[[#This Row],[Frequence]]*37</f>
        <v>21.017398891328849</v>
      </c>
      <c r="G3" s="21">
        <f>Tableau1[[#This Row],[NombreReel]]*Tableau1[[#This Row],[Points]]</f>
        <v>21.017398891328849</v>
      </c>
      <c r="H3" s="1">
        <v>20</v>
      </c>
      <c r="I3" s="1">
        <f>Tableau1[[#This Row],[Nombre]]*Tableau1[[#This Row],[Points]]</f>
        <v>20</v>
      </c>
    </row>
    <row r="4" spans="1:9" x14ac:dyDescent="0.25">
      <c r="A4" s="10" t="s">
        <v>18</v>
      </c>
      <c r="B4" s="10">
        <v>2</v>
      </c>
      <c r="C4" s="10">
        <v>2</v>
      </c>
      <c r="D4" s="17">
        <f>1/Tableau1[[#This Row],[Rang]]^1.5</f>
        <v>0.35355339059327379</v>
      </c>
      <c r="E4" s="16">
        <f>Tableau1[[#This Row],[FrequenceRelative]]/SUM(Tableau1[FrequenceRelative])</f>
        <v>0.20083169295893588</v>
      </c>
      <c r="F4" s="19">
        <f>Tableau1[[#This Row],[Frequence]]*37</f>
        <v>7.4307726394806277</v>
      </c>
      <c r="G4" s="21">
        <f>Tableau1[[#This Row],[NombreReel]]*Tableau1[[#This Row],[Points]]</f>
        <v>14.861545278961255</v>
      </c>
      <c r="H4" s="1">
        <v>8</v>
      </c>
      <c r="I4" s="1">
        <f>Tableau1[[#This Row],[Nombre]]*Tableau1[[#This Row],[Points]]</f>
        <v>16</v>
      </c>
    </row>
    <row r="5" spans="1:9" x14ac:dyDescent="0.25">
      <c r="A5" s="10" t="s">
        <v>19</v>
      </c>
      <c r="B5" s="10">
        <v>3</v>
      </c>
      <c r="C5" s="10">
        <v>3</v>
      </c>
      <c r="D5" s="17">
        <f>1/Tableau1[[#This Row],[Rang]]^1.5</f>
        <v>0.19245008972987526</v>
      </c>
      <c r="E5" s="16">
        <f>Tableau1[[#This Row],[FrequenceRelative]]/SUM(Tableau1[FrequenceRelative])</f>
        <v>0.10931892709526535</v>
      </c>
      <c r="F5" s="19">
        <f>Tableau1[[#This Row],[Frequence]]*37</f>
        <v>4.044800302524818</v>
      </c>
      <c r="G5" s="21">
        <f>Tableau1[[#This Row],[NombreReel]]*Tableau1[[#This Row],[Points]]</f>
        <v>12.134400907574454</v>
      </c>
      <c r="H5" s="1">
        <v>4</v>
      </c>
      <c r="I5" s="1">
        <f>Tableau1[[#This Row],[Nombre]]*Tableau1[[#This Row],[Points]]</f>
        <v>12</v>
      </c>
    </row>
    <row r="6" spans="1:9" x14ac:dyDescent="0.25">
      <c r="A6" s="10" t="s">
        <v>20</v>
      </c>
      <c r="B6" s="10">
        <v>4</v>
      </c>
      <c r="C6" s="10">
        <v>4</v>
      </c>
      <c r="D6" s="17">
        <f>1/Tableau1[[#This Row],[Rang]]^1.5</f>
        <v>0.12500000000000003</v>
      </c>
      <c r="E6" s="16">
        <f>Tableau1[[#This Row],[FrequenceRelative]]/SUM(Tableau1[FrequenceRelative])</f>
        <v>7.10047259842191E-2</v>
      </c>
      <c r="F6" s="19">
        <f>Tableau1[[#This Row],[Frequence]]*37</f>
        <v>2.6271748614161066</v>
      </c>
      <c r="G6" s="21">
        <f>Tableau1[[#This Row],[NombreReel]]*Tableau1[[#This Row],[Points]]</f>
        <v>10.508699445664426</v>
      </c>
      <c r="H6" s="1">
        <v>3</v>
      </c>
      <c r="I6" s="1">
        <f>Tableau1[[#This Row],[Nombre]]*Tableau1[[#This Row],[Points]]</f>
        <v>12</v>
      </c>
    </row>
    <row r="7" spans="1:9" x14ac:dyDescent="0.25">
      <c r="A7" s="12" t="s">
        <v>21</v>
      </c>
      <c r="B7" s="12">
        <v>5</v>
      </c>
      <c r="C7" s="12">
        <v>5</v>
      </c>
      <c r="D7" s="17">
        <f>1/Tableau1[[#This Row],[Rang]]^1.5</f>
        <v>8.9442719099991616E-2</v>
      </c>
      <c r="E7" s="16">
        <f>Tableau1[[#This Row],[FrequenceRelative]]/SUM(Tableau1[FrequenceRelative])</f>
        <v>5.0806846087827068E-2</v>
      </c>
      <c r="F7" s="19">
        <f>Tableau1[[#This Row],[Frequence]]*37</f>
        <v>1.8798533052496016</v>
      </c>
      <c r="G7" s="21">
        <f>Tableau1[[#This Row],[NombreReel]]*Tableau1[[#This Row],[Points]]</f>
        <v>9.3992665262480077</v>
      </c>
      <c r="H7" s="1">
        <v>2</v>
      </c>
      <c r="I7" s="1">
        <f>Tableau1[[#This Row],[Nombre]]*Tableau1[[#This Row],[Points]]</f>
        <v>10</v>
      </c>
    </row>
    <row r="8" spans="1:9" x14ac:dyDescent="0.25">
      <c r="A8" s="12" t="s">
        <v>24</v>
      </c>
      <c r="B8" s="12"/>
      <c r="C8" s="12"/>
      <c r="D8" s="18">
        <f>SUBTOTAL(109,Tableau1[FrequenceRelative])</f>
        <v>1.7604461994231406</v>
      </c>
      <c r="E8" s="14">
        <f>SUBTOTAL(109,Tableau1[Frequence])</f>
        <v>1.0000000000000002</v>
      </c>
      <c r="F8" s="20">
        <f>SUBTOTAL(109,Tableau1[NombreReel])</f>
        <v>37.000000000000007</v>
      </c>
      <c r="G8" s="20">
        <f>SUBTOTAL(109,Tableau1[Points totaux reels])</f>
        <v>67.921311049776989</v>
      </c>
      <c r="H8" s="1">
        <f>SUBTOTAL(109,Tableau1[Nombre])</f>
        <v>37</v>
      </c>
      <c r="I8" s="1">
        <f>SUBTOTAL(109,Tableau1[Points totaux])</f>
        <v>70</v>
      </c>
    </row>
    <row r="11" spans="1:9" x14ac:dyDescent="0.25">
      <c r="A11" t="s">
        <v>32</v>
      </c>
    </row>
    <row r="12" spans="1:9" x14ac:dyDescent="0.25">
      <c r="A12" s="25" t="s">
        <v>16</v>
      </c>
      <c r="B12" s="26" t="s">
        <v>22</v>
      </c>
      <c r="C12" s="26" t="s">
        <v>17</v>
      </c>
      <c r="D12" s="22" t="s">
        <v>25</v>
      </c>
      <c r="E12" s="1" t="s">
        <v>23</v>
      </c>
    </row>
    <row r="13" spans="1:9" x14ac:dyDescent="0.25">
      <c r="A13" s="24" t="s">
        <v>28</v>
      </c>
      <c r="B13" s="23">
        <v>1</v>
      </c>
      <c r="C13" s="1">
        <f>37-SUM(C14:C17)</f>
        <v>15</v>
      </c>
      <c r="D13" s="30">
        <f>Tableau2[[#This Row],[Nombre]]/Tableau2[[#Totals],[Nombre]]</f>
        <v>0.40540540540540543</v>
      </c>
      <c r="E13" s="1">
        <f>Tableau2[[#This Row],[Nombre]]*Tableau2[[#This Row],[Points]]</f>
        <v>15</v>
      </c>
    </row>
    <row r="14" spans="1:9" x14ac:dyDescent="0.25">
      <c r="A14" s="10" t="s">
        <v>18</v>
      </c>
      <c r="B14" s="1">
        <v>2</v>
      </c>
      <c r="C14" s="1">
        <f>C15+C16</f>
        <v>10</v>
      </c>
      <c r="D14" s="30">
        <f>Tableau2[[#This Row],[Nombre]]/Tableau2[[#Totals],[Nombre]]</f>
        <v>0.27027027027027029</v>
      </c>
      <c r="E14" s="1">
        <f>Tableau2[[#This Row],[Nombre]]*Tableau2[[#This Row],[Points]]</f>
        <v>20</v>
      </c>
    </row>
    <row r="15" spans="1:9" x14ac:dyDescent="0.25">
      <c r="A15" s="24" t="s">
        <v>19</v>
      </c>
      <c r="B15" s="23">
        <v>3</v>
      </c>
      <c r="C15" s="1">
        <f>C16+C17</f>
        <v>6</v>
      </c>
      <c r="D15" s="30">
        <f>Tableau2[[#This Row],[Nombre]]/Tableau2[[#Totals],[Nombre]]</f>
        <v>0.16216216216216217</v>
      </c>
      <c r="E15" s="1">
        <f>Tableau2[[#This Row],[Nombre]]*Tableau2[[#This Row],[Points]]</f>
        <v>18</v>
      </c>
    </row>
    <row r="16" spans="1:9" x14ac:dyDescent="0.25">
      <c r="A16" s="10" t="s">
        <v>20</v>
      </c>
      <c r="B16" s="1">
        <v>4</v>
      </c>
      <c r="C16" s="1">
        <v>4</v>
      </c>
      <c r="D16" s="30">
        <f>Tableau2[[#This Row],[Nombre]]/Tableau2[[#Totals],[Nombre]]</f>
        <v>0.10810810810810811</v>
      </c>
      <c r="E16" s="1">
        <f>Tableau2[[#This Row],[Nombre]]*Tableau2[[#This Row],[Points]]</f>
        <v>16</v>
      </c>
    </row>
    <row r="17" spans="1:7" x14ac:dyDescent="0.25">
      <c r="A17" s="24" t="s">
        <v>21</v>
      </c>
      <c r="B17" s="23">
        <v>5</v>
      </c>
      <c r="C17" s="1">
        <v>2</v>
      </c>
      <c r="D17" s="30">
        <f>Tableau2[[#This Row],[Nombre]]/Tableau2[[#Totals],[Nombre]]</f>
        <v>5.4054054054054057E-2</v>
      </c>
      <c r="E17" s="1">
        <f>Tableau2[[#This Row],[Nombre]]*Tableau2[[#This Row],[Points]]</f>
        <v>10</v>
      </c>
    </row>
    <row r="18" spans="1:7" x14ac:dyDescent="0.25">
      <c r="A18" s="28" t="s">
        <v>24</v>
      </c>
      <c r="B18" s="29"/>
      <c r="C18" s="13">
        <f>SUBTOTAL(109,Tableau2[Nombre])</f>
        <v>37</v>
      </c>
      <c r="D18" s="31">
        <f>SUBTOTAL(109,Tableau2[Frequence])</f>
        <v>1</v>
      </c>
      <c r="E18" s="1">
        <f>SUBTOTAL(109,Tableau2[Points totaux])</f>
        <v>79</v>
      </c>
    </row>
    <row r="21" spans="1:7" x14ac:dyDescent="0.25">
      <c r="A21" t="s">
        <v>33</v>
      </c>
    </row>
    <row r="22" spans="1:7" x14ac:dyDescent="0.25">
      <c r="A22" s="25" t="s">
        <v>16</v>
      </c>
      <c r="B22" s="26" t="s">
        <v>22</v>
      </c>
      <c r="C22" s="27" t="s">
        <v>17</v>
      </c>
    </row>
    <row r="23" spans="1:7" x14ac:dyDescent="0.25">
      <c r="A23" s="24" t="s">
        <v>28</v>
      </c>
      <c r="B23" s="23">
        <v>1</v>
      </c>
      <c r="C23" s="32">
        <v>15</v>
      </c>
    </row>
    <row r="24" spans="1:7" x14ac:dyDescent="0.25">
      <c r="A24" s="10" t="s">
        <v>18</v>
      </c>
      <c r="B24" s="1">
        <v>2</v>
      </c>
      <c r="C24" s="15">
        <v>10</v>
      </c>
    </row>
    <row r="25" spans="1:7" x14ac:dyDescent="0.25">
      <c r="A25" s="24" t="s">
        <v>19</v>
      </c>
      <c r="B25" s="23">
        <v>3</v>
      </c>
      <c r="C25" s="32">
        <v>6</v>
      </c>
    </row>
    <row r="26" spans="1:7" x14ac:dyDescent="0.25">
      <c r="A26" s="10" t="s">
        <v>20</v>
      </c>
      <c r="B26" s="1">
        <v>4</v>
      </c>
      <c r="C26" s="15">
        <v>4</v>
      </c>
    </row>
    <row r="27" spans="1:7" x14ac:dyDescent="0.25">
      <c r="A27" s="28" t="s">
        <v>21</v>
      </c>
      <c r="B27" s="29">
        <v>5</v>
      </c>
      <c r="C27" s="33">
        <v>2</v>
      </c>
    </row>
    <row r="28" spans="1:7" x14ac:dyDescent="0.25">
      <c r="A28" s="28" t="s">
        <v>24</v>
      </c>
      <c r="B28" s="29"/>
      <c r="C28" s="33">
        <f>SUBTOTAL(109,Tableau3[Nombre])</f>
        <v>37</v>
      </c>
    </row>
    <row r="31" spans="1:7" x14ac:dyDescent="0.25">
      <c r="A31" t="s">
        <v>39</v>
      </c>
    </row>
    <row r="32" spans="1:7" x14ac:dyDescent="0.25">
      <c r="A32" s="11" t="s">
        <v>16</v>
      </c>
      <c r="B32" s="34" t="s">
        <v>22</v>
      </c>
      <c r="C32" s="34" t="s">
        <v>27</v>
      </c>
      <c r="D32" s="34" t="s">
        <v>36</v>
      </c>
      <c r="E32" s="22" t="s">
        <v>37</v>
      </c>
      <c r="F32" s="34" t="s">
        <v>17</v>
      </c>
      <c r="G32" s="34" t="s">
        <v>38</v>
      </c>
    </row>
    <row r="33" spans="1:7" x14ac:dyDescent="0.25">
      <c r="A33" s="10" t="s">
        <v>34</v>
      </c>
      <c r="B33" s="1">
        <v>1</v>
      </c>
      <c r="C33" s="1">
        <v>1</v>
      </c>
      <c r="D33" s="1">
        <f>1/Tableau5[[#This Row],[Rang]]^2</f>
        <v>1</v>
      </c>
      <c r="E33" s="30">
        <f>Tableau5[[#This Row],[NombreRelatif]]/Tableau5[[#Totals],[NombreRelatif]]</f>
        <v>0.8</v>
      </c>
      <c r="F33" s="36">
        <f>ROUND(Tableau5[[#This Row],[Fréquence]]*37,0)</f>
        <v>30</v>
      </c>
      <c r="G33" s="1">
        <f>Tableau5[[#This Row],[Nombre]]*Tableau5[[#This Row],[Points]]</f>
        <v>30</v>
      </c>
    </row>
    <row r="34" spans="1:7" x14ac:dyDescent="0.25">
      <c r="A34" s="10" t="s">
        <v>35</v>
      </c>
      <c r="B34" s="1">
        <v>2</v>
      </c>
      <c r="C34" s="1">
        <v>2</v>
      </c>
      <c r="D34" s="1">
        <f>1/Tableau5[[#This Row],[Rang]]^2</f>
        <v>0.25</v>
      </c>
      <c r="E34" s="30">
        <f>Tableau5[[#This Row],[NombreRelatif]]/Tableau5[[#Totals],[NombreRelatif]]</f>
        <v>0.2</v>
      </c>
      <c r="F34" s="36">
        <f>ROUND(Tableau5[[#This Row],[Fréquence]]*37,0)</f>
        <v>7</v>
      </c>
      <c r="G34" s="1">
        <f>Tableau5[[#This Row],[Nombre]]*Tableau5[[#This Row],[Points]]</f>
        <v>14</v>
      </c>
    </row>
    <row r="35" spans="1:7" x14ac:dyDescent="0.25">
      <c r="A35" s="12" t="s">
        <v>24</v>
      </c>
      <c r="B35" s="13"/>
      <c r="C35" s="13">
        <f>SUBTOTAL(109,Tableau5[Rang])</f>
        <v>3</v>
      </c>
      <c r="D35" s="13">
        <f>SUBTOTAL(109,Tableau5[NombreRelatif])</f>
        <v>1.25</v>
      </c>
      <c r="E35" s="35">
        <f>SUBTOTAL(109,Tableau5[Fréquence])</f>
        <v>1</v>
      </c>
      <c r="F35" s="13">
        <f>SUBTOTAL(109,Tableau5[Nombre])</f>
        <v>37</v>
      </c>
      <c r="G35" s="13">
        <f>SUBTOTAL(109,Tableau5[SommePoints])</f>
        <v>44</v>
      </c>
    </row>
    <row r="37" spans="1:7" x14ac:dyDescent="0.25">
      <c r="A37" t="s">
        <v>40</v>
      </c>
    </row>
    <row r="38" spans="1:7" x14ac:dyDescent="0.25">
      <c r="A38" s="11" t="s">
        <v>16</v>
      </c>
      <c r="B38" s="34" t="s">
        <v>22</v>
      </c>
      <c r="C38" s="34" t="s">
        <v>27</v>
      </c>
      <c r="D38" s="34" t="s">
        <v>36</v>
      </c>
      <c r="E38" s="22" t="s">
        <v>37</v>
      </c>
      <c r="F38" s="34" t="s">
        <v>17</v>
      </c>
      <c r="G38" s="34" t="s">
        <v>38</v>
      </c>
    </row>
    <row r="39" spans="1:7" x14ac:dyDescent="0.25">
      <c r="A39" s="10" t="s">
        <v>41</v>
      </c>
      <c r="B39" s="1">
        <v>1</v>
      </c>
      <c r="C39" s="1">
        <v>1</v>
      </c>
      <c r="D39" s="7">
        <f>1/Tableau55[[#This Row],[Rang]]^2</f>
        <v>1</v>
      </c>
      <c r="E39" s="30">
        <f>Tableau55[[#This Row],[NombreRelatif]]/Tableau55[[#Totals],[NombreRelatif]]</f>
        <v>0.73469387755102034</v>
      </c>
      <c r="F39" s="36">
        <f>ROUND(Tableau55[[#This Row],[Fréquence]]*37,0)</f>
        <v>27</v>
      </c>
      <c r="G39" s="1">
        <f>Tableau55[[#This Row],[Nombre]]*Tableau55[[#This Row],[Points]]</f>
        <v>27</v>
      </c>
    </row>
    <row r="40" spans="1:7" x14ac:dyDescent="0.25">
      <c r="A40" s="10" t="s">
        <v>42</v>
      </c>
      <c r="B40" s="1">
        <v>2</v>
      </c>
      <c r="C40" s="1">
        <v>2</v>
      </c>
      <c r="D40" s="7">
        <f>1/Tableau55[[#This Row],[Rang]]^2</f>
        <v>0.25</v>
      </c>
      <c r="E40" s="30">
        <f>Tableau55[[#This Row],[NombreRelatif]]/Tableau55[[#Totals],[NombreRelatif]]</f>
        <v>0.18367346938775508</v>
      </c>
      <c r="F40" s="36">
        <f>ROUND(Tableau55[[#This Row],[Fréquence]]*37,0)</f>
        <v>7</v>
      </c>
      <c r="G40" s="1">
        <f>Tableau55[[#This Row],[Nombre]]*Tableau55[[#This Row],[Points]]</f>
        <v>14</v>
      </c>
    </row>
    <row r="41" spans="1:7" x14ac:dyDescent="0.25">
      <c r="A41" s="12" t="s">
        <v>43</v>
      </c>
      <c r="B41" s="13">
        <v>3</v>
      </c>
      <c r="C41" s="13">
        <v>3</v>
      </c>
      <c r="D41" s="39">
        <f>1/Tableau55[[#This Row],[Rang]]^2</f>
        <v>0.1111111111111111</v>
      </c>
      <c r="E41" s="37">
        <f>Tableau55[[#This Row],[NombreRelatif]]/Tableau55[[#Totals],[NombreRelatif]]</f>
        <v>8.1632653061224483E-2</v>
      </c>
      <c r="F41" s="38">
        <f>ROUND(Tableau55[[#This Row],[Fréquence]]*37,0)</f>
        <v>3</v>
      </c>
      <c r="G41" s="13">
        <f>Tableau55[[#This Row],[Nombre]]*Tableau55[[#This Row],[Points]]</f>
        <v>9</v>
      </c>
    </row>
    <row r="42" spans="1:7" x14ac:dyDescent="0.25">
      <c r="A42" s="12" t="s">
        <v>24</v>
      </c>
      <c r="B42" s="13"/>
      <c r="C42" s="13">
        <f>SUBTOTAL(109,Tableau55[Rang])</f>
        <v>6</v>
      </c>
      <c r="D42" s="39">
        <f>SUBTOTAL(109,Tableau55[NombreRelatif])</f>
        <v>1.3611111111111112</v>
      </c>
      <c r="E42" s="35">
        <f>SUBTOTAL(109,Tableau55[Fréquence])</f>
        <v>0.99999999999999989</v>
      </c>
      <c r="F42" s="13">
        <f>SUBTOTAL(109,Tableau55[Nombre])</f>
        <v>37</v>
      </c>
      <c r="G42" s="13">
        <f>SUBTOTAL(109,Tableau55[SommePoints])</f>
        <v>50</v>
      </c>
    </row>
    <row r="45" spans="1:7" x14ac:dyDescent="0.25">
      <c r="A45" t="s">
        <v>44</v>
      </c>
    </row>
    <row r="46" spans="1:7" x14ac:dyDescent="0.25">
      <c r="A46" s="11" t="s">
        <v>16</v>
      </c>
      <c r="B46" s="34" t="s">
        <v>22</v>
      </c>
      <c r="C46" s="34" t="s">
        <v>27</v>
      </c>
      <c r="D46" s="34" t="s">
        <v>36</v>
      </c>
      <c r="E46" s="22" t="s">
        <v>37</v>
      </c>
      <c r="F46" s="34" t="s">
        <v>17</v>
      </c>
      <c r="G46" s="34" t="s">
        <v>38</v>
      </c>
    </row>
    <row r="47" spans="1:7" x14ac:dyDescent="0.25">
      <c r="A47" s="10" t="s">
        <v>41</v>
      </c>
      <c r="B47" s="1">
        <v>1</v>
      </c>
      <c r="C47" s="1">
        <v>1</v>
      </c>
      <c r="D47" s="7">
        <f>1/Tableau557[[#This Row],[Rang]]^2</f>
        <v>1</v>
      </c>
      <c r="E47" s="30">
        <f>Tableau557[[#This Row],[NombreRelatif]]/Tableau557[[#Totals],[NombreRelatif]]</f>
        <v>0.70243902439024386</v>
      </c>
      <c r="F47" s="36">
        <f>ROUND(Tableau557[[#This Row],[Fréquence]]*37,0)</f>
        <v>26</v>
      </c>
      <c r="G47" s="1">
        <f>Tableau557[[#This Row],[Nombre]]*Tableau557[[#This Row],[Points]]</f>
        <v>26</v>
      </c>
    </row>
    <row r="48" spans="1:7" x14ac:dyDescent="0.25">
      <c r="A48" s="10" t="s">
        <v>42</v>
      </c>
      <c r="B48" s="1">
        <v>2</v>
      </c>
      <c r="C48" s="1">
        <v>2</v>
      </c>
      <c r="D48" s="7">
        <f>1/Tableau557[[#This Row],[Rang]]^2</f>
        <v>0.25</v>
      </c>
      <c r="E48" s="30">
        <f>Tableau557[[#This Row],[NombreRelatif]]/Tableau557[[#Totals],[NombreRelatif]]</f>
        <v>0.17560975609756097</v>
      </c>
      <c r="F48" s="36">
        <f>ROUND(Tableau557[[#This Row],[Fréquence]]*37,0)</f>
        <v>6</v>
      </c>
      <c r="G48" s="1">
        <f>Tableau557[[#This Row],[Nombre]]*Tableau557[[#This Row],[Points]]</f>
        <v>12</v>
      </c>
    </row>
    <row r="49" spans="1:7" x14ac:dyDescent="0.25">
      <c r="A49" s="12" t="s">
        <v>43</v>
      </c>
      <c r="B49" s="13">
        <v>3</v>
      </c>
      <c r="C49" s="13">
        <v>3</v>
      </c>
      <c r="D49" s="39">
        <f>1/Tableau557[[#This Row],[Rang]]^2</f>
        <v>0.1111111111111111</v>
      </c>
      <c r="E49" s="37">
        <f>Tableau557[[#This Row],[NombreRelatif]]/Tableau557[[#Totals],[NombreRelatif]]</f>
        <v>7.8048780487804864E-2</v>
      </c>
      <c r="F49" s="38">
        <f>ROUND(Tableau557[[#This Row],[Fréquence]]*37,0)</f>
        <v>3</v>
      </c>
      <c r="G49" s="13">
        <f>Tableau557[[#This Row],[Nombre]]*Tableau557[[#This Row],[Points]]</f>
        <v>9</v>
      </c>
    </row>
    <row r="50" spans="1:7" x14ac:dyDescent="0.25">
      <c r="A50" s="10" t="s">
        <v>45</v>
      </c>
      <c r="B50" s="1">
        <v>4</v>
      </c>
      <c r="C50" s="1">
        <v>4</v>
      </c>
      <c r="D50" s="39">
        <f>1/Tableau557[[#This Row],[Rang]]^2</f>
        <v>6.25E-2</v>
      </c>
      <c r="E50" s="37">
        <f>Tableau557[[#This Row],[NombreRelatif]]/Tableau557[[#Totals],[NombreRelatif]]</f>
        <v>4.3902439024390241E-2</v>
      </c>
      <c r="F50" s="38">
        <f>ROUND(Tableau557[[#This Row],[Fréquence]]*37,0)</f>
        <v>2</v>
      </c>
      <c r="G50" s="13">
        <f>Tableau557[[#This Row],[Nombre]]*Tableau557[[#This Row],[Points]]</f>
        <v>8</v>
      </c>
    </row>
    <row r="51" spans="1:7" x14ac:dyDescent="0.25">
      <c r="A51" s="12" t="s">
        <v>24</v>
      </c>
      <c r="B51" s="13"/>
      <c r="C51" s="13">
        <f>SUBTOTAL(109,Tableau557[Rang])</f>
        <v>10</v>
      </c>
      <c r="D51" s="39">
        <f>SUBTOTAL(109,Tableau557[NombreRelatif])</f>
        <v>1.4236111111111112</v>
      </c>
      <c r="E51" s="35">
        <f>SUBTOTAL(109,Tableau557[Fréquence])</f>
        <v>0.99999999999999989</v>
      </c>
      <c r="F51" s="13">
        <f>SUBTOTAL(109,Tableau557[Nombre])</f>
        <v>37</v>
      </c>
      <c r="G51" s="13">
        <f>SUBTOTAL(109,Tableau557[SommePoints])</f>
        <v>55</v>
      </c>
    </row>
  </sheetData>
  <phoneticPr fontId="2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7EB6-6690-4DE5-953A-72CFC0535AC8}">
  <dimension ref="A1:D5"/>
  <sheetViews>
    <sheetView workbookViewId="0">
      <selection activeCell="B14" sqref="B14"/>
    </sheetView>
  </sheetViews>
  <sheetFormatPr baseColWidth="10" defaultRowHeight="15" x14ac:dyDescent="0.25"/>
  <cols>
    <col min="1" max="1" width="16" customWidth="1"/>
  </cols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1</v>
      </c>
      <c r="B2" s="4">
        <v>30</v>
      </c>
      <c r="C2" s="5">
        <v>20</v>
      </c>
      <c r="D2" s="6">
        <v>15</v>
      </c>
    </row>
    <row r="4" spans="1:4" x14ac:dyDescent="0.25">
      <c r="A4" s="1" t="s">
        <v>6</v>
      </c>
      <c r="B4" s="1">
        <f>37/B1*3</f>
        <v>55.5</v>
      </c>
      <c r="C4" s="1">
        <f t="shared" ref="C4:D4" si="0">37/C1*3</f>
        <v>37</v>
      </c>
      <c r="D4" s="1">
        <f t="shared" si="0"/>
        <v>27.75</v>
      </c>
    </row>
    <row r="5" spans="1:4" x14ac:dyDescent="0.25">
      <c r="A5" s="1" t="s">
        <v>7</v>
      </c>
      <c r="B5" s="1">
        <f>0.5*B4</f>
        <v>27.75</v>
      </c>
      <c r="C5" s="1">
        <f t="shared" ref="C5:D5" si="1">0.5*C4</f>
        <v>18.5</v>
      </c>
      <c r="D5" s="1">
        <f t="shared" si="1"/>
        <v>13.875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Dimensions</vt:lpstr>
      <vt:lpstr>Recrutement</vt:lpstr>
      <vt:lpstr>Ressources</vt:lpstr>
      <vt:lpstr>Troupes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leandre</dc:creator>
  <cp:lastModifiedBy>Léandre Brault</cp:lastModifiedBy>
  <dcterms:created xsi:type="dcterms:W3CDTF">2015-06-05T18:19:34Z</dcterms:created>
  <dcterms:modified xsi:type="dcterms:W3CDTF">2024-03-25T20:37:10Z</dcterms:modified>
</cp:coreProperties>
</file>