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firstSheet="12" activeTab="16"/>
  </bookViews>
  <sheets>
    <sheet name="Integrantes" sheetId="1" r:id="rId1"/>
    <sheet name="Empresa" sheetId="2" r:id="rId2"/>
    <sheet name="BG" sheetId="3" r:id="rId3"/>
    <sheet name="BG CLASIFICADO" sheetId="4" r:id="rId4"/>
    <sheet name="BG CLASIFICADO AJUSTADO" sheetId="5" r:id="rId5"/>
    <sheet name="EE. RR." sheetId="6" r:id="rId6"/>
    <sheet name="EE.RR CLASIFICADO" sheetId="7" r:id="rId7"/>
    <sheet name="EE. RR. CLASIFICADO AJUSTADO" sheetId="8" r:id="rId8"/>
    <sheet name="Hoja1" sheetId="17" r:id="rId9"/>
    <sheet name="Hoja2" sheetId="18" r:id="rId10"/>
    <sheet name="ESTADO DE FUENTES Y USOS" sheetId="9" r:id="rId11"/>
    <sheet name="CAPACIDAD DE PAGO " sheetId="10" r:id="rId12"/>
    <sheet name="PUNTUALIDAD DE PAGO " sheetId="13" r:id="rId13"/>
    <sheet name="TP" sheetId="12" r:id="rId14"/>
    <sheet name="ANALISIS ECONOMICO " sheetId="11" r:id="rId15"/>
    <sheet name="Preguntas Directrices" sheetId="14" r:id="rId16"/>
    <sheet name="Conclusiones" sheetId="16" r:id="rId17"/>
  </sheets>
  <calcPr calcId="145621"/>
</workbook>
</file>

<file path=xl/calcChain.xml><?xml version="1.0" encoding="utf-8"?>
<calcChain xmlns="http://schemas.openxmlformats.org/spreadsheetml/2006/main">
  <c r="D7" i="10" l="1"/>
  <c r="E7" i="10"/>
  <c r="H10" i="10" l="1"/>
  <c r="G10" i="10"/>
  <c r="F10" i="10"/>
  <c r="E10" i="10"/>
  <c r="D10" i="10"/>
  <c r="E8" i="8" l="1"/>
  <c r="H8" i="10"/>
  <c r="G8" i="10"/>
  <c r="E8" i="10"/>
  <c r="F8" i="10"/>
  <c r="D8" i="10"/>
  <c r="O5" i="14" l="1"/>
  <c r="H22" i="8"/>
  <c r="K15" i="8" s="1"/>
  <c r="H21" i="8"/>
  <c r="H20" i="8"/>
  <c r="H19" i="8"/>
  <c r="E15" i="8" s="1"/>
  <c r="M15" i="8"/>
  <c r="C15" i="8"/>
  <c r="C14" i="8"/>
  <c r="C13" i="8"/>
  <c r="C12" i="8"/>
  <c r="M11" i="8"/>
  <c r="G11" i="8"/>
  <c r="E11" i="8"/>
  <c r="C11" i="8"/>
  <c r="C10" i="8"/>
  <c r="C9" i="8"/>
  <c r="C8" i="8"/>
  <c r="C7" i="8"/>
  <c r="C6" i="8"/>
  <c r="K5" i="8"/>
  <c r="C5" i="8"/>
  <c r="I15" i="7"/>
  <c r="J15" i="8" s="1"/>
  <c r="G15" i="7"/>
  <c r="M14" i="7"/>
  <c r="M14" i="8" s="1"/>
  <c r="K14" i="7"/>
  <c r="I14" i="7"/>
  <c r="G14" i="7"/>
  <c r="G14" i="8" s="1"/>
  <c r="E14" i="7"/>
  <c r="E14" i="8" s="1"/>
  <c r="M12" i="7"/>
  <c r="M12" i="8" s="1"/>
  <c r="K12" i="7"/>
  <c r="K12" i="8" s="1"/>
  <c r="J12" i="8" s="1"/>
  <c r="I12" i="7"/>
  <c r="G12" i="7"/>
  <c r="E12" i="7"/>
  <c r="E12" i="8" s="1"/>
  <c r="J11" i="7"/>
  <c r="M10" i="7"/>
  <c r="K10" i="7"/>
  <c r="I10" i="7"/>
  <c r="G10" i="7"/>
  <c r="E10" i="7"/>
  <c r="M8" i="7"/>
  <c r="K8" i="7"/>
  <c r="I8" i="7"/>
  <c r="G8" i="7"/>
  <c r="E8" i="7"/>
  <c r="M6" i="7"/>
  <c r="K6" i="7"/>
  <c r="I6" i="7"/>
  <c r="G6" i="7"/>
  <c r="G6" i="8" s="1"/>
  <c r="E6" i="7"/>
  <c r="M5" i="7"/>
  <c r="K5" i="7"/>
  <c r="J5" i="7" s="1"/>
  <c r="I5" i="7"/>
  <c r="H15" i="7" s="1"/>
  <c r="H15" i="8" s="1"/>
  <c r="G5" i="7"/>
  <c r="E5" i="7"/>
  <c r="D11" i="7" s="1"/>
  <c r="G13" i="6"/>
  <c r="G18" i="6" s="1"/>
  <c r="G22" i="6" s="1"/>
  <c r="H9" i="6"/>
  <c r="H13" i="6" s="1"/>
  <c r="H18" i="6" s="1"/>
  <c r="H22" i="6" s="1"/>
  <c r="G9" i="6"/>
  <c r="F9" i="6"/>
  <c r="F13" i="6" s="1"/>
  <c r="F18" i="6" s="1"/>
  <c r="F22" i="6" s="1"/>
  <c r="E9" i="6"/>
  <c r="E13" i="6" s="1"/>
  <c r="E18" i="6" s="1"/>
  <c r="E22" i="6" s="1"/>
  <c r="D9" i="6"/>
  <c r="D13" i="6" s="1"/>
  <c r="D18" i="6" s="1"/>
  <c r="D22" i="6" s="1"/>
  <c r="E25" i="5"/>
  <c r="H24" i="5"/>
  <c r="E24" i="5"/>
  <c r="H23" i="5" s="1"/>
  <c r="E23" i="5"/>
  <c r="H22" i="5" s="1"/>
  <c r="G9" i="5" s="1"/>
  <c r="E22" i="5"/>
  <c r="H21" i="5" s="1"/>
  <c r="E21" i="5"/>
  <c r="C17" i="5"/>
  <c r="C16" i="5"/>
  <c r="C15" i="5"/>
  <c r="I14" i="5"/>
  <c r="C14" i="5"/>
  <c r="C13" i="5"/>
  <c r="C11" i="5"/>
  <c r="I10" i="5"/>
  <c r="E6" i="9" s="1"/>
  <c r="C10" i="5"/>
  <c r="C7" i="5"/>
  <c r="C6" i="5"/>
  <c r="C5" i="5"/>
  <c r="M16" i="4"/>
  <c r="M16" i="5" s="1"/>
  <c r="K16" i="4"/>
  <c r="K16" i="5" s="1"/>
  <c r="I16" i="4"/>
  <c r="G16" i="4"/>
  <c r="E16" i="4"/>
  <c r="M15" i="4"/>
  <c r="K15" i="4"/>
  <c r="I15" i="4"/>
  <c r="G15" i="4"/>
  <c r="E15" i="4"/>
  <c r="M14" i="4"/>
  <c r="M14" i="5" s="1"/>
  <c r="K14" i="4"/>
  <c r="I14" i="4"/>
  <c r="G14" i="4"/>
  <c r="E14" i="4"/>
  <c r="M11" i="4"/>
  <c r="K11" i="4"/>
  <c r="I11" i="4"/>
  <c r="G11" i="4"/>
  <c r="E11" i="4"/>
  <c r="M10" i="4"/>
  <c r="M10" i="5" s="1"/>
  <c r="K10" i="4"/>
  <c r="K10" i="5" s="1"/>
  <c r="I10" i="4"/>
  <c r="G10" i="4"/>
  <c r="E10" i="4"/>
  <c r="M9" i="4"/>
  <c r="M9" i="5" s="1"/>
  <c r="K9" i="4"/>
  <c r="I9" i="4"/>
  <c r="I9" i="5" s="1"/>
  <c r="E7" i="9" s="1"/>
  <c r="G9" i="4"/>
  <c r="E9" i="4"/>
  <c r="E9" i="5" s="1"/>
  <c r="M8" i="4"/>
  <c r="M8" i="5" s="1"/>
  <c r="K8" i="4"/>
  <c r="K8" i="5" s="1"/>
  <c r="I8" i="4"/>
  <c r="I8" i="5" s="1"/>
  <c r="G8" i="4"/>
  <c r="E8" i="4"/>
  <c r="M6" i="4"/>
  <c r="M6" i="5" s="1"/>
  <c r="K6" i="4"/>
  <c r="K6" i="5" s="1"/>
  <c r="I6" i="4"/>
  <c r="G6" i="4"/>
  <c r="G7" i="4" s="1"/>
  <c r="F6" i="4" s="1"/>
  <c r="E6" i="4"/>
  <c r="M5" i="4"/>
  <c r="M5" i="5" s="1"/>
  <c r="K5" i="4"/>
  <c r="I5" i="4"/>
  <c r="I5" i="5" s="1"/>
  <c r="G5" i="4"/>
  <c r="E5" i="4"/>
  <c r="E5" i="5" s="1"/>
  <c r="H60" i="3"/>
  <c r="H62" i="3" s="1"/>
  <c r="G60" i="3"/>
  <c r="G62" i="3" s="1"/>
  <c r="F60" i="3"/>
  <c r="F62" i="3" s="1"/>
  <c r="E60" i="3"/>
  <c r="E62" i="3" s="1"/>
  <c r="D60" i="3"/>
  <c r="D62" i="3" s="1"/>
  <c r="D55" i="3"/>
  <c r="H54" i="3"/>
  <c r="G54" i="3"/>
  <c r="F54" i="3"/>
  <c r="E54" i="3"/>
  <c r="D54" i="3"/>
  <c r="H49" i="3"/>
  <c r="H55" i="3" s="1"/>
  <c r="G49" i="3"/>
  <c r="D49" i="3"/>
  <c r="F47" i="3"/>
  <c r="F49" i="3" s="1"/>
  <c r="F55" i="3" s="1"/>
  <c r="F64" i="3" s="1"/>
  <c r="E47" i="3"/>
  <c r="E49" i="3" s="1"/>
  <c r="H27" i="3"/>
  <c r="G27" i="3"/>
  <c r="F27" i="3"/>
  <c r="E27" i="3"/>
  <c r="D27" i="3"/>
  <c r="H17" i="3"/>
  <c r="G17" i="3"/>
  <c r="G29" i="3" s="1"/>
  <c r="D17" i="3"/>
  <c r="F15" i="3"/>
  <c r="F17" i="3" s="1"/>
  <c r="F29" i="3" s="1"/>
  <c r="E15" i="3"/>
  <c r="E17" i="3" s="1"/>
  <c r="E29" i="3" s="1"/>
  <c r="E7" i="4" l="1"/>
  <c r="M7" i="4"/>
  <c r="L5" i="4" s="1"/>
  <c r="G8" i="5"/>
  <c r="G10" i="5"/>
  <c r="G14" i="5"/>
  <c r="G16" i="5"/>
  <c r="H12" i="7"/>
  <c r="D14" i="7"/>
  <c r="D29" i="3"/>
  <c r="H29" i="3"/>
  <c r="E55" i="3"/>
  <c r="E64" i="3" s="1"/>
  <c r="G55" i="3"/>
  <c r="G64" i="3" s="1"/>
  <c r="D5" i="4"/>
  <c r="G5" i="5"/>
  <c r="E6" i="5"/>
  <c r="C10" i="9" s="1"/>
  <c r="I7" i="4"/>
  <c r="H5" i="4" s="1"/>
  <c r="E8" i="5"/>
  <c r="K9" i="5"/>
  <c r="F10" i="13" s="1"/>
  <c r="F11" i="13" s="1"/>
  <c r="E10" i="5"/>
  <c r="G11" i="5"/>
  <c r="E9" i="10" s="1"/>
  <c r="E14" i="5"/>
  <c r="E16" i="5"/>
  <c r="C14" i="9" s="1"/>
  <c r="G6" i="5"/>
  <c r="I6" i="5"/>
  <c r="I7" i="5" s="1"/>
  <c r="D12" i="7"/>
  <c r="G12" i="8"/>
  <c r="L14" i="7"/>
  <c r="E5" i="8"/>
  <c r="D14" i="8" s="1"/>
  <c r="K11" i="8"/>
  <c r="J11" i="8" s="1"/>
  <c r="C6" i="9"/>
  <c r="D64" i="3"/>
  <c r="C23" i="9"/>
  <c r="J14" i="4"/>
  <c r="C9" i="9"/>
  <c r="E7" i="5"/>
  <c r="J16" i="4"/>
  <c r="E22" i="9"/>
  <c r="H64" i="3"/>
  <c r="E9" i="9"/>
  <c r="C8" i="9"/>
  <c r="E24" i="9"/>
  <c r="C12" i="9"/>
  <c r="E28" i="9"/>
  <c r="C7" i="9"/>
  <c r="L7" i="9" s="1"/>
  <c r="E23" i="9"/>
  <c r="G12" i="4"/>
  <c r="E25" i="9"/>
  <c r="M7" i="5"/>
  <c r="C22" i="9"/>
  <c r="L6" i="9"/>
  <c r="M11" i="5"/>
  <c r="E12" i="9"/>
  <c r="E6" i="8"/>
  <c r="D6" i="7"/>
  <c r="I16" i="5"/>
  <c r="G17" i="4"/>
  <c r="F15" i="4" s="1"/>
  <c r="H11" i="7"/>
  <c r="I5" i="8"/>
  <c r="I10" i="8"/>
  <c r="H10" i="7"/>
  <c r="I11" i="8"/>
  <c r="I15" i="8"/>
  <c r="F5" i="4"/>
  <c r="F7" i="4" s="1"/>
  <c r="D6" i="4"/>
  <c r="K7" i="4"/>
  <c r="K11" i="5"/>
  <c r="E12" i="4"/>
  <c r="I12" i="4"/>
  <c r="H11" i="4" s="1"/>
  <c r="M12" i="4"/>
  <c r="G7" i="5"/>
  <c r="I11" i="5"/>
  <c r="I6" i="8"/>
  <c r="H6" i="7"/>
  <c r="I7" i="7"/>
  <c r="J10" i="7"/>
  <c r="K10" i="8"/>
  <c r="J10" i="8" s="1"/>
  <c r="D12" i="8"/>
  <c r="H14" i="7"/>
  <c r="F12" i="13"/>
  <c r="F13" i="13" s="1"/>
  <c r="F14" i="13"/>
  <c r="F15" i="13" s="1"/>
  <c r="J5" i="8"/>
  <c r="D11" i="8"/>
  <c r="K12" i="4"/>
  <c r="E8" i="9"/>
  <c r="E11" i="5"/>
  <c r="C14" i="13" s="1"/>
  <c r="C15" i="13" s="1"/>
  <c r="F12" i="7"/>
  <c r="F11" i="7"/>
  <c r="G5" i="8"/>
  <c r="F15" i="7"/>
  <c r="G15" i="8" s="1"/>
  <c r="F14" i="7"/>
  <c r="G8" i="8"/>
  <c r="F8" i="7"/>
  <c r="E30" i="9"/>
  <c r="K17" i="4"/>
  <c r="J15" i="4" s="1"/>
  <c r="G15" i="5"/>
  <c r="G7" i="7"/>
  <c r="C16" i="13"/>
  <c r="C17" i="13" s="1"/>
  <c r="C12" i="13"/>
  <c r="C13" i="13" s="1"/>
  <c r="K9" i="11"/>
  <c r="K13" i="11"/>
  <c r="D5" i="8"/>
  <c r="C6" i="13"/>
  <c r="C7" i="13" s="1"/>
  <c r="K5" i="5"/>
  <c r="E26" i="9"/>
  <c r="J8" i="4"/>
  <c r="D9" i="4"/>
  <c r="J10" i="4"/>
  <c r="K14" i="5"/>
  <c r="F16" i="13" s="1"/>
  <c r="F17" i="13" s="1"/>
  <c r="E15" i="5"/>
  <c r="I15" i="5"/>
  <c r="M15" i="5"/>
  <c r="E17" i="4"/>
  <c r="I17" i="4"/>
  <c r="M17" i="4"/>
  <c r="K15" i="5"/>
  <c r="M17" i="5"/>
  <c r="L14" i="5" s="1"/>
  <c r="L15" i="7"/>
  <c r="L11" i="7"/>
  <c r="L5" i="7"/>
  <c r="J6" i="7"/>
  <c r="K6" i="8"/>
  <c r="K7" i="7"/>
  <c r="D8" i="8"/>
  <c r="D8" i="7"/>
  <c r="M8" i="8"/>
  <c r="L8" i="7"/>
  <c r="L12" i="7"/>
  <c r="I14" i="8"/>
  <c r="H14" i="8" s="1"/>
  <c r="M5" i="8"/>
  <c r="L14" i="8" s="1"/>
  <c r="F6" i="7"/>
  <c r="M6" i="8"/>
  <c r="L6" i="7"/>
  <c r="I8" i="8"/>
  <c r="H8" i="7"/>
  <c r="E10" i="8"/>
  <c r="D10" i="8" s="1"/>
  <c r="D10" i="7"/>
  <c r="M10" i="8"/>
  <c r="L10" i="8" s="1"/>
  <c r="L10" i="7"/>
  <c r="I12" i="8"/>
  <c r="J14" i="7"/>
  <c r="J15" i="7"/>
  <c r="F11" i="8"/>
  <c r="D10" i="13"/>
  <c r="D11" i="13" s="1"/>
  <c r="E7" i="7"/>
  <c r="M7" i="7"/>
  <c r="K8" i="8"/>
  <c r="J8" i="8" s="1"/>
  <c r="J8" i="7"/>
  <c r="F10" i="7"/>
  <c r="G10" i="8"/>
  <c r="J12" i="7"/>
  <c r="K14" i="8"/>
  <c r="J14" i="8" s="1"/>
  <c r="F10" i="8" l="1"/>
  <c r="H12" i="8"/>
  <c r="H8" i="8"/>
  <c r="L8" i="8"/>
  <c r="H9" i="4"/>
  <c r="F8" i="8"/>
  <c r="K12" i="5"/>
  <c r="G7" i="10" s="1"/>
  <c r="N9" i="11"/>
  <c r="L6" i="4"/>
  <c r="L7" i="4" s="1"/>
  <c r="H11" i="8"/>
  <c r="H10" i="8"/>
  <c r="E10" i="9"/>
  <c r="H6" i="4"/>
  <c r="H7" i="4" s="1"/>
  <c r="G12" i="5"/>
  <c r="L16" i="5"/>
  <c r="M13" i="4"/>
  <c r="L10" i="4"/>
  <c r="L8" i="4"/>
  <c r="Q10" i="9"/>
  <c r="G10" i="9"/>
  <c r="G14" i="11"/>
  <c r="D14" i="11"/>
  <c r="C13" i="9"/>
  <c r="E38" i="5"/>
  <c r="S9" i="9"/>
  <c r="I25" i="9"/>
  <c r="AD38" i="5"/>
  <c r="I22" i="9"/>
  <c r="S6" i="9"/>
  <c r="L22" i="9"/>
  <c r="D7" i="7"/>
  <c r="E9" i="7"/>
  <c r="L16" i="4"/>
  <c r="L14" i="4"/>
  <c r="S10" i="9"/>
  <c r="E14" i="11"/>
  <c r="L12" i="8"/>
  <c r="C24" i="9"/>
  <c r="L24" i="9" s="1"/>
  <c r="I8" i="9"/>
  <c r="L8" i="9"/>
  <c r="E13" i="4"/>
  <c r="D8" i="4"/>
  <c r="D10" i="4"/>
  <c r="E14" i="13"/>
  <c r="E15" i="13" s="1"/>
  <c r="E6" i="13"/>
  <c r="E7" i="13" s="1"/>
  <c r="M9" i="11"/>
  <c r="O13" i="11"/>
  <c r="E16" i="13"/>
  <c r="E17" i="13" s="1"/>
  <c r="H5" i="8"/>
  <c r="I7" i="8"/>
  <c r="E12" i="13"/>
  <c r="E13" i="13" s="1"/>
  <c r="E14" i="9"/>
  <c r="I14" i="9" s="1"/>
  <c r="E21" i="9"/>
  <c r="H9" i="10"/>
  <c r="L23" i="9"/>
  <c r="I23" i="9"/>
  <c r="S7" i="9"/>
  <c r="S12" i="9"/>
  <c r="C15" i="9"/>
  <c r="Q12" i="9"/>
  <c r="I9" i="9"/>
  <c r="C25" i="9"/>
  <c r="L9" i="9"/>
  <c r="J17" i="4"/>
  <c r="D11" i="4"/>
  <c r="L7" i="7"/>
  <c r="M9" i="7"/>
  <c r="J7" i="7"/>
  <c r="K9" i="7"/>
  <c r="H14" i="11"/>
  <c r="E29" i="9"/>
  <c r="AD39" i="5"/>
  <c r="L15" i="5"/>
  <c r="AD40" i="5"/>
  <c r="J7" i="8"/>
  <c r="J9" i="8" s="1"/>
  <c r="J13" i="8" s="1"/>
  <c r="F9" i="10"/>
  <c r="E5" i="9"/>
  <c r="G12" i="9"/>
  <c r="L12" i="9"/>
  <c r="C28" i="9"/>
  <c r="G28" i="9" s="1"/>
  <c r="Q6" i="9"/>
  <c r="G6" i="9"/>
  <c r="G16" i="13"/>
  <c r="G17" i="13" s="1"/>
  <c r="G12" i="13"/>
  <c r="G13" i="13" s="1"/>
  <c r="O9" i="11"/>
  <c r="G14" i="13"/>
  <c r="G15" i="13" s="1"/>
  <c r="G6" i="13"/>
  <c r="G7" i="13" s="1"/>
  <c r="L5" i="8"/>
  <c r="M7" i="8"/>
  <c r="J6" i="8"/>
  <c r="K7" i="8"/>
  <c r="Q14" i="9"/>
  <c r="E10" i="13"/>
  <c r="E11" i="13" s="1"/>
  <c r="H6" i="8"/>
  <c r="I13" i="4"/>
  <c r="H10" i="4"/>
  <c r="H8" i="4"/>
  <c r="K13" i="4"/>
  <c r="K7" i="5"/>
  <c r="J6" i="4"/>
  <c r="F11" i="4"/>
  <c r="F9" i="4"/>
  <c r="G13" i="4"/>
  <c r="S8" i="9"/>
  <c r="Q8" i="9"/>
  <c r="E13" i="5"/>
  <c r="D11" i="5" s="1"/>
  <c r="L11" i="4"/>
  <c r="L15" i="4"/>
  <c r="H14" i="4"/>
  <c r="H16" i="4"/>
  <c r="H17" i="4" s="1"/>
  <c r="F14" i="11"/>
  <c r="E13" i="9"/>
  <c r="K17" i="5"/>
  <c r="J14" i="5" s="1"/>
  <c r="F10" i="4"/>
  <c r="F7" i="7"/>
  <c r="G9" i="7"/>
  <c r="S14" i="9"/>
  <c r="G5" i="10"/>
  <c r="G11" i="10"/>
  <c r="F16" i="4"/>
  <c r="C10" i="13"/>
  <c r="C11" i="13" s="1"/>
  <c r="D6" i="8"/>
  <c r="D7" i="8" s="1"/>
  <c r="D9" i="8" s="1"/>
  <c r="D13" i="8" s="1"/>
  <c r="E7" i="8"/>
  <c r="G10" i="13"/>
  <c r="G11" i="13" s="1"/>
  <c r="L6" i="8"/>
  <c r="D16" i="4"/>
  <c r="D14" i="4"/>
  <c r="G17" i="5"/>
  <c r="L9" i="4"/>
  <c r="F8" i="4"/>
  <c r="L11" i="8"/>
  <c r="I17" i="5"/>
  <c r="D16" i="13"/>
  <c r="D17" i="13" s="1"/>
  <c r="M13" i="11"/>
  <c r="L9" i="11"/>
  <c r="D14" i="13"/>
  <c r="D15" i="13" s="1"/>
  <c r="D6" i="13"/>
  <c r="D7" i="13" s="1"/>
  <c r="D12" i="13"/>
  <c r="D13" i="13" s="1"/>
  <c r="D8" i="13"/>
  <c r="D9" i="13" s="1"/>
  <c r="F5" i="8"/>
  <c r="G7" i="8"/>
  <c r="F14" i="8"/>
  <c r="F6" i="8"/>
  <c r="C5" i="9"/>
  <c r="D9" i="10"/>
  <c r="I12" i="5"/>
  <c r="E8" i="13" s="1"/>
  <c r="E9" i="13" s="1"/>
  <c r="J11" i="4"/>
  <c r="J9" i="4"/>
  <c r="H7" i="7"/>
  <c r="I9" i="7"/>
  <c r="F14" i="4"/>
  <c r="G9" i="10"/>
  <c r="Q7" i="9"/>
  <c r="G7" i="9"/>
  <c r="C26" i="9"/>
  <c r="L10" i="9"/>
  <c r="E17" i="5"/>
  <c r="M12" i="5"/>
  <c r="G8" i="13" s="1"/>
  <c r="G9" i="13" s="1"/>
  <c r="E12" i="5"/>
  <c r="D15" i="4"/>
  <c r="J5" i="4"/>
  <c r="Q9" i="9"/>
  <c r="H15" i="4"/>
  <c r="F12" i="8"/>
  <c r="F8" i="13" l="1"/>
  <c r="F9" i="13" s="1"/>
  <c r="F17" i="4"/>
  <c r="G4" i="10"/>
  <c r="G6" i="10"/>
  <c r="G13" i="10"/>
  <c r="X38" i="5"/>
  <c r="J7" i="4"/>
  <c r="H12" i="4"/>
  <c r="J15" i="5"/>
  <c r="E11" i="10"/>
  <c r="E5" i="10"/>
  <c r="E13" i="10"/>
  <c r="E6" i="10"/>
  <c r="E4" i="10"/>
  <c r="G13" i="5"/>
  <c r="R38" i="5"/>
  <c r="H14" i="5"/>
  <c r="H17" i="5" s="1"/>
  <c r="F14" i="5"/>
  <c r="F16" i="5"/>
  <c r="L40" i="5"/>
  <c r="L38" i="5"/>
  <c r="S13" i="9"/>
  <c r="N13" i="11"/>
  <c r="H7" i="8"/>
  <c r="F15" i="5"/>
  <c r="E39" i="5"/>
  <c r="D16" i="5"/>
  <c r="D14" i="5"/>
  <c r="E37" i="5"/>
  <c r="H9" i="7"/>
  <c r="I13" i="7"/>
  <c r="J12" i="4"/>
  <c r="E4" i="11"/>
  <c r="G9" i="8"/>
  <c r="D4" i="11"/>
  <c r="E9" i="8"/>
  <c r="C3" i="12" s="1"/>
  <c r="H15" i="5"/>
  <c r="Z8" i="9"/>
  <c r="K13" i="5"/>
  <c r="F6" i="13"/>
  <c r="F7" i="13" s="1"/>
  <c r="W14" i="9"/>
  <c r="U6" i="9"/>
  <c r="D12" i="9"/>
  <c r="R40" i="5"/>
  <c r="L39" i="5"/>
  <c r="W9" i="9"/>
  <c r="Z9" i="9"/>
  <c r="D15" i="5"/>
  <c r="L17" i="5"/>
  <c r="H4" i="10"/>
  <c r="H11" i="10"/>
  <c r="H13" i="10"/>
  <c r="H5" i="10"/>
  <c r="H6" i="10"/>
  <c r="H7" i="10"/>
  <c r="G26" i="9"/>
  <c r="Q5" i="9"/>
  <c r="Z14" i="9"/>
  <c r="C29" i="9"/>
  <c r="L29" i="9" s="1"/>
  <c r="G13" i="9"/>
  <c r="L13" i="9"/>
  <c r="D10" i="11"/>
  <c r="C11" i="9"/>
  <c r="C16" i="9" s="1"/>
  <c r="D35" i="5"/>
  <c r="D32" i="5"/>
  <c r="D34" i="5"/>
  <c r="D9" i="5"/>
  <c r="D8" i="5"/>
  <c r="D10" i="5"/>
  <c r="D31" i="5"/>
  <c r="D6" i="5"/>
  <c r="D33" i="5"/>
  <c r="C4" i="13"/>
  <c r="C5" i="13" s="1"/>
  <c r="D5" i="5"/>
  <c r="D7" i="5" s="1"/>
  <c r="D13" i="5" s="1"/>
  <c r="G4" i="11"/>
  <c r="K9" i="8"/>
  <c r="L9" i="7"/>
  <c r="M13" i="7"/>
  <c r="L26" i="9"/>
  <c r="E13" i="7"/>
  <c r="D9" i="7"/>
  <c r="U10" i="9"/>
  <c r="U7" i="9"/>
  <c r="F6" i="10"/>
  <c r="F5" i="10"/>
  <c r="F4" i="10"/>
  <c r="F13" i="10"/>
  <c r="F11" i="10"/>
  <c r="F7" i="10"/>
  <c r="D36" i="5"/>
  <c r="L13" i="11"/>
  <c r="F7" i="8"/>
  <c r="F9" i="8" s="1"/>
  <c r="F13" i="8" s="1"/>
  <c r="D17" i="4"/>
  <c r="J16" i="5"/>
  <c r="J17" i="5" s="1"/>
  <c r="X40" i="5"/>
  <c r="R39" i="5"/>
  <c r="F12" i="4"/>
  <c r="D14" i="9"/>
  <c r="H4" i="11"/>
  <c r="M9" i="8"/>
  <c r="C21" i="9"/>
  <c r="L5" i="9"/>
  <c r="I5" i="9"/>
  <c r="J9" i="7"/>
  <c r="K13" i="7"/>
  <c r="U12" i="9"/>
  <c r="Z12" i="9"/>
  <c r="E31" i="9"/>
  <c r="H16" i="5"/>
  <c r="G24" i="9"/>
  <c r="I13" i="5"/>
  <c r="L25" i="9"/>
  <c r="D13" i="9"/>
  <c r="Q13" i="9"/>
  <c r="X39" i="5"/>
  <c r="D12" i="10"/>
  <c r="D4" i="10"/>
  <c r="D13" i="10"/>
  <c r="D6" i="10"/>
  <c r="D5" i="10"/>
  <c r="D12" i="5"/>
  <c r="D11" i="10"/>
  <c r="C8" i="13"/>
  <c r="C9" i="13" s="1"/>
  <c r="F9" i="7"/>
  <c r="G13" i="7"/>
  <c r="L12" i="4"/>
  <c r="U8" i="9"/>
  <c r="L7" i="8"/>
  <c r="L9" i="8" s="1"/>
  <c r="L13" i="8" s="1"/>
  <c r="E15" i="9"/>
  <c r="F13" i="9" s="1"/>
  <c r="K13" i="9" s="1"/>
  <c r="D12" i="4"/>
  <c r="L28" i="9"/>
  <c r="Z7" i="9"/>
  <c r="M13" i="5"/>
  <c r="H12" i="10" s="1"/>
  <c r="L21" i="9"/>
  <c r="S5" i="9"/>
  <c r="L14" i="9"/>
  <c r="F14" i="9"/>
  <c r="K14" i="9" s="1"/>
  <c r="C30" i="9"/>
  <c r="F4" i="11"/>
  <c r="I9" i="8"/>
  <c r="G3" i="12" s="1"/>
  <c r="Z10" i="9"/>
  <c r="L17" i="4"/>
  <c r="Z6" i="9"/>
  <c r="E3" i="12" l="1"/>
  <c r="F9" i="5"/>
  <c r="F6" i="5"/>
  <c r="F10" i="5"/>
  <c r="K35" i="5"/>
  <c r="F5" i="5"/>
  <c r="F7" i="5" s="1"/>
  <c r="E10" i="11"/>
  <c r="K37" i="5"/>
  <c r="F12" i="5"/>
  <c r="F11" i="5"/>
  <c r="F8" i="5"/>
  <c r="E12" i="10"/>
  <c r="K32" i="5"/>
  <c r="K34" i="5"/>
  <c r="D4" i="13"/>
  <c r="D5" i="13" s="1"/>
  <c r="K33" i="5"/>
  <c r="K36" i="5"/>
  <c r="D5" i="9"/>
  <c r="D15" i="9"/>
  <c r="N8" i="11"/>
  <c r="N10" i="11" s="1"/>
  <c r="J13" i="7"/>
  <c r="K16" i="7"/>
  <c r="J16" i="7" s="1"/>
  <c r="G7" i="11"/>
  <c r="G5" i="11"/>
  <c r="N4" i="11"/>
  <c r="K13" i="8"/>
  <c r="F10" i="11"/>
  <c r="E11" i="9"/>
  <c r="Q32" i="5"/>
  <c r="H10" i="5"/>
  <c r="Q35" i="5"/>
  <c r="H5" i="5"/>
  <c r="H7" i="5" s="1"/>
  <c r="H13" i="5" s="1"/>
  <c r="H6" i="5"/>
  <c r="Q34" i="5"/>
  <c r="Q33" i="5"/>
  <c r="Q36" i="5"/>
  <c r="H9" i="5"/>
  <c r="H8" i="5"/>
  <c r="E4" i="13"/>
  <c r="E5" i="13" s="1"/>
  <c r="H11" i="5"/>
  <c r="Q37" i="5"/>
  <c r="C31" i="9"/>
  <c r="D28" i="9" s="1"/>
  <c r="F12" i="9"/>
  <c r="G21" i="9"/>
  <c r="F12" i="10"/>
  <c r="W17" i="9"/>
  <c r="X9" i="9" s="1"/>
  <c r="E7" i="11"/>
  <c r="D4" i="12"/>
  <c r="L4" i="11"/>
  <c r="E5" i="11"/>
  <c r="G13" i="8"/>
  <c r="M8" i="11"/>
  <c r="M10" i="11" s="1"/>
  <c r="H13" i="7"/>
  <c r="I16" i="7"/>
  <c r="H16" i="7" s="1"/>
  <c r="D17" i="5"/>
  <c r="U13" i="9"/>
  <c r="Z13" i="9"/>
  <c r="Z5" i="9"/>
  <c r="L8" i="11"/>
  <c r="L10" i="11" s="1"/>
  <c r="G16" i="7"/>
  <c r="F16" i="7" s="1"/>
  <c r="F13" i="7"/>
  <c r="S15" i="9"/>
  <c r="F30" i="9"/>
  <c r="F28" i="9"/>
  <c r="H7" i="11"/>
  <c r="H5" i="11"/>
  <c r="O4" i="11"/>
  <c r="M13" i="8"/>
  <c r="G4" i="12" s="1"/>
  <c r="G5" i="12" s="1"/>
  <c r="H12" i="5"/>
  <c r="K8" i="11"/>
  <c r="K10" i="11" s="1"/>
  <c r="D13" i="7"/>
  <c r="E16" i="7"/>
  <c r="D16" i="7" s="1"/>
  <c r="G29" i="9"/>
  <c r="F7" i="11"/>
  <c r="F5" i="11"/>
  <c r="M4" i="11"/>
  <c r="I13" i="8"/>
  <c r="I30" i="9"/>
  <c r="L30" i="9"/>
  <c r="H10" i="11"/>
  <c r="E27" i="9"/>
  <c r="AC36" i="5"/>
  <c r="AC32" i="5"/>
  <c r="L5" i="5"/>
  <c r="AC33" i="5"/>
  <c r="AC35" i="5"/>
  <c r="L10" i="5"/>
  <c r="AC34" i="5"/>
  <c r="L8" i="5"/>
  <c r="L6" i="5"/>
  <c r="L9" i="5"/>
  <c r="G4" i="13"/>
  <c r="G5" i="13" s="1"/>
  <c r="L11" i="5"/>
  <c r="AC37" i="5"/>
  <c r="Q15" i="9"/>
  <c r="R13" i="9" s="1"/>
  <c r="I17" i="9"/>
  <c r="O8" i="11"/>
  <c r="O10" i="11" s="1"/>
  <c r="M16" i="7"/>
  <c r="L16" i="7" s="1"/>
  <c r="L13" i="7"/>
  <c r="Q11" i="9"/>
  <c r="D7" i="9"/>
  <c r="D6" i="9"/>
  <c r="D10" i="9"/>
  <c r="D8" i="9"/>
  <c r="D9" i="9"/>
  <c r="H13" i="9"/>
  <c r="U5" i="9"/>
  <c r="G10" i="11"/>
  <c r="W34" i="5"/>
  <c r="W35" i="5"/>
  <c r="W36" i="5"/>
  <c r="F4" i="13"/>
  <c r="F5" i="13" s="1"/>
  <c r="J8" i="5"/>
  <c r="W33" i="5"/>
  <c r="J10" i="5"/>
  <c r="J6" i="5"/>
  <c r="J9" i="5"/>
  <c r="W32" i="5"/>
  <c r="J5" i="5"/>
  <c r="G12" i="10"/>
  <c r="W37" i="5"/>
  <c r="J11" i="5"/>
  <c r="D7" i="11"/>
  <c r="D5" i="11"/>
  <c r="K4" i="11"/>
  <c r="E13" i="8"/>
  <c r="D3" i="12"/>
  <c r="F3" i="12"/>
  <c r="H9" i="8"/>
  <c r="H13" i="8" s="1"/>
  <c r="F29" i="9"/>
  <c r="G17" i="9"/>
  <c r="L7" i="5" l="1"/>
  <c r="J7" i="5"/>
  <c r="F13" i="5"/>
  <c r="J12" i="5"/>
  <c r="J14" i="9"/>
  <c r="J8" i="9"/>
  <c r="J9" i="9"/>
  <c r="T14" i="9"/>
  <c r="T12" i="9"/>
  <c r="C27" i="9"/>
  <c r="F6" i="9"/>
  <c r="K6" i="9" s="1"/>
  <c r="F7" i="9"/>
  <c r="K7" i="9" s="1"/>
  <c r="F8" i="9"/>
  <c r="K8" i="9" s="1"/>
  <c r="F9" i="9"/>
  <c r="K9" i="9" s="1"/>
  <c r="F10" i="9"/>
  <c r="F5" i="9"/>
  <c r="K5" i="9" s="1"/>
  <c r="G8" i="11"/>
  <c r="G11" i="11"/>
  <c r="G13" i="11" s="1"/>
  <c r="K16" i="8"/>
  <c r="N5" i="11"/>
  <c r="N6" i="11" s="1"/>
  <c r="F4" i="12"/>
  <c r="F5" i="12" s="1"/>
  <c r="H12" i="9"/>
  <c r="H6" i="9"/>
  <c r="H10" i="9"/>
  <c r="H7" i="9"/>
  <c r="D5" i="12"/>
  <c r="F11" i="11"/>
  <c r="F8" i="11"/>
  <c r="I16" i="8"/>
  <c r="M5" i="11"/>
  <c r="E4" i="12"/>
  <c r="E5" i="12" s="1"/>
  <c r="K28" i="9"/>
  <c r="F31" i="9"/>
  <c r="E11" i="11"/>
  <c r="E13" i="11" s="1"/>
  <c r="E8" i="11"/>
  <c r="G16" i="8"/>
  <c r="L5" i="11"/>
  <c r="X14" i="9"/>
  <c r="X17" i="9" s="1"/>
  <c r="F13" i="11"/>
  <c r="J13" i="5"/>
  <c r="M6" i="11"/>
  <c r="T13" i="9"/>
  <c r="Y13" i="9" s="1"/>
  <c r="K12" i="9"/>
  <c r="F15" i="9"/>
  <c r="L12" i="5"/>
  <c r="L13" i="5" s="1"/>
  <c r="S11" i="9"/>
  <c r="F25" i="9"/>
  <c r="F24" i="9"/>
  <c r="F23" i="9"/>
  <c r="F22" i="9"/>
  <c r="F26" i="9"/>
  <c r="F21" i="9"/>
  <c r="I33" i="9"/>
  <c r="H8" i="11"/>
  <c r="H11" i="11"/>
  <c r="H13" i="11" s="1"/>
  <c r="M16" i="8"/>
  <c r="O5" i="11"/>
  <c r="O6" i="11" s="1"/>
  <c r="D8" i="11"/>
  <c r="D11" i="11"/>
  <c r="D13" i="11" s="1"/>
  <c r="E16" i="8"/>
  <c r="K5" i="11"/>
  <c r="K6" i="11" s="1"/>
  <c r="U17" i="9"/>
  <c r="V5" i="9"/>
  <c r="R6" i="9"/>
  <c r="R9" i="9"/>
  <c r="R10" i="9"/>
  <c r="R8" i="9"/>
  <c r="R7" i="9"/>
  <c r="Q16" i="9"/>
  <c r="R12" i="9"/>
  <c r="R14" i="9"/>
  <c r="C4" i="12"/>
  <c r="C5" i="12" s="1"/>
  <c r="R5" i="9"/>
  <c r="R11" i="9" s="1"/>
  <c r="D11" i="9"/>
  <c r="J5" i="9"/>
  <c r="D30" i="9"/>
  <c r="K30" i="9" s="1"/>
  <c r="D29" i="9"/>
  <c r="D31" i="9" s="1"/>
  <c r="E32" i="9"/>
  <c r="S16" i="9" s="1"/>
  <c r="L6" i="11"/>
  <c r="G33" i="9"/>
  <c r="H21" i="9"/>
  <c r="E16" i="9"/>
  <c r="C32" i="9" s="1"/>
  <c r="H17" i="9" l="1"/>
  <c r="J17" i="9"/>
  <c r="K29" i="9"/>
  <c r="E12" i="11"/>
  <c r="E9" i="11"/>
  <c r="L12" i="11"/>
  <c r="L14" i="11" s="1"/>
  <c r="E6" i="11"/>
  <c r="F16" i="8"/>
  <c r="F11" i="9"/>
  <c r="K10" i="9"/>
  <c r="H28" i="9"/>
  <c r="H24" i="9"/>
  <c r="H26" i="9"/>
  <c r="K12" i="11"/>
  <c r="K14" i="11" s="1"/>
  <c r="D12" i="11"/>
  <c r="D6" i="11"/>
  <c r="D9" i="11"/>
  <c r="D16" i="8"/>
  <c r="J23" i="9"/>
  <c r="J22" i="9"/>
  <c r="J25" i="9"/>
  <c r="K22" i="9"/>
  <c r="T11" i="9"/>
  <c r="T6" i="9"/>
  <c r="Y6" i="9" s="1"/>
  <c r="T8" i="9"/>
  <c r="Y8" i="9" s="1"/>
  <c r="T9" i="9"/>
  <c r="Y9" i="9" s="1"/>
  <c r="T10" i="9"/>
  <c r="Y10" i="9" s="1"/>
  <c r="T7" i="9"/>
  <c r="Y7" i="9" s="1"/>
  <c r="T5" i="9"/>
  <c r="Y5" i="9" s="1"/>
  <c r="H29" i="9"/>
  <c r="D22" i="9"/>
  <c r="D23" i="9"/>
  <c r="K23" i="9" s="1"/>
  <c r="D25" i="9"/>
  <c r="D26" i="9"/>
  <c r="K26" i="9" s="1"/>
  <c r="D24" i="9"/>
  <c r="D21" i="9"/>
  <c r="K21" i="9" s="1"/>
  <c r="Y14" i="9"/>
  <c r="K25" i="9"/>
  <c r="O12" i="11"/>
  <c r="O14" i="11" s="1"/>
  <c r="H12" i="11"/>
  <c r="H9" i="11"/>
  <c r="H6" i="11"/>
  <c r="L16" i="8"/>
  <c r="J30" i="9"/>
  <c r="N12" i="11"/>
  <c r="N14" i="11" s="1"/>
  <c r="G12" i="11"/>
  <c r="G9" i="11"/>
  <c r="G6" i="11"/>
  <c r="J16" i="8"/>
  <c r="T15" i="9"/>
  <c r="Y12" i="9"/>
  <c r="R15" i="9"/>
  <c r="V8" i="9"/>
  <c r="V6" i="9"/>
  <c r="V7" i="9"/>
  <c r="V10" i="9"/>
  <c r="V12" i="9"/>
  <c r="F27" i="9"/>
  <c r="K24" i="9"/>
  <c r="F9" i="11"/>
  <c r="F6" i="11"/>
  <c r="F12" i="11"/>
  <c r="H16" i="8"/>
  <c r="M12" i="11"/>
  <c r="M14" i="11" s="1"/>
  <c r="V13" i="9"/>
  <c r="H33" i="9" l="1"/>
  <c r="V17" i="9"/>
  <c r="J33" i="9"/>
  <c r="D27" i="9"/>
</calcChain>
</file>

<file path=xl/sharedStrings.xml><?xml version="1.0" encoding="utf-8"?>
<sst xmlns="http://schemas.openxmlformats.org/spreadsheetml/2006/main" count="525" uniqueCount="314">
  <si>
    <t>Compañía Marítima Chilena S. A.</t>
  </si>
  <si>
    <t>La Compañía Marítima Chilena S. A. (CMC) fue fundada en 1930 bajo el nombre de Compañía Chilena de Navegación Interoceánica (CCNI). Ésta compañia se dedicó al transporte marítimo de cargas teniendo presencia en cuatro continentes, convirtiendose en la segunda empresa transportista más importante de Chile y la trigésimo novena a nivel mundial. Tres de sus líneas más importantes son el transporte de vehículos desde Asia, cabotaje o cargas masivas y la compra, venta y el arriendo de naves. Esta compañía posee su sede en la ciudad de Valparaiso.</t>
  </si>
  <si>
    <t xml:space="preserve">Universidad Tecnologica Metropolitana </t>
  </si>
  <si>
    <t>Esta compañía nació gracias a dos empresas de Punta Arenas que vieron la necesidad que existía de conectar los puertos del Atlántico sur con los del Pacífico sur. Debido a ésta situación, se establecieron en el puerto de Valparaiso hasta hoy en día.</t>
  </si>
  <si>
    <t>Compañía Maritima Chilena S.A</t>
  </si>
  <si>
    <r>
      <rPr>
        <sz val="14"/>
        <color rgb="FFFFFFFF"/>
        <rFont val="Calibri"/>
      </rPr>
      <t>Balance General</t>
    </r>
    <r>
      <rPr>
        <sz val="20"/>
        <color rgb="FFFFFFFF"/>
        <rFont val="Calibri"/>
      </rPr>
      <t xml:space="preserve"> </t>
    </r>
  </si>
  <si>
    <t xml:space="preserve">Cuentas </t>
  </si>
  <si>
    <t xml:space="preserve"> </t>
  </si>
  <si>
    <t>2013 (M$)</t>
  </si>
  <si>
    <t>2014 (M$)</t>
  </si>
  <si>
    <t>2015 (M$)</t>
  </si>
  <si>
    <t>2016 (M$)</t>
  </si>
  <si>
    <t>2017 (M$)</t>
  </si>
  <si>
    <t xml:space="preserve">Clasificacion </t>
  </si>
  <si>
    <t>Activos Corrientes</t>
  </si>
  <si>
    <t xml:space="preserve">Análisis Financiero </t>
  </si>
  <si>
    <t>Efectivo y equivalente al efectivo</t>
  </si>
  <si>
    <t>En la década de 1950 su principal giro fue la gestión del transporte marítimo en el continente americano tanto como América del Sur, Norteamérica y Centroamérica.</t>
  </si>
  <si>
    <t xml:space="preserve">
</t>
  </si>
  <si>
    <t>Integrantes</t>
  </si>
  <si>
    <t>Rut</t>
  </si>
  <si>
    <t>Diego Gutierrez</t>
  </si>
  <si>
    <t>C y B</t>
  </si>
  <si>
    <t xml:space="preserve">Otros activos financieros corrientes </t>
  </si>
  <si>
    <t>19.335.721-0</t>
  </si>
  <si>
    <t>OAC</t>
  </si>
  <si>
    <t>Otros activos no financieros corrientes</t>
  </si>
  <si>
    <t xml:space="preserve">Deudores comerciales y otras cuentas por cobrar corrientes </t>
  </si>
  <si>
    <t>CL</t>
  </si>
  <si>
    <t>Entre los años 1972 y 1983 CCNI pertenecío a la Corporación de Fomento de la Producción (CORFO) ya que la entidad estatal había comprado el 92% de la compañía, situación que cambió debido a que vendió el 50% de sus acciones que correspondían al 46% de las acciones totales de CCNI y finalizando su participación en 1985 vendiendo el otro 54% de que CORFO era propietario.</t>
  </si>
  <si>
    <t>Cuentas por Cobrar a Entidades Relacionadas, Corrientes</t>
  </si>
  <si>
    <t>A finales de los ochenta la compañia se divide en dos entidades, manteniendo una el nombre inicial mientras que la otra se alió con una empresa transportista china abriendose una ruta entre puertos chilenos y puertos repartidos por todo Asia. Ya en la década de los noventa una empresa española se crean las rutas que conectan a los puertos nacionales con puertos localizados en el oeste europeo.</t>
  </si>
  <si>
    <t>Desde aquel entonces hasta el año 2015, la CCNI firmó grandes contratos y luego de concretar la venta de servicios de portacontenedores, cambió su nombre a Compañía Marítima Chilena.</t>
  </si>
  <si>
    <t>Inventarios Corrientes</t>
  </si>
  <si>
    <t>Hugo Morales</t>
  </si>
  <si>
    <t>Algunos de sus tratos más relevantes son el arriendo de cuatro naves de 9.000 toneladas a Hamburg Sud, un Charter a la petrolera estatal ENAP más dos naves tanqueras de 50.000 toneladas para los mismos fines con ENAP.</t>
  </si>
  <si>
    <t>19.601.301-6</t>
  </si>
  <si>
    <t>ST</t>
  </si>
  <si>
    <t>Macarena Flores</t>
  </si>
  <si>
    <t>Activos por Impuestos Corrientes, Corrientes</t>
  </si>
  <si>
    <t>19.781.592-2</t>
  </si>
  <si>
    <t>Lucas Campos</t>
  </si>
  <si>
    <t>19.289.879-k</t>
  </si>
  <si>
    <t>Total de Activos Corrientes distintos de los activos o grupos de activos para su disposición
 clasificados como mantenidos para la venta o como mantenidos para distribuir a los propietarios</t>
  </si>
  <si>
    <t>Activos No Corrientes o grupos de activos para su disposición
 clasificados como mantenidos para la venta o como mantenidos para distribuir a los propietarios</t>
  </si>
  <si>
    <t>Activos Corrientes Totales</t>
  </si>
  <si>
    <t>Activos No Corrientes</t>
  </si>
  <si>
    <t>Otros Activos Financieros No Corrientes</t>
  </si>
  <si>
    <t>OANC</t>
  </si>
  <si>
    <t>Otros Activos No Financieros No Corrientes</t>
  </si>
  <si>
    <t>Cuentas por Cobrar No Corrientes</t>
  </si>
  <si>
    <t>Cuentas por Cobrar a Entidades Relacionadas, No Corrientes</t>
  </si>
  <si>
    <t>Inversiones Contabilizadas utilizando el Método de la Participación</t>
  </si>
  <si>
    <t>Activos Intangibles distintos de la plusvalía</t>
  </si>
  <si>
    <t>Propiedades, Planta y Equipo</t>
  </si>
  <si>
    <t>ANC</t>
  </si>
  <si>
    <t>Activos por Impuestos Diferidos</t>
  </si>
  <si>
    <t>Activos No Corrientes Total</t>
  </si>
  <si>
    <t>Total de Activos</t>
  </si>
  <si>
    <t>Compañía marítima chilena s. a.</t>
  </si>
  <si>
    <t>BALANCE GENERAL</t>
  </si>
  <si>
    <t>Cuentas</t>
  </si>
  <si>
    <t>Nota</t>
  </si>
  <si>
    <t>Masas Patrimoniales</t>
  </si>
  <si>
    <t>Clasificacion</t>
  </si>
  <si>
    <t>Patrimonios y pasivos</t>
  </si>
  <si>
    <t>Pasivos</t>
  </si>
  <si>
    <t>Pasivos Corrientes</t>
  </si>
  <si>
    <t>%</t>
  </si>
  <si>
    <t>MUSD</t>
  </si>
  <si>
    <t>Otros Pasivos Financieros Corrientes</t>
  </si>
  <si>
    <t>ACTIVO FIJO</t>
  </si>
  <si>
    <t>OPC</t>
  </si>
  <si>
    <t>Cuentas por Pagar Comerciales y Otras Cuentas por Pagar</t>
  </si>
  <si>
    <t>PC</t>
  </si>
  <si>
    <t>Cuentas por Pagar a Entidades Relacionadas, Corrientes</t>
  </si>
  <si>
    <t>Otras Provisiones a corto plazo</t>
  </si>
  <si>
    <t>Pasivos por Impuestos Corrientes, Corrientes</t>
  </si>
  <si>
    <t>Otros Pasivos No Financieros Corrientes</t>
  </si>
  <si>
    <t>OPNC</t>
  </si>
  <si>
    <t>Total de Pasivos Corrientes distintos de los pasivos incluidos en grupos de activos
 para su disposición clasificados como mantenidos para la venta</t>
  </si>
  <si>
    <t>Pasivos incluidos en Grupos de Activos para su disposición 
clasificados como mantenidos para la venta</t>
  </si>
  <si>
    <t>Pasivos Corrientes Totales</t>
  </si>
  <si>
    <t>Pasivos No Corrientes</t>
  </si>
  <si>
    <t>Otros Pasivos Financieros No Corrientes</t>
  </si>
  <si>
    <t>Otras Provisiones a Largo Plazo</t>
  </si>
  <si>
    <t>Pasivo por Impuestos Diferidos</t>
  </si>
  <si>
    <t>PNC</t>
  </si>
  <si>
    <t>Total Pasivos No Corrientes</t>
  </si>
  <si>
    <t>OTRO A.FIJO</t>
  </si>
  <si>
    <t>Total Pasivos</t>
  </si>
  <si>
    <t>Patrimonio</t>
  </si>
  <si>
    <t>Capital Emitido</t>
  </si>
  <si>
    <t>KP</t>
  </si>
  <si>
    <t>Ganancias (Pérdidas) Acumuladas</t>
  </si>
  <si>
    <t>Otras Reservas</t>
  </si>
  <si>
    <t>Patrimonio Atribuible a los propietarios de la Controladora</t>
  </si>
  <si>
    <t>Participaciones No Controladoras</t>
  </si>
  <si>
    <t>Patrimonio Total</t>
  </si>
  <si>
    <t>Total Patrimonios y Pasivos</t>
  </si>
  <si>
    <t>ACTIVO FIJO TOTAL</t>
  </si>
  <si>
    <t>OTRO AC. CIRCULANTE</t>
  </si>
  <si>
    <t>STOCK</t>
  </si>
  <si>
    <t>CLIENTE</t>
  </si>
  <si>
    <t>CAJA Y BANCO</t>
  </si>
  <si>
    <t>ACTIVO CIRCULANTE TOTAL</t>
  </si>
  <si>
    <t>TOTAL ACTIVOS</t>
  </si>
  <si>
    <t>Ganancia (perdidas)</t>
  </si>
  <si>
    <t>PATRIMONIO</t>
  </si>
  <si>
    <t>Ingresos de actividades ordinarias</t>
  </si>
  <si>
    <t>Vta</t>
  </si>
  <si>
    <t>Costo de venta</t>
  </si>
  <si>
    <t>Cv</t>
  </si>
  <si>
    <t>Ganancia Bruta</t>
  </si>
  <si>
    <t>Otros ingresos</t>
  </si>
  <si>
    <t>CF</t>
  </si>
  <si>
    <t>Gastos de administración</t>
  </si>
  <si>
    <t>Otras ganancias (perdidas)</t>
  </si>
  <si>
    <t>Ganancias (pérdidas) de actividades operacionales</t>
  </si>
  <si>
    <t>PASIVO L/P</t>
  </si>
  <si>
    <t>BAIT</t>
  </si>
  <si>
    <t>Ingresos financieros</t>
  </si>
  <si>
    <t>INO</t>
  </si>
  <si>
    <t>Costos Financieros</t>
  </si>
  <si>
    <t>GF</t>
  </si>
  <si>
    <t>Participación en las ganancias (perdidas) de asociadas y negocios
  conjuntos que se contabilicen utilizando el metodo de la participación</t>
  </si>
  <si>
    <t>Diferencias de Cambio</t>
  </si>
  <si>
    <t>Ganancia (Pérdida) antes de Impuesto</t>
  </si>
  <si>
    <t>BAT</t>
  </si>
  <si>
    <t>Gasto por Impuesto a las Ganancias</t>
  </si>
  <si>
    <t>IMPUESTO</t>
  </si>
  <si>
    <t>Ganancia (Pérdida) procedente de Operaciones Continuadas</t>
  </si>
  <si>
    <t>Ganancia (Pérdida) procedente de Operaciones Discontinuadas</t>
  </si>
  <si>
    <t>Ganancia (Pérdida)</t>
  </si>
  <si>
    <t>PASIVO C/P</t>
  </si>
  <si>
    <t>BNT</t>
  </si>
  <si>
    <t>TOTAL PASIVOS</t>
  </si>
  <si>
    <t>VENTAS (VTA)</t>
  </si>
  <si>
    <t>COSTO DE VENTAS (CV)</t>
  </si>
  <si>
    <t>UTILIDAD BRUTA</t>
  </si>
  <si>
    <t>MASAS PATRIMONIALES</t>
  </si>
  <si>
    <t>COSTOS FIJOS</t>
  </si>
  <si>
    <t>ENO</t>
  </si>
  <si>
    <t>GASTOS FINANCIEROS</t>
  </si>
  <si>
    <t>OTROS GASTOS E INGRESOS</t>
  </si>
  <si>
    <t>CUENTA</t>
  </si>
  <si>
    <t>2013-2015</t>
  </si>
  <si>
    <t>VARIACIÓN</t>
  </si>
  <si>
    <t>2013-2017</t>
  </si>
  <si>
    <t>FUENTE</t>
  </si>
  <si>
    <t>USO</t>
  </si>
  <si>
    <t>Ptos. Porcentuales</t>
  </si>
  <si>
    <t>% Absoluto</t>
  </si>
  <si>
    <t>Fuente</t>
  </si>
  <si>
    <t>Uso</t>
  </si>
  <si>
    <t>M$</t>
  </si>
  <si>
    <t>MUS%</t>
  </si>
  <si>
    <t>Caja y banco</t>
  </si>
  <si>
    <t>AÑO</t>
  </si>
  <si>
    <t>IPC</t>
  </si>
  <si>
    <t>inflacion</t>
  </si>
  <si>
    <t>ecuacion de la inflacion</t>
  </si>
  <si>
    <t>resultado</t>
  </si>
  <si>
    <t>(1+0.046)(1+0.04)(1+0.027)(1+0.023)</t>
  </si>
  <si>
    <t>4,6</t>
  </si>
  <si>
    <t>(1+0.04)(1+0.027)(1+0.023)</t>
  </si>
  <si>
    <t>Clientes</t>
  </si>
  <si>
    <t>4,4</t>
  </si>
  <si>
    <t>(1+0.027)(1+0.023)</t>
  </si>
  <si>
    <t>Inventarios</t>
  </si>
  <si>
    <t>2,7</t>
  </si>
  <si>
    <t>(1+0.023)</t>
  </si>
  <si>
    <t>2,3</t>
  </si>
  <si>
    <t>Otros activos corrientes</t>
  </si>
  <si>
    <t>Activos fijos</t>
  </si>
  <si>
    <t>Otros activos fijos</t>
  </si>
  <si>
    <t>TOTAL ACT</t>
  </si>
  <si>
    <t xml:space="preserve">Patrimonio </t>
  </si>
  <si>
    <t>Pasivo a largo plazo</t>
  </si>
  <si>
    <t xml:space="preserve">Pasivo a corto plazo </t>
  </si>
  <si>
    <t>Pasivo a corto plazo</t>
  </si>
  <si>
    <t>TOTAL ACT+PAS</t>
  </si>
  <si>
    <t>Total de fuente y uso</t>
  </si>
  <si>
    <t xml:space="preserve">Total de fuente y uso </t>
  </si>
  <si>
    <t>2015-2017</t>
  </si>
  <si>
    <t>Activo</t>
  </si>
  <si>
    <t>Pasivo</t>
  </si>
  <si>
    <t>Aumenta</t>
  </si>
  <si>
    <t>Uso de fuente</t>
  </si>
  <si>
    <t>fuente de uso</t>
  </si>
  <si>
    <t>Disminuye</t>
  </si>
  <si>
    <t>Fuente de fondo</t>
  </si>
  <si>
    <t>uso de fuente</t>
  </si>
  <si>
    <t>4,6%</t>
  </si>
  <si>
    <t>4,4%</t>
  </si>
  <si>
    <t>2,7%</t>
  </si>
  <si>
    <t>2,3%</t>
  </si>
  <si>
    <t>AÑO 2013</t>
  </si>
  <si>
    <t>AÑO 2014</t>
  </si>
  <si>
    <t>AÑO 2015</t>
  </si>
  <si>
    <t>AÑO 2016</t>
  </si>
  <si>
    <t>AÑO 2017</t>
  </si>
  <si>
    <t>AF</t>
  </si>
  <si>
    <t>OAF</t>
  </si>
  <si>
    <t>CyB</t>
  </si>
  <si>
    <t>L/P</t>
  </si>
  <si>
    <t>C/P</t>
  </si>
  <si>
    <t>TEORÍA PALANCAS</t>
  </si>
  <si>
    <t>Apalancamiento Operativo (GAO)</t>
  </si>
  <si>
    <t>UB/BAIT</t>
  </si>
  <si>
    <t>Apalancamiento Financiero (GAF)</t>
  </si>
  <si>
    <t>BAIT/BAT</t>
  </si>
  <si>
    <t>Apalancamiento Total (GAT)</t>
  </si>
  <si>
    <t>GAO*GAF</t>
  </si>
  <si>
    <t>RAZONES</t>
  </si>
  <si>
    <t>Circulante</t>
  </si>
  <si>
    <t>AC/PC</t>
  </si>
  <si>
    <t>Tesorería</t>
  </si>
  <si>
    <t>(AC-ST)/PC</t>
  </si>
  <si>
    <t>Liquidez Capital de Trabajo Neto</t>
  </si>
  <si>
    <t>CNT/AC</t>
  </si>
  <si>
    <t>Liquidez Stock</t>
  </si>
  <si>
    <t>ST/AC</t>
  </si>
  <si>
    <t>Endeudamiento</t>
  </si>
  <si>
    <t>DT/ACT</t>
  </si>
  <si>
    <t>Disponible</t>
  </si>
  <si>
    <t>CyB/PC</t>
  </si>
  <si>
    <t>Calidad de Deuda</t>
  </si>
  <si>
    <t>CNT/ST</t>
  </si>
  <si>
    <t>Liquidez Capital de Trabajo Neto Global</t>
  </si>
  <si>
    <t>CNT/ACT</t>
  </si>
  <si>
    <t>Liquidez Capital de Trabajo Neto Funcional</t>
  </si>
  <si>
    <t>CNT/ACF</t>
  </si>
  <si>
    <t>Roa</t>
  </si>
  <si>
    <t>Margen Bruto</t>
  </si>
  <si>
    <t>UB/VTA</t>
  </si>
  <si>
    <t>1. ¿Cuál es la condición de equilibrio para los años 2013 y 2017? Explique.</t>
  </si>
  <si>
    <t>La condición de equilibrio en el periodo 2013-2017 es variable, esto se ve reflejado en el CTN en cada año y haciendoun recuento de ellos, se puede notar que comienza siendo un desequilibrio positivo. Al año siguiente, el desequilibrio cambia radicalmente a negativo, esto quiere decir que el pasivo corriente financia al activo circulante y parte del activo fijo, debido al bajo nivel de ventas que tuvo la empresa en en 2014.</t>
  </si>
  <si>
    <t>margen</t>
  </si>
  <si>
    <t>2. ¿La condición de equilibrio aumentó o disminuyó? ¿Por qué?</t>
  </si>
  <si>
    <t>3. ¿La empresa en la cual Ud. está analizando, creció o no creció durante el periodo 2013 – 2017? Fundamente su respuesta</t>
  </si>
  <si>
    <t>Margen Operacional</t>
  </si>
  <si>
    <t>BAIT/VTA</t>
  </si>
  <si>
    <t>4. Si su respuesta en la pregunta anterior fue que creció, ¿Este crecimiento fue sólido? Fundamente su respuesta.</t>
  </si>
  <si>
    <t>5. ¿De dónde se han obtenido las fuentes de fondos y en que han sido usadas dichas fuentes de fondos para el periodo 2013 – 2017? Fundamente su respuesta.</t>
  </si>
  <si>
    <t>6. ¿La capacidad de pago de la empresa aumentó o disminuyó durante el periodo 2013 – 2017? Fundamente su respuesta.</t>
  </si>
  <si>
    <t>7. ¿La puntualidad de pago de la empresa aumentó o disminuyó durante el periodo 2013 – 2017? Fundamente su respuesta.</t>
  </si>
  <si>
    <t>rotacion</t>
  </si>
  <si>
    <t>8. ¿Cómo evolucionó la estructura de costos variables de la empresa durante el periodo 2013 – 2017? Fundamente su respuesta</t>
  </si>
  <si>
    <t>9. ¿Cómo evolucionó la estructura de costos fijos de la empresa durante el periodo 2013 – 2017? Fundamente su respuesta</t>
  </si>
  <si>
    <t>Margen Neto</t>
  </si>
  <si>
    <t>BNT/VTA</t>
  </si>
  <si>
    <t>10. ¿Cómo evolucionó el margen bruto, el margen operacional global y funcional de la empresa durante el periodo 2013 – 2017? Fundamente su respuesta</t>
  </si>
  <si>
    <t>11. ¿Cómo evolucionó el margen neto de la empresa durante el periodo 2013 – 2017? Fundamente su respuesta.</t>
  </si>
  <si>
    <t>12. ¿De acuerdo al Modelo Dupont, la empresa genera la rentabilidad por margen o por rotación? Fundamente su respuesta.</t>
  </si>
  <si>
    <t>MXR</t>
  </si>
  <si>
    <t>13. ¿Para el año 2013 y 2017, el FAF de le empresa es positivo, negativo o neutro, cómo evolucionó el FAF? Fundamente su respuesta.</t>
  </si>
  <si>
    <t>Rendimiento Económico</t>
  </si>
  <si>
    <t>BAIT/ACT</t>
  </si>
  <si>
    <t>14. ¿Qué paso con el ROE antes y después de impuestos durante el periodo 2013 -2017? Fundamente su respuesta.</t>
  </si>
  <si>
    <t>Roe Antes de Impuesto</t>
  </si>
  <si>
    <t>Rentabilidad Financiera Antes de Impuesto</t>
  </si>
  <si>
    <t>BAT/KP</t>
  </si>
  <si>
    <t>15. ¿Qué paso con el ROA global y funcional durante el periodo 2013 – 2017? ¿Descomponga en margen por rotación? Fundamente su respuesta.</t>
  </si>
  <si>
    <t>16. ¿Cómo ha sido la gestión de la deuda de la empresa durante el periodo 2013- 2017? Fundamente su respuesta</t>
  </si>
  <si>
    <t>17. ¿Cómo ha evolucionado los activos extrafuncionales en la empresa durante el periodo 2013-2017? ¿Los activos extrafuncionales han tenido un buen desempeño durante el periodo de análisis? Fundamente su respuesta.</t>
  </si>
  <si>
    <t>Rentabilidad Financiera Después de Impuesto</t>
  </si>
  <si>
    <t>BNT/KP</t>
  </si>
  <si>
    <t>18. ¿Realice un análisis de la Razón corriente funcional y global de la empresa durante el periodo de análisis?, ¿cuál es su conclusión? Fundamente su respuesta</t>
  </si>
  <si>
    <t>19. De acuerdo a la teoría de palancas. ¿Cuál es su análisis y conclusión con respecto al GAO, GAF y GAT?</t>
  </si>
  <si>
    <t>Índice de Endeudamiento</t>
  </si>
  <si>
    <t>ACT/KP</t>
  </si>
  <si>
    <t>Incidencia de la carga Financiera sobre ROE</t>
  </si>
  <si>
    <t>BAT/BAIT</t>
  </si>
  <si>
    <t>Roe Despues de Impuesto</t>
  </si>
  <si>
    <t>Incidencia de la carga Tributaria sobre ROE</t>
  </si>
  <si>
    <t>BNT/BAT</t>
  </si>
  <si>
    <t>F.A.F</t>
  </si>
  <si>
    <t>(ACT/KP)*(BAT/BAIT)</t>
  </si>
  <si>
    <t>Leverage Financiero</t>
  </si>
  <si>
    <t>DT/KP</t>
  </si>
  <si>
    <t>Puntualidad de pago</t>
  </si>
  <si>
    <t>Rotación Activos Totales</t>
  </si>
  <si>
    <t>X días</t>
  </si>
  <si>
    <t>Rotación Activos Fijos</t>
  </si>
  <si>
    <t>Rotación Activos Circulantes</t>
  </si>
  <si>
    <t>Rotación Stock</t>
  </si>
  <si>
    <t>Rotación Cliente</t>
  </si>
  <si>
    <t>Rotación Caja y Banco</t>
  </si>
  <si>
    <t>Rotación Capital Permanente</t>
  </si>
  <si>
    <t>Capital de trabajo neto sobre Stock</t>
  </si>
  <si>
    <t>R.- La puntualidad de pago disminuyó principalmente en la rotación de activos totales y fijos, llegando a la cantidad de 1759 y 1908 días de rotación, cifras que muestran una tardanza extrema en generar ingresos para la empresa, una baja eficiencia, a todas las cifras se les suman una cantidad de días respecto al año 2013 de manera general, lo que se deduce que la empresa es impuntual para cumplir con sus compromisos y obligaciones.</t>
  </si>
  <si>
    <t>R.- Los costos variables parten siendo bastante altos, en el año 2013, corresponde a $947610 y en porcentaje un 77,93%, cifra bastante alta comparada con la del año 2017, que es $44076 con un 58,47%, la razón de que baje es por dos motivos, un cambio en la política de ventas que consiste en adquirir menos productos invirtiendo una cantidad razonable y que ésta estuvo impulsada por una crísis económica (lo que hace razonable que se eviten riesgos de pérdidas y el mismo hecho de haber generado menores ingresos con los cuales se puede invertir.</t>
  </si>
  <si>
    <r>
      <rPr>
        <sz val="12"/>
        <color rgb="FF000000"/>
        <rFont val="Arial"/>
        <family val="2"/>
      </rPr>
      <t xml:space="preserve">Las mayores fuentes provienen de la cuenta pasivos no corrientes, clientes y patrimonio, obteniendo un porcentaje de 44,39%, 20,13% y 23,25% respectivamente, para financiarse en activos fijos equivalente a un 75,53% y un 24,47% en pasivo a corto plazo.          </t>
    </r>
    <r>
      <rPr>
        <sz val="11"/>
        <color rgb="FF000000"/>
        <rFont val="Calibri"/>
        <family val="2"/>
      </rPr>
      <t xml:space="preserve">                                                                                                                                                                                                                                                     </t>
    </r>
  </si>
  <si>
    <t>R.- Analizando los datos, primero con los de Gao, vemos la primera cifra correspondiente al año 2013, que es de -1,87 que finalmente se mantiene en 1,37, lo que refleja la situación de pérdida existente que se logra sostener al paso de los años convirtiendo ganancias debido a un bait que es positivo, con Gaf, la cual parte con 0,55 al 2013 hasta incrementarse a 1,79, nos indica un apalancamiento positivo y mayor ingresos generados destinados a inversiones, finalmente el Gat, que parte con -1,03 posee su punto álgido en el año 2016, donde alcanza el valor 2,93, que baja a 2,46 en 2017, esto quiere decir que las utilidades por acción han aumentado, y por esta razón hay cambios positivos en los cambios de ventas sobre ganancias por acción.</t>
  </si>
  <si>
    <t>El margen neto partió con un valor muy pequeño el año 2013, de 0,00019, alcanza el punto más alto el año 2015, con 0,85, influenciado directamente por el capital agregado ese año, pero vuelve a disminuir el año 2017 con 0,18.</t>
  </si>
  <si>
    <t>R.- El F.A.F decrece gradualmente, el año 2013 partió con 4,20, un apalancamiento muy alto, pero baja gradualmente hasta llegar a la cifra de 1.18</t>
  </si>
  <si>
    <t>PC/DT</t>
  </si>
  <si>
    <t>R.- Según el modelo Dupont, la empresa genera rentabilidad por rotación de activos, esto ya que al comparar ambos datos por año, por ejemplo en el año 2016 que son 0,24 y 9,04, se observa la diferencia de cantidades y el enfoque en el valor más alto, que sería de rotación.</t>
  </si>
  <si>
    <t xml:space="preserve">Directorio: 
-          BELTRÁN URENDA S.
Presidente
Abogado
-          FRANCO MONTALBETTI M.
Vicepresidente
Ingeniero Comercial
Directores:
-          JOSÉ MANUEL URENDA S.
Abogado
-          ANTONIO JABAT A.
Capitán de alta mar
-          FRANCISCO GARDEWEG O.
Ingeniero Comercial
-          RAMIRO SÁNCHEZ T.
Licenciado en Administración
-          RADOSLAV DEPOLO R.
Abogado
Asesor Directorio:
-          FELIPE IRARRÁZABAL V.
Ingeniero Civil Industrial
Ejecutivos:
-          MARCELO RAMOS
Gerente General
Ingeniero Civil Industrial
-          ROBERTO MANUBENS
Gerente de Administración y Finanzas
Ingeniero Comercial
-          ALBERTO CONTRERAS
Sub Gerente Servicio Automóviles
Oficial Marina Mercante Nacional
-          LUIS VILLARROEL
Capitán de alta mar
Ingeniero en transporte
</t>
  </si>
  <si>
    <t>R.- En el año 2013, el márgen bruto parte con 0,02 y finalmente sube a 0,42 el año 2017, el márgen operacional y neto al año 2013 son de -0,01 y 0,00019 y en el año 2017 de 0,37 y 0,18, respectivamente.</t>
  </si>
  <si>
    <t xml:space="preserve">R.-  Analizando la capacidad de pago de esta empresa, podemos notar que en promedio entre estos 5 años, tiene lo siguiente: Razón de funcionamiento= $1.15 - Lo que significa que cada $1 que la empresa debe, contó en promedio con $1.15 para responder a sus deudas a corto plazo, lo cual es bastante favorable para la empresa ya que el margen de esta razón, fluctúa entre 1 y 3.5. Razón Ácida= $1.09 - Lo que significa que por cada $1 que debe, en promedio tiene $1.09 para responder a sus obligaciones de corto plazo con sus recursos más líquidos. Razón Liq. de los Inventarios= %6,1 - Esto quiere decir que existe un %6,1 de activos sobre el stock, lo que quiere decir que esta empresa no cuenta con una buena liquidez. Razón de Endeudamiento= 0.54 - Esto equivale a que en promedio sus activos cuentan con la capacidad de cubrir sus deudas. </t>
  </si>
  <si>
    <t>Años</t>
  </si>
  <si>
    <t>R.-Los activos extrafuncionales han variado en su evolución dado que en el año 2014 se dió un alza considerables de estos pero de ahí en adelante han ido bajando en grandes porcentajes año a año. Si hablamos del desempeño de estos activos, la verdad es que han creado un margen por muy pequeño que sea en relación al nivel de pasivos corrientes por lo que su desempeño en general estuvo dentro de lo esperado pero sin llegar a ser notable. Esta condición puede ser aplicada en todos los años salvo en el 2017, ya que el desempeño de los activos extrafuncionales se ve completamente sobrepasado y no puede responder a la demanda por parte del pasivo corriente.</t>
  </si>
  <si>
    <t>Año 2013 ( Ant. Imp.=-0,16 ; Dps. Imp=0.0017);                                                                                                 Año 2014 ( Ant. Imp.=0.13 ; Dps. Imp=0.28 );                                                                                                      Año 2015 ( Ant. Imp.=0.07 ; Dps. Imp=0.85 );                                                                                                      Año 2016 ( Ant. Imp.=0.06 ; Dps. Imp=0.17 );                                                                                                      Año 2017 ( Ant. Imp.=0.08 ; Dps. Imp=0.10 ). Se puede apreciar un crecimiento en desde el año 2013 al 2015, en cambio los años 2016 y 2017 la cifra decae a 0.10.</t>
  </si>
  <si>
    <t>R.- La condición de equilibrio disminuyó en términos absolutos en 7520 MUSD, pero se tornó en un desequilibrio negativo de 1762 MUSD. Esto se debe a que la empresa disminuyó su nivel de activo circulante mientras que su nivel de activo fijo creció considerablemente. El comportamiento de los pasivos fue similar al de los activos ya que gestionaron su deuda de tal forma que traspasaron las deudas de corto plazo al largo plazo.</t>
  </si>
  <si>
    <t>Durante los próximos dos años (2015 y 2016) el desequilibrio vuelve a ser positivo alcanzando un máximo en el año 2016, esto se relaciona con la venta de los servicios portacontenedores concretados en 2015 y la gestión de su deuda a corto plazo, produciendo esta alza de CTN. En el último año de análisis, el desequilibrio vuelve a ser negativo debido a que los activos circulantes se minimizaron para conservar la estabilidad en el futuro de la empresa.</t>
  </si>
  <si>
    <t>R.- Se puede decir en resumidas palabras que la empresa está intentando salir de las repercusiones de la crisis ocurrida durante el año 2015 después de obtener pésimas ventas, gran pérdida de utilidades y gastos financieros. A través de los gráficos, se observa una mala gestión financiera debido al uso del método participativo el cual le otorgó más pérdidas y deudas a la empresa, se ve también en la capacidad de pago (la cual fue disminuyendo considerablemente), cómo influye el aumento de capital para solventar diversos gastos que sin embargo, sólo sirvió durante un pequeño tiempo, y puntualidad de pago con un aumento de nº de días desde 93 a 1908 en los activos totales, o sea, en general incapaz de pagar a buen plazo sus compromisos, leverage bajo en general y su GAT disminuido, a pesar de esto, aumenta la rentabilidad aunque en pequeñas cantidades.</t>
  </si>
  <si>
    <t>R.- El crecimiento fue irregular, debido a que le dieron mayor importancia a la estabilidad de la empresa al largo plazo y por ende, sacrificaron un tanto el crecimiento de la empresa ,y por supuesto, la baja venta de los productos.</t>
  </si>
  <si>
    <t>R.- La capacidad de pago disminuye de forma generalizada, mostrando los datos más criticos en la liquidez de CTN corriente, sobre stock, funcional y global, los cuales son -0,06,-2,-0,004 y -0,005, lo que significa que las cuentas no han podido financiar los pasivos corrientes de la forma más apropiada, la razón corriente y de inventario bajan, dando a entender que existe menos activo corriente por cada peso para pagar sus deudas más exigibles, los únicos puntos buenos son el aumento de disponible,  calidad de la deuda y disminución del endeudamiento, o sea, mayor independencia económica, mayor disponible destinado a la deuda y mayor facilidad para devolver los fondos ajenos al dilatarse los vencimientos.</t>
  </si>
  <si>
    <t>R.- El costo fijo del año 2013 es de $23.335, cuyo porcentaje es del 2,83% de las ventas, en el año 2015 obtiene su punto máximo de $6709 o 6,72%,si lo comparamos con su valor al año 2017 de $3750, o 4,98%, vemos un aumento gradal de los costos fijos utilizados para financiar productos, o bien, mayor inversión fuera de la producción de los artículos de venta.</t>
  </si>
  <si>
    <t>R.-R.- Durante todo el análisis se puede apreciar que, después del ejercicio de pérdidas, existe una tendencia al crecimiento pero no fue posible sostener dicho crecimiento debido a la alta exigencia que los pasivos corrientes aplicaban a los activos circulantes, es por eso que los valores de esta razón oscilaron cerca de 1 ya que en ningún año se generó un margen muy alto. Como conclusión, el análisis esta razón solo nos indica la calidad del activo circulante versus el pasivo corriente y añadiendo el hecho de que la empresa sacrificó en parte su crecimiento por buscar estabilidad, dicha razón sólo varió en 0.14 USD, dejando a la empresa en desequilibrio negativo.</t>
  </si>
  <si>
    <t xml:space="preserve">Año 2013 (margen: -0.01 rotación: -55,86) = 0.55
      Año 2014 (margen: 0.17 rotación: 7.43) =1.23
      Año 2015 (margen: 0.18 rotación 8.40) =1.52
      Año 2016 (margen: 0.24 rotación: 9.04)= 2.14
      Año 2017 (margen: 0.37 rotación: 4.91) =1.79
En el primer año las cifras son negativas, lo que significa que la empresa está invirtiendo una gran cantidad de capital en la producción y al mismo tiempo recibe pocos ingresos. Si un ROA negativo va acompañado de altos niveles de deuda, magnifica el efecto del ROA negativo.
Luego la cifra sube entre 2014-2016 marcando una fuerte tendencia al uso de la rotación de activos en vez del margen de ventas, y finalmente en el año 2017, la rotación disminuye debido a deudas que se han acumulado en la empresa, multiplicando margen por rotación se obtiene que el periodo con mejor rendimiento y capacidad de inversiones a futuro fue el año 2016, con 2.14, y luego baja a 1.79 el año 2017, a pesar de todo se ve un aumento en la rentabilidad de los activos de la empresa.
</t>
  </si>
  <si>
    <t>A modo de conclusión y analizando todos nuestros resultados, podemos concluir que la empresa "Compañía Marítima Chilena S.A." posee una estructura en donde se observan variaciones en los endeudamientos y leverage empresarial, además de los márgenes de venta positivos, el gat en crecimiento y el acercamiento a una estabilidad financiera desequilibrada, ya que para los años 2013-2017 sus rentabilidades, ventas, capacidades y puntualidades de pago, sufren grandes alteraciones. Se pudo observar, que a través de los años el negocio ha mejorado su rentabilidad tanto para antes y después de sus impuestos, aumenta el beneficio neto, obteniendo el mayor en el año 2015, la capacidad de pago y puntualidad de pago empeoran con el pasar de los años, en el modelo económico se aprecia la crisis portuaria que ha afectado en gran manera a la compañía.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</si>
</sst>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00"/>
    <numFmt numFmtId="167" formatCode="0.0000"/>
    <numFmt numFmtId="168" formatCode="0.00000"/>
  </numFmts>
  <fonts count="45">
    <font>
      <sz val="11"/>
      <color rgb="FF000000"/>
      <name val="Calibri"/>
    </font>
    <font>
      <b/>
      <sz val="11"/>
      <name val="Calibri"/>
    </font>
    <font>
      <b/>
      <sz val="24"/>
      <name val="Calibri"/>
    </font>
    <font>
      <sz val="11"/>
      <color rgb="FFFFFFFF"/>
      <name val="Calibri"/>
    </font>
    <font>
      <sz val="14"/>
      <name val="Calibri"/>
    </font>
    <font>
      <sz val="22"/>
      <color rgb="FFFFFFFF"/>
      <name val="Calibri"/>
    </font>
    <font>
      <sz val="18"/>
      <color rgb="FFF3F3F3"/>
      <name val="Calibri"/>
    </font>
    <font>
      <sz val="11"/>
      <name val="Calibri"/>
    </font>
    <font>
      <sz val="20"/>
      <color rgb="FFFFFFFF"/>
      <name val="Calibri"/>
    </font>
    <font>
      <b/>
      <sz val="12"/>
      <color rgb="FF000000"/>
      <name val="Arial"/>
    </font>
    <font>
      <sz val="18"/>
      <color rgb="FFFFFFFF"/>
      <name val="Calibri"/>
    </font>
    <font>
      <sz val="11"/>
      <color rgb="FF000000"/>
      <name val="Arial"/>
    </font>
    <font>
      <sz val="18"/>
      <color rgb="FFEFEFEF"/>
      <name val="Calibri"/>
    </font>
    <font>
      <b/>
      <sz val="11"/>
      <color rgb="FF000000"/>
      <name val="Arial"/>
    </font>
    <font>
      <sz val="14"/>
      <color rgb="FFFFFFFF"/>
      <name val="Arial"/>
    </font>
    <font>
      <sz val="26"/>
      <color rgb="FFFFFFFF"/>
      <name val="Calibri"/>
    </font>
    <font>
      <sz val="14"/>
      <color rgb="FFFFFFFF"/>
      <name val="Calibri"/>
    </font>
    <font>
      <sz val="18"/>
      <color rgb="FFFFFFFF"/>
      <name val="Arial"/>
    </font>
    <font>
      <sz val="12"/>
      <color rgb="FFF3F3F3"/>
      <name val="Arial"/>
    </font>
    <font>
      <b/>
      <sz val="12"/>
      <color rgb="FF000000"/>
      <name val="Calibri"/>
    </font>
    <font>
      <sz val="12"/>
      <color rgb="FF000000"/>
      <name val="Calibri"/>
    </font>
    <font>
      <sz val="11"/>
      <name val="Calibri"/>
    </font>
    <font>
      <sz val="12"/>
      <color rgb="FF000000"/>
      <name val="Arial"/>
    </font>
    <font>
      <sz val="11"/>
      <name val="Arial"/>
    </font>
    <font>
      <sz val="12"/>
      <color rgb="FFFFFFFF"/>
      <name val="Calibri"/>
    </font>
    <font>
      <sz val="12"/>
      <color rgb="FFFFFFFF"/>
      <name val="Arial"/>
    </font>
    <font>
      <b/>
      <sz val="11"/>
      <name val="Arial"/>
    </font>
    <font>
      <sz val="18"/>
      <color rgb="FF000000"/>
      <name val="Arial"/>
    </font>
    <font>
      <b/>
      <sz val="14"/>
      <color rgb="FF000000"/>
      <name val="Arial"/>
    </font>
    <font>
      <b/>
      <sz val="14"/>
      <name val="Arial"/>
    </font>
    <font>
      <sz val="18"/>
      <name val="Arial"/>
    </font>
    <font>
      <b/>
      <sz val="12"/>
      <name val="Arial"/>
    </font>
    <font>
      <sz val="12"/>
      <name val="Arial"/>
    </font>
    <font>
      <b/>
      <sz val="12"/>
      <color rgb="FFF3F3F3"/>
      <name val="Arial"/>
    </font>
    <font>
      <b/>
      <sz val="12"/>
      <color rgb="FFFFFFFF"/>
      <name val="Arial"/>
    </font>
    <font>
      <b/>
      <sz val="11"/>
      <color rgb="FF000000"/>
      <name val="Calibri"/>
    </font>
    <font>
      <sz val="11"/>
      <color rgb="FFFFFFFF"/>
      <name val="Arial"/>
    </font>
    <font>
      <sz val="12"/>
      <name val="Calibri"/>
    </font>
    <font>
      <sz val="11"/>
      <color rgb="FF000000"/>
      <name val="Calibri"/>
      <family val="2"/>
    </font>
    <font>
      <sz val="12"/>
      <color rgb="FF000000"/>
      <name val="Arial"/>
      <family val="2"/>
    </font>
    <font>
      <sz val="12"/>
      <name val="Arial"/>
      <family val="2"/>
    </font>
    <font>
      <sz val="11"/>
      <color rgb="FF000000"/>
      <name val="Calibri"/>
    </font>
    <font>
      <u/>
      <sz val="16"/>
      <color rgb="FF000000"/>
      <name val="Times New Roman"/>
      <family val="1"/>
    </font>
    <font>
      <sz val="12"/>
      <color rgb="FFFFFFFF"/>
      <name val="Arial"/>
      <family val="2"/>
    </font>
    <font>
      <b/>
      <sz val="11"/>
      <color rgb="FF000000"/>
      <name val="Calibri"/>
      <family val="2"/>
    </font>
  </fonts>
  <fills count="16">
    <fill>
      <patternFill patternType="none"/>
    </fill>
    <fill>
      <patternFill patternType="gray125"/>
    </fill>
    <fill>
      <patternFill patternType="solid">
        <fgColor rgb="FF548DD4"/>
        <bgColor rgb="FF548DD4"/>
      </patternFill>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
      <patternFill patternType="solid">
        <fgColor rgb="FF00FF00"/>
        <bgColor rgb="FF00FF00"/>
      </patternFill>
    </fill>
    <fill>
      <patternFill patternType="solid">
        <fgColor rgb="FF002060"/>
        <bgColor rgb="FF002060"/>
      </patternFill>
    </fill>
    <fill>
      <patternFill patternType="solid">
        <fgColor rgb="FF93C47D"/>
        <bgColor rgb="FF93C47D"/>
      </patternFill>
    </fill>
    <fill>
      <patternFill patternType="solid">
        <fgColor rgb="FFD9EAD3"/>
        <bgColor rgb="FFD9EAD3"/>
      </patternFill>
    </fill>
    <fill>
      <patternFill patternType="solid">
        <fgColor rgb="FF92D050"/>
        <bgColor rgb="FF92D050"/>
      </patternFill>
    </fill>
    <fill>
      <patternFill patternType="solid">
        <fgColor rgb="FF999999"/>
        <bgColor rgb="FF999999"/>
      </patternFill>
    </fill>
    <fill>
      <patternFill patternType="solid">
        <fgColor rgb="FFC4D79B"/>
        <bgColor rgb="FFC4D79B"/>
      </patternFill>
    </fill>
    <fill>
      <patternFill patternType="solid">
        <fgColor rgb="FF8DB4E2"/>
        <bgColor rgb="FF8DB4E2"/>
      </patternFill>
    </fill>
    <fill>
      <patternFill patternType="solid">
        <fgColor rgb="FFF3F3F3"/>
        <bgColor rgb="FFF3F3F3"/>
      </patternFill>
    </fill>
    <fill>
      <patternFill patternType="solid">
        <fgColor theme="0"/>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2">
    <xf numFmtId="0" fontId="0" fillId="0" borderId="0"/>
    <xf numFmtId="9" fontId="41" fillId="0" borderId="0" applyFont="0" applyFill="0" applyBorder="0" applyAlignment="0" applyProtection="0"/>
  </cellStyleXfs>
  <cellXfs count="322">
    <xf numFmtId="0" fontId="0" fillId="0" borderId="0" xfId="0" applyFont="1" applyAlignment="1"/>
    <xf numFmtId="0" fontId="1" fillId="0" borderId="0" xfId="0" applyFont="1"/>
    <xf numFmtId="0" fontId="2" fillId="0" borderId="0" xfId="0" applyFont="1"/>
    <xf numFmtId="0" fontId="3" fillId="2" borderId="1" xfId="0" applyFont="1" applyFill="1" applyBorder="1"/>
    <xf numFmtId="0" fontId="4" fillId="0" borderId="0" xfId="0" applyFont="1" applyAlignment="1">
      <alignment vertical="top" wrapText="1"/>
    </xf>
    <xf numFmtId="0" fontId="5" fillId="2" borderId="1" xfId="0" applyFont="1" applyFill="1" applyBorder="1" applyAlignment="1">
      <alignment horizontal="center"/>
    </xf>
    <xf numFmtId="0" fontId="6" fillId="3" borderId="2" xfId="0" applyFont="1" applyFill="1" applyBorder="1"/>
    <xf numFmtId="0" fontId="3" fillId="2" borderId="1" xfId="0" applyFont="1" applyFill="1" applyBorder="1" applyAlignment="1">
      <alignment horizontal="center"/>
    </xf>
    <xf numFmtId="0" fontId="7" fillId="3" borderId="3" xfId="0" applyFont="1" applyFill="1" applyBorder="1"/>
    <xf numFmtId="0" fontId="3" fillId="2" borderId="1" xfId="0" applyFont="1" applyFill="1" applyBorder="1" applyAlignment="1">
      <alignment horizontal="center" vertical="center"/>
    </xf>
    <xf numFmtId="0" fontId="7" fillId="3" borderId="4" xfId="0" applyFont="1" applyFill="1" applyBorder="1"/>
    <xf numFmtId="0" fontId="8" fillId="2" borderId="1" xfId="0" applyFont="1" applyFill="1" applyBorder="1"/>
    <xf numFmtId="0" fontId="0" fillId="0" borderId="0" xfId="0" applyFont="1"/>
    <xf numFmtId="0" fontId="9" fillId="4" borderId="1" xfId="0" applyFont="1" applyFill="1" applyBorder="1"/>
    <xf numFmtId="0" fontId="5" fillId="5" borderId="5" xfId="0" applyFont="1" applyFill="1" applyBorder="1"/>
    <xf numFmtId="0" fontId="0" fillId="4" borderId="1" xfId="0" applyFont="1" applyFill="1" applyBorder="1"/>
    <xf numFmtId="0" fontId="10" fillId="3" borderId="6" xfId="0" applyFont="1" applyFill="1" applyBorder="1"/>
    <xf numFmtId="0" fontId="11" fillId="0" borderId="1" xfId="0" applyFont="1" applyBorder="1"/>
    <xf numFmtId="0" fontId="0" fillId="3" borderId="5" xfId="0" applyFont="1" applyFill="1" applyBorder="1"/>
    <xf numFmtId="0" fontId="4" fillId="0" borderId="0" xfId="0" applyFont="1" applyAlignment="1">
      <alignment wrapText="1"/>
    </xf>
    <xf numFmtId="0" fontId="7" fillId="3" borderId="5" xfId="0" applyFont="1" applyFill="1" applyBorder="1"/>
    <xf numFmtId="0" fontId="7" fillId="3" borderId="7" xfId="0" applyFont="1" applyFill="1" applyBorder="1"/>
    <xf numFmtId="0" fontId="0" fillId="0" borderId="1" xfId="0" applyFont="1" applyBorder="1"/>
    <xf numFmtId="0" fontId="12" fillId="3" borderId="5" xfId="0" applyFont="1" applyFill="1" applyBorder="1"/>
    <xf numFmtId="3" fontId="0" fillId="0" borderId="1" xfId="0" applyNumberFormat="1" applyFont="1" applyBorder="1"/>
    <xf numFmtId="0" fontId="0" fillId="0" borderId="8" xfId="0" applyFont="1" applyBorder="1"/>
    <xf numFmtId="0" fontId="7" fillId="0" borderId="0" xfId="0" applyFont="1"/>
    <xf numFmtId="0" fontId="7" fillId="0" borderId="9" xfId="0" applyFont="1" applyBorder="1"/>
    <xf numFmtId="0" fontId="13" fillId="0" borderId="1" xfId="0" applyFont="1" applyBorder="1" applyAlignment="1">
      <alignment wrapText="1"/>
    </xf>
    <xf numFmtId="0" fontId="7" fillId="0" borderId="8" xfId="0" applyFont="1" applyBorder="1"/>
    <xf numFmtId="0" fontId="7" fillId="0" borderId="10" xfId="0" applyFont="1" applyBorder="1"/>
    <xf numFmtId="0" fontId="7" fillId="0" borderId="11" xfId="0" applyFont="1" applyBorder="1"/>
    <xf numFmtId="0" fontId="7" fillId="0" borderId="12" xfId="0" applyFont="1" applyBorder="1"/>
    <xf numFmtId="0" fontId="9" fillId="6" borderId="1" xfId="0" applyFont="1" applyFill="1" applyBorder="1"/>
    <xf numFmtId="0" fontId="0" fillId="6" borderId="1" xfId="0" applyFont="1" applyFill="1" applyBorder="1"/>
    <xf numFmtId="3" fontId="0" fillId="6" borderId="1" xfId="0" applyNumberFormat="1" applyFont="1" applyFill="1" applyBorder="1"/>
    <xf numFmtId="0" fontId="14" fillId="7" borderId="1" xfId="0" applyFont="1" applyFill="1" applyBorder="1"/>
    <xf numFmtId="0" fontId="3" fillId="7" borderId="1" xfId="0" applyFont="1" applyFill="1" applyBorder="1"/>
    <xf numFmtId="3" fontId="3" fillId="7" borderId="1" xfId="0" applyNumberFormat="1" applyFont="1" applyFill="1" applyBorder="1"/>
    <xf numFmtId="0" fontId="15" fillId="2" borderId="1" xfId="0" applyFont="1" applyFill="1" applyBorder="1"/>
    <xf numFmtId="0" fontId="16" fillId="2" borderId="1" xfId="0" applyFont="1" applyFill="1" applyBorder="1"/>
    <xf numFmtId="0" fontId="17" fillId="2" borderId="1" xfId="0" applyFont="1" applyFill="1" applyBorder="1"/>
    <xf numFmtId="0" fontId="16" fillId="2" borderId="1" xfId="0" applyFont="1" applyFill="1" applyBorder="1" applyAlignment="1">
      <alignment horizontal="left"/>
    </xf>
    <xf numFmtId="0" fontId="19" fillId="4" borderId="1" xfId="0" applyFont="1" applyFill="1" applyBorder="1"/>
    <xf numFmtId="0" fontId="18" fillId="3" borderId="1" xfId="0" applyFont="1" applyFill="1" applyBorder="1" applyAlignment="1">
      <alignment horizontal="center"/>
    </xf>
    <xf numFmtId="0" fontId="20" fillId="4" borderId="1" xfId="0" applyFont="1" applyFill="1" applyBorder="1"/>
    <xf numFmtId="0" fontId="0" fillId="0" borderId="1" xfId="0" applyFont="1" applyBorder="1" applyAlignment="1">
      <alignment horizontal="center"/>
    </xf>
    <xf numFmtId="0" fontId="22" fillId="5" borderId="1" xfId="0" applyFont="1" applyFill="1" applyBorder="1" applyAlignment="1">
      <alignment horizontal="left"/>
    </xf>
    <xf numFmtId="3" fontId="0" fillId="0" borderId="1" xfId="0" applyNumberFormat="1" applyFont="1" applyBorder="1" applyAlignment="1">
      <alignment horizontal="center"/>
    </xf>
    <xf numFmtId="2" fontId="23" fillId="0" borderId="1" xfId="0" applyNumberFormat="1" applyFont="1" applyBorder="1"/>
    <xf numFmtId="0" fontId="0" fillId="0" borderId="1" xfId="0" applyFont="1" applyBorder="1" applyAlignment="1">
      <alignment horizontal="center"/>
    </xf>
    <xf numFmtId="3" fontId="11" fillId="0" borderId="1" xfId="0" applyNumberFormat="1" applyFont="1" applyBorder="1"/>
    <xf numFmtId="0" fontId="20" fillId="6" borderId="1" xfId="0" applyFont="1" applyFill="1" applyBorder="1"/>
    <xf numFmtId="2" fontId="11" fillId="5" borderId="5" xfId="0" applyNumberFormat="1" applyFont="1" applyFill="1" applyBorder="1"/>
    <xf numFmtId="3" fontId="20" fillId="6" borderId="1" xfId="0" applyNumberFormat="1" applyFont="1" applyFill="1" applyBorder="1" applyAlignment="1">
      <alignment horizontal="center"/>
    </xf>
    <xf numFmtId="3" fontId="23" fillId="0" borderId="1" xfId="0" applyNumberFormat="1" applyFont="1" applyBorder="1"/>
    <xf numFmtId="3" fontId="24" fillId="6" borderId="1" xfId="0" applyNumberFormat="1" applyFont="1" applyFill="1" applyBorder="1" applyAlignment="1">
      <alignment horizontal="center"/>
    </xf>
    <xf numFmtId="0" fontId="0" fillId="4" borderId="1" xfId="0" applyFont="1" applyFill="1" applyBorder="1" applyAlignment="1">
      <alignment horizontal="center"/>
    </xf>
    <xf numFmtId="0" fontId="9" fillId="6" borderId="1" xfId="0" applyFont="1" applyFill="1" applyBorder="1" applyAlignment="1">
      <alignment horizontal="left"/>
    </xf>
    <xf numFmtId="0" fontId="19" fillId="6" borderId="1" xfId="0" applyFont="1" applyFill="1" applyBorder="1" applyAlignment="1">
      <alignment horizontal="center"/>
    </xf>
    <xf numFmtId="3" fontId="19" fillId="6" borderId="1" xfId="0" applyNumberFormat="1" applyFont="1" applyFill="1" applyBorder="1" applyAlignment="1">
      <alignment horizontal="center"/>
    </xf>
    <xf numFmtId="0" fontId="19" fillId="6" borderId="1" xfId="0" applyFont="1" applyFill="1" applyBorder="1"/>
    <xf numFmtId="2" fontId="11" fillId="0" borderId="1" xfId="0" applyNumberFormat="1" applyFont="1" applyBorder="1"/>
    <xf numFmtId="0" fontId="20" fillId="4" borderId="1" xfId="0" applyFont="1" applyFill="1" applyBorder="1" applyAlignment="1">
      <alignment horizontal="center"/>
    </xf>
    <xf numFmtId="3" fontId="0" fillId="6" borderId="1" xfId="0" applyNumberFormat="1" applyFont="1" applyFill="1" applyBorder="1" applyAlignment="1">
      <alignment horizontal="center"/>
    </xf>
    <xf numFmtId="0" fontId="0" fillId="6" borderId="1" xfId="0" applyFont="1" applyFill="1" applyBorder="1" applyAlignment="1">
      <alignment horizontal="center"/>
    </xf>
    <xf numFmtId="0" fontId="13" fillId="0" borderId="1" xfId="0" applyFont="1" applyBorder="1"/>
    <xf numFmtId="0" fontId="25" fillId="7" borderId="1" xfId="0" applyFont="1" applyFill="1" applyBorder="1"/>
    <xf numFmtId="0" fontId="24" fillId="7" borderId="1" xfId="0" applyFont="1" applyFill="1" applyBorder="1"/>
    <xf numFmtId="0" fontId="9" fillId="8" borderId="1" xfId="0" applyFont="1" applyFill="1" applyBorder="1" applyAlignment="1">
      <alignment horizontal="left"/>
    </xf>
    <xf numFmtId="3" fontId="24" fillId="7" borderId="1" xfId="0" applyNumberFormat="1" applyFont="1" applyFill="1" applyBorder="1"/>
    <xf numFmtId="1" fontId="26" fillId="8" borderId="1" xfId="0" applyNumberFormat="1" applyFont="1" applyFill="1" applyBorder="1"/>
    <xf numFmtId="3" fontId="26" fillId="8" borderId="1" xfId="0" applyNumberFormat="1" applyFont="1" applyFill="1" applyBorder="1"/>
    <xf numFmtId="0" fontId="23" fillId="0" borderId="1" xfId="0" applyFont="1" applyBorder="1"/>
    <xf numFmtId="164" fontId="27" fillId="3" borderId="1" xfId="0" applyNumberFormat="1" applyFont="1" applyFill="1" applyBorder="1" applyAlignment="1">
      <alignment horizontal="center"/>
    </xf>
    <xf numFmtId="0" fontId="28" fillId="6" borderId="1" xfId="0" applyFont="1" applyFill="1" applyBorder="1" applyAlignment="1">
      <alignment horizontal="left"/>
    </xf>
    <xf numFmtId="2" fontId="29" fillId="6" borderId="1" xfId="0" applyNumberFormat="1" applyFont="1" applyFill="1" applyBorder="1"/>
    <xf numFmtId="164" fontId="30" fillId="3" borderId="1" xfId="0" applyNumberFormat="1" applyFont="1" applyFill="1" applyBorder="1" applyAlignment="1">
      <alignment horizontal="center"/>
    </xf>
    <xf numFmtId="164" fontId="0" fillId="3" borderId="1" xfId="0" applyNumberFormat="1" applyFont="1" applyFill="1" applyBorder="1"/>
    <xf numFmtId="3" fontId="29" fillId="6" borderId="1" xfId="0" applyNumberFormat="1" applyFont="1" applyFill="1" applyBorder="1"/>
    <xf numFmtId="164" fontId="23" fillId="4" borderId="1" xfId="0" applyNumberFormat="1" applyFont="1" applyFill="1" applyBorder="1"/>
    <xf numFmtId="0" fontId="29" fillId="6" borderId="1" xfId="0" applyFont="1" applyFill="1" applyBorder="1"/>
    <xf numFmtId="164" fontId="23" fillId="4" borderId="1" xfId="0" applyNumberFormat="1" applyFont="1" applyFill="1" applyBorder="1" applyAlignment="1">
      <alignment horizontal="center"/>
    </xf>
    <xf numFmtId="164" fontId="0" fillId="4" borderId="1" xfId="0" applyNumberFormat="1" applyFont="1" applyFill="1" applyBorder="1"/>
    <xf numFmtId="164" fontId="23" fillId="0" borderId="1" xfId="0" applyNumberFormat="1" applyFont="1" applyBorder="1"/>
    <xf numFmtId="164" fontId="23" fillId="0" borderId="1" xfId="0" applyNumberFormat="1" applyFont="1" applyBorder="1" applyAlignment="1">
      <alignment horizontal="center"/>
    </xf>
    <xf numFmtId="2" fontId="26" fillId="8" borderId="1" xfId="0" applyNumberFormat="1" applyFont="1" applyFill="1" applyBorder="1"/>
    <xf numFmtId="1" fontId="23" fillId="0" borderId="1" xfId="0" applyNumberFormat="1" applyFont="1" applyBorder="1" applyAlignment="1">
      <alignment horizontal="center"/>
    </xf>
    <xf numFmtId="164" fontId="7" fillId="4" borderId="1" xfId="0" applyNumberFormat="1" applyFont="1" applyFill="1" applyBorder="1"/>
    <xf numFmtId="164" fontId="31" fillId="6" borderId="1" xfId="0" applyNumberFormat="1" applyFont="1" applyFill="1" applyBorder="1"/>
    <xf numFmtId="164" fontId="23" fillId="6" borderId="1" xfId="0" applyNumberFormat="1" applyFont="1" applyFill="1" applyBorder="1" applyAlignment="1">
      <alignment horizontal="center"/>
    </xf>
    <xf numFmtId="1" fontId="26" fillId="6" borderId="1" xfId="0" applyNumberFormat="1" applyFont="1" applyFill="1" applyBorder="1" applyAlignment="1">
      <alignment horizontal="center"/>
    </xf>
    <xf numFmtId="164" fontId="32" fillId="6" borderId="1" xfId="0" applyNumberFormat="1" applyFont="1" applyFill="1" applyBorder="1" applyAlignment="1">
      <alignment horizontal="center"/>
    </xf>
    <xf numFmtId="1" fontId="31" fillId="6" borderId="1" xfId="0" applyNumberFormat="1" applyFont="1" applyFill="1" applyBorder="1" applyAlignment="1">
      <alignment horizontal="center"/>
    </xf>
    <xf numFmtId="1" fontId="7" fillId="0" borderId="0" xfId="0" applyNumberFormat="1" applyFont="1"/>
    <xf numFmtId="164" fontId="31" fillId="6" borderId="1" xfId="0" applyNumberFormat="1" applyFont="1" applyFill="1" applyBorder="1" applyAlignment="1">
      <alignment horizontal="center"/>
    </xf>
    <xf numFmtId="0" fontId="7" fillId="0" borderId="0" xfId="0" applyFont="1" applyAlignment="1">
      <alignment horizontal="center"/>
    </xf>
    <xf numFmtId="1" fontId="29" fillId="6" borderId="1" xfId="0" applyNumberFormat="1" applyFont="1" applyFill="1" applyBorder="1"/>
    <xf numFmtId="3" fontId="7" fillId="0" borderId="0" xfId="0" applyNumberFormat="1" applyFont="1" applyAlignment="1">
      <alignment horizontal="right"/>
    </xf>
    <xf numFmtId="0" fontId="22" fillId="5" borderId="1" xfId="0" applyFont="1" applyFill="1" applyBorder="1"/>
    <xf numFmtId="2" fontId="23" fillId="0" borderId="1" xfId="0" applyNumberFormat="1" applyFont="1" applyBorder="1" applyAlignment="1">
      <alignment vertical="center"/>
    </xf>
    <xf numFmtId="2" fontId="23" fillId="6" borderId="1" xfId="0" applyNumberFormat="1" applyFont="1" applyFill="1" applyBorder="1"/>
    <xf numFmtId="0" fontId="25" fillId="3" borderId="1" xfId="0" applyFont="1" applyFill="1" applyBorder="1"/>
    <xf numFmtId="0" fontId="25" fillId="3" borderId="1" xfId="0" applyFont="1" applyFill="1" applyBorder="1" applyAlignment="1">
      <alignment horizontal="center"/>
    </xf>
    <xf numFmtId="2" fontId="23" fillId="6" borderId="1" xfId="0" applyNumberFormat="1" applyFont="1" applyFill="1" applyBorder="1" applyAlignment="1">
      <alignment vertical="center"/>
    </xf>
    <xf numFmtId="0" fontId="7" fillId="0" borderId="1" xfId="0" applyFont="1" applyBorder="1"/>
    <xf numFmtId="2" fontId="7" fillId="0" borderId="1" xfId="0" applyNumberFormat="1" applyFont="1" applyBorder="1"/>
    <xf numFmtId="0" fontId="7" fillId="6" borderId="1" xfId="0" applyFont="1" applyFill="1" applyBorder="1"/>
    <xf numFmtId="2" fontId="7" fillId="6" borderId="1" xfId="0" applyNumberFormat="1" applyFont="1" applyFill="1" applyBorder="1"/>
    <xf numFmtId="2" fontId="11" fillId="6" borderId="0" xfId="0" applyNumberFormat="1" applyFont="1" applyFill="1" applyAlignment="1">
      <alignment horizontal="center" vertical="center"/>
    </xf>
    <xf numFmtId="0" fontId="22" fillId="6" borderId="1" xfId="0" applyFont="1" applyFill="1" applyBorder="1"/>
    <xf numFmtId="0" fontId="21" fillId="4" borderId="18" xfId="0" applyFont="1" applyFill="1" applyBorder="1"/>
    <xf numFmtId="0" fontId="21" fillId="4" borderId="19" xfId="0" applyFont="1" applyFill="1" applyBorder="1"/>
    <xf numFmtId="2" fontId="0" fillId="5" borderId="1" xfId="0" applyNumberFormat="1" applyFont="1" applyFill="1" applyBorder="1"/>
    <xf numFmtId="0" fontId="21" fillId="4" borderId="15" xfId="0" applyFont="1" applyFill="1" applyBorder="1" applyAlignment="1"/>
    <xf numFmtId="0" fontId="21" fillId="4" borderId="16" xfId="0" applyFont="1" applyFill="1" applyBorder="1"/>
    <xf numFmtId="0" fontId="7" fillId="4" borderId="18" xfId="0" applyFont="1" applyFill="1" applyBorder="1"/>
    <xf numFmtId="0" fontId="7" fillId="9" borderId="14" xfId="0" applyFont="1" applyFill="1" applyBorder="1"/>
    <xf numFmtId="0" fontId="7" fillId="8" borderId="12" xfId="0" applyFont="1" applyFill="1" applyBorder="1"/>
    <xf numFmtId="0" fontId="7" fillId="9" borderId="12" xfId="0" applyFont="1" applyFill="1" applyBorder="1"/>
    <xf numFmtId="0" fontId="7" fillId="8" borderId="1" xfId="0" applyFont="1" applyFill="1" applyBorder="1"/>
    <xf numFmtId="0" fontId="0" fillId="9" borderId="1" xfId="0" applyFont="1" applyFill="1" applyBorder="1" applyAlignment="1"/>
    <xf numFmtId="0" fontId="0" fillId="8" borderId="1" xfId="0" applyFont="1" applyFill="1" applyBorder="1" applyAlignment="1"/>
    <xf numFmtId="0" fontId="7" fillId="4" borderId="19" xfId="0" applyFont="1" applyFill="1" applyBorder="1"/>
    <xf numFmtId="0" fontId="7" fillId="9" borderId="1" xfId="0" applyFont="1" applyFill="1" applyBorder="1" applyAlignment="1"/>
    <xf numFmtId="0" fontId="7" fillId="9" borderId="1" xfId="0" applyFont="1" applyFill="1" applyBorder="1"/>
    <xf numFmtId="0" fontId="7" fillId="9" borderId="1" xfId="0" applyFont="1" applyFill="1" applyBorder="1" applyAlignment="1">
      <alignment horizontal="center"/>
    </xf>
    <xf numFmtId="0" fontId="7" fillId="8" borderId="1" xfId="0" applyFont="1" applyFill="1" applyBorder="1" applyAlignment="1">
      <alignment horizontal="center"/>
    </xf>
    <xf numFmtId="0" fontId="0" fillId="9" borderId="1" xfId="0" applyFont="1" applyFill="1" applyBorder="1" applyAlignment="1"/>
    <xf numFmtId="0" fontId="0" fillId="8" borderId="1" xfId="0" applyFont="1" applyFill="1" applyBorder="1" applyAlignment="1"/>
    <xf numFmtId="164" fontId="7" fillId="9" borderId="14" xfId="0" applyNumberFormat="1" applyFont="1" applyFill="1" applyBorder="1"/>
    <xf numFmtId="2" fontId="7" fillId="8" borderId="12" xfId="0" applyNumberFormat="1" applyFont="1" applyFill="1" applyBorder="1"/>
    <xf numFmtId="0" fontId="25" fillId="2" borderId="1" xfId="0" applyFont="1" applyFill="1" applyBorder="1"/>
    <xf numFmtId="0" fontId="25" fillId="2" borderId="20" xfId="0" applyFont="1" applyFill="1" applyBorder="1"/>
    <xf numFmtId="164" fontId="7" fillId="9" borderId="12" xfId="0" applyNumberFormat="1" applyFont="1" applyFill="1" applyBorder="1"/>
    <xf numFmtId="0" fontId="25" fillId="2" borderId="6" xfId="0" applyFont="1" applyFill="1" applyBorder="1" applyAlignment="1">
      <alignment horizontal="left"/>
    </xf>
    <xf numFmtId="2" fontId="7" fillId="8" borderId="1" xfId="0" applyNumberFormat="1" applyFont="1" applyFill="1" applyBorder="1"/>
    <xf numFmtId="0" fontId="23" fillId="10" borderId="23" xfId="0" applyFont="1" applyFill="1" applyBorder="1" applyAlignment="1">
      <alignment horizontal="left"/>
    </xf>
    <xf numFmtId="2" fontId="0" fillId="9" borderId="1" xfId="0" applyNumberFormat="1" applyFont="1" applyFill="1" applyBorder="1" applyAlignment="1">
      <alignment horizontal="right"/>
    </xf>
    <xf numFmtId="4" fontId="23" fillId="10" borderId="5" xfId="0" applyNumberFormat="1" applyFont="1" applyFill="1" applyBorder="1" applyAlignment="1">
      <alignment horizontal="left"/>
    </xf>
    <xf numFmtId="2" fontId="0" fillId="8" borderId="1" xfId="0" applyNumberFormat="1" applyFont="1" applyFill="1" applyBorder="1" applyAlignment="1">
      <alignment horizontal="right"/>
    </xf>
    <xf numFmtId="164" fontId="7" fillId="9" borderId="1" xfId="0" applyNumberFormat="1" applyFont="1" applyFill="1" applyBorder="1"/>
    <xf numFmtId="4" fontId="7" fillId="8" borderId="1" xfId="0" applyNumberFormat="1" applyFont="1" applyFill="1" applyBorder="1"/>
    <xf numFmtId="1" fontId="7" fillId="9" borderId="1" xfId="0" applyNumberFormat="1" applyFont="1" applyFill="1" applyBorder="1"/>
    <xf numFmtId="165" fontId="23" fillId="10" borderId="7" xfId="0" applyNumberFormat="1" applyFont="1" applyFill="1" applyBorder="1" applyAlignment="1">
      <alignment horizontal="left"/>
    </xf>
    <xf numFmtId="0" fontId="23" fillId="8" borderId="23" xfId="0" applyFont="1" applyFill="1" applyBorder="1" applyAlignment="1">
      <alignment horizontal="left"/>
    </xf>
    <xf numFmtId="166" fontId="23" fillId="8" borderId="5" xfId="0" applyNumberFormat="1" applyFont="1" applyFill="1" applyBorder="1" applyAlignment="1">
      <alignment horizontal="left"/>
    </xf>
    <xf numFmtId="4" fontId="7" fillId="9" borderId="1" xfId="0" applyNumberFormat="1" applyFont="1" applyFill="1" applyBorder="1"/>
    <xf numFmtId="165" fontId="23" fillId="8" borderId="7" xfId="0" applyNumberFormat="1" applyFont="1" applyFill="1" applyBorder="1" applyAlignment="1">
      <alignment horizontal="left"/>
    </xf>
    <xf numFmtId="166" fontId="23" fillId="10" borderId="5" xfId="0" applyNumberFormat="1" applyFont="1" applyFill="1" applyBorder="1" applyAlignment="1">
      <alignment horizontal="left"/>
    </xf>
    <xf numFmtId="165" fontId="11" fillId="10" borderId="7" xfId="0" applyNumberFormat="1" applyFont="1" applyFill="1" applyBorder="1" applyAlignment="1">
      <alignment horizontal="left"/>
    </xf>
    <xf numFmtId="165" fontId="11" fillId="8" borderId="7" xfId="0" applyNumberFormat="1" applyFont="1" applyFill="1" applyBorder="1" applyAlignment="1">
      <alignment horizontal="left"/>
    </xf>
    <xf numFmtId="0" fontId="25" fillId="2" borderId="28" xfId="0" applyFont="1" applyFill="1" applyBorder="1" applyAlignment="1">
      <alignment horizontal="left"/>
    </xf>
    <xf numFmtId="0" fontId="23" fillId="10" borderId="29" xfId="0" applyFont="1" applyFill="1" applyBorder="1" applyAlignment="1">
      <alignment horizontal="left"/>
    </xf>
    <xf numFmtId="4" fontId="23" fillId="10" borderId="30" xfId="0" applyNumberFormat="1" applyFont="1" applyFill="1" applyBorder="1" applyAlignment="1">
      <alignment horizontal="left"/>
    </xf>
    <xf numFmtId="165" fontId="23" fillId="10" borderId="33" xfId="0" applyNumberFormat="1" applyFont="1" applyFill="1" applyBorder="1" applyAlignment="1">
      <alignment horizontal="left"/>
    </xf>
    <xf numFmtId="0" fontId="7" fillId="11" borderId="12" xfId="0" applyFont="1" applyFill="1" applyBorder="1"/>
    <xf numFmtId="2" fontId="7" fillId="11" borderId="12" xfId="0" applyNumberFormat="1" applyFont="1" applyFill="1" applyBorder="1"/>
    <xf numFmtId="2" fontId="7" fillId="11" borderId="1" xfId="0" applyNumberFormat="1" applyFont="1" applyFill="1" applyBorder="1"/>
    <xf numFmtId="2" fontId="0" fillId="11" borderId="1" xfId="0" applyNumberFormat="1" applyFont="1" applyFill="1" applyBorder="1" applyAlignment="1"/>
    <xf numFmtId="0" fontId="7" fillId="11" borderId="1" xfId="0" applyFont="1" applyFill="1" applyBorder="1"/>
    <xf numFmtId="4" fontId="7" fillId="11" borderId="1" xfId="0" applyNumberFormat="1" applyFont="1" applyFill="1" applyBorder="1"/>
    <xf numFmtId="2" fontId="0" fillId="9" borderId="1" xfId="0" applyNumberFormat="1" applyFont="1" applyFill="1" applyBorder="1" applyAlignment="1"/>
    <xf numFmtId="2" fontId="0" fillId="8" borderId="1" xfId="0" applyNumberFormat="1" applyFont="1" applyFill="1" applyBorder="1" applyAlignment="1"/>
    <xf numFmtId="0" fontId="7" fillId="4" borderId="1" xfId="0" applyFont="1" applyFill="1" applyBorder="1"/>
    <xf numFmtId="0" fontId="7" fillId="4" borderId="15" xfId="0" applyFont="1" applyFill="1" applyBorder="1" applyAlignment="1"/>
    <xf numFmtId="0" fontId="7" fillId="4" borderId="16" xfId="0" applyFont="1" applyFill="1" applyBorder="1" applyAlignment="1"/>
    <xf numFmtId="0" fontId="7" fillId="4" borderId="16" xfId="0" applyFont="1" applyFill="1" applyBorder="1"/>
    <xf numFmtId="164" fontId="7" fillId="9" borderId="16" xfId="0" applyNumberFormat="1" applyFont="1" applyFill="1" applyBorder="1"/>
    <xf numFmtId="0" fontId="0" fillId="11" borderId="1" xfId="0" applyFont="1" applyFill="1" applyBorder="1" applyAlignment="1">
      <alignment horizontal="right"/>
    </xf>
    <xf numFmtId="0" fontId="0" fillId="11" borderId="1" xfId="0" applyFont="1" applyFill="1" applyBorder="1" applyAlignment="1"/>
    <xf numFmtId="4" fontId="21" fillId="11" borderId="1" xfId="0" applyNumberFormat="1" applyFont="1" applyFill="1" applyBorder="1"/>
    <xf numFmtId="0" fontId="21" fillId="11" borderId="1" xfId="0" applyFont="1" applyFill="1" applyBorder="1"/>
    <xf numFmtId="0" fontId="11" fillId="3" borderId="0" xfId="0" applyFont="1" applyFill="1" applyAlignment="1"/>
    <xf numFmtId="0" fontId="0" fillId="3" borderId="13" xfId="0" applyFont="1" applyFill="1" applyBorder="1"/>
    <xf numFmtId="0" fontId="0" fillId="3" borderId="1" xfId="0" applyFont="1" applyFill="1" applyBorder="1"/>
    <xf numFmtId="2" fontId="0" fillId="3" borderId="1" xfId="0" applyNumberFormat="1" applyFont="1" applyFill="1" applyBorder="1"/>
    <xf numFmtId="0" fontId="0" fillId="3" borderId="1" xfId="0" applyFont="1" applyFill="1" applyBorder="1" applyAlignment="1"/>
    <xf numFmtId="0" fontId="7" fillId="3" borderId="1" xfId="0" applyFont="1" applyFill="1" applyBorder="1"/>
    <xf numFmtId="164" fontId="7" fillId="3" borderId="1" xfId="0" applyNumberFormat="1" applyFont="1" applyFill="1" applyBorder="1"/>
    <xf numFmtId="4" fontId="7" fillId="3" borderId="1" xfId="0" applyNumberFormat="1" applyFont="1" applyFill="1" applyBorder="1"/>
    <xf numFmtId="4" fontId="21" fillId="3" borderId="1" xfId="0" applyNumberFormat="1" applyFont="1" applyFill="1" applyBorder="1"/>
    <xf numFmtId="3" fontId="7" fillId="8" borderId="1" xfId="0" applyNumberFormat="1" applyFont="1" applyFill="1" applyBorder="1"/>
    <xf numFmtId="3" fontId="7" fillId="0" borderId="0" xfId="0" applyNumberFormat="1" applyFont="1"/>
    <xf numFmtId="0" fontId="7" fillId="0" borderId="0" xfId="0" applyFont="1" applyAlignment="1"/>
    <xf numFmtId="0" fontId="7" fillId="4" borderId="1" xfId="0" applyFont="1" applyFill="1" applyBorder="1" applyAlignment="1"/>
    <xf numFmtId="0" fontId="21" fillId="3" borderId="1" xfId="0" applyFont="1" applyFill="1" applyBorder="1"/>
    <xf numFmtId="0" fontId="21" fillId="0" borderId="0" xfId="0" applyFont="1" applyAlignment="1"/>
    <xf numFmtId="0" fontId="7" fillId="0" borderId="5" xfId="0" applyFont="1" applyBorder="1"/>
    <xf numFmtId="0" fontId="0" fillId="5" borderId="5" xfId="0" applyFont="1" applyFill="1" applyBorder="1" applyAlignment="1">
      <alignment horizontal="center"/>
    </xf>
    <xf numFmtId="0" fontId="34" fillId="3" borderId="1" xfId="0" applyFont="1" applyFill="1" applyBorder="1"/>
    <xf numFmtId="0" fontId="25" fillId="3" borderId="1" xfId="0" applyFont="1" applyFill="1" applyBorder="1" applyAlignment="1">
      <alignment horizontal="center" wrapText="1"/>
    </xf>
    <xf numFmtId="0" fontId="0" fillId="5" borderId="5" xfId="0" applyFont="1" applyFill="1" applyBorder="1"/>
    <xf numFmtId="164" fontId="7" fillId="0" borderId="1" xfId="0" applyNumberFormat="1" applyFont="1" applyBorder="1"/>
    <xf numFmtId="10" fontId="0" fillId="0" borderId="0" xfId="0" applyNumberFormat="1" applyFont="1" applyAlignment="1">
      <alignment horizontal="right"/>
    </xf>
    <xf numFmtId="0" fontId="23" fillId="8" borderId="1" xfId="0" applyFont="1" applyFill="1" applyBorder="1"/>
    <xf numFmtId="164" fontId="7" fillId="8" borderId="1" xfId="0" applyNumberFormat="1" applyFont="1" applyFill="1" applyBorder="1"/>
    <xf numFmtId="0" fontId="23" fillId="6" borderId="1" xfId="0" applyFont="1" applyFill="1" applyBorder="1"/>
    <xf numFmtId="164" fontId="7" fillId="6" borderId="1" xfId="0" applyNumberFormat="1" applyFont="1" applyFill="1" applyBorder="1"/>
    <xf numFmtId="164" fontId="7" fillId="8" borderId="5" xfId="0" applyNumberFormat="1" applyFont="1" applyFill="1" applyBorder="1"/>
    <xf numFmtId="9" fontId="7" fillId="0" borderId="0" xfId="0" applyNumberFormat="1" applyFont="1"/>
    <xf numFmtId="0" fontId="25" fillId="2" borderId="1" xfId="0" applyFont="1" applyFill="1" applyBorder="1" applyAlignment="1">
      <alignment horizontal="left"/>
    </xf>
    <xf numFmtId="9" fontId="23" fillId="10" borderId="1" xfId="0" applyNumberFormat="1" applyFont="1" applyFill="1" applyBorder="1" applyAlignment="1">
      <alignment horizontal="left"/>
    </xf>
    <xf numFmtId="4" fontId="23" fillId="10" borderId="1" xfId="0" applyNumberFormat="1" applyFont="1" applyFill="1" applyBorder="1" applyAlignment="1">
      <alignment horizontal="left"/>
    </xf>
    <xf numFmtId="165" fontId="23" fillId="10" borderId="1" xfId="0" applyNumberFormat="1" applyFont="1" applyFill="1" applyBorder="1" applyAlignment="1">
      <alignment horizontal="left"/>
    </xf>
    <xf numFmtId="10" fontId="7" fillId="0" borderId="0" xfId="0" applyNumberFormat="1" applyFont="1"/>
    <xf numFmtId="0" fontId="23" fillId="8" borderId="1" xfId="0" applyFont="1" applyFill="1" applyBorder="1" applyAlignment="1">
      <alignment horizontal="left"/>
    </xf>
    <xf numFmtId="166" fontId="23" fillId="8" borderId="1" xfId="0" applyNumberFormat="1" applyFont="1" applyFill="1" applyBorder="1" applyAlignment="1">
      <alignment horizontal="left"/>
    </xf>
    <xf numFmtId="165" fontId="23" fillId="8" borderId="1" xfId="0" applyNumberFormat="1" applyFont="1" applyFill="1" applyBorder="1" applyAlignment="1">
      <alignment horizontal="left"/>
    </xf>
    <xf numFmtId="0" fontId="23" fillId="10" borderId="1" xfId="0" applyFont="1" applyFill="1" applyBorder="1" applyAlignment="1">
      <alignment horizontal="left"/>
    </xf>
    <xf numFmtId="166" fontId="23" fillId="10" borderId="1" xfId="0" applyNumberFormat="1" applyFont="1" applyFill="1" applyBorder="1" applyAlignment="1">
      <alignment horizontal="left"/>
    </xf>
    <xf numFmtId="165" fontId="11" fillId="10" borderId="1" xfId="0" applyNumberFormat="1" applyFont="1" applyFill="1" applyBorder="1" applyAlignment="1">
      <alignment horizontal="left"/>
    </xf>
    <xf numFmtId="165" fontId="11" fillId="8" borderId="1" xfId="0" applyNumberFormat="1" applyFont="1" applyFill="1" applyBorder="1" applyAlignment="1">
      <alignment horizontal="left"/>
    </xf>
    <xf numFmtId="0" fontId="0" fillId="13" borderId="29" xfId="0" applyFont="1" applyFill="1" applyBorder="1"/>
    <xf numFmtId="0" fontId="0" fillId="13" borderId="1" xfId="0" applyFont="1" applyFill="1" applyBorder="1"/>
    <xf numFmtId="0" fontId="0" fillId="13" borderId="33" xfId="0" applyFont="1" applyFill="1" applyBorder="1"/>
    <xf numFmtId="0" fontId="0" fillId="0" borderId="14" xfId="0" applyFont="1" applyBorder="1"/>
    <xf numFmtId="10" fontId="0" fillId="0" borderId="1" xfId="0" applyNumberFormat="1" applyFont="1" applyBorder="1" applyAlignment="1">
      <alignment horizontal="right"/>
    </xf>
    <xf numFmtId="0" fontId="0" fillId="0" borderId="12" xfId="0" applyFont="1" applyBorder="1"/>
    <xf numFmtId="10" fontId="0" fillId="0" borderId="12" xfId="0" applyNumberFormat="1" applyFont="1" applyBorder="1" applyAlignment="1">
      <alignment horizontal="right"/>
    </xf>
    <xf numFmtId="0" fontId="35" fillId="4" borderId="29" xfId="0" applyFont="1" applyFill="1" applyBorder="1"/>
    <xf numFmtId="0" fontId="35" fillId="4" borderId="1" xfId="0" applyFont="1" applyFill="1" applyBorder="1"/>
    <xf numFmtId="0" fontId="35" fillId="4" borderId="1" xfId="0" applyFont="1" applyFill="1" applyBorder="1" applyAlignment="1">
      <alignment horizontal="right"/>
    </xf>
    <xf numFmtId="0" fontId="35" fillId="4" borderId="33" xfId="0" applyFont="1" applyFill="1" applyBorder="1" applyAlignment="1">
      <alignment horizontal="right"/>
    </xf>
    <xf numFmtId="4" fontId="0" fillId="0" borderId="1" xfId="0" applyNumberFormat="1" applyFont="1" applyBorder="1" applyAlignment="1">
      <alignment horizontal="right"/>
    </xf>
    <xf numFmtId="0" fontId="35" fillId="4" borderId="33" xfId="0" applyFont="1" applyFill="1" applyBorder="1"/>
    <xf numFmtId="4" fontId="0" fillId="0" borderId="12" xfId="0" applyNumberFormat="1" applyFont="1" applyBorder="1" applyAlignment="1">
      <alignment horizontal="right"/>
    </xf>
    <xf numFmtId="0" fontId="7" fillId="4" borderId="5" xfId="0" applyFont="1" applyFill="1" applyBorder="1"/>
    <xf numFmtId="0" fontId="18" fillId="3" borderId="1" xfId="0" applyFont="1" applyFill="1" applyBorder="1"/>
    <xf numFmtId="0" fontId="18" fillId="3" borderId="1" xfId="0" applyFont="1" applyFill="1" applyBorder="1" applyAlignment="1">
      <alignment horizontal="center"/>
    </xf>
    <xf numFmtId="0" fontId="22" fillId="0" borderId="1" xfId="0" applyFont="1" applyBorder="1"/>
    <xf numFmtId="2" fontId="23" fillId="0" borderId="1" xfId="0" applyNumberFormat="1" applyFont="1" applyBorder="1"/>
    <xf numFmtId="0" fontId="32" fillId="0" borderId="14" xfId="0" applyFont="1" applyBorder="1"/>
    <xf numFmtId="2" fontId="23" fillId="0" borderId="14" xfId="0" applyNumberFormat="1" applyFont="1" applyBorder="1"/>
    <xf numFmtId="0" fontId="18" fillId="5" borderId="5" xfId="0" applyFont="1" applyFill="1" applyBorder="1" applyAlignment="1">
      <alignment horizontal="center"/>
    </xf>
    <xf numFmtId="0" fontId="7" fillId="5" borderId="5" xfId="0" applyFont="1" applyFill="1" applyBorder="1"/>
    <xf numFmtId="0" fontId="36" fillId="3" borderId="1" xfId="0" applyFont="1" applyFill="1" applyBorder="1"/>
    <xf numFmtId="0" fontId="36" fillId="3" borderId="1" xfId="0" applyFont="1" applyFill="1" applyBorder="1" applyAlignment="1">
      <alignment horizontal="right"/>
    </xf>
    <xf numFmtId="2" fontId="21" fillId="0" borderId="0" xfId="0" applyNumberFormat="1" applyFont="1"/>
    <xf numFmtId="2" fontId="9" fillId="2" borderId="1" xfId="0" applyNumberFormat="1" applyFont="1" applyFill="1" applyBorder="1"/>
    <xf numFmtId="2" fontId="23" fillId="2" borderId="1" xfId="0" applyNumberFormat="1" applyFont="1" applyFill="1" applyBorder="1"/>
    <xf numFmtId="0" fontId="11" fillId="5" borderId="1" xfId="0" applyFont="1" applyFill="1" applyBorder="1" applyAlignment="1">
      <alignment horizontal="center"/>
    </xf>
    <xf numFmtId="0" fontId="32" fillId="0" borderId="0" xfId="0" applyFont="1"/>
    <xf numFmtId="0" fontId="23" fillId="0" borderId="0" xfId="0" applyFont="1" applyAlignment="1">
      <alignment wrapText="1"/>
    </xf>
    <xf numFmtId="2" fontId="11" fillId="5" borderId="1" xfId="0" applyNumberFormat="1" applyFont="1" applyFill="1" applyBorder="1" applyAlignment="1">
      <alignment horizontal="center"/>
    </xf>
    <xf numFmtId="0" fontId="7" fillId="0" borderId="0" xfId="0" applyFont="1" applyAlignment="1">
      <alignment wrapText="1"/>
    </xf>
    <xf numFmtId="0" fontId="23" fillId="0" borderId="0" xfId="0" applyFont="1" applyAlignment="1">
      <alignment wrapText="1"/>
    </xf>
    <xf numFmtId="0" fontId="22" fillId="5" borderId="5" xfId="0" applyFont="1" applyFill="1" applyBorder="1" applyAlignment="1">
      <alignment horizontal="left"/>
    </xf>
    <xf numFmtId="0" fontId="37" fillId="0" borderId="0" xfId="0" applyFont="1"/>
    <xf numFmtId="2" fontId="31" fillId="2" borderId="1" xfId="0" applyNumberFormat="1" applyFont="1" applyFill="1" applyBorder="1"/>
    <xf numFmtId="0" fontId="11" fillId="0" borderId="1" xfId="0" applyFont="1" applyBorder="1" applyAlignment="1">
      <alignment horizontal="center"/>
    </xf>
    <xf numFmtId="0" fontId="23" fillId="0" borderId="1" xfId="0" applyFont="1" applyBorder="1" applyAlignment="1">
      <alignment horizontal="center"/>
    </xf>
    <xf numFmtId="2" fontId="7" fillId="0" borderId="1" xfId="0" applyNumberFormat="1" applyFont="1" applyBorder="1"/>
    <xf numFmtId="0" fontId="22" fillId="14" borderId="1" xfId="0" applyFont="1" applyFill="1" applyBorder="1" applyAlignment="1">
      <alignment horizontal="right"/>
    </xf>
    <xf numFmtId="2" fontId="7" fillId="14" borderId="1" xfId="0" applyNumberFormat="1" applyFont="1" applyFill="1" applyBorder="1"/>
    <xf numFmtId="0" fontId="22" fillId="0" borderId="1" xfId="0" applyFont="1" applyBorder="1" applyAlignment="1"/>
    <xf numFmtId="0" fontId="22" fillId="5" borderId="1" xfId="0" applyFont="1" applyFill="1" applyBorder="1" applyAlignment="1">
      <alignment horizontal="right"/>
    </xf>
    <xf numFmtId="2" fontId="7" fillId="5" borderId="1" xfId="0" applyNumberFormat="1" applyFont="1" applyFill="1" applyBorder="1"/>
    <xf numFmtId="0" fontId="22" fillId="14" borderId="1" xfId="0" applyFont="1" applyFill="1" applyBorder="1" applyAlignment="1">
      <alignment horizontal="right"/>
    </xf>
    <xf numFmtId="2" fontId="7" fillId="14" borderId="1" xfId="0" applyNumberFormat="1" applyFont="1" applyFill="1" applyBorder="1" applyAlignment="1"/>
    <xf numFmtId="0" fontId="22" fillId="0" borderId="0" xfId="0" applyFont="1"/>
    <xf numFmtId="0" fontId="22" fillId="14" borderId="0" xfId="0" applyFont="1" applyFill="1" applyAlignment="1">
      <alignment horizontal="right"/>
    </xf>
    <xf numFmtId="0" fontId="7" fillId="14" borderId="0" xfId="0" applyFont="1" applyFill="1"/>
    <xf numFmtId="0" fontId="0" fillId="0" borderId="0" xfId="0" applyFont="1" applyAlignment="1"/>
    <xf numFmtId="0" fontId="0" fillId="0" borderId="0" xfId="0" applyFont="1" applyAlignment="1"/>
    <xf numFmtId="0" fontId="38" fillId="0" borderId="0" xfId="0" applyFont="1" applyAlignment="1"/>
    <xf numFmtId="0" fontId="38" fillId="0" borderId="0" xfId="0" applyFont="1" applyAlignment="1">
      <alignment wrapText="1"/>
    </xf>
    <xf numFmtId="167" fontId="23" fillId="0" borderId="1" xfId="0" applyNumberFormat="1" applyFont="1" applyBorder="1"/>
    <xf numFmtId="168" fontId="23" fillId="0" borderId="1" xfId="0" applyNumberFormat="1" applyFont="1" applyBorder="1"/>
    <xf numFmtId="164" fontId="23" fillId="0" borderId="14" xfId="0" applyNumberFormat="1" applyFont="1" applyBorder="1"/>
    <xf numFmtId="0" fontId="39" fillId="0" borderId="1" xfId="0" applyFont="1" applyBorder="1"/>
    <xf numFmtId="0" fontId="40" fillId="0" borderId="0" xfId="0" applyFont="1" applyAlignment="1">
      <alignment vertical="top" wrapText="1"/>
    </xf>
    <xf numFmtId="0" fontId="32" fillId="0" borderId="0" xfId="0" applyFont="1" applyAlignment="1">
      <alignment vertical="top" wrapText="1"/>
    </xf>
    <xf numFmtId="10" fontId="40" fillId="0" borderId="0" xfId="0" applyNumberFormat="1" applyFont="1" applyAlignment="1">
      <alignment vertical="top" wrapText="1"/>
    </xf>
    <xf numFmtId="0" fontId="39" fillId="0" borderId="0" xfId="0" applyFont="1" applyAlignment="1">
      <alignment wrapText="1"/>
    </xf>
    <xf numFmtId="0" fontId="0" fillId="0" borderId="0" xfId="0" applyFont="1" applyAlignment="1">
      <alignment vertical="top" wrapText="1"/>
    </xf>
    <xf numFmtId="0" fontId="39" fillId="0" borderId="0" xfId="0" applyFont="1" applyAlignment="1">
      <alignment vertical="top" wrapText="1"/>
    </xf>
    <xf numFmtId="0" fontId="0" fillId="0" borderId="27" xfId="0" applyFont="1" applyBorder="1" applyAlignment="1"/>
    <xf numFmtId="0" fontId="42" fillId="0" borderId="27" xfId="0" applyFont="1" applyBorder="1" applyAlignment="1">
      <alignment vertical="top" wrapText="1"/>
    </xf>
    <xf numFmtId="0" fontId="42" fillId="0" borderId="34" xfId="0" applyFont="1" applyBorder="1" applyAlignment="1">
      <alignment vertical="top" wrapText="1"/>
    </xf>
    <xf numFmtId="1" fontId="25" fillId="3" borderId="1" xfId="0" applyNumberFormat="1" applyFont="1" applyFill="1" applyBorder="1" applyAlignment="1">
      <alignment horizontal="center"/>
    </xf>
    <xf numFmtId="9" fontId="23" fillId="0" borderId="1" xfId="1" applyFont="1" applyBorder="1"/>
    <xf numFmtId="0" fontId="43" fillId="3" borderId="1" xfId="0" applyFont="1" applyFill="1" applyBorder="1" applyAlignment="1">
      <alignment horizontal="center"/>
    </xf>
    <xf numFmtId="0" fontId="44" fillId="4" borderId="29" xfId="0" applyFont="1" applyFill="1" applyBorder="1"/>
    <xf numFmtId="0" fontId="42" fillId="0" borderId="35" xfId="0" applyFont="1" applyBorder="1" applyAlignment="1">
      <alignment horizontal="center" vertical="top" wrapText="1"/>
    </xf>
    <xf numFmtId="0" fontId="42" fillId="0" borderId="36" xfId="0" applyFont="1" applyBorder="1" applyAlignment="1">
      <alignment horizontal="center" vertical="top" wrapText="1"/>
    </xf>
    <xf numFmtId="0" fontId="42" fillId="0" borderId="37" xfId="0" applyFont="1" applyBorder="1" applyAlignment="1">
      <alignment horizontal="center" vertical="top" wrapText="1"/>
    </xf>
    <xf numFmtId="0" fontId="18" fillId="3" borderId="13" xfId="0" applyFont="1" applyFill="1" applyBorder="1" applyAlignment="1">
      <alignment horizontal="center"/>
    </xf>
    <xf numFmtId="0" fontId="21" fillId="0" borderId="14" xfId="0" applyFont="1" applyBorder="1"/>
    <xf numFmtId="0" fontId="7" fillId="4" borderId="15" xfId="0" applyFont="1" applyFill="1" applyBorder="1" applyAlignment="1">
      <alignment horizontal="center"/>
    </xf>
    <xf numFmtId="0" fontId="21" fillId="0" borderId="17" xfId="0" applyFont="1" applyBorder="1"/>
    <xf numFmtId="0" fontId="21" fillId="0" borderId="16" xfId="0" applyFont="1" applyBorder="1"/>
    <xf numFmtId="0" fontId="7" fillId="4" borderId="15" xfId="0" applyFont="1" applyFill="1" applyBorder="1"/>
    <xf numFmtId="0" fontId="7" fillId="4" borderId="17" xfId="0" applyFont="1" applyFill="1" applyBorder="1" applyAlignment="1">
      <alignment horizontal="center"/>
    </xf>
    <xf numFmtId="0" fontId="0" fillId="4" borderId="15" xfId="0" applyFont="1" applyFill="1" applyBorder="1" applyAlignment="1"/>
    <xf numFmtId="0" fontId="7" fillId="4" borderId="18" xfId="0" applyFont="1" applyFill="1" applyBorder="1"/>
    <xf numFmtId="0" fontId="21" fillId="0" borderId="19" xfId="0" applyFont="1" applyBorder="1"/>
    <xf numFmtId="0" fontId="21" fillId="0" borderId="10" xfId="0" applyFont="1" applyBorder="1"/>
    <xf numFmtId="0" fontId="21" fillId="0" borderId="12" xfId="0" applyFont="1" applyBorder="1"/>
    <xf numFmtId="0" fontId="7" fillId="4" borderId="10" xfId="0" applyFont="1" applyFill="1" applyBorder="1"/>
    <xf numFmtId="0" fontId="7" fillId="0" borderId="0" xfId="0" applyFont="1"/>
    <xf numFmtId="0" fontId="0" fillId="0" borderId="0" xfId="0" applyFont="1" applyAlignment="1"/>
    <xf numFmtId="0" fontId="7" fillId="0" borderId="0" xfId="0" applyFont="1" applyAlignment="1">
      <alignment horizontal="center"/>
    </xf>
    <xf numFmtId="0" fontId="18" fillId="3" borderId="15" xfId="0" applyFont="1" applyFill="1" applyBorder="1" applyAlignment="1">
      <alignment horizontal="center"/>
    </xf>
    <xf numFmtId="0" fontId="33" fillId="3" borderId="13" xfId="0" applyFont="1" applyFill="1" applyBorder="1" applyAlignment="1">
      <alignment horizontal="center"/>
    </xf>
    <xf numFmtId="0" fontId="0" fillId="12" borderId="15" xfId="0" applyFont="1" applyFill="1" applyBorder="1" applyAlignment="1">
      <alignment horizontal="center"/>
    </xf>
    <xf numFmtId="0" fontId="23" fillId="8" borderId="15" xfId="0" applyFont="1" applyFill="1" applyBorder="1"/>
    <xf numFmtId="0" fontId="23" fillId="10" borderId="15" xfId="0" applyFont="1" applyFill="1" applyBorder="1" applyAlignment="1">
      <alignment horizontal="left"/>
    </xf>
    <xf numFmtId="0" fontId="25" fillId="2" borderId="15" xfId="0" applyFont="1" applyFill="1" applyBorder="1"/>
    <xf numFmtId="0" fontId="23" fillId="10" borderId="15" xfId="0" applyFont="1" applyFill="1" applyBorder="1"/>
    <xf numFmtId="0" fontId="23" fillId="10" borderId="31" xfId="0" applyFont="1" applyFill="1" applyBorder="1" applyAlignment="1">
      <alignment horizontal="left"/>
    </xf>
    <xf numFmtId="0" fontId="21" fillId="0" borderId="32" xfId="0" applyFont="1" applyBorder="1"/>
    <xf numFmtId="0" fontId="25" fillId="2" borderId="21" xfId="0" applyFont="1" applyFill="1" applyBorder="1"/>
    <xf numFmtId="0" fontId="21" fillId="0" borderId="22" xfId="0" applyFont="1" applyBorder="1"/>
    <xf numFmtId="0" fontId="23" fillId="10" borderId="24" xfId="0" applyFont="1" applyFill="1" applyBorder="1"/>
    <xf numFmtId="0" fontId="21" fillId="0" borderId="25" xfId="0" applyFont="1" applyBorder="1"/>
    <xf numFmtId="0" fontId="23" fillId="8" borderId="26" xfId="0" applyFont="1" applyFill="1" applyBorder="1"/>
    <xf numFmtId="0" fontId="21" fillId="0" borderId="27" xfId="0" applyFont="1" applyBorder="1"/>
    <xf numFmtId="0" fontId="23" fillId="10" borderId="26" xfId="0" applyFont="1" applyFill="1" applyBorder="1"/>
    <xf numFmtId="0" fontId="35" fillId="4" borderId="15" xfId="0" applyFont="1" applyFill="1" applyBorder="1" applyAlignment="1">
      <alignment horizontal="center"/>
    </xf>
    <xf numFmtId="0" fontId="0" fillId="15" borderId="0" xfId="0" applyFont="1" applyFill="1" applyAlignment="1"/>
    <xf numFmtId="0" fontId="38" fillId="0" borderId="0" xfId="0" applyFont="1" applyAlignment="1">
      <alignment vertical="top" wrapText="1"/>
    </xf>
  </cellXfs>
  <cellStyles count="2">
    <cellStyle name="Normal" xfId="0" builtinId="0"/>
    <cellStyle name="Porcentaje" xfId="1" builtinId="5"/>
  </cellStyles>
  <dxfs count="12">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4">
    <tableStyle name="CAPACIDAD DE PAGO -style" pivot="0" count="3">
      <tableStyleElement type="headerRow" dxfId="11"/>
      <tableStyleElement type="firstRowStripe" dxfId="10"/>
      <tableStyleElement type="secondRowStripe" dxfId="9"/>
    </tableStyle>
    <tableStyle name="ANALISIS ECONOMICO -style" pivot="0" count="3">
      <tableStyleElement type="headerRow" dxfId="8"/>
      <tableStyleElement type="firstRowStripe" dxfId="7"/>
      <tableStyleElement type="secondRowStripe" dxfId="6"/>
    </tableStyle>
    <tableStyle name="ANALISIS ECONOMICO -style 2" pivot="0" count="3">
      <tableStyleElement type="headerRow" dxfId="5"/>
      <tableStyleElement type="firstRowStripe" dxfId="4"/>
      <tableStyleElement type="secondRowStripe" dxfId="3"/>
    </tableStyle>
    <tableStyle name="PUNTUALIDAD DE PAGO -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L"/>
  <c:roundedCorners val="1"/>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s-CL"/>
              <a:t>Gráfico N°1: Masas Patrimoniales 2013</a:t>
            </a:r>
          </a:p>
        </c:rich>
      </c:tx>
      <c:layout/>
      <c:overlay val="0"/>
    </c:title>
    <c:autoTitleDeleted val="0"/>
    <c:plotArea>
      <c:layout/>
      <c:barChart>
        <c:barDir val="col"/>
        <c:grouping val="percentStacked"/>
        <c:varyColors val="1"/>
        <c:ser>
          <c:idx val="0"/>
          <c:order val="0"/>
          <c:tx>
            <c:strRef>
              <c:f>'BG CLASIFICADO AJUSTADO'!$C$31</c:f>
              <c:strCache>
                <c:ptCount val="1"/>
                <c:pt idx="0">
                  <c:v>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AJUSTADO'!$D$31:$E$31</c:f>
              <c:numCache>
                <c:formatCode>General</c:formatCode>
                <c:ptCount val="2"/>
                <c:pt idx="0" formatCode="0.00%">
                  <c:v>0.15295765749680681</c:v>
                </c:pt>
              </c:numCache>
            </c:numRef>
          </c:val>
          <c:extLst xmlns:c16r2="http://schemas.microsoft.com/office/drawing/2015/06/chart">
            <c:ext xmlns:c16="http://schemas.microsoft.com/office/drawing/2014/chart" uri="{C3380CC4-5D6E-409C-BE32-E72D297353CC}">
              <c16:uniqueId val="{00000001-DE27-4AFF-A396-274DA0917263}"/>
            </c:ext>
          </c:extLst>
        </c:ser>
        <c:ser>
          <c:idx val="1"/>
          <c:order val="1"/>
          <c:tx>
            <c:strRef>
              <c:f>'BG CLASIFICADO AJUSTADO'!$C$32</c:f>
              <c:strCache>
                <c:ptCount val="1"/>
                <c:pt idx="0">
                  <c:v>OAF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AJUSTADO'!$D$32:$E$32</c:f>
              <c:numCache>
                <c:formatCode>General</c:formatCode>
                <c:ptCount val="2"/>
                <c:pt idx="0" formatCode="0.00%">
                  <c:v>0.33605728072223517</c:v>
                </c:pt>
              </c:numCache>
            </c:numRef>
          </c:val>
          <c:extLst xmlns:c16r2="http://schemas.microsoft.com/office/drawing/2015/06/chart">
            <c:ext xmlns:c16="http://schemas.microsoft.com/office/drawing/2014/chart" uri="{C3380CC4-5D6E-409C-BE32-E72D297353CC}">
              <c16:uniqueId val="{00000003-DE27-4AFF-A396-274DA0917263}"/>
            </c:ext>
          </c:extLst>
        </c:ser>
        <c:ser>
          <c:idx val="2"/>
          <c:order val="2"/>
          <c:tx>
            <c:strRef>
              <c:f>'BG CLASIFICADO AJUSTADO'!$C$33</c:f>
              <c:strCache>
                <c:ptCount val="1"/>
                <c:pt idx="0">
                  <c:v>OAC</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AJUSTADO'!$D$33:$E$33</c:f>
              <c:numCache>
                <c:formatCode>General</c:formatCode>
                <c:ptCount val="2"/>
                <c:pt idx="0" formatCode="0.00%">
                  <c:v>5.6905321082437177E-3</c:v>
                </c:pt>
              </c:numCache>
            </c:numRef>
          </c:val>
          <c:extLst xmlns:c16r2="http://schemas.microsoft.com/office/drawing/2015/06/chart">
            <c:ext xmlns:c16="http://schemas.microsoft.com/office/drawing/2014/chart" uri="{C3380CC4-5D6E-409C-BE32-E72D297353CC}">
              <c16:uniqueId val="{00000005-DE27-4AFF-A396-274DA0917263}"/>
            </c:ext>
          </c:extLst>
        </c:ser>
        <c:ser>
          <c:idx val="3"/>
          <c:order val="3"/>
          <c:tx>
            <c:strRef>
              <c:f>'BG CLASIFICADO AJUSTADO'!$C$34</c:f>
              <c:strCache>
                <c:ptCount val="1"/>
                <c:pt idx="0">
                  <c:v>ST</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AJUSTADO'!$D$34:$E$34</c:f>
              <c:numCache>
                <c:formatCode>General</c:formatCode>
                <c:ptCount val="2"/>
                <c:pt idx="0" formatCode="0.00%">
                  <c:v>6.7357038542711037E-2</c:v>
                </c:pt>
              </c:numCache>
            </c:numRef>
          </c:val>
          <c:extLst xmlns:c16r2="http://schemas.microsoft.com/office/drawing/2015/06/chart">
            <c:ext xmlns:c16="http://schemas.microsoft.com/office/drawing/2014/chart" uri="{C3380CC4-5D6E-409C-BE32-E72D297353CC}">
              <c16:uniqueId val="{00000007-DE27-4AFF-A396-274DA0917263}"/>
            </c:ext>
          </c:extLst>
        </c:ser>
        <c:ser>
          <c:idx val="4"/>
          <c:order val="4"/>
          <c:tx>
            <c:strRef>
              <c:f>'BG CLASIFICADO AJUSTADO'!$C$35</c:f>
              <c:strCache>
                <c:ptCount val="1"/>
                <c:pt idx="0">
                  <c:v>CL</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AJUSTADO'!$D$35:$E$35</c:f>
              <c:numCache>
                <c:formatCode>General</c:formatCode>
                <c:ptCount val="2"/>
                <c:pt idx="0" formatCode="0.00%">
                  <c:v>0.31114804081800829</c:v>
                </c:pt>
              </c:numCache>
            </c:numRef>
          </c:val>
          <c:extLst xmlns:c16r2="http://schemas.microsoft.com/office/drawing/2015/06/chart">
            <c:ext xmlns:c16="http://schemas.microsoft.com/office/drawing/2014/chart" uri="{C3380CC4-5D6E-409C-BE32-E72D297353CC}">
              <c16:uniqueId val="{00000009-DE27-4AFF-A396-274DA0917263}"/>
            </c:ext>
          </c:extLst>
        </c:ser>
        <c:ser>
          <c:idx val="5"/>
          <c:order val="5"/>
          <c:tx>
            <c:strRef>
              <c:f>'BG CLASIFICADO AJUSTADO'!$C$36</c:f>
              <c:strCache>
                <c:ptCount val="1"/>
                <c:pt idx="0">
                  <c:v>CyB</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AJUSTADO'!$D$36:$E$36</c:f>
              <c:numCache>
                <c:formatCode>General</c:formatCode>
                <c:ptCount val="2"/>
                <c:pt idx="0" formatCode="0.00%">
                  <c:v>0.12678945031199498</c:v>
                </c:pt>
              </c:numCache>
            </c:numRef>
          </c:val>
          <c:extLst xmlns:c16r2="http://schemas.microsoft.com/office/drawing/2015/06/chart">
            <c:ext xmlns:c16="http://schemas.microsoft.com/office/drawing/2014/chart" uri="{C3380CC4-5D6E-409C-BE32-E72D297353CC}">
              <c16:uniqueId val="{0000000B-DE27-4AFF-A396-274DA0917263}"/>
            </c:ext>
          </c:extLst>
        </c:ser>
        <c:ser>
          <c:idx val="6"/>
          <c:order val="6"/>
          <c:tx>
            <c:strRef>
              <c:f>'BG CLASIFICADO AJUSTADO'!$C$37</c:f>
              <c:strCache>
                <c:ptCount val="1"/>
                <c:pt idx="0">
                  <c:v>KP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AJUSTADO'!$D$37:$E$37</c:f>
              <c:numCache>
                <c:formatCode>0.00%</c:formatCode>
                <c:ptCount val="2"/>
                <c:pt idx="1">
                  <c:v>0.43192191656022672</c:v>
                </c:pt>
              </c:numCache>
            </c:numRef>
          </c:val>
          <c:extLst xmlns:c16r2="http://schemas.microsoft.com/office/drawing/2015/06/chart">
            <c:ext xmlns:c16="http://schemas.microsoft.com/office/drawing/2014/chart" uri="{C3380CC4-5D6E-409C-BE32-E72D297353CC}">
              <c16:uniqueId val="{0000000D-DE27-4AFF-A396-274DA0917263}"/>
            </c:ext>
          </c:extLst>
        </c:ser>
        <c:ser>
          <c:idx val="7"/>
          <c:order val="7"/>
          <c:tx>
            <c:strRef>
              <c:f>'BG CLASIFICADO AJUSTADO'!$C$38</c:f>
              <c:strCache>
                <c:ptCount val="1"/>
                <c:pt idx="0">
                  <c:v>L/P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AJUSTADO'!$D$38:$E$38</c:f>
              <c:numCache>
                <c:formatCode>0.00%</c:formatCode>
                <c:ptCount val="2"/>
                <c:pt idx="1">
                  <c:v>9.9586600925684304E-2</c:v>
                </c:pt>
              </c:numCache>
            </c:numRef>
          </c:val>
          <c:extLst xmlns:c16r2="http://schemas.microsoft.com/office/drawing/2015/06/chart">
            <c:ext xmlns:c16="http://schemas.microsoft.com/office/drawing/2014/chart" uri="{C3380CC4-5D6E-409C-BE32-E72D297353CC}">
              <c16:uniqueId val="{0000000F-DE27-4AFF-A396-274DA0917263}"/>
            </c:ext>
          </c:extLst>
        </c:ser>
        <c:ser>
          <c:idx val="8"/>
          <c:order val="8"/>
          <c:tx>
            <c:strRef>
              <c:f>'BG CLASIFICADO AJUSTADO'!$C$39</c:f>
              <c:strCache>
                <c:ptCount val="1"/>
                <c:pt idx="0">
                  <c:v>C/P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DE27-4AFF-A396-274DA0917263}"/>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AJUSTADO'!$D$30:$E$30</c:f>
              <c:strCache>
                <c:ptCount val="2"/>
                <c:pt idx="0">
                  <c:v>Activo</c:v>
                </c:pt>
                <c:pt idx="1">
                  <c:v>Pasivo</c:v>
                </c:pt>
              </c:strCache>
            </c:strRef>
          </c:cat>
          <c:val>
            <c:numRef>
              <c:f>'BG CLASIFICADO AJUSTADO'!$D$39:$E$39</c:f>
              <c:numCache>
                <c:formatCode>0.00%</c:formatCode>
                <c:ptCount val="2"/>
                <c:pt idx="1">
                  <c:v>0.46849148251408895</c:v>
                </c:pt>
              </c:numCache>
            </c:numRef>
          </c:val>
          <c:extLst xmlns:c16r2="http://schemas.microsoft.com/office/drawing/2015/06/chart">
            <c:ext xmlns:c16="http://schemas.microsoft.com/office/drawing/2014/chart" uri="{C3380CC4-5D6E-409C-BE32-E72D297353CC}">
              <c16:uniqueId val="{00000011-DE27-4AFF-A396-274DA0917263}"/>
            </c:ext>
          </c:extLst>
        </c:ser>
        <c:dLbls>
          <c:showLegendKey val="0"/>
          <c:showVal val="0"/>
          <c:showCatName val="0"/>
          <c:showSerName val="0"/>
          <c:showPercent val="0"/>
          <c:showBubbleSize val="0"/>
        </c:dLbls>
        <c:gapWidth val="0"/>
        <c:overlap val="100"/>
        <c:axId val="235971584"/>
        <c:axId val="166128448"/>
      </c:barChart>
      <c:catAx>
        <c:axId val="235971584"/>
        <c:scaling>
          <c:orientation val="minMax"/>
        </c:scaling>
        <c:delete val="0"/>
        <c:axPos val="t"/>
        <c:numFmt formatCode="General" sourceLinked="0"/>
        <c:majorTickMark val="cross"/>
        <c:minorTickMark val="cross"/>
        <c:tickLblPos val="nextTo"/>
        <c:crossAx val="166128448"/>
        <c:crosses val="autoZero"/>
        <c:auto val="1"/>
        <c:lblAlgn val="ctr"/>
        <c:lblOffset val="100"/>
        <c:noMultiLvlLbl val="1"/>
      </c:catAx>
      <c:valAx>
        <c:axId val="166128448"/>
        <c:scaling>
          <c:orientation val="maxMin"/>
        </c:scaling>
        <c:delete val="1"/>
        <c:axPos val="l"/>
        <c:majorGridlines/>
        <c:numFmt formatCode="0%" sourceLinked="1"/>
        <c:majorTickMark val="cross"/>
        <c:minorTickMark val="cross"/>
        <c:tickLblPos val="nextTo"/>
        <c:crossAx val="235971584"/>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Endeudamiento v/s años</a:t>
            </a:r>
          </a:p>
        </c:rich>
      </c:tx>
      <c:layout/>
      <c:overlay val="0"/>
    </c:title>
    <c:autoTitleDeleted val="0"/>
    <c:plotArea>
      <c:layout/>
      <c:lineChart>
        <c:grouping val="standard"/>
        <c:varyColors val="0"/>
        <c:ser>
          <c:idx val="0"/>
          <c:order val="0"/>
          <c:tx>
            <c:strRef>
              <c:f>'CAPACIDAD DE PAGO '!$B$8:$C$8</c:f>
              <c:strCache>
                <c:ptCount val="1"/>
                <c:pt idx="0">
                  <c:v>Endeudamiento DT/ACT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'!$D$8:$H$8</c:f>
              <c:numCache>
                <c:formatCode>0.00</c:formatCode>
                <c:ptCount val="5"/>
                <c:pt idx="0">
                  <c:v>0.56807808343977328</c:v>
                </c:pt>
                <c:pt idx="1">
                  <c:v>0.62011900724009561</c:v>
                </c:pt>
                <c:pt idx="2">
                  <c:v>0.46485220069341443</c:v>
                </c:pt>
                <c:pt idx="3">
                  <c:v>0.52012717543991338</c:v>
                </c:pt>
                <c:pt idx="4">
                  <c:v>0.52829017825865021</c:v>
                </c:pt>
              </c:numCache>
            </c:numRef>
          </c:val>
          <c:smooth val="0"/>
          <c:extLst xmlns:c16r2="http://schemas.microsoft.com/office/drawing/2015/06/chart">
            <c:ext xmlns:c16="http://schemas.microsoft.com/office/drawing/2014/chart" uri="{C3380CC4-5D6E-409C-BE32-E72D297353CC}">
              <c16:uniqueId val="{00000000-14D1-47D4-9F6B-8FFAEE117C14}"/>
            </c:ext>
          </c:extLst>
        </c:ser>
        <c:dLbls>
          <c:showLegendKey val="0"/>
          <c:showVal val="0"/>
          <c:showCatName val="0"/>
          <c:showSerName val="0"/>
          <c:showPercent val="0"/>
          <c:showBubbleSize val="0"/>
        </c:dLbls>
        <c:marker val="1"/>
        <c:smooth val="0"/>
        <c:axId val="271939072"/>
        <c:axId val="263594560"/>
      </c:lineChart>
      <c:catAx>
        <c:axId val="271939072"/>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63594560"/>
        <c:crosses val="autoZero"/>
        <c:auto val="1"/>
        <c:lblAlgn val="ctr"/>
        <c:lblOffset val="100"/>
        <c:noMultiLvlLbl val="1"/>
      </c:catAx>
      <c:valAx>
        <c:axId val="263594560"/>
        <c:scaling>
          <c:orientation val="minMax"/>
        </c:scaling>
        <c:delete val="0"/>
        <c:axPos val="l"/>
        <c:majorGridlines>
          <c:spPr>
            <a:ln>
              <a:solidFill>
                <a:srgbClr val="B7B7B7"/>
              </a:solidFill>
            </a:ln>
          </c:spPr>
        </c:majorGridlines>
        <c:title>
          <c:tx>
            <c:rich>
              <a:bodyPr/>
              <a:lstStyle/>
              <a:p>
                <a:pPr lvl="0">
                  <a:defRPr b="0" i="0"/>
                </a:pPr>
                <a:r>
                  <a:rPr lang="es-ES"/>
                  <a:t>Endeudamiento</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1939072"/>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Disponible v/s años</a:t>
            </a:r>
          </a:p>
        </c:rich>
      </c:tx>
      <c:layout/>
      <c:overlay val="0"/>
    </c:title>
    <c:autoTitleDeleted val="0"/>
    <c:plotArea>
      <c:layout/>
      <c:lineChart>
        <c:grouping val="standard"/>
        <c:varyColors val="0"/>
        <c:ser>
          <c:idx val="0"/>
          <c:order val="0"/>
          <c:tx>
            <c:strRef>
              <c:f>'CAPACIDAD DE PAGO '!$B$9:$C$9</c:f>
              <c:strCache>
                <c:ptCount val="1"/>
                <c:pt idx="0">
                  <c:v>Disponible CyB/PC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'!$D$9:$H$9</c:f>
              <c:numCache>
                <c:formatCode>0.00</c:formatCode>
                <c:ptCount val="5"/>
                <c:pt idx="0">
                  <c:v>0.27063341606895069</c:v>
                </c:pt>
                <c:pt idx="1">
                  <c:v>0.14217121730168339</c:v>
                </c:pt>
                <c:pt idx="2">
                  <c:v>0.8352598923873028</c:v>
                </c:pt>
                <c:pt idx="3">
                  <c:v>1.3082085163789825</c:v>
                </c:pt>
                <c:pt idx="4">
                  <c:v>0.64540514283979478</c:v>
                </c:pt>
              </c:numCache>
            </c:numRef>
          </c:val>
          <c:smooth val="0"/>
          <c:extLst xmlns:c16r2="http://schemas.microsoft.com/office/drawing/2015/06/chart">
            <c:ext xmlns:c16="http://schemas.microsoft.com/office/drawing/2014/chart" uri="{C3380CC4-5D6E-409C-BE32-E72D297353CC}">
              <c16:uniqueId val="{00000000-0631-46B9-8E4D-A5FF3AD81E87}"/>
            </c:ext>
          </c:extLst>
        </c:ser>
        <c:dLbls>
          <c:showLegendKey val="0"/>
          <c:showVal val="0"/>
          <c:showCatName val="0"/>
          <c:showSerName val="0"/>
          <c:showPercent val="0"/>
          <c:showBubbleSize val="0"/>
        </c:dLbls>
        <c:marker val="1"/>
        <c:smooth val="0"/>
        <c:axId val="271939584"/>
        <c:axId val="263596288"/>
      </c:lineChart>
      <c:catAx>
        <c:axId val="271939584"/>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63596288"/>
        <c:crosses val="autoZero"/>
        <c:auto val="1"/>
        <c:lblAlgn val="ctr"/>
        <c:lblOffset val="100"/>
        <c:noMultiLvlLbl val="1"/>
      </c:catAx>
      <c:valAx>
        <c:axId val="263596288"/>
        <c:scaling>
          <c:orientation val="minMax"/>
        </c:scaling>
        <c:delete val="0"/>
        <c:axPos val="l"/>
        <c:majorGridlines>
          <c:spPr>
            <a:ln>
              <a:solidFill>
                <a:srgbClr val="B7B7B7"/>
              </a:solidFill>
            </a:ln>
          </c:spPr>
        </c:majorGridlines>
        <c:title>
          <c:tx>
            <c:rich>
              <a:bodyPr/>
              <a:lstStyle/>
              <a:p>
                <a:pPr lvl="0">
                  <a:defRPr b="1" i="0"/>
                </a:pPr>
                <a:r>
                  <a:rPr lang="es-ES"/>
                  <a:t>Disponible</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193958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Calidad de deuda v/s años</a:t>
            </a:r>
          </a:p>
        </c:rich>
      </c:tx>
      <c:layout/>
      <c:overlay val="0"/>
    </c:title>
    <c:autoTitleDeleted val="0"/>
    <c:plotArea>
      <c:layout/>
      <c:lineChart>
        <c:grouping val="standard"/>
        <c:varyColors val="0"/>
        <c:ser>
          <c:idx val="0"/>
          <c:order val="0"/>
          <c:tx>
            <c:strRef>
              <c:f>'CAPACIDAD DE PAGO '!$B$10:$C$10</c:f>
              <c:strCache>
                <c:ptCount val="1"/>
                <c:pt idx="0">
                  <c:v>Calidad de Deuda PC/DT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'!$D$10:$H$10</c:f>
              <c:numCache>
                <c:formatCode>0.00</c:formatCode>
                <c:ptCount val="5"/>
                <c:pt idx="0">
                  <c:v>0.82469557649068803</c:v>
                </c:pt>
                <c:pt idx="1">
                  <c:v>0.82553852387061921</c:v>
                </c:pt>
                <c:pt idx="2">
                  <c:v>0.26313186738744598</c:v>
                </c:pt>
                <c:pt idx="3">
                  <c:v>0.14899856717279483</c:v>
                </c:pt>
                <c:pt idx="4">
                  <c:v>0.15601436095638666</c:v>
                </c:pt>
              </c:numCache>
            </c:numRef>
          </c:val>
          <c:smooth val="0"/>
          <c:extLst xmlns:c16r2="http://schemas.microsoft.com/office/drawing/2015/06/chart">
            <c:ext xmlns:c16="http://schemas.microsoft.com/office/drawing/2014/chart" uri="{C3380CC4-5D6E-409C-BE32-E72D297353CC}">
              <c16:uniqueId val="{00000000-28FA-442B-9A60-E755952AAF0A}"/>
            </c:ext>
          </c:extLst>
        </c:ser>
        <c:dLbls>
          <c:showLegendKey val="0"/>
          <c:showVal val="0"/>
          <c:showCatName val="0"/>
          <c:showSerName val="0"/>
          <c:showPercent val="0"/>
          <c:showBubbleSize val="0"/>
        </c:dLbls>
        <c:marker val="1"/>
        <c:smooth val="0"/>
        <c:axId val="273043968"/>
        <c:axId val="263598016"/>
      </c:lineChart>
      <c:catAx>
        <c:axId val="273043968"/>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63598016"/>
        <c:crosses val="autoZero"/>
        <c:auto val="1"/>
        <c:lblAlgn val="ctr"/>
        <c:lblOffset val="100"/>
        <c:noMultiLvlLbl val="1"/>
      </c:catAx>
      <c:valAx>
        <c:axId val="263598016"/>
        <c:scaling>
          <c:orientation val="minMax"/>
        </c:scaling>
        <c:delete val="0"/>
        <c:axPos val="l"/>
        <c:majorGridlines>
          <c:spPr>
            <a:ln>
              <a:solidFill>
                <a:srgbClr val="B7B7B7"/>
              </a:solidFill>
            </a:ln>
          </c:spPr>
        </c:majorGridlines>
        <c:title>
          <c:tx>
            <c:rich>
              <a:bodyPr/>
              <a:lstStyle/>
              <a:p>
                <a:pPr lvl="0">
                  <a:defRPr b="0" i="0"/>
                </a:pPr>
                <a:r>
                  <a:rPr lang="es-ES"/>
                  <a:t>Calidad de deuda</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3043968"/>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Relación Liquidez CTN Corriente, Global y Funcional v/s años</a:t>
            </a:r>
          </a:p>
        </c:rich>
      </c:tx>
      <c:layout/>
      <c:overlay val="0"/>
    </c:title>
    <c:autoTitleDeleted val="0"/>
    <c:plotArea>
      <c:layout/>
      <c:lineChart>
        <c:grouping val="standard"/>
        <c:varyColors val="1"/>
        <c:ser>
          <c:idx val="0"/>
          <c:order val="0"/>
          <c:tx>
            <c:strRef>
              <c:f>'CAPACIDAD DE PAGO '!$B$6:$C$6</c:f>
              <c:strCache>
                <c:ptCount val="1"/>
                <c:pt idx="0">
                  <c:v>Liquidez Capital de Trabajo Neto CNT/AC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'!$D$6:$H$6</c:f>
              <c:numCache>
                <c:formatCode>0.00</c:formatCode>
                <c:ptCount val="5"/>
                <c:pt idx="0">
                  <c:v>8.3160120412844055E-2</c:v>
                </c:pt>
                <c:pt idx="1">
                  <c:v>-0.24615463024310694</c:v>
                </c:pt>
                <c:pt idx="2">
                  <c:v>0.23413778145825945</c:v>
                </c:pt>
                <c:pt idx="3">
                  <c:v>0.39051695058188574</c:v>
                </c:pt>
                <c:pt idx="4">
                  <c:v>-5.6516021426051256E-2</c:v>
                </c:pt>
              </c:numCache>
            </c:numRef>
          </c:val>
          <c:smooth val="0"/>
          <c:extLst xmlns:c16r2="http://schemas.microsoft.com/office/drawing/2015/06/chart">
            <c:ext xmlns:c16="http://schemas.microsoft.com/office/drawing/2014/chart" uri="{C3380CC4-5D6E-409C-BE32-E72D297353CC}">
              <c16:uniqueId val="{00000000-4D87-4075-A27B-8736A1B73176}"/>
            </c:ext>
          </c:extLst>
        </c:ser>
        <c:ser>
          <c:idx val="1"/>
          <c:order val="1"/>
          <c:tx>
            <c:strRef>
              <c:f>'CAPACIDAD DE PAGO '!$B$12:$C$12</c:f>
              <c:strCache>
                <c:ptCount val="1"/>
                <c:pt idx="0">
                  <c:v>Liquidez Capital de Trabajo Neto Global CNT/ACT</c:v>
                </c:pt>
              </c:strCache>
            </c:strRef>
          </c:tx>
          <c:spPr>
            <a:ln w="19050" cmpd="sng">
              <a:solidFill>
                <a:srgbClr val="DC3912"/>
              </a:solidFill>
              <a:prstDash val="solid"/>
            </a:ln>
          </c:spPr>
          <c:marker>
            <c:symbol val="circle"/>
            <c:size val="5"/>
            <c:spPr>
              <a:solidFill>
                <a:srgbClr val="DC3912"/>
              </a:solidFill>
              <a:ln cmpd="sng">
                <a:solidFill>
                  <a:srgbClr val="DC3912"/>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'!$D$12:$H$12</c:f>
              <c:numCache>
                <c:formatCode>0.00</c:formatCode>
                <c:ptCount val="5"/>
                <c:pt idx="0">
                  <c:v>4.2493579266869023E-2</c:v>
                </c:pt>
                <c:pt idx="1">
                  <c:v>-0.10112265450632098</c:v>
                </c:pt>
                <c:pt idx="2">
                  <c:v>3.739462588054504E-2</c:v>
                </c:pt>
                <c:pt idx="3">
                  <c:v>4.9655789913893883E-2</c:v>
                </c:pt>
                <c:pt idx="4" formatCode="0.000">
                  <c:v>-4.4089239423086551E-3</c:v>
                </c:pt>
              </c:numCache>
            </c:numRef>
          </c:val>
          <c:smooth val="0"/>
          <c:extLst xmlns:c16r2="http://schemas.microsoft.com/office/drawing/2015/06/chart">
            <c:ext xmlns:c16="http://schemas.microsoft.com/office/drawing/2014/chart" uri="{C3380CC4-5D6E-409C-BE32-E72D297353CC}">
              <c16:uniqueId val="{00000001-4D87-4075-A27B-8736A1B73176}"/>
            </c:ext>
          </c:extLst>
        </c:ser>
        <c:ser>
          <c:idx val="2"/>
          <c:order val="2"/>
          <c:tx>
            <c:strRef>
              <c:f>'CAPACIDAD DE PAGO '!$B$13:$C$13</c:f>
              <c:strCache>
                <c:ptCount val="1"/>
                <c:pt idx="0">
                  <c:v>Liquidez Capital de Trabajo Neto Funcional CNT/ACF</c:v>
                </c:pt>
              </c:strCache>
            </c:strRef>
          </c:tx>
          <c:spPr>
            <a:ln w="19050" cmpd="sng">
              <a:solidFill>
                <a:srgbClr val="FF9900"/>
              </a:solidFill>
              <a:prstDash val="solid"/>
            </a:ln>
          </c:spPr>
          <c:marker>
            <c:symbol val="circle"/>
            <c:size val="5"/>
            <c:spPr>
              <a:solidFill>
                <a:srgbClr val="FF9900"/>
              </a:solidFill>
              <a:ln cmpd="sng">
                <a:solidFill>
                  <a:srgbClr val="FF9900"/>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'!$D$13:$H$13</c:f>
              <c:numCache>
                <c:formatCode>0.00</c:formatCode>
                <c:ptCount val="5"/>
                <c:pt idx="0">
                  <c:v>8.6896280554593378E-2</c:v>
                </c:pt>
                <c:pt idx="1">
                  <c:v>-0.17162980441209919</c:v>
                </c:pt>
                <c:pt idx="2">
                  <c:v>4.450215671504755E-2</c:v>
                </c:pt>
                <c:pt idx="3">
                  <c:v>5.6889519527266938E-2</c:v>
                </c:pt>
                <c:pt idx="4" formatCode="0.000">
                  <c:v>-4.7819750479690176E-3</c:v>
                </c:pt>
              </c:numCache>
            </c:numRef>
          </c:val>
          <c:smooth val="0"/>
          <c:extLst xmlns:c16r2="http://schemas.microsoft.com/office/drawing/2015/06/chart">
            <c:ext xmlns:c16="http://schemas.microsoft.com/office/drawing/2014/chart" uri="{C3380CC4-5D6E-409C-BE32-E72D297353CC}">
              <c16:uniqueId val="{00000002-4D87-4075-A27B-8736A1B73176}"/>
            </c:ext>
          </c:extLst>
        </c:ser>
        <c:dLbls>
          <c:showLegendKey val="0"/>
          <c:showVal val="0"/>
          <c:showCatName val="0"/>
          <c:showSerName val="0"/>
          <c:showPercent val="0"/>
          <c:showBubbleSize val="0"/>
        </c:dLbls>
        <c:marker val="1"/>
        <c:smooth val="0"/>
        <c:axId val="273045504"/>
        <c:axId val="263600320"/>
      </c:lineChart>
      <c:catAx>
        <c:axId val="273045504"/>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63600320"/>
        <c:crosses val="autoZero"/>
        <c:auto val="1"/>
        <c:lblAlgn val="ctr"/>
        <c:lblOffset val="100"/>
        <c:noMultiLvlLbl val="1"/>
      </c:catAx>
      <c:valAx>
        <c:axId val="263600320"/>
        <c:scaling>
          <c:orientation val="minMax"/>
        </c:scaling>
        <c:delete val="0"/>
        <c:axPos val="l"/>
        <c:majorGridlines>
          <c:spPr>
            <a:ln>
              <a:solidFill>
                <a:srgbClr val="B7B7B7"/>
              </a:solidFill>
            </a:ln>
          </c:spPr>
        </c:majorGridlines>
        <c:title>
          <c:tx>
            <c:rich>
              <a:bodyPr/>
              <a:lstStyle/>
              <a:p>
                <a:pPr lvl="0">
                  <a:defRPr b="0" i="0"/>
                </a:pPr>
                <a:r>
                  <a:rPr lang="es-ES"/>
                  <a:t>Razones</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304550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Capital de CTN sobre Stock v/s años</a:t>
            </a:r>
          </a:p>
        </c:rich>
      </c:tx>
      <c:layout/>
      <c:overlay val="0"/>
    </c:title>
    <c:autoTitleDeleted val="0"/>
    <c:plotArea>
      <c:layout/>
      <c:lineChart>
        <c:grouping val="standard"/>
        <c:varyColors val="0"/>
        <c:ser>
          <c:idx val="0"/>
          <c:order val="0"/>
          <c:tx>
            <c:strRef>
              <c:f>'CAPACIDAD DE PAGO '!$B$11:$C$11</c:f>
              <c:strCache>
                <c:ptCount val="1"/>
                <c:pt idx="0">
                  <c:v>Capital de trabajo neto sobre Stock CNT/ST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'!$D$11:$H$11</c:f>
              <c:numCache>
                <c:formatCode>0.00</c:formatCode>
                <c:ptCount val="5"/>
                <c:pt idx="0">
                  <c:v>0.63087065860123714</c:v>
                </c:pt>
                <c:pt idx="1">
                  <c:v>-2.2185576481396425</c:v>
                </c:pt>
                <c:pt idx="2">
                  <c:v>19.122383252818036</c:v>
                </c:pt>
                <c:pt idx="3">
                  <c:v>17.425211665098786</c:v>
                </c:pt>
                <c:pt idx="4">
                  <c:v>-1.9977324263038549</c:v>
                </c:pt>
              </c:numCache>
            </c:numRef>
          </c:val>
          <c:smooth val="0"/>
          <c:extLst xmlns:c16r2="http://schemas.microsoft.com/office/drawing/2015/06/chart">
            <c:ext xmlns:c16="http://schemas.microsoft.com/office/drawing/2014/chart" uri="{C3380CC4-5D6E-409C-BE32-E72D297353CC}">
              <c16:uniqueId val="{00000000-17FE-4E45-A424-FD85EB3EDC8D}"/>
            </c:ext>
          </c:extLst>
        </c:ser>
        <c:dLbls>
          <c:showLegendKey val="0"/>
          <c:showVal val="0"/>
          <c:showCatName val="0"/>
          <c:showSerName val="0"/>
          <c:showPercent val="0"/>
          <c:showBubbleSize val="0"/>
        </c:dLbls>
        <c:marker val="1"/>
        <c:smooth val="0"/>
        <c:axId val="273046016"/>
        <c:axId val="267829824"/>
      </c:lineChart>
      <c:catAx>
        <c:axId val="273046016"/>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67829824"/>
        <c:crosses val="autoZero"/>
        <c:auto val="1"/>
        <c:lblAlgn val="ctr"/>
        <c:lblOffset val="100"/>
        <c:noMultiLvlLbl val="1"/>
      </c:catAx>
      <c:valAx>
        <c:axId val="267829824"/>
        <c:scaling>
          <c:orientation val="minMax"/>
        </c:scaling>
        <c:delete val="0"/>
        <c:axPos val="l"/>
        <c:majorGridlines>
          <c:spPr>
            <a:ln>
              <a:solidFill>
                <a:srgbClr val="B7B7B7"/>
              </a:solidFill>
            </a:ln>
          </c:spPr>
        </c:majorGridlines>
        <c:title>
          <c:tx>
            <c:rich>
              <a:bodyPr/>
              <a:lstStyle/>
              <a:p>
                <a:pPr lvl="0">
                  <a:defRPr b="0" i="0"/>
                </a:pPr>
                <a:r>
                  <a:rPr lang="es-ES"/>
                  <a:t>Razón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304601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Activos Totales </a:t>
            </a:r>
          </a:p>
        </c:rich>
      </c:tx>
      <c:layout/>
      <c:overlay val="0"/>
    </c:title>
    <c:autoTitleDeleted val="0"/>
    <c:plotArea>
      <c:layout/>
      <c:lineChart>
        <c:grouping val="standard"/>
        <c:varyColors val="0"/>
        <c:ser>
          <c:idx val="0"/>
          <c:order val="0"/>
          <c:tx>
            <c:strRef>
              <c:f>'PUNTUALIDAD DE PAGO '!$B$4</c:f>
              <c:strCache>
                <c:ptCount val="1"/>
                <c:pt idx="0">
                  <c:v>Rotación Activos Totales</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'!$C$4:$G$4</c:f>
              <c:numCache>
                <c:formatCode>0.00</c:formatCode>
                <c:ptCount val="5"/>
                <c:pt idx="0">
                  <c:v>3.8522842244532649</c:v>
                </c:pt>
                <c:pt idx="1">
                  <c:v>0.38008617765662095</c:v>
                </c:pt>
                <c:pt idx="2">
                  <c:v>0.29912866585421921</c:v>
                </c:pt>
                <c:pt idx="3">
                  <c:v>0.24315332897262404</c:v>
                </c:pt>
                <c:pt idx="4">
                  <c:v>0.18862537658516079</c:v>
                </c:pt>
              </c:numCache>
            </c:numRef>
          </c:val>
          <c:smooth val="0"/>
          <c:extLst xmlns:c16r2="http://schemas.microsoft.com/office/drawing/2015/06/chart">
            <c:ext xmlns:c16="http://schemas.microsoft.com/office/drawing/2014/chart" uri="{C3380CC4-5D6E-409C-BE32-E72D297353CC}">
              <c16:uniqueId val="{00000000-DC1F-40E8-A93A-B6E794FB79EA}"/>
            </c:ext>
          </c:extLst>
        </c:ser>
        <c:dLbls>
          <c:showLegendKey val="0"/>
          <c:showVal val="0"/>
          <c:showCatName val="0"/>
          <c:showSerName val="0"/>
          <c:showPercent val="0"/>
          <c:showBubbleSize val="0"/>
        </c:dLbls>
        <c:marker val="1"/>
        <c:smooth val="0"/>
        <c:axId val="273261568"/>
        <c:axId val="269748480"/>
      </c:lineChart>
      <c:catAx>
        <c:axId val="273261568"/>
        <c:scaling>
          <c:orientation val="minMax"/>
        </c:scaling>
        <c:delete val="0"/>
        <c:axPos val="b"/>
        <c:title>
          <c:tx>
            <c:rich>
              <a:bodyPr/>
              <a:lstStyle/>
              <a:p>
                <a:pPr lvl="0">
                  <a:defRPr b="0"/>
                </a:pPr>
                <a:r>
                  <a:rPr lang="es-ES"/>
                  <a:t>Puntualidad de pago</a:t>
                </a:r>
              </a:p>
            </c:rich>
          </c:tx>
          <c:layout/>
          <c:overlay val="0"/>
        </c:title>
        <c:numFmt formatCode="General" sourceLinked="1"/>
        <c:majorTickMark val="cross"/>
        <c:minorTickMark val="cross"/>
        <c:tickLblPos val="nextTo"/>
        <c:txPr>
          <a:bodyPr/>
          <a:lstStyle/>
          <a:p>
            <a:pPr lvl="0">
              <a:defRPr b="0"/>
            </a:pPr>
            <a:endParaRPr lang="es-CL"/>
          </a:p>
        </c:txPr>
        <c:crossAx val="269748480"/>
        <c:crosses val="autoZero"/>
        <c:auto val="1"/>
        <c:lblAlgn val="ctr"/>
        <c:lblOffset val="100"/>
        <c:noMultiLvlLbl val="1"/>
      </c:catAx>
      <c:valAx>
        <c:axId val="26974848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s-CL"/>
          </a:p>
        </c:txPr>
        <c:crossAx val="27326156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Activos Fijos</a:t>
            </a:r>
          </a:p>
        </c:rich>
      </c:tx>
      <c:layout/>
      <c:overlay val="0"/>
    </c:title>
    <c:autoTitleDeleted val="0"/>
    <c:plotArea>
      <c:layout/>
      <c:lineChart>
        <c:grouping val="standard"/>
        <c:varyColors val="0"/>
        <c:ser>
          <c:idx val="0"/>
          <c:order val="0"/>
          <c:tx>
            <c:strRef>
              <c:f>'PUNTUALIDAD DE PAGO '!$B$6</c:f>
              <c:strCache>
                <c:ptCount val="1"/>
                <c:pt idx="0">
                  <c:v>Rotación Activos Fijos</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'!$C$6:$G$6</c:f>
              <c:numCache>
                <c:formatCode>0.00</c:formatCode>
                <c:ptCount val="5"/>
                <c:pt idx="0">
                  <c:v>7.8776411994345468</c:v>
                </c:pt>
                <c:pt idx="1">
                  <c:v>0.6450989310893791</c:v>
                </c:pt>
                <c:pt idx="2">
                  <c:v>0.35598352577002784</c:v>
                </c:pt>
                <c:pt idx="3">
                  <c:v>0.27857528962272265</c:v>
                </c:pt>
                <c:pt idx="4">
                  <c:v>0.20458548526733739</c:v>
                </c:pt>
              </c:numCache>
            </c:numRef>
          </c:val>
          <c:smooth val="0"/>
          <c:extLst xmlns:c16r2="http://schemas.microsoft.com/office/drawing/2015/06/chart">
            <c:ext xmlns:c16="http://schemas.microsoft.com/office/drawing/2014/chart" uri="{C3380CC4-5D6E-409C-BE32-E72D297353CC}">
              <c16:uniqueId val="{00000000-67C3-4F2D-95C2-4527333C7852}"/>
            </c:ext>
          </c:extLst>
        </c:ser>
        <c:dLbls>
          <c:showLegendKey val="0"/>
          <c:showVal val="0"/>
          <c:showCatName val="0"/>
          <c:showSerName val="0"/>
          <c:showPercent val="0"/>
          <c:showBubbleSize val="0"/>
        </c:dLbls>
        <c:marker val="1"/>
        <c:smooth val="0"/>
        <c:axId val="273046528"/>
        <c:axId val="269750208"/>
      </c:lineChart>
      <c:catAx>
        <c:axId val="273046528"/>
        <c:scaling>
          <c:orientation val="minMax"/>
        </c:scaling>
        <c:delete val="0"/>
        <c:axPos val="b"/>
        <c:title>
          <c:tx>
            <c:rich>
              <a:bodyPr/>
              <a:lstStyle/>
              <a:p>
                <a:pPr lvl="0">
                  <a:defRPr b="0"/>
                </a:pPr>
                <a:r>
                  <a:rPr lang="es-ES"/>
                  <a:t>Puntualidad de pago</a:t>
                </a:r>
              </a:p>
            </c:rich>
          </c:tx>
          <c:layout/>
          <c:overlay val="0"/>
        </c:title>
        <c:numFmt formatCode="General" sourceLinked="1"/>
        <c:majorTickMark val="cross"/>
        <c:minorTickMark val="cross"/>
        <c:tickLblPos val="nextTo"/>
        <c:txPr>
          <a:bodyPr/>
          <a:lstStyle/>
          <a:p>
            <a:pPr lvl="0">
              <a:defRPr b="0"/>
            </a:pPr>
            <a:endParaRPr lang="es-CL"/>
          </a:p>
        </c:txPr>
        <c:crossAx val="269750208"/>
        <c:crosses val="autoZero"/>
        <c:auto val="1"/>
        <c:lblAlgn val="ctr"/>
        <c:lblOffset val="100"/>
        <c:noMultiLvlLbl val="1"/>
      </c:catAx>
      <c:valAx>
        <c:axId val="269750208"/>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s-CL"/>
          </a:p>
        </c:txPr>
        <c:crossAx val="27304652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Activos Circulantes</a:t>
            </a:r>
          </a:p>
        </c:rich>
      </c:tx>
      <c:layout/>
      <c:overlay val="0"/>
    </c:title>
    <c:autoTitleDeleted val="0"/>
    <c:plotArea>
      <c:layout/>
      <c:lineChart>
        <c:grouping val="standard"/>
        <c:varyColors val="0"/>
        <c:ser>
          <c:idx val="0"/>
          <c:order val="0"/>
          <c:tx>
            <c:strRef>
              <c:f>'PUNTUALIDAD DE PAGO '!$B$8</c:f>
              <c:strCache>
                <c:ptCount val="1"/>
                <c:pt idx="0">
                  <c:v>Rotación Activos Circulantes</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'!$C$8:$G$8</c:f>
              <c:numCache>
                <c:formatCode>0.00</c:formatCode>
                <c:ptCount val="5"/>
                <c:pt idx="0">
                  <c:v>7.5389370699541285</c:v>
                </c:pt>
                <c:pt idx="1">
                  <c:v>0.9252127822231283</c:v>
                </c:pt>
                <c:pt idx="2">
                  <c:v>1.8729247998738121</c:v>
                </c:pt>
                <c:pt idx="3">
                  <c:v>1.9122744138977903</c:v>
                </c:pt>
                <c:pt idx="4">
                  <c:v>2.4179042242678896</c:v>
                </c:pt>
              </c:numCache>
            </c:numRef>
          </c:val>
          <c:smooth val="0"/>
          <c:extLst xmlns:c16r2="http://schemas.microsoft.com/office/drawing/2015/06/chart">
            <c:ext xmlns:c16="http://schemas.microsoft.com/office/drawing/2014/chart" uri="{C3380CC4-5D6E-409C-BE32-E72D297353CC}">
              <c16:uniqueId val="{00000000-4434-4BA7-BAD7-08556264AC31}"/>
            </c:ext>
          </c:extLst>
        </c:ser>
        <c:dLbls>
          <c:showLegendKey val="0"/>
          <c:showVal val="0"/>
          <c:showCatName val="0"/>
          <c:showSerName val="0"/>
          <c:showPercent val="0"/>
          <c:showBubbleSize val="0"/>
        </c:dLbls>
        <c:marker val="1"/>
        <c:smooth val="0"/>
        <c:axId val="273264128"/>
        <c:axId val="269751936"/>
      </c:lineChart>
      <c:catAx>
        <c:axId val="273264128"/>
        <c:scaling>
          <c:orientation val="minMax"/>
        </c:scaling>
        <c:delete val="0"/>
        <c:axPos val="b"/>
        <c:title>
          <c:tx>
            <c:rich>
              <a:bodyPr/>
              <a:lstStyle/>
              <a:p>
                <a:pPr lvl="0">
                  <a:defRPr b="0"/>
                </a:pPr>
                <a:r>
                  <a:rPr lang="es-ES"/>
                  <a:t>Puntualidad de pago</a:t>
                </a:r>
              </a:p>
            </c:rich>
          </c:tx>
          <c:layout/>
          <c:overlay val="0"/>
        </c:title>
        <c:numFmt formatCode="General" sourceLinked="1"/>
        <c:majorTickMark val="cross"/>
        <c:minorTickMark val="cross"/>
        <c:tickLblPos val="nextTo"/>
        <c:txPr>
          <a:bodyPr/>
          <a:lstStyle/>
          <a:p>
            <a:pPr lvl="0">
              <a:defRPr b="0"/>
            </a:pPr>
            <a:endParaRPr lang="es-CL"/>
          </a:p>
        </c:txPr>
        <c:crossAx val="269751936"/>
        <c:crosses val="autoZero"/>
        <c:auto val="1"/>
        <c:lblAlgn val="ctr"/>
        <c:lblOffset val="100"/>
        <c:noMultiLvlLbl val="1"/>
      </c:catAx>
      <c:valAx>
        <c:axId val="269751936"/>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s-CL"/>
          </a:p>
        </c:txPr>
        <c:crossAx val="27326412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de Stock</a:t>
            </a:r>
          </a:p>
        </c:rich>
      </c:tx>
      <c:layout/>
      <c:overlay val="0"/>
    </c:title>
    <c:autoTitleDeleted val="0"/>
    <c:plotArea>
      <c:layout/>
      <c:lineChart>
        <c:grouping val="standard"/>
        <c:varyColors val="0"/>
        <c:ser>
          <c:idx val="0"/>
          <c:order val="0"/>
          <c:tx>
            <c:strRef>
              <c:f>'PUNTUALIDAD DE PAGO '!$B$10</c:f>
              <c:strCache>
                <c:ptCount val="1"/>
                <c:pt idx="0">
                  <c:v>Rotación Stock</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'!$C$10:$G$10</c:f>
              <c:numCache>
                <c:formatCode>0.00</c:formatCode>
                <c:ptCount val="5"/>
                <c:pt idx="0">
                  <c:v>56.137157615713996</c:v>
                </c:pt>
                <c:pt idx="1">
                  <c:v>6.4987597611391825</c:v>
                </c:pt>
                <c:pt idx="2">
                  <c:v>115.061191626409</c:v>
                </c:pt>
                <c:pt idx="3">
                  <c:v>85.327375352775178</c:v>
                </c:pt>
                <c:pt idx="4">
                  <c:v>49.972789115646258</c:v>
                </c:pt>
              </c:numCache>
            </c:numRef>
          </c:val>
          <c:smooth val="0"/>
          <c:extLst xmlns:c16r2="http://schemas.microsoft.com/office/drawing/2015/06/chart">
            <c:ext xmlns:c16="http://schemas.microsoft.com/office/drawing/2014/chart" uri="{C3380CC4-5D6E-409C-BE32-E72D297353CC}">
              <c16:uniqueId val="{00000000-AB19-46E2-861B-9617086E3A9D}"/>
            </c:ext>
          </c:extLst>
        </c:ser>
        <c:dLbls>
          <c:showLegendKey val="0"/>
          <c:showVal val="0"/>
          <c:showCatName val="0"/>
          <c:showSerName val="0"/>
          <c:showPercent val="0"/>
          <c:showBubbleSize val="0"/>
        </c:dLbls>
        <c:marker val="1"/>
        <c:smooth val="0"/>
        <c:axId val="274137088"/>
        <c:axId val="269825088"/>
      </c:lineChart>
      <c:catAx>
        <c:axId val="274137088"/>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69825088"/>
        <c:crosses val="autoZero"/>
        <c:auto val="1"/>
        <c:lblAlgn val="ctr"/>
        <c:lblOffset val="100"/>
        <c:noMultiLvlLbl val="1"/>
      </c:catAx>
      <c:valAx>
        <c:axId val="269825088"/>
        <c:scaling>
          <c:orientation val="minMax"/>
        </c:scaling>
        <c:delete val="0"/>
        <c:axPos val="l"/>
        <c:majorGridlines>
          <c:spPr>
            <a:ln>
              <a:solidFill>
                <a:srgbClr val="B7B7B7"/>
              </a:solidFill>
            </a:ln>
          </c:spPr>
        </c:majorGridlines>
        <c:title>
          <c:tx>
            <c:rich>
              <a:bodyPr/>
              <a:lstStyle/>
              <a:p>
                <a:pPr lvl="0">
                  <a:defRPr b="1"/>
                </a:pPr>
                <a:r>
                  <a:rPr lang="es-ES"/>
                  <a:t>Rotación</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3708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Clientes</a:t>
            </a:r>
          </a:p>
        </c:rich>
      </c:tx>
      <c:layout/>
      <c:overlay val="0"/>
    </c:title>
    <c:autoTitleDeleted val="0"/>
    <c:plotArea>
      <c:layout/>
      <c:lineChart>
        <c:grouping val="standard"/>
        <c:varyColors val="0"/>
        <c:ser>
          <c:idx val="0"/>
          <c:order val="0"/>
          <c:tx>
            <c:strRef>
              <c:f>'PUNTUALIDAD DE PAGO '!$B$12</c:f>
              <c:strCache>
                <c:ptCount val="1"/>
                <c:pt idx="0">
                  <c:v>Rotación Cliente</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'!$C$12:$G$12</c:f>
              <c:numCache>
                <c:formatCode>0.00</c:formatCode>
                <c:ptCount val="5"/>
                <c:pt idx="0">
                  <c:v>12.380872507908482</c:v>
                </c:pt>
                <c:pt idx="1">
                  <c:v>1.669972218644785</c:v>
                </c:pt>
                <c:pt idx="2">
                  <c:v>14.17353028946583</c:v>
                </c:pt>
                <c:pt idx="3">
                  <c:v>17.097643732327992</c:v>
                </c:pt>
                <c:pt idx="4">
                  <c:v>8.8947492625368731</c:v>
                </c:pt>
              </c:numCache>
            </c:numRef>
          </c:val>
          <c:smooth val="0"/>
          <c:extLst xmlns:c16r2="http://schemas.microsoft.com/office/drawing/2015/06/chart">
            <c:ext xmlns:c16="http://schemas.microsoft.com/office/drawing/2014/chart" uri="{C3380CC4-5D6E-409C-BE32-E72D297353CC}">
              <c16:uniqueId val="{00000000-EBCC-4B8D-9135-B157290A071B}"/>
            </c:ext>
          </c:extLst>
        </c:ser>
        <c:dLbls>
          <c:showLegendKey val="0"/>
          <c:showVal val="0"/>
          <c:showCatName val="0"/>
          <c:showSerName val="0"/>
          <c:showPercent val="0"/>
          <c:showBubbleSize val="0"/>
        </c:dLbls>
        <c:marker val="1"/>
        <c:smooth val="0"/>
        <c:axId val="274137600"/>
        <c:axId val="269826816"/>
      </c:lineChart>
      <c:catAx>
        <c:axId val="274137600"/>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69826816"/>
        <c:crosses val="autoZero"/>
        <c:auto val="1"/>
        <c:lblAlgn val="ctr"/>
        <c:lblOffset val="100"/>
        <c:noMultiLvlLbl val="1"/>
      </c:catAx>
      <c:valAx>
        <c:axId val="269826816"/>
        <c:scaling>
          <c:orientation val="minMax"/>
        </c:scaling>
        <c:delete val="0"/>
        <c:axPos val="l"/>
        <c:majorGridlines>
          <c:spPr>
            <a:ln>
              <a:solidFill>
                <a:srgbClr val="B7B7B7"/>
              </a:solidFill>
            </a:ln>
          </c:spPr>
        </c:majorGridlines>
        <c:title>
          <c:tx>
            <c:rich>
              <a:bodyPr/>
              <a:lstStyle/>
              <a:p>
                <a:pPr lvl="0">
                  <a:defRPr b="1"/>
                </a:pPr>
                <a:r>
                  <a:rPr lang="es-ES"/>
                  <a:t>Rotación</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37600"/>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L"/>
  <c:roundedCorners val="1"/>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s-CL"/>
              <a:t>Gráfico N°2: Masas Patrimoniales 2014</a:t>
            </a:r>
          </a:p>
        </c:rich>
      </c:tx>
      <c:layout/>
      <c:overlay val="0"/>
    </c:title>
    <c:autoTitleDeleted val="0"/>
    <c:plotArea>
      <c:layout/>
      <c:barChart>
        <c:barDir val="col"/>
        <c:grouping val="percentStacked"/>
        <c:varyColors val="1"/>
        <c:ser>
          <c:idx val="0"/>
          <c:order val="0"/>
          <c:tx>
            <c:strRef>
              <c:f>'BG CLASIFICADO AJUSTADO'!$J$32</c:f>
              <c:strCache>
                <c:ptCount val="1"/>
                <c:pt idx="0">
                  <c:v>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AJUSTADO'!$K$32:$L$32</c:f>
              <c:numCache>
                <c:formatCode>General</c:formatCode>
                <c:ptCount val="2"/>
                <c:pt idx="0" formatCode="0.00%">
                  <c:v>0.19103970118379124</c:v>
                </c:pt>
              </c:numCache>
            </c:numRef>
          </c:val>
          <c:extLst xmlns:c16r2="http://schemas.microsoft.com/office/drawing/2015/06/chart">
            <c:ext xmlns:c16="http://schemas.microsoft.com/office/drawing/2014/chart" uri="{C3380CC4-5D6E-409C-BE32-E72D297353CC}">
              <c16:uniqueId val="{00000001-951B-42A0-B524-076F4D532E22}"/>
            </c:ext>
          </c:extLst>
        </c:ser>
        <c:ser>
          <c:idx val="1"/>
          <c:order val="1"/>
          <c:tx>
            <c:strRef>
              <c:f>'BG CLASIFICADO AJUSTADO'!$J$33</c:f>
              <c:strCache>
                <c:ptCount val="1"/>
                <c:pt idx="0">
                  <c:v>OAF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AJUSTADO'!$K$33:$L$33</c:f>
              <c:numCache>
                <c:formatCode>General</c:formatCode>
                <c:ptCount val="2"/>
                <c:pt idx="0" formatCode="0.00%">
                  <c:v>0.39815082346142733</c:v>
                </c:pt>
              </c:numCache>
            </c:numRef>
          </c:val>
          <c:extLst xmlns:c16r2="http://schemas.microsoft.com/office/drawing/2015/06/chart">
            <c:ext xmlns:c16="http://schemas.microsoft.com/office/drawing/2014/chart" uri="{C3380CC4-5D6E-409C-BE32-E72D297353CC}">
              <c16:uniqueId val="{00000003-951B-42A0-B524-076F4D532E22}"/>
            </c:ext>
          </c:extLst>
        </c:ser>
        <c:ser>
          <c:idx val="2"/>
          <c:order val="2"/>
          <c:tx>
            <c:strRef>
              <c:f>'BG CLASIFICADO AJUSTADO'!$J$34</c:f>
              <c:strCache>
                <c:ptCount val="1"/>
                <c:pt idx="0">
                  <c:v>OAC</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AJUSTADO'!$K$34:$L$34</c:f>
              <c:numCache>
                <c:formatCode>General</c:formatCode>
                <c:ptCount val="2"/>
                <c:pt idx="0" formatCode="0.00%">
                  <c:v>6.4846802256196365E-2</c:v>
                </c:pt>
              </c:numCache>
            </c:numRef>
          </c:val>
          <c:extLst xmlns:c16r2="http://schemas.microsoft.com/office/drawing/2015/06/chart">
            <c:ext xmlns:c16="http://schemas.microsoft.com/office/drawing/2014/chart" uri="{C3380CC4-5D6E-409C-BE32-E72D297353CC}">
              <c16:uniqueId val="{00000005-951B-42A0-B524-076F4D532E22}"/>
            </c:ext>
          </c:extLst>
        </c:ser>
        <c:ser>
          <c:idx val="3"/>
          <c:order val="3"/>
          <c:tx>
            <c:strRef>
              <c:f>'BG CLASIFICADO AJUSTADO'!$J$35</c:f>
              <c:strCache>
                <c:ptCount val="1"/>
                <c:pt idx="0">
                  <c:v>ST</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AJUSTADO'!$K$35:$L$35</c:f>
              <c:numCache>
                <c:formatCode>General</c:formatCode>
                <c:ptCount val="2"/>
                <c:pt idx="0" formatCode="0.00%">
                  <c:v>4.5580359199192656E-2</c:v>
                </c:pt>
              </c:numCache>
            </c:numRef>
          </c:val>
          <c:extLst xmlns:c16r2="http://schemas.microsoft.com/office/drawing/2015/06/chart">
            <c:ext xmlns:c16="http://schemas.microsoft.com/office/drawing/2014/chart" uri="{C3380CC4-5D6E-409C-BE32-E72D297353CC}">
              <c16:uniqueId val="{00000007-951B-42A0-B524-076F4D532E22}"/>
            </c:ext>
          </c:extLst>
        </c:ser>
        <c:ser>
          <c:idx val="4"/>
          <c:order val="4"/>
          <c:tx>
            <c:strRef>
              <c:f>'BG CLASIFICADO AJUSTADO'!$J$36</c:f>
              <c:strCache>
                <c:ptCount val="1"/>
                <c:pt idx="0">
                  <c:v>CL</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AJUSTADO'!$K$36:$L$36</c:f>
              <c:numCache>
                <c:formatCode>General</c:formatCode>
                <c:ptCount val="2"/>
                <c:pt idx="0" formatCode="0.00%">
                  <c:v>0.22760029982119601</c:v>
                </c:pt>
              </c:numCache>
            </c:numRef>
          </c:val>
          <c:extLst xmlns:c16r2="http://schemas.microsoft.com/office/drawing/2015/06/chart">
            <c:ext xmlns:c16="http://schemas.microsoft.com/office/drawing/2014/chart" uri="{C3380CC4-5D6E-409C-BE32-E72D297353CC}">
              <c16:uniqueId val="{00000009-951B-42A0-B524-076F4D532E22}"/>
            </c:ext>
          </c:extLst>
        </c:ser>
        <c:ser>
          <c:idx val="5"/>
          <c:order val="5"/>
          <c:tx>
            <c:strRef>
              <c:f>'BG CLASIFICADO AJUSTADO'!$J$37</c:f>
              <c:strCache>
                <c:ptCount val="1"/>
                <c:pt idx="0">
                  <c:v>CyB</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AJUSTADO'!$K$37:$L$37</c:f>
              <c:numCache>
                <c:formatCode>General</c:formatCode>
                <c:ptCount val="2"/>
                <c:pt idx="0" formatCode="0.00%">
                  <c:v>7.2782014078196386E-2</c:v>
                </c:pt>
              </c:numCache>
            </c:numRef>
          </c:val>
          <c:extLst xmlns:c16r2="http://schemas.microsoft.com/office/drawing/2015/06/chart">
            <c:ext xmlns:c16="http://schemas.microsoft.com/office/drawing/2014/chart" uri="{C3380CC4-5D6E-409C-BE32-E72D297353CC}">
              <c16:uniqueId val="{0000000B-951B-42A0-B524-076F4D532E22}"/>
            </c:ext>
          </c:extLst>
        </c:ser>
        <c:ser>
          <c:idx val="6"/>
          <c:order val="6"/>
          <c:tx>
            <c:strRef>
              <c:f>'BG CLASIFICADO AJUSTADO'!$J$38</c:f>
              <c:strCache>
                <c:ptCount val="1"/>
                <c:pt idx="0">
                  <c:v>KP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AJUSTADO'!$K$38:$L$38</c:f>
              <c:numCache>
                <c:formatCode>0.00%</c:formatCode>
                <c:ptCount val="2"/>
                <c:pt idx="1">
                  <c:v>0.37988099275990433</c:v>
                </c:pt>
              </c:numCache>
            </c:numRef>
          </c:val>
          <c:extLst xmlns:c16r2="http://schemas.microsoft.com/office/drawing/2015/06/chart">
            <c:ext xmlns:c16="http://schemas.microsoft.com/office/drawing/2014/chart" uri="{C3380CC4-5D6E-409C-BE32-E72D297353CC}">
              <c16:uniqueId val="{0000000D-951B-42A0-B524-076F4D532E22}"/>
            </c:ext>
          </c:extLst>
        </c:ser>
        <c:ser>
          <c:idx val="7"/>
          <c:order val="7"/>
          <c:tx>
            <c:strRef>
              <c:f>'BG CLASIFICADO AJUSTADO'!$J$39</c:f>
              <c:strCache>
                <c:ptCount val="1"/>
                <c:pt idx="0">
                  <c:v>L/P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AJUSTADO'!$K$39:$L$39</c:f>
              <c:numCache>
                <c:formatCode>0.00%</c:formatCode>
                <c:ptCount val="2"/>
                <c:pt idx="1">
                  <c:v>0.10818687737899325</c:v>
                </c:pt>
              </c:numCache>
            </c:numRef>
          </c:val>
          <c:extLst xmlns:c16r2="http://schemas.microsoft.com/office/drawing/2015/06/chart">
            <c:ext xmlns:c16="http://schemas.microsoft.com/office/drawing/2014/chart" uri="{C3380CC4-5D6E-409C-BE32-E72D297353CC}">
              <c16:uniqueId val="{0000000F-951B-42A0-B524-076F4D532E22}"/>
            </c:ext>
          </c:extLst>
        </c:ser>
        <c:ser>
          <c:idx val="8"/>
          <c:order val="8"/>
          <c:tx>
            <c:strRef>
              <c:f>'BG CLASIFICADO AJUSTADO'!$J$40</c:f>
              <c:strCache>
                <c:ptCount val="1"/>
                <c:pt idx="0">
                  <c:v>C/P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951B-42A0-B524-076F4D532E22}"/>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AJUSTADO'!$K$31:$L$31</c:f>
              <c:strCache>
                <c:ptCount val="2"/>
                <c:pt idx="0">
                  <c:v>Activo</c:v>
                </c:pt>
                <c:pt idx="1">
                  <c:v>Pasivo</c:v>
                </c:pt>
              </c:strCache>
            </c:strRef>
          </c:cat>
          <c:val>
            <c:numRef>
              <c:f>'BG CLASIFICADO AJUSTADO'!$K$40:$L$40</c:f>
              <c:numCache>
                <c:formatCode>0.00%</c:formatCode>
                <c:ptCount val="2"/>
                <c:pt idx="1">
                  <c:v>0.51193212986110237</c:v>
                </c:pt>
              </c:numCache>
            </c:numRef>
          </c:val>
          <c:extLst xmlns:c16r2="http://schemas.microsoft.com/office/drawing/2015/06/chart">
            <c:ext xmlns:c16="http://schemas.microsoft.com/office/drawing/2014/chart" uri="{C3380CC4-5D6E-409C-BE32-E72D297353CC}">
              <c16:uniqueId val="{00000011-951B-42A0-B524-076F4D532E22}"/>
            </c:ext>
          </c:extLst>
        </c:ser>
        <c:dLbls>
          <c:showLegendKey val="0"/>
          <c:showVal val="0"/>
          <c:showCatName val="0"/>
          <c:showSerName val="0"/>
          <c:showPercent val="0"/>
          <c:showBubbleSize val="0"/>
        </c:dLbls>
        <c:gapWidth val="0"/>
        <c:overlap val="100"/>
        <c:axId val="267317248"/>
        <c:axId val="176589632"/>
      </c:barChart>
      <c:catAx>
        <c:axId val="267317248"/>
        <c:scaling>
          <c:orientation val="minMax"/>
        </c:scaling>
        <c:delete val="0"/>
        <c:axPos val="t"/>
        <c:numFmt formatCode="General" sourceLinked="0"/>
        <c:majorTickMark val="cross"/>
        <c:minorTickMark val="cross"/>
        <c:tickLblPos val="nextTo"/>
        <c:crossAx val="176589632"/>
        <c:crosses val="autoZero"/>
        <c:auto val="1"/>
        <c:lblAlgn val="ctr"/>
        <c:lblOffset val="100"/>
        <c:noMultiLvlLbl val="1"/>
      </c:catAx>
      <c:valAx>
        <c:axId val="176589632"/>
        <c:scaling>
          <c:orientation val="maxMin"/>
        </c:scaling>
        <c:delete val="1"/>
        <c:axPos val="l"/>
        <c:majorGridlines/>
        <c:numFmt formatCode="0%" sourceLinked="1"/>
        <c:majorTickMark val="cross"/>
        <c:minorTickMark val="cross"/>
        <c:tickLblPos val="nextTo"/>
        <c:crossAx val="26731724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Caja y Banco</a:t>
            </a:r>
          </a:p>
        </c:rich>
      </c:tx>
      <c:layout/>
      <c:overlay val="0"/>
    </c:title>
    <c:autoTitleDeleted val="0"/>
    <c:plotArea>
      <c:layout/>
      <c:lineChart>
        <c:grouping val="standard"/>
        <c:varyColors val="0"/>
        <c:ser>
          <c:idx val="0"/>
          <c:order val="0"/>
          <c:tx>
            <c:strRef>
              <c:f>'PUNTUALIDAD DE PAGO '!$B$14</c:f>
              <c:strCache>
                <c:ptCount val="1"/>
                <c:pt idx="0">
                  <c:v>Rotación Caja y Banco</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'!$C$14:$G$14</c:f>
              <c:numCache>
                <c:formatCode>0.00</c:formatCode>
                <c:ptCount val="5"/>
                <c:pt idx="0">
                  <c:v>30.38331828849973</c:v>
                </c:pt>
                <c:pt idx="1">
                  <c:v>5.2222541856049709</c:v>
                </c:pt>
                <c:pt idx="2">
                  <c:v>2.9278449019849586</c:v>
                </c:pt>
                <c:pt idx="3">
                  <c:v>2.3983447473492161</c:v>
                </c:pt>
                <c:pt idx="4">
                  <c:v>3.5459334869937438</c:v>
                </c:pt>
              </c:numCache>
            </c:numRef>
          </c:val>
          <c:smooth val="0"/>
          <c:extLst xmlns:c16r2="http://schemas.microsoft.com/office/drawing/2015/06/chart">
            <c:ext xmlns:c16="http://schemas.microsoft.com/office/drawing/2014/chart" uri="{C3380CC4-5D6E-409C-BE32-E72D297353CC}">
              <c16:uniqueId val="{00000000-2775-4404-9CF2-FD2A1C9D74A0}"/>
            </c:ext>
          </c:extLst>
        </c:ser>
        <c:dLbls>
          <c:showLegendKey val="0"/>
          <c:showVal val="0"/>
          <c:showCatName val="0"/>
          <c:showSerName val="0"/>
          <c:showPercent val="0"/>
          <c:showBubbleSize val="0"/>
        </c:dLbls>
        <c:marker val="1"/>
        <c:smooth val="0"/>
        <c:axId val="274138112"/>
        <c:axId val="276185664"/>
      </c:lineChart>
      <c:catAx>
        <c:axId val="274138112"/>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6185664"/>
        <c:crosses val="autoZero"/>
        <c:auto val="1"/>
        <c:lblAlgn val="ctr"/>
        <c:lblOffset val="100"/>
        <c:noMultiLvlLbl val="1"/>
      </c:catAx>
      <c:valAx>
        <c:axId val="276185664"/>
        <c:scaling>
          <c:orientation val="minMax"/>
        </c:scaling>
        <c:delete val="0"/>
        <c:axPos val="l"/>
        <c:majorGridlines>
          <c:spPr>
            <a:ln>
              <a:solidFill>
                <a:srgbClr val="B7B7B7"/>
              </a:solidFill>
            </a:ln>
          </c:spPr>
        </c:majorGridlines>
        <c:title>
          <c:tx>
            <c:rich>
              <a:bodyPr/>
              <a:lstStyle/>
              <a:p>
                <a:pPr lvl="0">
                  <a:defRPr b="1"/>
                </a:pPr>
                <a:r>
                  <a:rPr lang="es-ES"/>
                  <a:t>Rotación</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38112"/>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Rotación Capital Permanente v/s Años</a:t>
            </a:r>
          </a:p>
        </c:rich>
      </c:tx>
      <c:layout/>
      <c:overlay val="0"/>
    </c:title>
    <c:autoTitleDeleted val="0"/>
    <c:plotArea>
      <c:layout/>
      <c:lineChart>
        <c:grouping val="standard"/>
        <c:varyColors val="0"/>
        <c:ser>
          <c:idx val="0"/>
          <c:order val="0"/>
          <c:tx>
            <c:strRef>
              <c:f>'PUNTUALIDAD DE PAGO '!$B$16</c:f>
              <c:strCache>
                <c:ptCount val="1"/>
                <c:pt idx="0">
                  <c:v>Rotación Capital Permanente</c:v>
                </c:pt>
              </c:strCache>
            </c:strRef>
          </c:tx>
          <c:spPr>
            <a:ln w="19050" cmpd="sng">
              <a:solidFill>
                <a:srgbClr val="3366CC"/>
              </a:solidFill>
            </a:ln>
          </c:spPr>
          <c:marker>
            <c:symbol val="circle"/>
            <c:size val="7"/>
            <c:spPr>
              <a:solidFill>
                <a:srgbClr val="3366CC"/>
              </a:solidFill>
              <a:ln cmpd="sng">
                <a:solidFill>
                  <a:srgbClr val="3366CC"/>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'!$C$16:$G$16</c:f>
              <c:numCache>
                <c:formatCode>0.00</c:formatCode>
                <c:ptCount val="5"/>
                <c:pt idx="0">
                  <c:v>8.9189366798804404</c:v>
                </c:pt>
                <c:pt idx="1">
                  <c:v>1.0005401294105976</c:v>
                </c:pt>
                <c:pt idx="2">
                  <c:v>0.55896458182545705</c:v>
                </c:pt>
                <c:pt idx="3">
                  <c:v>0.5067036859099695</c:v>
                </c:pt>
                <c:pt idx="4">
                  <c:v>0.39987587260497781</c:v>
                </c:pt>
              </c:numCache>
            </c:numRef>
          </c:val>
          <c:smooth val="0"/>
          <c:extLst xmlns:c16r2="http://schemas.microsoft.com/office/drawing/2015/06/chart">
            <c:ext xmlns:c16="http://schemas.microsoft.com/office/drawing/2014/chart" uri="{C3380CC4-5D6E-409C-BE32-E72D297353CC}">
              <c16:uniqueId val="{00000000-5450-465B-BB83-1045867BFFFD}"/>
            </c:ext>
          </c:extLst>
        </c:ser>
        <c:dLbls>
          <c:showLegendKey val="0"/>
          <c:showVal val="0"/>
          <c:showCatName val="0"/>
          <c:showSerName val="0"/>
          <c:showPercent val="0"/>
          <c:showBubbleSize val="0"/>
        </c:dLbls>
        <c:marker val="1"/>
        <c:smooth val="0"/>
        <c:axId val="274139136"/>
        <c:axId val="276187392"/>
      </c:lineChart>
      <c:catAx>
        <c:axId val="274139136"/>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6187392"/>
        <c:crosses val="autoZero"/>
        <c:auto val="1"/>
        <c:lblAlgn val="ctr"/>
        <c:lblOffset val="100"/>
        <c:noMultiLvlLbl val="1"/>
      </c:catAx>
      <c:valAx>
        <c:axId val="276187392"/>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39136"/>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Activos Totales v/s Años</a:t>
            </a:r>
          </a:p>
        </c:rich>
      </c:tx>
      <c:layout/>
      <c:overlay val="0"/>
    </c:title>
    <c:autoTitleDeleted val="0"/>
    <c:plotArea>
      <c:layout/>
      <c:lineChart>
        <c:grouping val="standard"/>
        <c:varyColors val="0"/>
        <c:ser>
          <c:idx val="0"/>
          <c:order val="0"/>
          <c:tx>
            <c:strRef>
              <c:f>'PUNTUALIDAD DE PAGO '!$B$5</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'!$C$5:$G$5</c:f>
              <c:numCache>
                <c:formatCode>0.00</c:formatCode>
                <c:ptCount val="5"/>
                <c:pt idx="0">
                  <c:v>93.451048527213217</c:v>
                </c:pt>
                <c:pt idx="1">
                  <c:v>947.15362242199899</c:v>
                </c:pt>
                <c:pt idx="2">
                  <c:v>1203.4954890463307</c:v>
                </c:pt>
                <c:pt idx="3">
                  <c:v>1480.5472806853136</c:v>
                </c:pt>
                <c:pt idx="4">
                  <c:v>1908.5448973906584</c:v>
                </c:pt>
              </c:numCache>
            </c:numRef>
          </c:val>
          <c:smooth val="0"/>
          <c:extLst xmlns:c16r2="http://schemas.microsoft.com/office/drawing/2015/06/chart">
            <c:ext xmlns:c16="http://schemas.microsoft.com/office/drawing/2014/chart" uri="{C3380CC4-5D6E-409C-BE32-E72D297353CC}">
              <c16:uniqueId val="{00000000-AEC6-420B-B70A-4A4EDFED0FD9}"/>
            </c:ext>
          </c:extLst>
        </c:ser>
        <c:dLbls>
          <c:showLegendKey val="0"/>
          <c:showVal val="0"/>
          <c:showCatName val="0"/>
          <c:showSerName val="0"/>
          <c:showPercent val="0"/>
          <c:showBubbleSize val="0"/>
        </c:dLbls>
        <c:marker val="1"/>
        <c:smooth val="0"/>
        <c:axId val="274139648"/>
        <c:axId val="276189696"/>
      </c:lineChart>
      <c:catAx>
        <c:axId val="274139648"/>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6189696"/>
        <c:crosses val="autoZero"/>
        <c:auto val="1"/>
        <c:lblAlgn val="ctr"/>
        <c:lblOffset val="100"/>
        <c:noMultiLvlLbl val="1"/>
      </c:catAx>
      <c:valAx>
        <c:axId val="276189696"/>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3964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Activos Fijos v/s Años</a:t>
            </a:r>
          </a:p>
        </c:rich>
      </c:tx>
      <c:layout/>
      <c:overlay val="0"/>
    </c:title>
    <c:autoTitleDeleted val="0"/>
    <c:plotArea>
      <c:layout/>
      <c:lineChart>
        <c:grouping val="standard"/>
        <c:varyColors val="0"/>
        <c:ser>
          <c:idx val="0"/>
          <c:order val="0"/>
          <c:tx>
            <c:strRef>
              <c:f>'PUNTUALIDAD DE PAGO '!$B$7</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'!$C$7:$G$7</c:f>
              <c:numCache>
                <c:formatCode>0.00</c:formatCode>
                <c:ptCount val="5"/>
                <c:pt idx="0">
                  <c:v>45.698958722039869</c:v>
                </c:pt>
                <c:pt idx="1">
                  <c:v>558.05393971443686</c:v>
                </c:pt>
                <c:pt idx="2">
                  <c:v>1011.2827531029255</c:v>
                </c:pt>
                <c:pt idx="3">
                  <c:v>1292.2897809333758</c:v>
                </c:pt>
                <c:pt idx="4">
                  <c:v>1759.6556252736027</c:v>
                </c:pt>
              </c:numCache>
            </c:numRef>
          </c:val>
          <c:smooth val="0"/>
          <c:extLst xmlns:c16r2="http://schemas.microsoft.com/office/drawing/2015/06/chart">
            <c:ext xmlns:c16="http://schemas.microsoft.com/office/drawing/2014/chart" uri="{C3380CC4-5D6E-409C-BE32-E72D297353CC}">
              <c16:uniqueId val="{00000000-61F7-47D0-B6BF-2EAD40A6AE44}"/>
            </c:ext>
          </c:extLst>
        </c:ser>
        <c:dLbls>
          <c:showLegendKey val="0"/>
          <c:showVal val="0"/>
          <c:showCatName val="0"/>
          <c:showSerName val="0"/>
          <c:showPercent val="0"/>
          <c:showBubbleSize val="0"/>
        </c:dLbls>
        <c:marker val="1"/>
        <c:smooth val="0"/>
        <c:axId val="274140160"/>
        <c:axId val="276191424"/>
      </c:lineChart>
      <c:catAx>
        <c:axId val="274140160"/>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6191424"/>
        <c:crosses val="autoZero"/>
        <c:auto val="1"/>
        <c:lblAlgn val="ctr"/>
        <c:lblOffset val="100"/>
        <c:noMultiLvlLbl val="1"/>
      </c:catAx>
      <c:valAx>
        <c:axId val="276191424"/>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40160"/>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 de días Activos Circulantes v/s Años</a:t>
            </a:r>
          </a:p>
        </c:rich>
      </c:tx>
      <c:layout/>
      <c:overlay val="0"/>
    </c:title>
    <c:autoTitleDeleted val="0"/>
    <c:plotArea>
      <c:layout/>
      <c:lineChart>
        <c:grouping val="standard"/>
        <c:varyColors val="0"/>
        <c:ser>
          <c:idx val="0"/>
          <c:order val="0"/>
          <c:tx>
            <c:strRef>
              <c:f>'PUNTUALIDAD DE PAGO '!$B$9</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'!$C$9:$G$9</c:f>
              <c:numCache>
                <c:formatCode>0.00</c:formatCode>
                <c:ptCount val="5"/>
                <c:pt idx="0">
                  <c:v>47.752089805173355</c:v>
                </c:pt>
                <c:pt idx="1">
                  <c:v>389.09968270756212</c:v>
                </c:pt>
                <c:pt idx="2">
                  <c:v>192.21273594340516</c:v>
                </c:pt>
                <c:pt idx="3">
                  <c:v>188.25749975193767</c:v>
                </c:pt>
                <c:pt idx="4">
                  <c:v>148.88927211705558</c:v>
                </c:pt>
              </c:numCache>
            </c:numRef>
          </c:val>
          <c:smooth val="0"/>
          <c:extLst xmlns:c16r2="http://schemas.microsoft.com/office/drawing/2015/06/chart">
            <c:ext xmlns:c16="http://schemas.microsoft.com/office/drawing/2014/chart" uri="{C3380CC4-5D6E-409C-BE32-E72D297353CC}">
              <c16:uniqueId val="{00000000-6274-4DC7-B1F7-D7334388FEBB}"/>
            </c:ext>
          </c:extLst>
        </c:ser>
        <c:dLbls>
          <c:showLegendKey val="0"/>
          <c:showVal val="0"/>
          <c:showCatName val="0"/>
          <c:showSerName val="0"/>
          <c:showPercent val="0"/>
          <c:showBubbleSize val="0"/>
        </c:dLbls>
        <c:marker val="1"/>
        <c:smooth val="0"/>
        <c:axId val="274140672"/>
        <c:axId val="278062208"/>
      </c:lineChart>
      <c:catAx>
        <c:axId val="274140672"/>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8062208"/>
        <c:crosses val="autoZero"/>
        <c:auto val="1"/>
        <c:lblAlgn val="ctr"/>
        <c:lblOffset val="100"/>
        <c:noMultiLvlLbl val="1"/>
      </c:catAx>
      <c:valAx>
        <c:axId val="278062208"/>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74140672"/>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Stock v/s Años</a:t>
            </a:r>
          </a:p>
        </c:rich>
      </c:tx>
      <c:layout/>
      <c:overlay val="0"/>
    </c:title>
    <c:autoTitleDeleted val="0"/>
    <c:plotArea>
      <c:layout/>
      <c:lineChart>
        <c:grouping val="standard"/>
        <c:varyColors val="0"/>
        <c:ser>
          <c:idx val="0"/>
          <c:order val="0"/>
          <c:tx>
            <c:strRef>
              <c:f>'PUNTUALIDAD DE PAGO '!$B$11</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'!$C$11:$G$11</c:f>
              <c:numCache>
                <c:formatCode>0.00</c:formatCode>
                <c:ptCount val="5"/>
                <c:pt idx="0">
                  <c:v>6.4128647635559712</c:v>
                </c:pt>
                <c:pt idx="1">
                  <c:v>55.395185117120683</c:v>
                </c:pt>
                <c:pt idx="2">
                  <c:v>3.1287699606734503</c:v>
                </c:pt>
                <c:pt idx="3">
                  <c:v>4.2190445740493692</c:v>
                </c:pt>
                <c:pt idx="4">
                  <c:v>7.2039205009528997</c:v>
                </c:pt>
              </c:numCache>
            </c:numRef>
          </c:val>
          <c:smooth val="0"/>
          <c:extLst xmlns:c16r2="http://schemas.microsoft.com/office/drawing/2015/06/chart">
            <c:ext xmlns:c16="http://schemas.microsoft.com/office/drawing/2014/chart" uri="{C3380CC4-5D6E-409C-BE32-E72D297353CC}">
              <c16:uniqueId val="{00000000-9160-4960-83E2-45732316C1C8}"/>
            </c:ext>
          </c:extLst>
        </c:ser>
        <c:dLbls>
          <c:showLegendKey val="0"/>
          <c:showVal val="0"/>
          <c:showCatName val="0"/>
          <c:showSerName val="0"/>
          <c:showPercent val="0"/>
          <c:showBubbleSize val="0"/>
        </c:dLbls>
        <c:marker val="1"/>
        <c:smooth val="0"/>
        <c:axId val="284962816"/>
        <c:axId val="278064512"/>
      </c:lineChart>
      <c:catAx>
        <c:axId val="284962816"/>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8064512"/>
        <c:crosses val="autoZero"/>
        <c:auto val="1"/>
        <c:lblAlgn val="ctr"/>
        <c:lblOffset val="100"/>
        <c:noMultiLvlLbl val="1"/>
      </c:catAx>
      <c:valAx>
        <c:axId val="278064512"/>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84962816"/>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de Clientes v/s Años</a:t>
            </a:r>
          </a:p>
        </c:rich>
      </c:tx>
      <c:layout/>
      <c:overlay val="0"/>
    </c:title>
    <c:autoTitleDeleted val="0"/>
    <c:plotArea>
      <c:layout/>
      <c:lineChart>
        <c:grouping val="standard"/>
        <c:varyColors val="0"/>
        <c:ser>
          <c:idx val="0"/>
          <c:order val="0"/>
          <c:tx>
            <c:strRef>
              <c:f>'PUNTUALIDAD DE PAGO '!$B$13</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'!$C$13:$G$13</c:f>
              <c:numCache>
                <c:formatCode>0.00</c:formatCode>
                <c:ptCount val="5"/>
                <c:pt idx="0">
                  <c:v>29.077110661631011</c:v>
                </c:pt>
                <c:pt idx="1">
                  <c:v>215.57244843997884</c:v>
                </c:pt>
                <c:pt idx="2">
                  <c:v>25.399458896105948</c:v>
                </c:pt>
                <c:pt idx="3">
                  <c:v>21.055532893068587</c:v>
                </c:pt>
                <c:pt idx="4">
                  <c:v>40.473316264940372</c:v>
                </c:pt>
              </c:numCache>
            </c:numRef>
          </c:val>
          <c:smooth val="0"/>
          <c:extLst xmlns:c16r2="http://schemas.microsoft.com/office/drawing/2015/06/chart">
            <c:ext xmlns:c16="http://schemas.microsoft.com/office/drawing/2014/chart" uri="{C3380CC4-5D6E-409C-BE32-E72D297353CC}">
              <c16:uniqueId val="{00000000-F19A-4CC7-A425-490AE1817F6F}"/>
            </c:ext>
          </c:extLst>
        </c:ser>
        <c:dLbls>
          <c:showLegendKey val="0"/>
          <c:showVal val="0"/>
          <c:showCatName val="0"/>
          <c:showSerName val="0"/>
          <c:showPercent val="0"/>
          <c:showBubbleSize val="0"/>
        </c:dLbls>
        <c:marker val="1"/>
        <c:smooth val="0"/>
        <c:axId val="284963328"/>
        <c:axId val="278066816"/>
      </c:lineChart>
      <c:catAx>
        <c:axId val="284963328"/>
        <c:scaling>
          <c:orientation val="minMax"/>
        </c:scaling>
        <c:delete val="0"/>
        <c:axPos val="b"/>
        <c:title>
          <c:tx>
            <c:rich>
              <a:bodyPr/>
              <a:lstStyle/>
              <a:p>
                <a:pPr lvl="0">
                  <a:defRPr b="1"/>
                </a:pPr>
                <a:r>
                  <a:rPr lang="es-ES"/>
                  <a:t>Años</a:t>
                </a:r>
              </a:p>
            </c:rich>
          </c:tx>
          <c:layout/>
          <c:overlay val="0"/>
        </c:title>
        <c:numFmt formatCode="General" sourceLinked="1"/>
        <c:majorTickMark val="cross"/>
        <c:minorTickMark val="cross"/>
        <c:tickLblPos val="nextTo"/>
        <c:txPr>
          <a:bodyPr/>
          <a:lstStyle/>
          <a:p>
            <a:pPr lvl="0">
              <a:defRPr b="0"/>
            </a:pPr>
            <a:endParaRPr lang="es-CL"/>
          </a:p>
        </c:txPr>
        <c:crossAx val="278066816"/>
        <c:crosses val="autoZero"/>
        <c:auto val="1"/>
        <c:lblAlgn val="ctr"/>
        <c:lblOffset val="100"/>
        <c:noMultiLvlLbl val="1"/>
      </c:catAx>
      <c:valAx>
        <c:axId val="278066816"/>
        <c:scaling>
          <c:orientation val="minMax"/>
        </c:scaling>
        <c:delete val="0"/>
        <c:axPos val="l"/>
        <c:majorGridlines>
          <c:spPr>
            <a:ln>
              <a:solidFill>
                <a:srgbClr val="B7B7B7"/>
              </a:solidFill>
            </a:ln>
          </c:spPr>
        </c:majorGridlines>
        <c:title>
          <c:tx>
            <c:rich>
              <a:bodyPr/>
              <a:lstStyle/>
              <a:p>
                <a:pPr lvl="0">
                  <a:defRPr b="1"/>
                </a:pPr>
                <a:r>
                  <a:rPr lang="es-ES"/>
                  <a:t>Nº días</a:t>
                </a:r>
              </a:p>
            </c:rich>
          </c:tx>
          <c:layout/>
          <c:overlay val="0"/>
        </c:title>
        <c:numFmt formatCode="0.00" sourceLinked="1"/>
        <c:majorTickMark val="cross"/>
        <c:minorTickMark val="cross"/>
        <c:tickLblPos val="nextTo"/>
        <c:spPr>
          <a:ln w="47625">
            <a:noFill/>
          </a:ln>
        </c:spPr>
        <c:txPr>
          <a:bodyPr/>
          <a:lstStyle/>
          <a:p>
            <a:pPr lvl="0">
              <a:defRPr b="0"/>
            </a:pPr>
            <a:endParaRPr lang="es-CL"/>
          </a:p>
        </c:txPr>
        <c:crossAx val="28496332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de Caja y Banco v/s Años</a:t>
            </a:r>
          </a:p>
        </c:rich>
      </c:tx>
      <c:overlay val="0"/>
    </c:title>
    <c:autoTitleDeleted val="0"/>
    <c:plotArea>
      <c:layout/>
      <c:lineChart>
        <c:grouping val="standard"/>
        <c:varyColors val="0"/>
        <c:ser>
          <c:idx val="0"/>
          <c:order val="0"/>
          <c:tx>
            <c:strRef>
              <c:f>'PUNTUALIDAD DE PAGO '!$B$15</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'!$C$15:$G$15</c:f>
              <c:numCache>
                <c:formatCode>0.00</c:formatCode>
                <c:ptCount val="5"/>
                <c:pt idx="0">
                  <c:v>11.848607073844931</c:v>
                </c:pt>
                <c:pt idx="1">
                  <c:v>68.935748281332636</c:v>
                </c:pt>
                <c:pt idx="2">
                  <c:v>122.95733279994947</c:v>
                </c:pt>
                <c:pt idx="3">
                  <c:v>150.10352469047331</c:v>
                </c:pt>
                <c:pt idx="4">
                  <c:v>101.5247469588634</c:v>
                </c:pt>
              </c:numCache>
            </c:numRef>
          </c:val>
          <c:smooth val="0"/>
          <c:extLst xmlns:c16r2="http://schemas.microsoft.com/office/drawing/2015/06/chart">
            <c:ext xmlns:c16="http://schemas.microsoft.com/office/drawing/2014/chart" uri="{C3380CC4-5D6E-409C-BE32-E72D297353CC}">
              <c16:uniqueId val="{00000000-5D08-436F-A060-455342F3B0BF}"/>
            </c:ext>
          </c:extLst>
        </c:ser>
        <c:dLbls>
          <c:showLegendKey val="0"/>
          <c:showVal val="0"/>
          <c:showCatName val="0"/>
          <c:showSerName val="0"/>
          <c:showPercent val="0"/>
          <c:showBubbleSize val="0"/>
        </c:dLbls>
        <c:marker val="1"/>
        <c:smooth val="0"/>
        <c:axId val="284963840"/>
        <c:axId val="278068544"/>
      </c:lineChart>
      <c:catAx>
        <c:axId val="284963840"/>
        <c:scaling>
          <c:orientation val="minMax"/>
        </c:scaling>
        <c:delete val="0"/>
        <c:axPos val="b"/>
        <c:title>
          <c:tx>
            <c:rich>
              <a:bodyPr/>
              <a:lstStyle/>
              <a:p>
                <a:pPr lvl="0">
                  <a:defRPr b="1"/>
                </a:pPr>
                <a:r>
                  <a:rPr lang="es-ES"/>
                  <a:t>Años</a:t>
                </a:r>
              </a:p>
            </c:rich>
          </c:tx>
          <c:overlay val="0"/>
        </c:title>
        <c:numFmt formatCode="General" sourceLinked="1"/>
        <c:majorTickMark val="cross"/>
        <c:minorTickMark val="cross"/>
        <c:tickLblPos val="nextTo"/>
        <c:txPr>
          <a:bodyPr/>
          <a:lstStyle/>
          <a:p>
            <a:pPr lvl="0">
              <a:defRPr b="0"/>
            </a:pPr>
            <a:endParaRPr lang="es-CL"/>
          </a:p>
        </c:txPr>
        <c:crossAx val="278068544"/>
        <c:crosses val="autoZero"/>
        <c:auto val="1"/>
        <c:lblAlgn val="ctr"/>
        <c:lblOffset val="100"/>
        <c:noMultiLvlLbl val="1"/>
      </c:catAx>
      <c:valAx>
        <c:axId val="278068544"/>
        <c:scaling>
          <c:orientation val="minMax"/>
        </c:scaling>
        <c:delete val="0"/>
        <c:axPos val="l"/>
        <c:majorGridlines>
          <c:spPr>
            <a:ln>
              <a:solidFill>
                <a:srgbClr val="B7B7B7"/>
              </a:solidFill>
            </a:ln>
          </c:spPr>
        </c:majorGridlines>
        <c:title>
          <c:tx>
            <c:rich>
              <a:bodyPr/>
              <a:lstStyle/>
              <a:p>
                <a:pPr lvl="0">
                  <a:defRPr b="1"/>
                </a:pPr>
                <a:r>
                  <a:rPr lang="es-ES"/>
                  <a:t>Nº días</a:t>
                </a:r>
              </a:p>
            </c:rich>
          </c:tx>
          <c:overlay val="0"/>
        </c:title>
        <c:numFmt formatCode="0.00" sourceLinked="1"/>
        <c:majorTickMark val="cross"/>
        <c:minorTickMark val="cross"/>
        <c:tickLblPos val="nextTo"/>
        <c:spPr>
          <a:ln w="47625">
            <a:noFill/>
          </a:ln>
        </c:spPr>
        <c:txPr>
          <a:bodyPr/>
          <a:lstStyle/>
          <a:p>
            <a:pPr lvl="0">
              <a:defRPr b="0"/>
            </a:pPr>
            <a:endParaRPr lang="es-CL"/>
          </a:p>
        </c:txPr>
        <c:crossAx val="284963840"/>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a:pPr>
            <a:r>
              <a:rPr lang="es-ES"/>
              <a:t>Nº días Rotación de Capital Permanente v/s Años</a:t>
            </a:r>
          </a:p>
        </c:rich>
      </c:tx>
      <c:overlay val="0"/>
    </c:title>
    <c:autoTitleDeleted val="0"/>
    <c:plotArea>
      <c:layout/>
      <c:lineChart>
        <c:grouping val="standard"/>
        <c:varyColors val="0"/>
        <c:ser>
          <c:idx val="0"/>
          <c:order val="0"/>
          <c:tx>
            <c:strRef>
              <c:f>'PUNTUALIDAD DE PAGO '!$B$17</c:f>
              <c:strCache>
                <c:ptCount val="1"/>
                <c:pt idx="0">
                  <c:v>X días</c:v>
                </c:pt>
              </c:strCache>
            </c:strRef>
          </c:tx>
          <c:spPr>
            <a:ln w="19050" cmpd="sng">
              <a:solidFill>
                <a:srgbClr val="FF0000"/>
              </a:solidFill>
            </a:ln>
          </c:spPr>
          <c:marker>
            <c:symbol val="circle"/>
            <c:size val="7"/>
            <c:spPr>
              <a:solidFill>
                <a:srgbClr val="FF0000"/>
              </a:solidFill>
              <a:ln cmpd="sng">
                <a:solidFill>
                  <a:srgbClr val="FF0000"/>
                </a:solidFill>
              </a:ln>
            </c:spPr>
          </c:marker>
          <c:cat>
            <c:numRef>
              <c:f>'PUNTUALIDAD DE PAGO '!$C$3:$G$3</c:f>
              <c:numCache>
                <c:formatCode>General</c:formatCode>
                <c:ptCount val="5"/>
                <c:pt idx="0">
                  <c:v>2013</c:v>
                </c:pt>
                <c:pt idx="1">
                  <c:v>2014</c:v>
                </c:pt>
                <c:pt idx="2">
                  <c:v>2015</c:v>
                </c:pt>
                <c:pt idx="3">
                  <c:v>2016</c:v>
                </c:pt>
                <c:pt idx="4">
                  <c:v>2017</c:v>
                </c:pt>
              </c:numCache>
            </c:numRef>
          </c:cat>
          <c:val>
            <c:numRef>
              <c:f>'PUNTUALIDAD DE PAGO '!$C$17:$G$17</c:f>
              <c:numCache>
                <c:formatCode>0.00</c:formatCode>
                <c:ptCount val="5"/>
                <c:pt idx="0">
                  <c:v>40.363555984436687</c:v>
                </c:pt>
                <c:pt idx="1">
                  <c:v>359.80565838180854</c:v>
                </c:pt>
                <c:pt idx="2">
                  <c:v>644.04796243854685</c:v>
                </c:pt>
                <c:pt idx="3">
                  <c:v>710.47440547721681</c:v>
                </c:pt>
                <c:pt idx="4">
                  <c:v>900.27937333351019</c:v>
                </c:pt>
              </c:numCache>
            </c:numRef>
          </c:val>
          <c:smooth val="0"/>
          <c:extLst xmlns:c16r2="http://schemas.microsoft.com/office/drawing/2015/06/chart">
            <c:ext xmlns:c16="http://schemas.microsoft.com/office/drawing/2014/chart" uri="{C3380CC4-5D6E-409C-BE32-E72D297353CC}">
              <c16:uniqueId val="{00000000-83E2-4625-A20A-75C1B9610814}"/>
            </c:ext>
          </c:extLst>
        </c:ser>
        <c:dLbls>
          <c:showLegendKey val="0"/>
          <c:showVal val="0"/>
          <c:showCatName val="0"/>
          <c:showSerName val="0"/>
          <c:showPercent val="0"/>
          <c:showBubbleSize val="0"/>
        </c:dLbls>
        <c:marker val="1"/>
        <c:smooth val="0"/>
        <c:axId val="284964352"/>
        <c:axId val="283894912"/>
      </c:lineChart>
      <c:catAx>
        <c:axId val="284964352"/>
        <c:scaling>
          <c:orientation val="minMax"/>
        </c:scaling>
        <c:delete val="0"/>
        <c:axPos val="b"/>
        <c:title>
          <c:tx>
            <c:rich>
              <a:bodyPr/>
              <a:lstStyle/>
              <a:p>
                <a:pPr lvl="0">
                  <a:defRPr b="1"/>
                </a:pPr>
                <a:r>
                  <a:rPr lang="es-ES"/>
                  <a:t>Años</a:t>
                </a:r>
              </a:p>
            </c:rich>
          </c:tx>
          <c:overlay val="0"/>
        </c:title>
        <c:numFmt formatCode="General" sourceLinked="1"/>
        <c:majorTickMark val="cross"/>
        <c:minorTickMark val="cross"/>
        <c:tickLblPos val="nextTo"/>
        <c:txPr>
          <a:bodyPr/>
          <a:lstStyle/>
          <a:p>
            <a:pPr lvl="0">
              <a:defRPr b="0"/>
            </a:pPr>
            <a:endParaRPr lang="es-CL"/>
          </a:p>
        </c:txPr>
        <c:crossAx val="283894912"/>
        <c:crosses val="autoZero"/>
        <c:auto val="1"/>
        <c:lblAlgn val="ctr"/>
        <c:lblOffset val="100"/>
        <c:noMultiLvlLbl val="1"/>
      </c:catAx>
      <c:valAx>
        <c:axId val="283894912"/>
        <c:scaling>
          <c:orientation val="minMax"/>
        </c:scaling>
        <c:delete val="0"/>
        <c:axPos val="l"/>
        <c:majorGridlines>
          <c:spPr>
            <a:ln>
              <a:solidFill>
                <a:srgbClr val="B7B7B7"/>
              </a:solidFill>
            </a:ln>
          </c:spPr>
        </c:majorGridlines>
        <c:title>
          <c:tx>
            <c:rich>
              <a:bodyPr/>
              <a:lstStyle/>
              <a:p>
                <a:pPr lvl="0">
                  <a:defRPr b="1"/>
                </a:pPr>
                <a:r>
                  <a:rPr lang="es-ES"/>
                  <a:t>Nº días</a:t>
                </a:r>
              </a:p>
            </c:rich>
          </c:tx>
          <c:overlay val="0"/>
        </c:title>
        <c:numFmt formatCode="0.00" sourceLinked="1"/>
        <c:majorTickMark val="cross"/>
        <c:minorTickMark val="cross"/>
        <c:tickLblPos val="nextTo"/>
        <c:spPr>
          <a:ln w="47625">
            <a:noFill/>
          </a:ln>
        </c:spPr>
        <c:txPr>
          <a:bodyPr/>
          <a:lstStyle/>
          <a:p>
            <a:pPr lvl="0">
              <a:defRPr b="0"/>
            </a:pPr>
            <a:endParaRPr lang="es-CL"/>
          </a:p>
        </c:txPr>
        <c:crossAx val="28496435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Grado de Apalancamiento Operativo</a:t>
            </a:r>
          </a:p>
        </c:rich>
      </c:tx>
      <c:layout/>
      <c:overlay val="0"/>
    </c:title>
    <c:autoTitleDeleted val="0"/>
    <c:plotArea>
      <c:layout/>
      <c:lineChart>
        <c:grouping val="standard"/>
        <c:varyColors val="0"/>
        <c:ser>
          <c:idx val="0"/>
          <c:order val="0"/>
          <c:tx>
            <c:strRef>
              <c:f>TP!$A$3:$B$3</c:f>
              <c:strCache>
                <c:ptCount val="1"/>
                <c:pt idx="0">
                  <c:v>Apalancamiento Operativo (GAO) UB/BAIT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TP!$C$2:$G$2</c:f>
              <c:numCache>
                <c:formatCode>General</c:formatCode>
                <c:ptCount val="5"/>
                <c:pt idx="0">
                  <c:v>2013</c:v>
                </c:pt>
                <c:pt idx="1">
                  <c:v>2014</c:v>
                </c:pt>
                <c:pt idx="2">
                  <c:v>2015</c:v>
                </c:pt>
                <c:pt idx="3">
                  <c:v>2016</c:v>
                </c:pt>
                <c:pt idx="4">
                  <c:v>2017</c:v>
                </c:pt>
              </c:numCache>
            </c:numRef>
          </c:cat>
          <c:val>
            <c:numRef>
              <c:f>TP!$C$3:$G$3</c:f>
              <c:numCache>
                <c:formatCode>#,##0.00</c:formatCode>
                <c:ptCount val="5"/>
                <c:pt idx="0">
                  <c:v>-1.8685287743799504</c:v>
                </c:pt>
                <c:pt idx="1">
                  <c:v>1.3372279343036455</c:v>
                </c:pt>
                <c:pt idx="2">
                  <c:v>1.3723180970149254</c:v>
                </c:pt>
                <c:pt idx="3">
                  <c:v>1.3723180970149256</c:v>
                </c:pt>
                <c:pt idx="4">
                  <c:v>1.3723180970149254</c:v>
                </c:pt>
              </c:numCache>
            </c:numRef>
          </c:val>
          <c:smooth val="0"/>
          <c:extLst xmlns:c16r2="http://schemas.microsoft.com/office/drawing/2015/06/chart">
            <c:ext xmlns:c16="http://schemas.microsoft.com/office/drawing/2014/chart" uri="{C3380CC4-5D6E-409C-BE32-E72D297353CC}">
              <c16:uniqueId val="{00000000-BAF4-487B-A8DD-957931A23C04}"/>
            </c:ext>
          </c:extLst>
        </c:ser>
        <c:dLbls>
          <c:showLegendKey val="0"/>
          <c:showVal val="0"/>
          <c:showCatName val="0"/>
          <c:showSerName val="0"/>
          <c:showPercent val="0"/>
          <c:showBubbleSize val="0"/>
        </c:dLbls>
        <c:marker val="1"/>
        <c:smooth val="0"/>
        <c:axId val="285625856"/>
        <c:axId val="283897792"/>
      </c:lineChart>
      <c:catAx>
        <c:axId val="285625856"/>
        <c:scaling>
          <c:orientation val="minMax"/>
        </c:scaling>
        <c:delete val="0"/>
        <c:axPos val="b"/>
        <c:title>
          <c:tx>
            <c:rich>
              <a:bodyPr/>
              <a:lstStyle/>
              <a:p>
                <a:pPr lvl="0">
                  <a:defRPr b="0"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83897792"/>
        <c:crosses val="autoZero"/>
        <c:auto val="1"/>
        <c:lblAlgn val="ctr"/>
        <c:lblOffset val="100"/>
        <c:noMultiLvlLbl val="1"/>
      </c:catAx>
      <c:valAx>
        <c:axId val="283897792"/>
        <c:scaling>
          <c:orientation val="minMax"/>
        </c:scaling>
        <c:delete val="0"/>
        <c:axPos val="l"/>
        <c:majorGridlines>
          <c:spPr>
            <a:ln>
              <a:solidFill>
                <a:srgbClr val="B7B7B7"/>
              </a:solidFill>
            </a:ln>
          </c:spPr>
        </c:majorGridlines>
        <c:title>
          <c:tx>
            <c:rich>
              <a:bodyPr/>
              <a:lstStyle/>
              <a:p>
                <a:pPr lvl="0">
                  <a:defRPr b="0" i="0">
                    <a:solidFill>
                      <a:srgbClr val="548DD4"/>
                    </a:solidFill>
                  </a:defRPr>
                </a:pPr>
                <a:r>
                  <a:rPr lang="es-ES"/>
                  <a:t>GAO</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562585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L"/>
  <c:roundedCorners val="1"/>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s-CL"/>
              <a:t>Gráfico N°3: Masas Patrimoniales 2015</a:t>
            </a:r>
          </a:p>
        </c:rich>
      </c:tx>
      <c:layout/>
      <c:overlay val="0"/>
    </c:title>
    <c:autoTitleDeleted val="0"/>
    <c:plotArea>
      <c:layout/>
      <c:barChart>
        <c:barDir val="col"/>
        <c:grouping val="percentStacked"/>
        <c:varyColors val="1"/>
        <c:ser>
          <c:idx val="0"/>
          <c:order val="0"/>
          <c:tx>
            <c:strRef>
              <c:f>'BG CLASIFICADO AJUSTADO'!$P$32</c:f>
              <c:strCache>
                <c:ptCount val="1"/>
                <c:pt idx="0">
                  <c:v>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AJUSTADO'!$Q$32:$R$32</c:f>
              <c:numCache>
                <c:formatCode>General</c:formatCode>
                <c:ptCount val="2"/>
                <c:pt idx="0" formatCode="0.00%">
                  <c:v>0.59655371127884893</c:v>
                </c:pt>
              </c:numCache>
            </c:numRef>
          </c:val>
          <c:extLst xmlns:c16r2="http://schemas.microsoft.com/office/drawing/2015/06/chart">
            <c:ext xmlns:c16="http://schemas.microsoft.com/office/drawing/2014/chart" uri="{C3380CC4-5D6E-409C-BE32-E72D297353CC}">
              <c16:uniqueId val="{00000001-13E8-4D5D-8131-79BA2F5501F8}"/>
            </c:ext>
          </c:extLst>
        </c:ser>
        <c:ser>
          <c:idx val="1"/>
          <c:order val="1"/>
          <c:tx>
            <c:strRef>
              <c:f>'BG CLASIFICADO AJUSTADO'!$P$33</c:f>
              <c:strCache>
                <c:ptCount val="1"/>
                <c:pt idx="0">
                  <c:v>OAF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AJUSTADO'!$Q$33:$R$33</c:f>
              <c:numCache>
                <c:formatCode>General</c:formatCode>
                <c:ptCount val="2"/>
                <c:pt idx="0" formatCode="0.00%">
                  <c:v>0.24373423521298401</c:v>
                </c:pt>
              </c:numCache>
            </c:numRef>
          </c:val>
          <c:extLst xmlns:c16r2="http://schemas.microsoft.com/office/drawing/2015/06/chart">
            <c:ext xmlns:c16="http://schemas.microsoft.com/office/drawing/2014/chart" uri="{C3380CC4-5D6E-409C-BE32-E72D297353CC}">
              <c16:uniqueId val="{00000003-13E8-4D5D-8131-79BA2F5501F8}"/>
            </c:ext>
          </c:extLst>
        </c:ser>
        <c:ser>
          <c:idx val="2"/>
          <c:order val="2"/>
          <c:tx>
            <c:strRef>
              <c:f>'BG CLASIFICADO AJUSTADO'!$P$34</c:f>
              <c:strCache>
                <c:ptCount val="1"/>
                <c:pt idx="0">
                  <c:v>OAC</c:v>
                </c:pt>
              </c:strCache>
            </c:strRef>
          </c:tx>
          <c:invertIfNegative val="1"/>
          <c:dLbls>
            <c:dLbl>
              <c:idx val="0"/>
              <c:layout>
                <c:manualLayout>
                  <c:x val="-0.13465346534653466"/>
                  <c:y val="7.920792079208018E-3"/>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13E8-4D5D-8131-79BA2F5501F8}"/>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AJUSTADO'!$Q$31:$R$31</c:f>
              <c:strCache>
                <c:ptCount val="2"/>
                <c:pt idx="0">
                  <c:v>Activo</c:v>
                </c:pt>
                <c:pt idx="1">
                  <c:v>Pasivo</c:v>
                </c:pt>
              </c:strCache>
            </c:strRef>
          </c:cat>
          <c:val>
            <c:numRef>
              <c:f>'BG CLASIFICADO AJUSTADO'!$Q$34:$R$34</c:f>
              <c:numCache>
                <c:formatCode>General</c:formatCode>
                <c:ptCount val="2"/>
                <c:pt idx="0" formatCode="0.00%">
                  <c:v>3.4484930359397779E-2</c:v>
                </c:pt>
              </c:numCache>
            </c:numRef>
          </c:val>
          <c:extLst xmlns:c16r2="http://schemas.microsoft.com/office/drawing/2015/06/chart">
            <c:ext xmlns:c16="http://schemas.microsoft.com/office/drawing/2014/chart" uri="{C3380CC4-5D6E-409C-BE32-E72D297353CC}">
              <c16:uniqueId val="{00000006-13E8-4D5D-8131-79BA2F5501F8}"/>
            </c:ext>
          </c:extLst>
        </c:ser>
        <c:ser>
          <c:idx val="3"/>
          <c:order val="3"/>
          <c:tx>
            <c:strRef>
              <c:f>'BG CLASIFICADO AJUSTADO'!$P$35</c:f>
              <c:strCache>
                <c:ptCount val="1"/>
                <c:pt idx="0">
                  <c:v>ST</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AJUSTADO'!$Q$35:$R$35</c:f>
              <c:numCache>
                <c:formatCode>General</c:formatCode>
                <c:ptCount val="2"/>
                <c:pt idx="0" formatCode="0.00%">
                  <c:v>1.9555421197320812E-3</c:v>
                </c:pt>
              </c:numCache>
            </c:numRef>
          </c:val>
          <c:extLst xmlns:c16r2="http://schemas.microsoft.com/office/drawing/2015/06/chart">
            <c:ext xmlns:c16="http://schemas.microsoft.com/office/drawing/2014/chart" uri="{C3380CC4-5D6E-409C-BE32-E72D297353CC}">
              <c16:uniqueId val="{00000008-13E8-4D5D-8131-79BA2F5501F8}"/>
            </c:ext>
          </c:extLst>
        </c:ser>
        <c:ser>
          <c:idx val="4"/>
          <c:order val="4"/>
          <c:tx>
            <c:strRef>
              <c:f>'BG CLASIFICADO AJUSTADO'!$P$36</c:f>
              <c:strCache>
                <c:ptCount val="1"/>
                <c:pt idx="0">
                  <c:v>CL</c:v>
                </c:pt>
              </c:strCache>
            </c:strRef>
          </c:tx>
          <c:invertIfNegative val="1"/>
          <c:dLbls>
            <c:dLbl>
              <c:idx val="0"/>
              <c:layout>
                <c:manualLayout>
                  <c:x val="0.14785478547854786"/>
                  <c:y val="-7.9207920792079209E-3"/>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13E8-4D5D-8131-79BA2F5501F8}"/>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AJUSTADO'!$Q$31:$R$31</c:f>
              <c:strCache>
                <c:ptCount val="2"/>
                <c:pt idx="0">
                  <c:v>Activo</c:v>
                </c:pt>
                <c:pt idx="1">
                  <c:v>Pasivo</c:v>
                </c:pt>
              </c:strCache>
            </c:strRef>
          </c:cat>
          <c:val>
            <c:numRef>
              <c:f>'BG CLASIFICADO AJUSTADO'!$Q$36:$R$36</c:f>
              <c:numCache>
                <c:formatCode>General</c:formatCode>
                <c:ptCount val="2"/>
                <c:pt idx="0" formatCode="0.00%">
                  <c:v>2.1104739591697921E-2</c:v>
                </c:pt>
              </c:numCache>
            </c:numRef>
          </c:val>
          <c:extLst xmlns:c16r2="http://schemas.microsoft.com/office/drawing/2015/06/chart">
            <c:ext xmlns:c16="http://schemas.microsoft.com/office/drawing/2014/chart" uri="{C3380CC4-5D6E-409C-BE32-E72D297353CC}">
              <c16:uniqueId val="{0000000B-13E8-4D5D-8131-79BA2F5501F8}"/>
            </c:ext>
          </c:extLst>
        </c:ser>
        <c:ser>
          <c:idx val="5"/>
          <c:order val="5"/>
          <c:tx>
            <c:strRef>
              <c:f>'BG CLASIFICADO AJUSTADO'!$P$37</c:f>
              <c:strCache>
                <c:ptCount val="1"/>
                <c:pt idx="0">
                  <c:v>CyB</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AJUSTADO'!$Q$37:$R$37</c:f>
              <c:numCache>
                <c:formatCode>General</c:formatCode>
                <c:ptCount val="2"/>
                <c:pt idx="0" formatCode="0.00%">
                  <c:v>0.1021668414373392</c:v>
                </c:pt>
              </c:numCache>
            </c:numRef>
          </c:val>
          <c:extLst xmlns:c16r2="http://schemas.microsoft.com/office/drawing/2015/06/chart">
            <c:ext xmlns:c16="http://schemas.microsoft.com/office/drawing/2014/chart" uri="{C3380CC4-5D6E-409C-BE32-E72D297353CC}">
              <c16:uniqueId val="{0000000D-13E8-4D5D-8131-79BA2F5501F8}"/>
            </c:ext>
          </c:extLst>
        </c:ser>
        <c:ser>
          <c:idx val="6"/>
          <c:order val="6"/>
          <c:tx>
            <c:strRef>
              <c:f>'BG CLASIFICADO AJUSTADO'!$P$38</c:f>
              <c:strCache>
                <c:ptCount val="1"/>
                <c:pt idx="0">
                  <c:v>KP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AJUSTADO'!$Q$38:$R$38</c:f>
              <c:numCache>
                <c:formatCode>0.00%</c:formatCode>
                <c:ptCount val="2"/>
                <c:pt idx="1">
                  <c:v>0.53514779930658551</c:v>
                </c:pt>
              </c:numCache>
            </c:numRef>
          </c:val>
          <c:extLst xmlns:c16r2="http://schemas.microsoft.com/office/drawing/2015/06/chart">
            <c:ext xmlns:c16="http://schemas.microsoft.com/office/drawing/2014/chart" uri="{C3380CC4-5D6E-409C-BE32-E72D297353CC}">
              <c16:uniqueId val="{0000000F-13E8-4D5D-8131-79BA2F5501F8}"/>
            </c:ext>
          </c:extLst>
        </c:ser>
        <c:ser>
          <c:idx val="7"/>
          <c:order val="7"/>
          <c:tx>
            <c:strRef>
              <c:f>'BG CLASIFICADO AJUSTADO'!$P$39</c:f>
              <c:strCache>
                <c:ptCount val="1"/>
                <c:pt idx="0">
                  <c:v>L/P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AJUSTADO'!$Q$39:$R$39</c:f>
              <c:numCache>
                <c:formatCode>0.00%</c:formatCode>
                <c:ptCount val="2"/>
                <c:pt idx="1">
                  <c:v>0.3425347730657925</c:v>
                </c:pt>
              </c:numCache>
            </c:numRef>
          </c:val>
          <c:extLst xmlns:c16r2="http://schemas.microsoft.com/office/drawing/2015/06/chart">
            <c:ext xmlns:c16="http://schemas.microsoft.com/office/drawing/2014/chart" uri="{C3380CC4-5D6E-409C-BE32-E72D297353CC}">
              <c16:uniqueId val="{00000011-13E8-4D5D-8131-79BA2F5501F8}"/>
            </c:ext>
          </c:extLst>
        </c:ser>
        <c:ser>
          <c:idx val="8"/>
          <c:order val="8"/>
          <c:tx>
            <c:strRef>
              <c:f>'BG CLASIFICADO AJUSTADO'!$P$40</c:f>
              <c:strCache>
                <c:ptCount val="1"/>
                <c:pt idx="0">
                  <c:v>C/P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13E8-4D5D-8131-79BA2F5501F8}"/>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AJUSTADO'!$Q$31:$R$31</c:f>
              <c:strCache>
                <c:ptCount val="2"/>
                <c:pt idx="0">
                  <c:v>Activo</c:v>
                </c:pt>
                <c:pt idx="1">
                  <c:v>Pasivo</c:v>
                </c:pt>
              </c:strCache>
            </c:strRef>
          </c:cat>
          <c:val>
            <c:numRef>
              <c:f>'BG CLASIFICADO AJUSTADO'!$Q$40:$R$40</c:f>
              <c:numCache>
                <c:formatCode>0.00%</c:formatCode>
                <c:ptCount val="2"/>
                <c:pt idx="1">
                  <c:v>0.12231742762762195</c:v>
                </c:pt>
              </c:numCache>
            </c:numRef>
          </c:val>
          <c:extLst xmlns:c16r2="http://schemas.microsoft.com/office/drawing/2015/06/chart">
            <c:ext xmlns:c16="http://schemas.microsoft.com/office/drawing/2014/chart" uri="{C3380CC4-5D6E-409C-BE32-E72D297353CC}">
              <c16:uniqueId val="{00000013-13E8-4D5D-8131-79BA2F5501F8}"/>
            </c:ext>
          </c:extLst>
        </c:ser>
        <c:dLbls>
          <c:showLegendKey val="0"/>
          <c:showVal val="0"/>
          <c:showCatName val="0"/>
          <c:showSerName val="0"/>
          <c:showPercent val="0"/>
          <c:showBubbleSize val="0"/>
        </c:dLbls>
        <c:gapWidth val="0"/>
        <c:overlap val="100"/>
        <c:axId val="267319808"/>
        <c:axId val="176592512"/>
      </c:barChart>
      <c:catAx>
        <c:axId val="267319808"/>
        <c:scaling>
          <c:orientation val="minMax"/>
        </c:scaling>
        <c:delete val="0"/>
        <c:axPos val="t"/>
        <c:numFmt formatCode="General" sourceLinked="0"/>
        <c:majorTickMark val="cross"/>
        <c:minorTickMark val="cross"/>
        <c:tickLblPos val="nextTo"/>
        <c:crossAx val="176592512"/>
        <c:crosses val="autoZero"/>
        <c:auto val="1"/>
        <c:lblAlgn val="ctr"/>
        <c:lblOffset val="100"/>
        <c:noMultiLvlLbl val="1"/>
      </c:catAx>
      <c:valAx>
        <c:axId val="176592512"/>
        <c:scaling>
          <c:orientation val="maxMin"/>
        </c:scaling>
        <c:delete val="1"/>
        <c:axPos val="l"/>
        <c:majorGridlines/>
        <c:numFmt formatCode="0%" sourceLinked="1"/>
        <c:majorTickMark val="cross"/>
        <c:minorTickMark val="cross"/>
        <c:tickLblPos val="nextTo"/>
        <c:crossAx val="26731980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Grado de Apalancamiento Financiero</a:t>
            </a:r>
          </a:p>
        </c:rich>
      </c:tx>
      <c:layout/>
      <c:overlay val="0"/>
    </c:title>
    <c:autoTitleDeleted val="0"/>
    <c:plotArea>
      <c:layout/>
      <c:lineChart>
        <c:grouping val="standard"/>
        <c:varyColors val="0"/>
        <c:ser>
          <c:idx val="0"/>
          <c:order val="0"/>
          <c:tx>
            <c:strRef>
              <c:f>TP!$A$4:$B$4</c:f>
              <c:strCache>
                <c:ptCount val="1"/>
                <c:pt idx="0">
                  <c:v>Apalancamiento Financiero (GAF) BAIT/BAT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TP!$C$2:$G$2</c:f>
              <c:numCache>
                <c:formatCode>General</c:formatCode>
                <c:ptCount val="5"/>
                <c:pt idx="0">
                  <c:v>2013</c:v>
                </c:pt>
                <c:pt idx="1">
                  <c:v>2014</c:v>
                </c:pt>
                <c:pt idx="2">
                  <c:v>2015</c:v>
                </c:pt>
                <c:pt idx="3">
                  <c:v>2016</c:v>
                </c:pt>
                <c:pt idx="4">
                  <c:v>2017</c:v>
                </c:pt>
              </c:numCache>
            </c:numRef>
          </c:cat>
          <c:val>
            <c:numRef>
              <c:f>TP!$C$4:$G$4</c:f>
              <c:numCache>
                <c:formatCode>#,##0.00</c:formatCode>
                <c:ptCount val="5"/>
                <c:pt idx="0">
                  <c:v>0.55134417524062529</c:v>
                </c:pt>
                <c:pt idx="1">
                  <c:v>1.2260969220694173</c:v>
                </c:pt>
                <c:pt idx="2">
                  <c:v>1.5170705819918624</c:v>
                </c:pt>
                <c:pt idx="3">
                  <c:v>2.1378039059386205</c:v>
                </c:pt>
                <c:pt idx="4">
                  <c:v>1.7945160870131562</c:v>
                </c:pt>
              </c:numCache>
            </c:numRef>
          </c:val>
          <c:smooth val="0"/>
          <c:extLst xmlns:c16r2="http://schemas.microsoft.com/office/drawing/2015/06/chart">
            <c:ext xmlns:c16="http://schemas.microsoft.com/office/drawing/2014/chart" uri="{C3380CC4-5D6E-409C-BE32-E72D297353CC}">
              <c16:uniqueId val="{00000000-620B-4C5F-A9BA-B69B93C90FFC}"/>
            </c:ext>
          </c:extLst>
        </c:ser>
        <c:dLbls>
          <c:showLegendKey val="0"/>
          <c:showVal val="0"/>
          <c:showCatName val="0"/>
          <c:showSerName val="0"/>
          <c:showPercent val="0"/>
          <c:showBubbleSize val="0"/>
        </c:dLbls>
        <c:marker val="1"/>
        <c:smooth val="0"/>
        <c:axId val="285659648"/>
        <c:axId val="293020800"/>
      </c:lineChart>
      <c:catAx>
        <c:axId val="285659648"/>
        <c:scaling>
          <c:orientation val="minMax"/>
        </c:scaling>
        <c:delete val="0"/>
        <c:axPos val="b"/>
        <c:title>
          <c:tx>
            <c:rich>
              <a:bodyPr/>
              <a:lstStyle/>
              <a:p>
                <a:pPr lvl="0">
                  <a:defRPr b="0"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93020800"/>
        <c:crosses val="autoZero"/>
        <c:auto val="1"/>
        <c:lblAlgn val="ctr"/>
        <c:lblOffset val="100"/>
        <c:noMultiLvlLbl val="1"/>
      </c:catAx>
      <c:valAx>
        <c:axId val="293020800"/>
        <c:scaling>
          <c:orientation val="minMax"/>
        </c:scaling>
        <c:delete val="0"/>
        <c:axPos val="l"/>
        <c:majorGridlines>
          <c:spPr>
            <a:ln>
              <a:solidFill>
                <a:srgbClr val="B7B7B7"/>
              </a:solidFill>
            </a:ln>
          </c:spPr>
        </c:majorGridlines>
        <c:title>
          <c:tx>
            <c:rich>
              <a:bodyPr/>
              <a:lstStyle/>
              <a:p>
                <a:pPr lvl="0">
                  <a:defRPr b="0" i="0">
                    <a:solidFill>
                      <a:srgbClr val="548DD4"/>
                    </a:solidFill>
                  </a:defRPr>
                </a:pPr>
                <a:r>
                  <a:rPr lang="es-ES"/>
                  <a:t>GAF</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5659648"/>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Grado de Apalancamiento Total</a:t>
            </a:r>
          </a:p>
        </c:rich>
      </c:tx>
      <c:layout/>
      <c:overlay val="0"/>
    </c:title>
    <c:autoTitleDeleted val="0"/>
    <c:plotArea>
      <c:layout/>
      <c:lineChart>
        <c:grouping val="standard"/>
        <c:varyColors val="0"/>
        <c:ser>
          <c:idx val="0"/>
          <c:order val="0"/>
          <c:tx>
            <c:strRef>
              <c:f>TP!$A$5:$B$5</c:f>
              <c:strCache>
                <c:ptCount val="1"/>
                <c:pt idx="0">
                  <c:v>Apalancamiento Total (GAT) GAO*GAF</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TP!$C$2:$G$2</c:f>
              <c:numCache>
                <c:formatCode>General</c:formatCode>
                <c:ptCount val="5"/>
                <c:pt idx="0">
                  <c:v>2013</c:v>
                </c:pt>
                <c:pt idx="1">
                  <c:v>2014</c:v>
                </c:pt>
                <c:pt idx="2">
                  <c:v>2015</c:v>
                </c:pt>
                <c:pt idx="3">
                  <c:v>2016</c:v>
                </c:pt>
                <c:pt idx="4">
                  <c:v>2017</c:v>
                </c:pt>
              </c:numCache>
            </c:numRef>
          </c:cat>
          <c:val>
            <c:numRef>
              <c:f>TP!$C$5:$G$5</c:f>
              <c:numCache>
                <c:formatCode>#,##0.00</c:formatCode>
                <c:ptCount val="5"/>
                <c:pt idx="0">
                  <c:v>-1.03020245602389</c:v>
                </c:pt>
                <c:pt idx="1">
                  <c:v>1.6395710543549449</c:v>
                </c:pt>
                <c:pt idx="2">
                  <c:v>2.0819034141163977</c:v>
                </c:pt>
                <c:pt idx="3">
                  <c:v>2.9337469879887625</c:v>
                </c:pt>
                <c:pt idx="4">
                  <c:v>2.4626469015925649</c:v>
                </c:pt>
              </c:numCache>
            </c:numRef>
          </c:val>
          <c:smooth val="0"/>
          <c:extLst xmlns:c16r2="http://schemas.microsoft.com/office/drawing/2015/06/chart">
            <c:ext xmlns:c16="http://schemas.microsoft.com/office/drawing/2014/chart" uri="{C3380CC4-5D6E-409C-BE32-E72D297353CC}">
              <c16:uniqueId val="{00000000-2781-4448-87A0-E67BE719B22E}"/>
            </c:ext>
          </c:extLst>
        </c:ser>
        <c:dLbls>
          <c:showLegendKey val="0"/>
          <c:showVal val="0"/>
          <c:showCatName val="0"/>
          <c:showSerName val="0"/>
          <c:showPercent val="0"/>
          <c:showBubbleSize val="0"/>
        </c:dLbls>
        <c:marker val="1"/>
        <c:smooth val="0"/>
        <c:axId val="285660672"/>
        <c:axId val="293022528"/>
      </c:lineChart>
      <c:catAx>
        <c:axId val="285660672"/>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93022528"/>
        <c:crosses val="autoZero"/>
        <c:auto val="1"/>
        <c:lblAlgn val="ctr"/>
        <c:lblOffset val="100"/>
        <c:noMultiLvlLbl val="1"/>
      </c:catAx>
      <c:valAx>
        <c:axId val="293022528"/>
        <c:scaling>
          <c:orientation val="minMax"/>
        </c:scaling>
        <c:delete val="0"/>
        <c:axPos val="l"/>
        <c:majorGridlines>
          <c:spPr>
            <a:ln>
              <a:solidFill>
                <a:srgbClr val="B7B7B7"/>
              </a:solidFill>
            </a:ln>
          </c:spPr>
        </c:majorGridlines>
        <c:title>
          <c:tx>
            <c:rich>
              <a:bodyPr/>
              <a:lstStyle/>
              <a:p>
                <a:pPr lvl="0">
                  <a:defRPr b="0" i="0">
                    <a:solidFill>
                      <a:srgbClr val="548DD4"/>
                    </a:solidFill>
                  </a:defRPr>
                </a:pPr>
                <a:r>
                  <a:rPr lang="es-ES"/>
                  <a:t>GAT</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5660672"/>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Margen Bruto v/s años</a:t>
            </a:r>
          </a:p>
        </c:rich>
      </c:tx>
      <c:layout/>
      <c:overlay val="0"/>
    </c:title>
    <c:autoTitleDeleted val="0"/>
    <c:plotArea>
      <c:layout/>
      <c:lineChart>
        <c:grouping val="standard"/>
        <c:varyColors val="0"/>
        <c:ser>
          <c:idx val="0"/>
          <c:order val="0"/>
          <c:tx>
            <c:strRef>
              <c:f>'ANALISIS ECONOMICO '!$B$4:$C$4</c:f>
              <c:strCache>
                <c:ptCount val="1"/>
                <c:pt idx="0">
                  <c:v>Margen Bruto UB/VTA</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'!$D$4:$H$4</c:f>
              <c:numCache>
                <c:formatCode>0.00</c:formatCode>
                <c:ptCount val="5"/>
                <c:pt idx="0">
                  <c:v>1.8444001302488695E-2</c:v>
                </c:pt>
                <c:pt idx="1">
                  <c:v>0.22066146659615715</c:v>
                </c:pt>
                <c:pt idx="2">
                  <c:v>0.24779189607436497</c:v>
                </c:pt>
                <c:pt idx="3">
                  <c:v>0.30918492221866978</c:v>
                </c:pt>
                <c:pt idx="4">
                  <c:v>0.41530583818632849</c:v>
                </c:pt>
              </c:numCache>
            </c:numRef>
          </c:val>
          <c:smooth val="0"/>
          <c:extLst xmlns:c16r2="http://schemas.microsoft.com/office/drawing/2015/06/chart">
            <c:ext xmlns:c16="http://schemas.microsoft.com/office/drawing/2014/chart" uri="{C3380CC4-5D6E-409C-BE32-E72D297353CC}">
              <c16:uniqueId val="{00000000-8024-4C74-AEEE-7B3073A71AD8}"/>
            </c:ext>
          </c:extLst>
        </c:ser>
        <c:dLbls>
          <c:showLegendKey val="0"/>
          <c:showVal val="0"/>
          <c:showCatName val="0"/>
          <c:showSerName val="0"/>
          <c:showPercent val="0"/>
          <c:showBubbleSize val="0"/>
        </c:dLbls>
        <c:marker val="1"/>
        <c:smooth val="0"/>
        <c:axId val="285661184"/>
        <c:axId val="293025984"/>
      </c:lineChart>
      <c:catAx>
        <c:axId val="285661184"/>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25984"/>
        <c:crosses val="autoZero"/>
        <c:auto val="1"/>
        <c:lblAlgn val="ctr"/>
        <c:lblOffset val="100"/>
        <c:noMultiLvlLbl val="1"/>
      </c:catAx>
      <c:valAx>
        <c:axId val="293025984"/>
        <c:scaling>
          <c:orientation val="minMax"/>
        </c:scaling>
        <c:delete val="0"/>
        <c:axPos val="l"/>
        <c:majorGridlines>
          <c:spPr>
            <a:ln>
              <a:solidFill>
                <a:srgbClr val="B7B7B7"/>
              </a:solidFill>
            </a:ln>
          </c:spPr>
        </c:majorGridlines>
        <c:title>
          <c:tx>
            <c:rich>
              <a:bodyPr/>
              <a:lstStyle/>
              <a:p>
                <a:pPr lvl="0">
                  <a:defRPr b="0" i="0"/>
                </a:pPr>
                <a:r>
                  <a:rPr lang="es-ES"/>
                  <a:t>Margen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566118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Margen Operacional v/s años</a:t>
            </a:r>
          </a:p>
        </c:rich>
      </c:tx>
      <c:layout/>
      <c:overlay val="0"/>
    </c:title>
    <c:autoTitleDeleted val="0"/>
    <c:plotArea>
      <c:layout/>
      <c:lineChart>
        <c:grouping val="standard"/>
        <c:varyColors val="0"/>
        <c:ser>
          <c:idx val="0"/>
          <c:order val="0"/>
          <c:tx>
            <c:strRef>
              <c:f>'ANALISIS ECONOMICO '!$B$5:$C$5</c:f>
              <c:strCache>
                <c:ptCount val="1"/>
                <c:pt idx="0">
                  <c:v>Margen Operacional BAIT/VTA</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'!$D$5:$H$5</c:f>
              <c:numCache>
                <c:formatCode>0.00</c:formatCode>
                <c:ptCount val="5"/>
                <c:pt idx="0">
                  <c:v>-9.8708682228397168E-3</c:v>
                </c:pt>
                <c:pt idx="1">
                  <c:v>0.1650141018861272</c:v>
                </c:pt>
                <c:pt idx="2">
                  <c:v>0.18056447452916594</c:v>
                </c:pt>
                <c:pt idx="3">
                  <c:v>0.23654123898878765</c:v>
                </c:pt>
                <c:pt idx="4">
                  <c:v>0.36550681188066275</c:v>
                </c:pt>
              </c:numCache>
            </c:numRef>
          </c:val>
          <c:smooth val="0"/>
          <c:extLst xmlns:c16r2="http://schemas.microsoft.com/office/drawing/2015/06/chart">
            <c:ext xmlns:c16="http://schemas.microsoft.com/office/drawing/2014/chart" uri="{C3380CC4-5D6E-409C-BE32-E72D297353CC}">
              <c16:uniqueId val="{00000000-E47D-4711-9CAB-1CCB475ECFD0}"/>
            </c:ext>
          </c:extLst>
        </c:ser>
        <c:dLbls>
          <c:showLegendKey val="0"/>
          <c:showVal val="0"/>
          <c:showCatName val="0"/>
          <c:showSerName val="0"/>
          <c:showPercent val="0"/>
          <c:showBubbleSize val="0"/>
        </c:dLbls>
        <c:marker val="1"/>
        <c:smooth val="0"/>
        <c:axId val="285768704"/>
        <c:axId val="293060608"/>
      </c:lineChart>
      <c:catAx>
        <c:axId val="285768704"/>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60608"/>
        <c:crosses val="autoZero"/>
        <c:auto val="1"/>
        <c:lblAlgn val="ctr"/>
        <c:lblOffset val="100"/>
        <c:noMultiLvlLbl val="1"/>
      </c:catAx>
      <c:valAx>
        <c:axId val="293060608"/>
        <c:scaling>
          <c:orientation val="minMax"/>
        </c:scaling>
        <c:delete val="0"/>
        <c:axPos val="l"/>
        <c:majorGridlines>
          <c:spPr>
            <a:ln>
              <a:solidFill>
                <a:srgbClr val="B7B7B7"/>
              </a:solidFill>
            </a:ln>
          </c:spPr>
        </c:majorGridlines>
        <c:title>
          <c:tx>
            <c:rich>
              <a:bodyPr/>
              <a:lstStyle/>
              <a:p>
                <a:pPr lvl="0">
                  <a:defRPr b="0" i="0"/>
                </a:pPr>
                <a:r>
                  <a:rPr lang="es-ES"/>
                  <a:t>Margen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576870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Margen Neto v/s años</a:t>
            </a:r>
          </a:p>
        </c:rich>
      </c:tx>
      <c:layout/>
      <c:overlay val="0"/>
    </c:title>
    <c:autoTitleDeleted val="0"/>
    <c:plotArea>
      <c:layout/>
      <c:lineChart>
        <c:grouping val="standard"/>
        <c:varyColors val="0"/>
        <c:ser>
          <c:idx val="0"/>
          <c:order val="0"/>
          <c:tx>
            <c:strRef>
              <c:f>'ANALISIS ECONOMICO '!$B$6:$C$6</c:f>
              <c:strCache>
                <c:ptCount val="1"/>
                <c:pt idx="0">
                  <c:v>Margen Neto BNT/VTA</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'!$D$6:$H$6</c:f>
              <c:numCache>
                <c:formatCode>0.00</c:formatCode>
                <c:ptCount val="5"/>
                <c:pt idx="0" formatCode="0.00000">
                  <c:v>1.9370954976190939E-4</c:v>
                </c:pt>
                <c:pt idx="1">
                  <c:v>0.10679772428808448</c:v>
                </c:pt>
                <c:pt idx="2">
                  <c:v>0.85062795422724269</c:v>
                </c:pt>
                <c:pt idx="3">
                  <c:v>9.2918646571778257E-2</c:v>
                </c:pt>
                <c:pt idx="4">
                  <c:v>0.17826300359497499</c:v>
                </c:pt>
              </c:numCache>
            </c:numRef>
          </c:val>
          <c:smooth val="0"/>
          <c:extLst xmlns:c16r2="http://schemas.microsoft.com/office/drawing/2015/06/chart">
            <c:ext xmlns:c16="http://schemas.microsoft.com/office/drawing/2014/chart" uri="{C3380CC4-5D6E-409C-BE32-E72D297353CC}">
              <c16:uniqueId val="{00000000-949A-4F19-854D-3742566C8DED}"/>
            </c:ext>
          </c:extLst>
        </c:ser>
        <c:dLbls>
          <c:showLegendKey val="0"/>
          <c:showVal val="0"/>
          <c:showCatName val="0"/>
          <c:showSerName val="0"/>
          <c:showPercent val="0"/>
          <c:showBubbleSize val="0"/>
        </c:dLbls>
        <c:marker val="1"/>
        <c:smooth val="0"/>
        <c:axId val="285769216"/>
        <c:axId val="293062912"/>
      </c:lineChart>
      <c:catAx>
        <c:axId val="285769216"/>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62912"/>
        <c:crosses val="autoZero"/>
        <c:auto val="1"/>
        <c:lblAlgn val="ctr"/>
        <c:lblOffset val="100"/>
        <c:noMultiLvlLbl val="1"/>
      </c:catAx>
      <c:valAx>
        <c:axId val="293062912"/>
        <c:scaling>
          <c:orientation val="minMax"/>
        </c:scaling>
        <c:delete val="0"/>
        <c:axPos val="l"/>
        <c:majorGridlines>
          <c:spPr>
            <a:ln>
              <a:solidFill>
                <a:srgbClr val="B7B7B7"/>
              </a:solidFill>
            </a:ln>
          </c:spPr>
        </c:majorGridlines>
        <c:numFmt formatCode="0.00000" sourceLinked="1"/>
        <c:majorTickMark val="cross"/>
        <c:minorTickMark val="cross"/>
        <c:tickLblPos val="nextTo"/>
        <c:spPr>
          <a:ln w="47625">
            <a:noFill/>
          </a:ln>
        </c:spPr>
        <c:txPr>
          <a:bodyPr/>
          <a:lstStyle/>
          <a:p>
            <a:pPr lvl="0">
              <a:defRPr b="0" i="0"/>
            </a:pPr>
            <a:endParaRPr lang="es-CL"/>
          </a:p>
        </c:txPr>
        <c:crossAx val="28576921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Rendimiento Económico v/s años</a:t>
            </a:r>
          </a:p>
        </c:rich>
      </c:tx>
      <c:layout/>
      <c:overlay val="0"/>
    </c:title>
    <c:autoTitleDeleted val="0"/>
    <c:plotArea>
      <c:layout/>
      <c:lineChart>
        <c:grouping val="standard"/>
        <c:varyColors val="0"/>
        <c:ser>
          <c:idx val="0"/>
          <c:order val="0"/>
          <c:tx>
            <c:strRef>
              <c:f>'ANALISIS ECONOMICO '!$B$7:$C$7</c:f>
              <c:strCache>
                <c:ptCount val="1"/>
                <c:pt idx="0">
                  <c:v>Rendimiento Económico BAIT/ACT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'!$D$7:$H$7</c:f>
              <c:numCache>
                <c:formatCode>0.00</c:formatCode>
                <c:ptCount val="5"/>
                <c:pt idx="0">
                  <c:v>-3.8025389936502473E-2</c:v>
                </c:pt>
                <c:pt idx="1">
                  <c:v>6.2719579245338289E-2</c:v>
                </c:pt>
                <c:pt idx="2">
                  <c:v>5.4012010366577552E-2</c:v>
                </c:pt>
                <c:pt idx="3">
                  <c:v>5.7515789699432766E-2</c:v>
                </c:pt>
                <c:pt idx="4">
                  <c:v>6.8943860035431528E-2</c:v>
                </c:pt>
              </c:numCache>
            </c:numRef>
          </c:val>
          <c:smooth val="0"/>
          <c:extLst xmlns:c16r2="http://schemas.microsoft.com/office/drawing/2015/06/chart">
            <c:ext xmlns:c16="http://schemas.microsoft.com/office/drawing/2014/chart" uri="{C3380CC4-5D6E-409C-BE32-E72D297353CC}">
              <c16:uniqueId val="{00000000-57BB-426A-8574-72E5C12E1192}"/>
            </c:ext>
          </c:extLst>
        </c:ser>
        <c:dLbls>
          <c:showLegendKey val="0"/>
          <c:showVal val="0"/>
          <c:showCatName val="0"/>
          <c:showSerName val="0"/>
          <c:showPercent val="0"/>
          <c:showBubbleSize val="0"/>
        </c:dLbls>
        <c:marker val="1"/>
        <c:smooth val="0"/>
        <c:axId val="286147584"/>
        <c:axId val="293064640"/>
      </c:lineChart>
      <c:catAx>
        <c:axId val="286147584"/>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64640"/>
        <c:crosses val="autoZero"/>
        <c:auto val="1"/>
        <c:lblAlgn val="ctr"/>
        <c:lblOffset val="100"/>
        <c:noMultiLvlLbl val="1"/>
      </c:catAx>
      <c:valAx>
        <c:axId val="293064640"/>
        <c:scaling>
          <c:orientation val="minMax"/>
        </c:scaling>
        <c:delete val="0"/>
        <c:axPos val="l"/>
        <c:majorGridlines>
          <c:spPr>
            <a:ln>
              <a:solidFill>
                <a:srgbClr val="B7B7B7"/>
              </a:solidFill>
            </a:ln>
          </c:spPr>
        </c:majorGridlines>
        <c:title>
          <c:tx>
            <c:rich>
              <a:bodyPr/>
              <a:lstStyle/>
              <a:p>
                <a:pPr lvl="0">
                  <a:defRPr b="0" i="0"/>
                </a:pPr>
                <a:r>
                  <a:rPr lang="es-ES"/>
                  <a:t>Margen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14758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ROE Antes de impuestos v/s Años</a:t>
            </a:r>
          </a:p>
        </c:rich>
      </c:tx>
      <c:layout/>
      <c:overlay val="0"/>
    </c:title>
    <c:autoTitleDeleted val="0"/>
    <c:plotArea>
      <c:layout/>
      <c:lineChart>
        <c:grouping val="standard"/>
        <c:varyColors val="0"/>
        <c:ser>
          <c:idx val="0"/>
          <c:order val="0"/>
          <c:tx>
            <c:strRef>
              <c:f>'ANALISIS ECONOMICO '!$B$8:$C$8</c:f>
              <c:strCache>
                <c:ptCount val="1"/>
                <c:pt idx="0">
                  <c:v>Rentabilidad Financiera Antes de Impuesto BAT/KP</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'!$D$8:$H$8</c:f>
              <c:numCache>
                <c:formatCode>0.00</c:formatCode>
                <c:ptCount val="5"/>
                <c:pt idx="0">
                  <c:v>-0.15967820575329156</c:v>
                </c:pt>
                <c:pt idx="1">
                  <c:v>0.13465756897673029</c:v>
                </c:pt>
                <c:pt idx="2">
                  <c:v>6.6528971819631536E-2</c:v>
                </c:pt>
                <c:pt idx="3">
                  <c:v>5.6065159827044929E-2</c:v>
                </c:pt>
                <c:pt idx="4">
                  <c:v>8.1446667656856708E-2</c:v>
                </c:pt>
              </c:numCache>
            </c:numRef>
          </c:val>
          <c:smooth val="0"/>
          <c:extLst xmlns:c16r2="http://schemas.microsoft.com/office/drawing/2015/06/chart">
            <c:ext xmlns:c16="http://schemas.microsoft.com/office/drawing/2014/chart" uri="{C3380CC4-5D6E-409C-BE32-E72D297353CC}">
              <c16:uniqueId val="{00000000-82CD-4DE6-91BE-3278289D5A26}"/>
            </c:ext>
          </c:extLst>
        </c:ser>
        <c:dLbls>
          <c:showLegendKey val="0"/>
          <c:showVal val="0"/>
          <c:showCatName val="0"/>
          <c:showSerName val="0"/>
          <c:showPercent val="0"/>
          <c:showBubbleSize val="0"/>
        </c:dLbls>
        <c:marker val="1"/>
        <c:smooth val="0"/>
        <c:axId val="286150144"/>
        <c:axId val="293066368"/>
      </c:lineChart>
      <c:catAx>
        <c:axId val="286150144"/>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66368"/>
        <c:crosses val="autoZero"/>
        <c:auto val="1"/>
        <c:lblAlgn val="ctr"/>
        <c:lblOffset val="100"/>
        <c:noMultiLvlLbl val="1"/>
      </c:catAx>
      <c:valAx>
        <c:axId val="293066368"/>
        <c:scaling>
          <c:orientation val="minMax"/>
        </c:scaling>
        <c:delete val="0"/>
        <c:axPos val="l"/>
        <c:majorGridlines>
          <c:spPr>
            <a:ln>
              <a:solidFill>
                <a:srgbClr val="B7B7B7"/>
              </a:solidFill>
            </a:ln>
          </c:spPr>
        </c:majorGridlines>
        <c:title>
          <c:tx>
            <c:rich>
              <a:bodyPr/>
              <a:lstStyle/>
              <a:p>
                <a:pPr lvl="0">
                  <a:defRPr sz="1800" b="0" i="0">
                    <a:solidFill>
                      <a:srgbClr val="548DD4"/>
                    </a:solidFill>
                  </a:defRPr>
                </a:pPr>
                <a:r>
                  <a:rPr lang="es-ES"/>
                  <a:t>Roe</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15014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ROE Después de Impuestos v/s años</a:t>
            </a:r>
          </a:p>
        </c:rich>
      </c:tx>
      <c:layout/>
      <c:overlay val="0"/>
    </c:title>
    <c:autoTitleDeleted val="0"/>
    <c:plotArea>
      <c:layout/>
      <c:lineChart>
        <c:grouping val="standard"/>
        <c:varyColors val="0"/>
        <c:ser>
          <c:idx val="0"/>
          <c:order val="0"/>
          <c:tx>
            <c:strRef>
              <c:f>'ANALISIS ECONOMICO '!$B$9:$C$9</c:f>
              <c:strCache>
                <c:ptCount val="1"/>
                <c:pt idx="0">
                  <c:v>Rentabilidad Financiera Después de Impuesto BNT/KP</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'!$D$9:$H$9</c:f>
              <c:numCache>
                <c:formatCode>0.00</c:formatCode>
                <c:ptCount val="5"/>
                <c:pt idx="0" formatCode="0.0000">
                  <c:v>1.7276832086146189E-3</c:v>
                </c:pt>
                <c:pt idx="1">
                  <c:v>0.10685540887995736</c:v>
                </c:pt>
                <c:pt idx="2">
                  <c:v>0.47547089872367471</c:v>
                </c:pt>
                <c:pt idx="3">
                  <c:v>4.70822207076858E-2</c:v>
                </c:pt>
                <c:pt idx="4">
                  <c:v>7.1283074115724931E-2</c:v>
                </c:pt>
              </c:numCache>
            </c:numRef>
          </c:val>
          <c:smooth val="0"/>
          <c:extLst xmlns:c16r2="http://schemas.microsoft.com/office/drawing/2015/06/chart">
            <c:ext xmlns:c16="http://schemas.microsoft.com/office/drawing/2014/chart" uri="{C3380CC4-5D6E-409C-BE32-E72D297353CC}">
              <c16:uniqueId val="{00000000-1229-43FC-863D-C71AB21E60A7}"/>
            </c:ext>
          </c:extLst>
        </c:ser>
        <c:dLbls>
          <c:showLegendKey val="0"/>
          <c:showVal val="0"/>
          <c:showCatName val="0"/>
          <c:showSerName val="0"/>
          <c:showPercent val="0"/>
          <c:showBubbleSize val="0"/>
        </c:dLbls>
        <c:marker val="1"/>
        <c:smooth val="0"/>
        <c:axId val="286560256"/>
        <c:axId val="274243584"/>
      </c:lineChart>
      <c:catAx>
        <c:axId val="286560256"/>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74243584"/>
        <c:crosses val="autoZero"/>
        <c:auto val="1"/>
        <c:lblAlgn val="ctr"/>
        <c:lblOffset val="100"/>
        <c:noMultiLvlLbl val="1"/>
      </c:catAx>
      <c:valAx>
        <c:axId val="274243584"/>
        <c:scaling>
          <c:orientation val="minMax"/>
        </c:scaling>
        <c:delete val="0"/>
        <c:axPos val="l"/>
        <c:majorGridlines>
          <c:spPr>
            <a:ln>
              <a:solidFill>
                <a:srgbClr val="B7B7B7"/>
              </a:solidFill>
            </a:ln>
          </c:spPr>
        </c:majorGridlines>
        <c:title>
          <c:tx>
            <c:rich>
              <a:bodyPr/>
              <a:lstStyle/>
              <a:p>
                <a:pPr lvl="0">
                  <a:defRPr sz="1800" b="0" i="0">
                    <a:solidFill>
                      <a:srgbClr val="548DD4"/>
                    </a:solidFill>
                  </a:defRPr>
                </a:pPr>
                <a:r>
                  <a:rPr lang="es-ES"/>
                  <a:t>Roe</a:t>
                </a:r>
              </a:p>
            </c:rich>
          </c:tx>
          <c:layout/>
          <c:overlay val="0"/>
        </c:title>
        <c:numFmt formatCode="0.0000" sourceLinked="1"/>
        <c:majorTickMark val="cross"/>
        <c:minorTickMark val="cross"/>
        <c:tickLblPos val="nextTo"/>
        <c:spPr>
          <a:ln w="47625">
            <a:noFill/>
          </a:ln>
        </c:spPr>
        <c:txPr>
          <a:bodyPr/>
          <a:lstStyle/>
          <a:p>
            <a:pPr lvl="0">
              <a:defRPr b="0" i="0"/>
            </a:pPr>
            <a:endParaRPr lang="es-CL"/>
          </a:p>
        </c:txPr>
        <c:crossAx val="28656025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Índice de endeudamiento v/s años</a:t>
            </a:r>
          </a:p>
        </c:rich>
      </c:tx>
      <c:layout/>
      <c:overlay val="0"/>
    </c:title>
    <c:autoTitleDeleted val="0"/>
    <c:plotArea>
      <c:layout/>
      <c:lineChart>
        <c:grouping val="standard"/>
        <c:varyColors val="0"/>
        <c:ser>
          <c:idx val="0"/>
          <c:order val="0"/>
          <c:tx>
            <c:strRef>
              <c:f>'ANALISIS ECONOMICO '!$B$10:$C$10</c:f>
              <c:strCache>
                <c:ptCount val="1"/>
                <c:pt idx="0">
                  <c:v>Índice de Endeudamiento ACT/KP</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'!$D$10:$H$10</c:f>
              <c:numCache>
                <c:formatCode>0.00</c:formatCode>
                <c:ptCount val="5"/>
                <c:pt idx="0">
                  <c:v>2.3152332902295805</c:v>
                </c:pt>
                <c:pt idx="1">
                  <c:v>2.6324033554161752</c:v>
                </c:pt>
                <c:pt idx="2">
                  <c:v>1.8686426465655728</c:v>
                </c:pt>
                <c:pt idx="3">
                  <c:v>2.0838854563534186</c:v>
                </c:pt>
                <c:pt idx="4">
                  <c:v>2.1199473784718537</c:v>
                </c:pt>
              </c:numCache>
            </c:numRef>
          </c:val>
          <c:smooth val="0"/>
          <c:extLst xmlns:c16r2="http://schemas.microsoft.com/office/drawing/2015/06/chart">
            <c:ext xmlns:c16="http://schemas.microsoft.com/office/drawing/2014/chart" uri="{C3380CC4-5D6E-409C-BE32-E72D297353CC}">
              <c16:uniqueId val="{00000000-4D5D-4709-A3A4-4A2C09CA861F}"/>
            </c:ext>
          </c:extLst>
        </c:ser>
        <c:dLbls>
          <c:showLegendKey val="0"/>
          <c:showVal val="0"/>
          <c:showCatName val="0"/>
          <c:showSerName val="0"/>
          <c:showPercent val="0"/>
          <c:showBubbleSize val="0"/>
        </c:dLbls>
        <c:marker val="1"/>
        <c:smooth val="0"/>
        <c:axId val="286560768"/>
        <c:axId val="293068096"/>
      </c:lineChart>
      <c:catAx>
        <c:axId val="286560768"/>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93068096"/>
        <c:crosses val="autoZero"/>
        <c:auto val="1"/>
        <c:lblAlgn val="ctr"/>
        <c:lblOffset val="100"/>
        <c:noMultiLvlLbl val="1"/>
      </c:catAx>
      <c:valAx>
        <c:axId val="293068096"/>
        <c:scaling>
          <c:orientation val="minMax"/>
        </c:scaling>
        <c:delete val="0"/>
        <c:axPos val="l"/>
        <c:majorGridlines>
          <c:spPr>
            <a:ln>
              <a:solidFill>
                <a:srgbClr val="B7B7B7"/>
              </a:solidFill>
            </a:ln>
          </c:spPr>
        </c:majorGridlines>
        <c:title>
          <c:tx>
            <c:rich>
              <a:bodyPr/>
              <a:lstStyle/>
              <a:p>
                <a:pPr lvl="0">
                  <a:defRPr b="0" i="0"/>
                </a:pPr>
                <a:r>
                  <a:rPr lang="es-ES"/>
                  <a:t>Índice</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560768"/>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Incidencia de la carga Financiera sobre ROE v/s años</a:t>
            </a:r>
          </a:p>
        </c:rich>
      </c:tx>
      <c:layout/>
      <c:overlay val="0"/>
    </c:title>
    <c:autoTitleDeleted val="0"/>
    <c:plotArea>
      <c:layout/>
      <c:lineChart>
        <c:grouping val="standard"/>
        <c:varyColors val="0"/>
        <c:ser>
          <c:idx val="0"/>
          <c:order val="0"/>
          <c:tx>
            <c:strRef>
              <c:f>'ANALISIS ECONOMICO '!$B$11:$C$11</c:f>
              <c:strCache>
                <c:ptCount val="1"/>
                <c:pt idx="0">
                  <c:v>Incidencia de la carga Financiera sobre ROE BAT/BAIT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'!$D$11:$H$11</c:f>
              <c:numCache>
                <c:formatCode>0.00</c:formatCode>
                <c:ptCount val="5"/>
                <c:pt idx="0">
                  <c:v>1.813749097038281</c:v>
                </c:pt>
                <c:pt idx="1">
                  <c:v>0.81559620777139796</c:v>
                </c:pt>
                <c:pt idx="2">
                  <c:v>0.6591651119402987</c:v>
                </c:pt>
                <c:pt idx="3">
                  <c:v>0.46776975064087634</c:v>
                </c:pt>
                <c:pt idx="4">
                  <c:v>0.55725329365223386</c:v>
                </c:pt>
              </c:numCache>
            </c:numRef>
          </c:val>
          <c:smooth val="0"/>
          <c:extLst xmlns:c16r2="http://schemas.microsoft.com/office/drawing/2015/06/chart">
            <c:ext xmlns:c16="http://schemas.microsoft.com/office/drawing/2014/chart" uri="{C3380CC4-5D6E-409C-BE32-E72D297353CC}">
              <c16:uniqueId val="{00000000-3836-4835-AFDA-996F60A21227}"/>
            </c:ext>
          </c:extLst>
        </c:ser>
        <c:dLbls>
          <c:showLegendKey val="0"/>
          <c:showVal val="0"/>
          <c:showCatName val="0"/>
          <c:showSerName val="0"/>
          <c:showPercent val="0"/>
          <c:showBubbleSize val="0"/>
        </c:dLbls>
        <c:marker val="1"/>
        <c:smooth val="0"/>
        <c:axId val="286561280"/>
        <c:axId val="274245888"/>
      </c:lineChart>
      <c:catAx>
        <c:axId val="286561280"/>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74245888"/>
        <c:crosses val="autoZero"/>
        <c:auto val="1"/>
        <c:lblAlgn val="ctr"/>
        <c:lblOffset val="100"/>
        <c:noMultiLvlLbl val="1"/>
      </c:catAx>
      <c:valAx>
        <c:axId val="274245888"/>
        <c:scaling>
          <c:orientation val="minMax"/>
        </c:scaling>
        <c:delete val="0"/>
        <c:axPos val="l"/>
        <c:majorGridlines>
          <c:spPr>
            <a:ln>
              <a:solidFill>
                <a:srgbClr val="B7B7B7"/>
              </a:solidFill>
            </a:ln>
          </c:spPr>
        </c:majorGridlines>
        <c:title>
          <c:tx>
            <c:rich>
              <a:bodyPr/>
              <a:lstStyle/>
              <a:p>
                <a:pPr lvl="0">
                  <a:defRPr sz="1600" b="0" i="0">
                    <a:solidFill>
                      <a:srgbClr val="548DD4"/>
                    </a:solidFill>
                  </a:defRPr>
                </a:pPr>
                <a:r>
                  <a:rPr lang="es-ES"/>
                  <a:t>Incidencia</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561280"/>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L"/>
  <c:roundedCorners val="1"/>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s-CL"/>
              <a:t>Gráfico N°4: Masas Patrimoniales 2016</a:t>
            </a:r>
          </a:p>
        </c:rich>
      </c:tx>
      <c:layout/>
      <c:overlay val="0"/>
    </c:title>
    <c:autoTitleDeleted val="0"/>
    <c:plotArea>
      <c:layout/>
      <c:barChart>
        <c:barDir val="col"/>
        <c:grouping val="percentStacked"/>
        <c:varyColors val="1"/>
        <c:ser>
          <c:idx val="0"/>
          <c:order val="0"/>
          <c:tx>
            <c:strRef>
              <c:f>'BG CLASIFICADO AJUSTADO'!$V$32</c:f>
              <c:strCache>
                <c:ptCount val="1"/>
                <c:pt idx="0">
                  <c:v>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AJUSTADO'!$W$32:$X$32</c:f>
              <c:numCache>
                <c:formatCode>General</c:formatCode>
                <c:ptCount val="2"/>
                <c:pt idx="0" formatCode="0.00%">
                  <c:v>0.68189251209024526</c:v>
                </c:pt>
              </c:numCache>
            </c:numRef>
          </c:val>
          <c:extLst xmlns:c16r2="http://schemas.microsoft.com/office/drawing/2015/06/chart">
            <c:ext xmlns:c16="http://schemas.microsoft.com/office/drawing/2014/chart" uri="{C3380CC4-5D6E-409C-BE32-E72D297353CC}">
              <c16:uniqueId val="{00000001-CCB6-46A6-A264-E5B98D45ED50}"/>
            </c:ext>
          </c:extLst>
        </c:ser>
        <c:ser>
          <c:idx val="1"/>
          <c:order val="1"/>
          <c:tx>
            <c:strRef>
              <c:f>'BG CLASIFICADO AJUSTADO'!$V$33</c:f>
              <c:strCache>
                <c:ptCount val="1"/>
                <c:pt idx="0">
                  <c:v>OAF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AJUSTADO'!$W$33:$X$33</c:f>
              <c:numCache>
                <c:formatCode>General</c:formatCode>
                <c:ptCount val="2"/>
                <c:pt idx="0" formatCode="0.00%">
                  <c:v>0.19095349410768092</c:v>
                </c:pt>
              </c:numCache>
            </c:numRef>
          </c:val>
          <c:extLst xmlns:c16r2="http://schemas.microsoft.com/office/drawing/2015/06/chart">
            <c:ext xmlns:c16="http://schemas.microsoft.com/office/drawing/2014/chart" uri="{C3380CC4-5D6E-409C-BE32-E72D297353CC}">
              <c16:uniqueId val="{00000003-CCB6-46A6-A264-E5B98D45ED50}"/>
            </c:ext>
          </c:extLst>
        </c:ser>
        <c:ser>
          <c:idx val="2"/>
          <c:order val="2"/>
          <c:tx>
            <c:strRef>
              <c:f>'BG CLASIFICADO AJUSTADO'!$V$34</c:f>
              <c:strCache>
                <c:ptCount val="1"/>
                <c:pt idx="0">
                  <c:v>OAC</c:v>
                </c:pt>
              </c:strCache>
            </c:strRef>
          </c:tx>
          <c:invertIfNegative val="1"/>
          <c:dLbls>
            <c:dLbl>
              <c:idx val="0"/>
              <c:layout>
                <c:manualLayout>
                  <c:x val="-0.132013201320132"/>
                  <c:y val="1.8518518518518615E-2"/>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CCB6-46A6-A264-E5B98D45ED50}"/>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AJUSTADO'!$W$31:$X$31</c:f>
              <c:strCache>
                <c:ptCount val="2"/>
                <c:pt idx="0">
                  <c:v>Activo</c:v>
                </c:pt>
                <c:pt idx="1">
                  <c:v>Pasivo</c:v>
                </c:pt>
              </c:strCache>
            </c:strRef>
          </c:cat>
          <c:val>
            <c:numRef>
              <c:f>'BG CLASIFICADO AJUSTADO'!$W$34:$X$34</c:f>
              <c:numCache>
                <c:formatCode>General</c:formatCode>
                <c:ptCount val="2"/>
                <c:pt idx="0" formatCode="0.00%">
                  <c:v>8.6990788895203574E-3</c:v>
                </c:pt>
              </c:numCache>
            </c:numRef>
          </c:val>
          <c:extLst xmlns:c16r2="http://schemas.microsoft.com/office/drawing/2015/06/chart">
            <c:ext xmlns:c16="http://schemas.microsoft.com/office/drawing/2014/chart" uri="{C3380CC4-5D6E-409C-BE32-E72D297353CC}">
              <c16:uniqueId val="{00000006-CCB6-46A6-A264-E5B98D45ED50}"/>
            </c:ext>
          </c:extLst>
        </c:ser>
        <c:ser>
          <c:idx val="3"/>
          <c:order val="3"/>
          <c:tx>
            <c:strRef>
              <c:f>'BG CLASIFICADO AJUSTADO'!$V$35</c:f>
              <c:strCache>
                <c:ptCount val="1"/>
                <c:pt idx="0">
                  <c:v>ST</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AJUSTADO'!$W$35:$X$35</c:f>
              <c:numCache>
                <c:formatCode>General</c:formatCode>
                <c:ptCount val="2"/>
                <c:pt idx="0" formatCode="0.00%">
                  <c:v>2.8496520368444188E-3</c:v>
                </c:pt>
              </c:numCache>
            </c:numRef>
          </c:val>
          <c:extLst xmlns:c16r2="http://schemas.microsoft.com/office/drawing/2015/06/chart">
            <c:ext xmlns:c16="http://schemas.microsoft.com/office/drawing/2014/chart" uri="{C3380CC4-5D6E-409C-BE32-E72D297353CC}">
              <c16:uniqueId val="{00000008-CCB6-46A6-A264-E5B98D45ED50}"/>
            </c:ext>
          </c:extLst>
        </c:ser>
        <c:ser>
          <c:idx val="4"/>
          <c:order val="4"/>
          <c:tx>
            <c:strRef>
              <c:f>'BG CLASIFICADO AJUSTADO'!$V$36</c:f>
              <c:strCache>
                <c:ptCount val="1"/>
                <c:pt idx="0">
                  <c:v>CL</c:v>
                </c:pt>
              </c:strCache>
            </c:strRef>
          </c:tx>
          <c:invertIfNegative val="1"/>
          <c:dLbls>
            <c:dLbl>
              <c:idx val="0"/>
              <c:layout>
                <c:manualLayout>
                  <c:x val="0.14785478547854786"/>
                  <c:y val="2.6455026455027425E-3"/>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9-CCB6-46A6-A264-E5B98D45ED50}"/>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AJUSTADO'!$W$31:$X$31</c:f>
              <c:strCache>
                <c:ptCount val="2"/>
                <c:pt idx="0">
                  <c:v>Activo</c:v>
                </c:pt>
                <c:pt idx="1">
                  <c:v>Pasivo</c:v>
                </c:pt>
              </c:strCache>
            </c:strRef>
          </c:cat>
          <c:val>
            <c:numRef>
              <c:f>'BG CLASIFICADO AJUSTADO'!$W$36:$X$36</c:f>
              <c:numCache>
                <c:formatCode>General</c:formatCode>
                <c:ptCount val="2"/>
                <c:pt idx="0" formatCode="0.00%">
                  <c:v>1.4221452545117256E-2</c:v>
                </c:pt>
              </c:numCache>
            </c:numRef>
          </c:val>
          <c:extLst xmlns:c16r2="http://schemas.microsoft.com/office/drawing/2015/06/chart">
            <c:ext xmlns:c16="http://schemas.microsoft.com/office/drawing/2014/chart" uri="{C3380CC4-5D6E-409C-BE32-E72D297353CC}">
              <c16:uniqueId val="{0000000B-CCB6-46A6-A264-E5B98D45ED50}"/>
            </c:ext>
          </c:extLst>
        </c:ser>
        <c:ser>
          <c:idx val="5"/>
          <c:order val="5"/>
          <c:tx>
            <c:strRef>
              <c:f>'BG CLASIFICADO AJUSTADO'!$V$37</c:f>
              <c:strCache>
                <c:ptCount val="1"/>
                <c:pt idx="0">
                  <c:v>CyB</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AJUSTADO'!$W$37:$X$37</c:f>
              <c:numCache>
                <c:formatCode>General</c:formatCode>
                <c:ptCount val="2"/>
                <c:pt idx="0" formatCode="0.00%">
                  <c:v>0.10138381033059181</c:v>
                </c:pt>
              </c:numCache>
            </c:numRef>
          </c:val>
          <c:extLst xmlns:c16r2="http://schemas.microsoft.com/office/drawing/2015/06/chart">
            <c:ext xmlns:c16="http://schemas.microsoft.com/office/drawing/2014/chart" uri="{C3380CC4-5D6E-409C-BE32-E72D297353CC}">
              <c16:uniqueId val="{0000000D-CCB6-46A6-A264-E5B98D45ED50}"/>
            </c:ext>
          </c:extLst>
        </c:ser>
        <c:ser>
          <c:idx val="6"/>
          <c:order val="6"/>
          <c:tx>
            <c:strRef>
              <c:f>'BG CLASIFICADO AJUSTADO'!$V$38</c:f>
              <c:strCache>
                <c:ptCount val="1"/>
                <c:pt idx="0">
                  <c:v>KP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AJUSTADO'!$W$38:$X$38</c:f>
              <c:numCache>
                <c:formatCode>0.00%</c:formatCode>
                <c:ptCount val="2"/>
                <c:pt idx="1">
                  <c:v>0.47987282456008662</c:v>
                </c:pt>
              </c:numCache>
            </c:numRef>
          </c:val>
          <c:extLst xmlns:c16r2="http://schemas.microsoft.com/office/drawing/2015/06/chart">
            <c:ext xmlns:c16="http://schemas.microsoft.com/office/drawing/2014/chart" uri="{C3380CC4-5D6E-409C-BE32-E72D297353CC}">
              <c16:uniqueId val="{0000000F-CCB6-46A6-A264-E5B98D45ED50}"/>
            </c:ext>
          </c:extLst>
        </c:ser>
        <c:ser>
          <c:idx val="7"/>
          <c:order val="7"/>
          <c:tx>
            <c:strRef>
              <c:f>'BG CLASIFICADO AJUSTADO'!$V$39</c:f>
              <c:strCache>
                <c:ptCount val="1"/>
                <c:pt idx="0">
                  <c:v>L/P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AJUSTADO'!$W$39:$X$39</c:f>
              <c:numCache>
                <c:formatCode>0.00%</c:formatCode>
                <c:ptCount val="2"/>
                <c:pt idx="1">
                  <c:v>0.44262897155173336</c:v>
                </c:pt>
              </c:numCache>
            </c:numRef>
          </c:val>
          <c:extLst xmlns:c16r2="http://schemas.microsoft.com/office/drawing/2015/06/chart">
            <c:ext xmlns:c16="http://schemas.microsoft.com/office/drawing/2014/chart" uri="{C3380CC4-5D6E-409C-BE32-E72D297353CC}">
              <c16:uniqueId val="{00000011-CCB6-46A6-A264-E5B98D45ED50}"/>
            </c:ext>
          </c:extLst>
        </c:ser>
        <c:ser>
          <c:idx val="8"/>
          <c:order val="8"/>
          <c:tx>
            <c:strRef>
              <c:f>'BG CLASIFICADO AJUSTADO'!$V$40</c:f>
              <c:strCache>
                <c:ptCount val="1"/>
                <c:pt idx="0">
                  <c:v>C/P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CCB6-46A6-A264-E5B98D45ED50}"/>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AJUSTADO'!$W$31:$X$31</c:f>
              <c:strCache>
                <c:ptCount val="2"/>
                <c:pt idx="0">
                  <c:v>Activo</c:v>
                </c:pt>
                <c:pt idx="1">
                  <c:v>Pasivo</c:v>
                </c:pt>
              </c:strCache>
            </c:strRef>
          </c:cat>
          <c:val>
            <c:numRef>
              <c:f>'BG CLASIFICADO AJUSTADO'!$W$40:$X$40</c:f>
              <c:numCache>
                <c:formatCode>0.00%</c:formatCode>
                <c:ptCount val="2"/>
                <c:pt idx="1">
                  <c:v>7.7498203888179976E-2</c:v>
                </c:pt>
              </c:numCache>
            </c:numRef>
          </c:val>
          <c:extLst xmlns:c16r2="http://schemas.microsoft.com/office/drawing/2015/06/chart">
            <c:ext xmlns:c16="http://schemas.microsoft.com/office/drawing/2014/chart" uri="{C3380CC4-5D6E-409C-BE32-E72D297353CC}">
              <c16:uniqueId val="{00000013-CCB6-46A6-A264-E5B98D45ED50}"/>
            </c:ext>
          </c:extLst>
        </c:ser>
        <c:dLbls>
          <c:showLegendKey val="0"/>
          <c:showVal val="0"/>
          <c:showCatName val="0"/>
          <c:showSerName val="0"/>
          <c:showPercent val="0"/>
          <c:showBubbleSize val="0"/>
        </c:dLbls>
        <c:gapWidth val="0"/>
        <c:overlap val="100"/>
        <c:axId val="268556288"/>
        <c:axId val="203230016"/>
      </c:barChart>
      <c:catAx>
        <c:axId val="268556288"/>
        <c:scaling>
          <c:orientation val="minMax"/>
        </c:scaling>
        <c:delete val="0"/>
        <c:axPos val="t"/>
        <c:numFmt formatCode="General" sourceLinked="0"/>
        <c:majorTickMark val="cross"/>
        <c:minorTickMark val="cross"/>
        <c:tickLblPos val="nextTo"/>
        <c:crossAx val="203230016"/>
        <c:crosses val="autoZero"/>
        <c:auto val="1"/>
        <c:lblAlgn val="ctr"/>
        <c:lblOffset val="100"/>
        <c:noMultiLvlLbl val="1"/>
      </c:catAx>
      <c:valAx>
        <c:axId val="203230016"/>
        <c:scaling>
          <c:orientation val="maxMin"/>
        </c:scaling>
        <c:delete val="1"/>
        <c:axPos val="l"/>
        <c:majorGridlines/>
        <c:numFmt formatCode="0%" sourceLinked="1"/>
        <c:majorTickMark val="cross"/>
        <c:minorTickMark val="cross"/>
        <c:tickLblPos val="nextTo"/>
        <c:crossAx val="26855628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Incidencia de la carga Tributaria sobre ROE v/s años</a:t>
            </a:r>
          </a:p>
        </c:rich>
      </c:tx>
      <c:layout/>
      <c:overlay val="0"/>
    </c:title>
    <c:autoTitleDeleted val="0"/>
    <c:plotArea>
      <c:layout/>
      <c:lineChart>
        <c:grouping val="standard"/>
        <c:varyColors val="0"/>
        <c:ser>
          <c:idx val="0"/>
          <c:order val="0"/>
          <c:tx>
            <c:strRef>
              <c:f>'ANALISIS ECONOMICO '!$B$12:$C$12</c:f>
              <c:strCache>
                <c:ptCount val="1"/>
                <c:pt idx="0">
                  <c:v>Incidencia de la carga Tributaria sobre ROE BNT/BAT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'!$D$12:$H$12</c:f>
              <c:numCache>
                <c:formatCode>0.00</c:formatCode>
                <c:ptCount val="5"/>
                <c:pt idx="0">
                  <c:v>-1.0819780949217017E-2</c:v>
                </c:pt>
                <c:pt idx="1">
                  <c:v>0.79353436789299736</c:v>
                </c:pt>
                <c:pt idx="2">
                  <c:v>7.1468246948522891</c:v>
                </c:pt>
                <c:pt idx="3">
                  <c:v>0.83977680350737349</c:v>
                </c:pt>
                <c:pt idx="4">
                  <c:v>0.87521167122573917</c:v>
                </c:pt>
              </c:numCache>
            </c:numRef>
          </c:val>
          <c:smooth val="0"/>
          <c:extLst xmlns:c16r2="http://schemas.microsoft.com/office/drawing/2015/06/chart">
            <c:ext xmlns:c16="http://schemas.microsoft.com/office/drawing/2014/chart" uri="{C3380CC4-5D6E-409C-BE32-E72D297353CC}">
              <c16:uniqueId val="{00000000-3628-49C0-8AF0-BB8BFAF41E83}"/>
            </c:ext>
          </c:extLst>
        </c:ser>
        <c:dLbls>
          <c:showLegendKey val="0"/>
          <c:showVal val="0"/>
          <c:showCatName val="0"/>
          <c:showSerName val="0"/>
          <c:showPercent val="0"/>
          <c:showBubbleSize val="0"/>
        </c:dLbls>
        <c:marker val="1"/>
        <c:smooth val="0"/>
        <c:axId val="286561792"/>
        <c:axId val="274247616"/>
      </c:lineChart>
      <c:catAx>
        <c:axId val="286561792"/>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74247616"/>
        <c:crosses val="autoZero"/>
        <c:auto val="1"/>
        <c:lblAlgn val="ctr"/>
        <c:lblOffset val="100"/>
        <c:noMultiLvlLbl val="1"/>
      </c:catAx>
      <c:valAx>
        <c:axId val="274247616"/>
        <c:scaling>
          <c:orientation val="minMax"/>
        </c:scaling>
        <c:delete val="0"/>
        <c:axPos val="l"/>
        <c:majorGridlines>
          <c:spPr>
            <a:ln>
              <a:solidFill>
                <a:srgbClr val="B7B7B7"/>
              </a:solidFill>
            </a:ln>
          </c:spPr>
        </c:majorGridlines>
        <c:title>
          <c:tx>
            <c:rich>
              <a:bodyPr/>
              <a:lstStyle/>
              <a:p>
                <a:pPr lvl="0">
                  <a:defRPr sz="1600" b="0" i="0">
                    <a:solidFill>
                      <a:srgbClr val="548DD4"/>
                    </a:solidFill>
                  </a:defRPr>
                </a:pPr>
                <a:r>
                  <a:rPr lang="es-ES"/>
                  <a:t>Incidencia</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561792"/>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F.A.F v/s años</a:t>
            </a:r>
          </a:p>
        </c:rich>
      </c:tx>
      <c:layout/>
      <c:overlay val="0"/>
    </c:title>
    <c:autoTitleDeleted val="0"/>
    <c:plotArea>
      <c:layout/>
      <c:lineChart>
        <c:grouping val="standard"/>
        <c:varyColors val="0"/>
        <c:ser>
          <c:idx val="0"/>
          <c:order val="0"/>
          <c:tx>
            <c:strRef>
              <c:f>'ANALISIS ECONOMICO '!$B$13:$C$13</c:f>
              <c:strCache>
                <c:ptCount val="1"/>
                <c:pt idx="0">
                  <c:v>F.A.F (ACT/KP)*(BAT/BAIT)</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'!$D$13:$H$13</c:f>
              <c:numCache>
                <c:formatCode>0.00</c:formatCode>
                <c:ptCount val="5"/>
                <c:pt idx="0">
                  <c:v>4.1992522895868696</c:v>
                </c:pt>
                <c:pt idx="1">
                  <c:v>2.146978194002136</c:v>
                </c:pt>
                <c:pt idx="2">
                  <c:v>1.2317440392998118</c:v>
                </c:pt>
                <c:pt idx="3">
                  <c:v>0.97477858028258746</c:v>
                </c:pt>
                <c:pt idx="4">
                  <c:v>1.1813476590228593</c:v>
                </c:pt>
              </c:numCache>
            </c:numRef>
          </c:val>
          <c:smooth val="0"/>
          <c:extLst xmlns:c16r2="http://schemas.microsoft.com/office/drawing/2015/06/chart">
            <c:ext xmlns:c16="http://schemas.microsoft.com/office/drawing/2014/chart" uri="{C3380CC4-5D6E-409C-BE32-E72D297353CC}">
              <c16:uniqueId val="{00000000-BD14-4BE1-9935-E87B504C1720}"/>
            </c:ext>
          </c:extLst>
        </c:ser>
        <c:dLbls>
          <c:showLegendKey val="0"/>
          <c:showVal val="0"/>
          <c:showCatName val="0"/>
          <c:showSerName val="0"/>
          <c:showPercent val="0"/>
          <c:showBubbleSize val="0"/>
        </c:dLbls>
        <c:marker val="1"/>
        <c:smooth val="0"/>
        <c:axId val="286562816"/>
        <c:axId val="274249344"/>
      </c:lineChart>
      <c:catAx>
        <c:axId val="286562816"/>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74249344"/>
        <c:crosses val="autoZero"/>
        <c:auto val="1"/>
        <c:lblAlgn val="ctr"/>
        <c:lblOffset val="100"/>
        <c:noMultiLvlLbl val="1"/>
      </c:catAx>
      <c:valAx>
        <c:axId val="274249344"/>
        <c:scaling>
          <c:orientation val="minMax"/>
        </c:scaling>
        <c:delete val="0"/>
        <c:axPos val="l"/>
        <c:majorGridlines>
          <c:spPr>
            <a:ln>
              <a:solidFill>
                <a:srgbClr val="B7B7B7"/>
              </a:solidFill>
            </a:ln>
          </c:spPr>
        </c:majorGridlines>
        <c:title>
          <c:tx>
            <c:rich>
              <a:bodyPr/>
              <a:lstStyle/>
              <a:p>
                <a:pPr lvl="0">
                  <a:defRPr sz="1600" b="0" i="0">
                    <a:solidFill>
                      <a:srgbClr val="548DD4"/>
                    </a:solidFill>
                  </a:defRPr>
                </a:pPr>
                <a:r>
                  <a:rPr lang="es-ES"/>
                  <a:t>F.A.F</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56281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Leverage Financiero v/s años</a:t>
            </a:r>
          </a:p>
        </c:rich>
      </c:tx>
      <c:layout/>
      <c:overlay val="0"/>
    </c:title>
    <c:autoTitleDeleted val="0"/>
    <c:plotArea>
      <c:layout/>
      <c:lineChart>
        <c:grouping val="standard"/>
        <c:varyColors val="0"/>
        <c:ser>
          <c:idx val="0"/>
          <c:order val="0"/>
          <c:tx>
            <c:strRef>
              <c:f>'ANALISIS ECONOMICO '!$B$14:$C$14</c:f>
              <c:strCache>
                <c:ptCount val="1"/>
                <c:pt idx="0">
                  <c:v>Leverage Financiero DT/KP</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'ANALISIS ECONOMICO '!$D$3:$H$3</c:f>
              <c:numCache>
                <c:formatCode>0</c:formatCode>
                <c:ptCount val="5"/>
                <c:pt idx="0">
                  <c:v>2013</c:v>
                </c:pt>
                <c:pt idx="1">
                  <c:v>2014</c:v>
                </c:pt>
                <c:pt idx="2">
                  <c:v>2015</c:v>
                </c:pt>
                <c:pt idx="3">
                  <c:v>2016</c:v>
                </c:pt>
                <c:pt idx="4">
                  <c:v>2017</c:v>
                </c:pt>
              </c:numCache>
            </c:numRef>
          </c:cat>
          <c:val>
            <c:numRef>
              <c:f>'ANALISIS ECONOMICO '!$D$14:$H$14</c:f>
              <c:numCache>
                <c:formatCode>0.00</c:formatCode>
                <c:ptCount val="5"/>
                <c:pt idx="0">
                  <c:v>1.3152332902295805</c:v>
                </c:pt>
                <c:pt idx="1">
                  <c:v>1.6324033554161752</c:v>
                </c:pt>
                <c:pt idx="2">
                  <c:v>0.86864264656557266</c:v>
                </c:pt>
                <c:pt idx="3">
                  <c:v>1.0838854563534184</c:v>
                </c:pt>
                <c:pt idx="4">
                  <c:v>1.1199473784718539</c:v>
                </c:pt>
              </c:numCache>
            </c:numRef>
          </c:val>
          <c:smooth val="0"/>
          <c:extLst xmlns:c16r2="http://schemas.microsoft.com/office/drawing/2015/06/chart">
            <c:ext xmlns:c16="http://schemas.microsoft.com/office/drawing/2014/chart" uri="{C3380CC4-5D6E-409C-BE32-E72D297353CC}">
              <c16:uniqueId val="{00000000-64F9-4880-A883-1841070D5AEB}"/>
            </c:ext>
          </c:extLst>
        </c:ser>
        <c:dLbls>
          <c:showLegendKey val="0"/>
          <c:showVal val="0"/>
          <c:showCatName val="0"/>
          <c:showSerName val="0"/>
          <c:showPercent val="0"/>
          <c:showBubbleSize val="0"/>
        </c:dLbls>
        <c:marker val="1"/>
        <c:smooth val="0"/>
        <c:axId val="286567424"/>
        <c:axId val="274250496"/>
      </c:lineChart>
      <c:catAx>
        <c:axId val="286567424"/>
        <c:scaling>
          <c:orientation val="minMax"/>
        </c:scaling>
        <c:delete val="0"/>
        <c:axPos val="b"/>
        <c:title>
          <c:tx>
            <c:rich>
              <a:bodyPr/>
              <a:lstStyle/>
              <a:p>
                <a:pPr lvl="0">
                  <a:defRPr b="0" i="0"/>
                </a:pPr>
                <a:r>
                  <a:rPr lang="es-ES"/>
                  <a:t>Años</a:t>
                </a:r>
              </a:p>
            </c:rich>
          </c:tx>
          <c:layout/>
          <c:overlay val="0"/>
        </c:title>
        <c:numFmt formatCode="0" sourceLinked="1"/>
        <c:majorTickMark val="cross"/>
        <c:minorTickMark val="cross"/>
        <c:tickLblPos val="nextTo"/>
        <c:txPr>
          <a:bodyPr/>
          <a:lstStyle/>
          <a:p>
            <a:pPr lvl="0">
              <a:defRPr b="0" i="0"/>
            </a:pPr>
            <a:endParaRPr lang="es-CL"/>
          </a:p>
        </c:txPr>
        <c:crossAx val="274250496"/>
        <c:crosses val="autoZero"/>
        <c:auto val="1"/>
        <c:lblAlgn val="ctr"/>
        <c:lblOffset val="100"/>
        <c:noMultiLvlLbl val="1"/>
      </c:catAx>
      <c:valAx>
        <c:axId val="274250496"/>
        <c:scaling>
          <c:orientation val="minMax"/>
        </c:scaling>
        <c:delete val="0"/>
        <c:axPos val="l"/>
        <c:majorGridlines>
          <c:spPr>
            <a:ln>
              <a:solidFill>
                <a:srgbClr val="B7B7B7"/>
              </a:solidFill>
            </a:ln>
          </c:spPr>
        </c:majorGridlines>
        <c:title>
          <c:tx>
            <c:rich>
              <a:bodyPr/>
              <a:lstStyle/>
              <a:p>
                <a:pPr lvl="0">
                  <a:defRPr sz="1600" b="0" i="0">
                    <a:solidFill>
                      <a:srgbClr val="548DD4"/>
                    </a:solidFill>
                  </a:defRPr>
                </a:pPr>
                <a:r>
                  <a:rPr lang="es-ES"/>
                  <a:t>Leverage</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86567424"/>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L"/>
  <c:roundedCorners val="1"/>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a:pPr>
            <a:r>
              <a:rPr lang="es-CL"/>
              <a:t>Gráfico N°5: Masas Patrimoniales 2017</a:t>
            </a:r>
          </a:p>
        </c:rich>
      </c:tx>
      <c:layout/>
      <c:overlay val="0"/>
    </c:title>
    <c:autoTitleDeleted val="0"/>
    <c:plotArea>
      <c:layout/>
      <c:barChart>
        <c:barDir val="col"/>
        <c:grouping val="percentStacked"/>
        <c:varyColors val="1"/>
        <c:ser>
          <c:idx val="0"/>
          <c:order val="0"/>
          <c:tx>
            <c:strRef>
              <c:f>'BG CLASIFICADO AJUSTADO'!$AB$32</c:f>
              <c:strCache>
                <c:ptCount val="1"/>
                <c:pt idx="0">
                  <c:v>AF</c:v>
                </c:pt>
              </c:strCache>
            </c:strRef>
          </c:tx>
          <c:invertIfNegative val="1"/>
          <c:dLbls>
            <c:dLbl>
              <c:idx val="0"/>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0-9DA5-4033-A67A-967FEAD24575}"/>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DA5-4033-A67A-967FEAD24575}"/>
                </c:ext>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AJUSTADO'!$AC$31:$AD$31</c:f>
              <c:strCache>
                <c:ptCount val="2"/>
                <c:pt idx="0">
                  <c:v>Activo</c:v>
                </c:pt>
                <c:pt idx="1">
                  <c:v>Pasivo</c:v>
                </c:pt>
              </c:strCache>
            </c:strRef>
          </c:cat>
          <c:val>
            <c:numRef>
              <c:f>'BG CLASIFICADO AJUSTADO'!$AC$32:$AD$32</c:f>
              <c:numCache>
                <c:formatCode>General</c:formatCode>
                <c:ptCount val="2"/>
                <c:pt idx="0" formatCode="0.00%">
                  <c:v>0.74840608141245712</c:v>
                </c:pt>
              </c:numCache>
            </c:numRef>
          </c:val>
          <c:extLst xmlns:c16r2="http://schemas.microsoft.com/office/drawing/2015/06/chart">
            <c:ext xmlns:c16="http://schemas.microsoft.com/office/drawing/2014/chart" uri="{C3380CC4-5D6E-409C-BE32-E72D297353CC}">
              <c16:uniqueId val="{00000002-9DA5-4033-A67A-967FEAD24575}"/>
            </c:ext>
          </c:extLst>
        </c:ser>
        <c:ser>
          <c:idx val="1"/>
          <c:order val="1"/>
          <c:tx>
            <c:strRef>
              <c:f>'BG CLASIFICADO AJUSTADO'!$AB$33</c:f>
              <c:strCache>
                <c:ptCount val="1"/>
                <c:pt idx="0">
                  <c:v>OAF</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AJUSTADO'!$AC$31:$AD$31</c:f>
              <c:strCache>
                <c:ptCount val="2"/>
                <c:pt idx="0">
                  <c:v>Activo</c:v>
                </c:pt>
                <c:pt idx="1">
                  <c:v>Pasivo</c:v>
                </c:pt>
              </c:strCache>
            </c:strRef>
          </c:cat>
          <c:val>
            <c:numRef>
              <c:f>'BG CLASIFICADO AJUSTADO'!$AC$33:$AD$33</c:f>
              <c:numCache>
                <c:formatCode>General</c:formatCode>
                <c:ptCount val="2"/>
                <c:pt idx="0" formatCode="0.00%">
                  <c:v>0.17358198796929267</c:v>
                </c:pt>
              </c:numCache>
            </c:numRef>
          </c:val>
          <c:extLst xmlns:c16r2="http://schemas.microsoft.com/office/drawing/2015/06/chart">
            <c:ext xmlns:c16="http://schemas.microsoft.com/office/drawing/2014/chart" uri="{C3380CC4-5D6E-409C-BE32-E72D297353CC}">
              <c16:uniqueId val="{00000004-9DA5-4033-A67A-967FEAD24575}"/>
            </c:ext>
          </c:extLst>
        </c:ser>
        <c:ser>
          <c:idx val="2"/>
          <c:order val="2"/>
          <c:tx>
            <c:strRef>
              <c:f>'BG CLASIFICADO AJUSTADO'!$AB$34</c:f>
              <c:strCache>
                <c:ptCount val="1"/>
                <c:pt idx="0">
                  <c:v>OAC</c:v>
                </c:pt>
              </c:strCache>
            </c:strRef>
          </c:tx>
          <c:invertIfNegative val="1"/>
          <c:dLbls>
            <c:dLbl>
              <c:idx val="0"/>
              <c:layout>
                <c:manualLayout>
                  <c:x val="-0.13280212483399734"/>
                  <c:y val="1.5873015873015969E-2"/>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5-9DA5-4033-A67A-967FEAD24575}"/>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AJUSTADO'!$AC$31:$AD$31</c:f>
              <c:strCache>
                <c:ptCount val="2"/>
                <c:pt idx="0">
                  <c:v>Activo</c:v>
                </c:pt>
                <c:pt idx="1">
                  <c:v>Pasivo</c:v>
                </c:pt>
              </c:strCache>
            </c:strRef>
          </c:cat>
          <c:val>
            <c:numRef>
              <c:f>'BG CLASIFICADO AJUSTADO'!$AC$34:$AD$34</c:f>
              <c:numCache>
                <c:formatCode>General</c:formatCode>
                <c:ptCount val="2"/>
                <c:pt idx="0" formatCode="0.00%">
                  <c:v>1.4037493369098498E-3</c:v>
                </c:pt>
              </c:numCache>
            </c:numRef>
          </c:val>
          <c:extLst xmlns:c16r2="http://schemas.microsoft.com/office/drawing/2015/06/chart">
            <c:ext xmlns:c16="http://schemas.microsoft.com/office/drawing/2014/chart" uri="{C3380CC4-5D6E-409C-BE32-E72D297353CC}">
              <c16:uniqueId val="{00000007-9DA5-4033-A67A-967FEAD24575}"/>
            </c:ext>
          </c:extLst>
        </c:ser>
        <c:ser>
          <c:idx val="3"/>
          <c:order val="3"/>
          <c:tx>
            <c:strRef>
              <c:f>'BG CLASIFICADO AJUSTADO'!$AB$35</c:f>
              <c:strCache>
                <c:ptCount val="1"/>
                <c:pt idx="0">
                  <c:v>ST</c:v>
                </c:pt>
              </c:strCache>
            </c:strRef>
          </c:tx>
          <c:invertIfNegative val="1"/>
          <c:dLbls>
            <c:dLbl>
              <c:idx val="0"/>
              <c:layout>
                <c:manualLayout>
                  <c:x val="-2.0913720446298795E-7"/>
                  <c:y val="5.2914219055951337E-3"/>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8-9DA5-4033-A67A-967FEAD24575}"/>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9-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AJUSTADO'!$AC$31:$AD$31</c:f>
              <c:strCache>
                <c:ptCount val="2"/>
                <c:pt idx="0">
                  <c:v>Activo</c:v>
                </c:pt>
                <c:pt idx="1">
                  <c:v>Pasivo</c:v>
                </c:pt>
              </c:strCache>
            </c:strRef>
          </c:cat>
          <c:val>
            <c:numRef>
              <c:f>'BG CLASIFICADO AJUSTADO'!$AC$35:$AD$35</c:f>
              <c:numCache>
                <c:formatCode>General</c:formatCode>
                <c:ptCount val="2"/>
                <c:pt idx="0" formatCode="0.00%">
                  <c:v>2.2069641981363412E-3</c:v>
                </c:pt>
              </c:numCache>
            </c:numRef>
          </c:val>
          <c:extLst xmlns:c16r2="http://schemas.microsoft.com/office/drawing/2015/06/chart">
            <c:ext xmlns:c16="http://schemas.microsoft.com/office/drawing/2014/chart" uri="{C3380CC4-5D6E-409C-BE32-E72D297353CC}">
              <c16:uniqueId val="{0000000A-9DA5-4033-A67A-967FEAD24575}"/>
            </c:ext>
          </c:extLst>
        </c:ser>
        <c:ser>
          <c:idx val="4"/>
          <c:order val="4"/>
          <c:tx>
            <c:strRef>
              <c:f>'BG CLASIFICADO AJUSTADO'!$AB$36</c:f>
              <c:strCache>
                <c:ptCount val="1"/>
                <c:pt idx="0">
                  <c:v>CL</c:v>
                </c:pt>
              </c:strCache>
            </c:strRef>
          </c:tx>
          <c:invertIfNegative val="1"/>
          <c:dLbls>
            <c:dLbl>
              <c:idx val="0"/>
              <c:layout>
                <c:manualLayout>
                  <c:x val="0.14608233731739709"/>
                  <c:y val="0"/>
                </c:manualLayout>
              </c:layout>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B-9DA5-4033-A67A-967FEAD24575}"/>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'BG CLASIFICADO AJUSTADO'!$AC$31:$AD$31</c:f>
              <c:strCache>
                <c:ptCount val="2"/>
                <c:pt idx="0">
                  <c:v>Activo</c:v>
                </c:pt>
                <c:pt idx="1">
                  <c:v>Pasivo</c:v>
                </c:pt>
              </c:strCache>
            </c:strRef>
          </c:cat>
          <c:val>
            <c:numRef>
              <c:f>'BG CLASIFICADO AJUSTADO'!$AC$36:$AD$36</c:f>
              <c:numCache>
                <c:formatCode>General</c:formatCode>
                <c:ptCount val="2"/>
                <c:pt idx="0" formatCode="0.00%">
                  <c:v>2.1206373672568585E-2</c:v>
                </c:pt>
              </c:numCache>
            </c:numRef>
          </c:val>
          <c:extLst xmlns:c16r2="http://schemas.microsoft.com/office/drawing/2015/06/chart">
            <c:ext xmlns:c16="http://schemas.microsoft.com/office/drawing/2014/chart" uri="{C3380CC4-5D6E-409C-BE32-E72D297353CC}">
              <c16:uniqueId val="{0000000D-9DA5-4033-A67A-967FEAD24575}"/>
            </c:ext>
          </c:extLst>
        </c:ser>
        <c:ser>
          <c:idx val="5"/>
          <c:order val="5"/>
          <c:tx>
            <c:strRef>
              <c:f>'BG CLASIFICADO AJUSTADO'!$AB$37</c:f>
              <c:strCache>
                <c:ptCount val="1"/>
                <c:pt idx="0">
                  <c:v>CyB</c:v>
                </c:pt>
              </c:strCache>
            </c:strRef>
          </c:tx>
          <c:invertIfNegative val="1"/>
          <c:dLbls>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E-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AJUSTADO'!$AC$31:$AD$31</c:f>
              <c:strCache>
                <c:ptCount val="2"/>
                <c:pt idx="0">
                  <c:v>Activo</c:v>
                </c:pt>
                <c:pt idx="1">
                  <c:v>Pasivo</c:v>
                </c:pt>
              </c:strCache>
            </c:strRef>
          </c:cat>
          <c:val>
            <c:numRef>
              <c:f>'BG CLASIFICADO AJUSTADO'!$AC$37:$AD$37</c:f>
              <c:numCache>
                <c:formatCode>General</c:formatCode>
                <c:ptCount val="2"/>
                <c:pt idx="0" formatCode="0.00%">
                  <c:v>5.3194843410635469E-2</c:v>
                </c:pt>
              </c:numCache>
            </c:numRef>
          </c:val>
          <c:extLst xmlns:c16r2="http://schemas.microsoft.com/office/drawing/2015/06/chart">
            <c:ext xmlns:c16="http://schemas.microsoft.com/office/drawing/2014/chart" uri="{C3380CC4-5D6E-409C-BE32-E72D297353CC}">
              <c16:uniqueId val="{0000000F-9DA5-4033-A67A-967FEAD24575}"/>
            </c:ext>
          </c:extLst>
        </c:ser>
        <c:ser>
          <c:idx val="6"/>
          <c:order val="6"/>
          <c:tx>
            <c:strRef>
              <c:f>'BG CLASIFICADO AJUSTADO'!$AB$38</c:f>
              <c:strCache>
                <c:ptCount val="1"/>
                <c:pt idx="0">
                  <c:v>KP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0-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AJUSTADO'!$AC$31:$AD$31</c:f>
              <c:strCache>
                <c:ptCount val="2"/>
                <c:pt idx="0">
                  <c:v>Activo</c:v>
                </c:pt>
                <c:pt idx="1">
                  <c:v>Pasivo</c:v>
                </c:pt>
              </c:strCache>
            </c:strRef>
          </c:cat>
          <c:val>
            <c:numRef>
              <c:f>'BG CLASIFICADO AJUSTADO'!$AC$38:$AD$38</c:f>
              <c:numCache>
                <c:formatCode>0.00%</c:formatCode>
                <c:ptCount val="2"/>
                <c:pt idx="1">
                  <c:v>0.47170982174134979</c:v>
                </c:pt>
              </c:numCache>
            </c:numRef>
          </c:val>
          <c:extLst xmlns:c16r2="http://schemas.microsoft.com/office/drawing/2015/06/chart">
            <c:ext xmlns:c16="http://schemas.microsoft.com/office/drawing/2014/chart" uri="{C3380CC4-5D6E-409C-BE32-E72D297353CC}">
              <c16:uniqueId val="{00000011-9DA5-4033-A67A-967FEAD24575}"/>
            </c:ext>
          </c:extLst>
        </c:ser>
        <c:ser>
          <c:idx val="7"/>
          <c:order val="7"/>
          <c:tx>
            <c:strRef>
              <c:f>'BG CLASIFICADO AJUSTADO'!$AB$39</c:f>
              <c:strCache>
                <c:ptCount val="1"/>
                <c:pt idx="0">
                  <c:v>L/P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2-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AJUSTADO'!$AC$31:$AD$31</c:f>
              <c:strCache>
                <c:ptCount val="2"/>
                <c:pt idx="0">
                  <c:v>Activo</c:v>
                </c:pt>
                <c:pt idx="1">
                  <c:v>Pasivo</c:v>
                </c:pt>
              </c:strCache>
            </c:strRef>
          </c:cat>
          <c:val>
            <c:numRef>
              <c:f>'BG CLASIFICADO AJUSTADO'!$AC$39:$AD$39</c:f>
              <c:numCache>
                <c:formatCode>0.00%</c:formatCode>
                <c:ptCount val="2"/>
                <c:pt idx="1">
                  <c:v>0.44586932369809129</c:v>
                </c:pt>
              </c:numCache>
            </c:numRef>
          </c:val>
          <c:extLst xmlns:c16r2="http://schemas.microsoft.com/office/drawing/2015/06/chart">
            <c:ext xmlns:c16="http://schemas.microsoft.com/office/drawing/2014/chart" uri="{C3380CC4-5D6E-409C-BE32-E72D297353CC}">
              <c16:uniqueId val="{00000013-9DA5-4033-A67A-967FEAD24575}"/>
            </c:ext>
          </c:extLst>
        </c:ser>
        <c:ser>
          <c:idx val="8"/>
          <c:order val="8"/>
          <c:tx>
            <c:strRef>
              <c:f>'BG CLASIFICADO AJUSTADO'!$AB$40</c:f>
              <c:strCache>
                <c:ptCount val="1"/>
                <c:pt idx="0">
                  <c:v>C/P</c:v>
                </c:pt>
              </c:strCache>
            </c:strRef>
          </c:tx>
          <c:invertIfNegative val="1"/>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14-9DA5-4033-A67A-967FEAD24575}"/>
                </c:ext>
              </c:extLst>
            </c:dLbl>
            <c:spPr>
              <a:noFill/>
              <a:ln>
                <a:noFill/>
              </a:ln>
              <a:effectLst/>
            </c:spPr>
            <c:showLegendKey val="0"/>
            <c:showVal val="1"/>
            <c:showCatName val="0"/>
            <c:showSerName val="1"/>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'BG CLASIFICADO AJUSTADO'!$AC$31:$AD$31</c:f>
              <c:strCache>
                <c:ptCount val="2"/>
                <c:pt idx="0">
                  <c:v>Activo</c:v>
                </c:pt>
                <c:pt idx="1">
                  <c:v>Pasivo</c:v>
                </c:pt>
              </c:strCache>
            </c:strRef>
          </c:cat>
          <c:val>
            <c:numRef>
              <c:f>'BG CLASIFICADO AJUSTADO'!$AC$40:$AD$40</c:f>
              <c:numCache>
                <c:formatCode>0.00%</c:formatCode>
                <c:ptCount val="2"/>
                <c:pt idx="1">
                  <c:v>8.2420854560558893E-2</c:v>
                </c:pt>
              </c:numCache>
            </c:numRef>
          </c:val>
          <c:extLst xmlns:c16r2="http://schemas.microsoft.com/office/drawing/2015/06/chart">
            <c:ext xmlns:c16="http://schemas.microsoft.com/office/drawing/2014/chart" uri="{C3380CC4-5D6E-409C-BE32-E72D297353CC}">
              <c16:uniqueId val="{00000015-9DA5-4033-A67A-967FEAD24575}"/>
            </c:ext>
          </c:extLst>
        </c:ser>
        <c:dLbls>
          <c:showLegendKey val="0"/>
          <c:showVal val="0"/>
          <c:showCatName val="0"/>
          <c:showSerName val="0"/>
          <c:showPercent val="0"/>
          <c:showBubbleSize val="0"/>
        </c:dLbls>
        <c:gapWidth val="0"/>
        <c:overlap val="100"/>
        <c:axId val="268557824"/>
        <c:axId val="203232320"/>
      </c:barChart>
      <c:catAx>
        <c:axId val="268557824"/>
        <c:scaling>
          <c:orientation val="minMax"/>
        </c:scaling>
        <c:delete val="0"/>
        <c:axPos val="t"/>
        <c:numFmt formatCode="General" sourceLinked="0"/>
        <c:majorTickMark val="cross"/>
        <c:minorTickMark val="cross"/>
        <c:tickLblPos val="nextTo"/>
        <c:crossAx val="203232320"/>
        <c:crosses val="autoZero"/>
        <c:auto val="1"/>
        <c:lblAlgn val="ctr"/>
        <c:lblOffset val="100"/>
        <c:noMultiLvlLbl val="1"/>
      </c:catAx>
      <c:valAx>
        <c:axId val="203232320"/>
        <c:scaling>
          <c:orientation val="maxMin"/>
        </c:scaling>
        <c:delete val="1"/>
        <c:axPos val="l"/>
        <c:majorGridlines/>
        <c:numFmt formatCode="0%" sourceLinked="1"/>
        <c:majorTickMark val="cross"/>
        <c:minorTickMark val="cross"/>
        <c:tickLblPos val="nextTo"/>
        <c:crossAx val="268557824"/>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Razón Circulante v/s años</a:t>
            </a:r>
          </a:p>
        </c:rich>
      </c:tx>
      <c:layout/>
      <c:overlay val="0"/>
    </c:title>
    <c:autoTitleDeleted val="0"/>
    <c:plotArea>
      <c:layout/>
      <c:lineChart>
        <c:grouping val="standard"/>
        <c:varyColors val="0"/>
        <c:ser>
          <c:idx val="0"/>
          <c:order val="0"/>
          <c:tx>
            <c:strRef>
              <c:f>'CAPACIDAD DE PAGO '!$B$4:$C$4</c:f>
              <c:strCache>
                <c:ptCount val="1"/>
                <c:pt idx="0">
                  <c:v>Circulante AC/PC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'!$D$4:$H$4</c:f>
              <c:numCache>
                <c:formatCode>0.00</c:formatCode>
                <c:ptCount val="5"/>
                <c:pt idx="0">
                  <c:v>1.0907029921629174</c:v>
                </c:pt>
                <c:pt idx="1">
                  <c:v>0.80246863088324305</c:v>
                </c:pt>
                <c:pt idx="2">
                  <c:v>1.3057178899673043</c:v>
                </c:pt>
                <c:pt idx="3">
                  <c:v>1.6407347192915704</c:v>
                </c:pt>
                <c:pt idx="4">
                  <c:v>0.9465071799386745</c:v>
                </c:pt>
              </c:numCache>
            </c:numRef>
          </c:val>
          <c:smooth val="0"/>
          <c:extLst xmlns:c16r2="http://schemas.microsoft.com/office/drawing/2015/06/chart">
            <c:ext xmlns:c16="http://schemas.microsoft.com/office/drawing/2014/chart" uri="{C3380CC4-5D6E-409C-BE32-E72D297353CC}">
              <c16:uniqueId val="{00000000-B5E8-4989-8DDE-4A090F9F6170}"/>
            </c:ext>
          </c:extLst>
        </c:ser>
        <c:dLbls>
          <c:showLegendKey val="0"/>
          <c:showVal val="0"/>
          <c:showCatName val="0"/>
          <c:showSerName val="0"/>
          <c:showPercent val="0"/>
          <c:showBubbleSize val="0"/>
        </c:dLbls>
        <c:marker val="1"/>
        <c:smooth val="0"/>
        <c:axId val="271696896"/>
        <c:axId val="209216640"/>
      </c:lineChart>
      <c:catAx>
        <c:axId val="271696896"/>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09216640"/>
        <c:crosses val="autoZero"/>
        <c:auto val="1"/>
        <c:lblAlgn val="ctr"/>
        <c:lblOffset val="100"/>
        <c:noMultiLvlLbl val="1"/>
      </c:catAx>
      <c:valAx>
        <c:axId val="209216640"/>
        <c:scaling>
          <c:orientation val="minMax"/>
        </c:scaling>
        <c:delete val="0"/>
        <c:axPos val="l"/>
        <c:majorGridlines>
          <c:spPr>
            <a:ln>
              <a:solidFill>
                <a:srgbClr val="B7B7B7"/>
              </a:solidFill>
            </a:ln>
          </c:spPr>
        </c:majorGridlines>
        <c:title>
          <c:tx>
            <c:rich>
              <a:bodyPr/>
              <a:lstStyle/>
              <a:p>
                <a:pPr lvl="0">
                  <a:defRPr b="1" i="0"/>
                </a:pPr>
                <a:r>
                  <a:rPr lang="es-ES"/>
                  <a:t>Razón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169689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Razón de Tesorería v/s años</a:t>
            </a:r>
          </a:p>
        </c:rich>
      </c:tx>
      <c:layout/>
      <c:overlay val="0"/>
    </c:title>
    <c:autoTitleDeleted val="0"/>
    <c:plotArea>
      <c:layout/>
      <c:lineChart>
        <c:grouping val="standard"/>
        <c:varyColors val="0"/>
        <c:ser>
          <c:idx val="0"/>
          <c:order val="0"/>
          <c:tx>
            <c:strRef>
              <c:f>'CAPACIDAD DE PAGO '!$B$5:$C$5</c:f>
              <c:strCache>
                <c:ptCount val="1"/>
                <c:pt idx="0">
                  <c:v>Tesorería (AC-ST)/PC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'!$D$5:$H$5</c:f>
              <c:numCache>
                <c:formatCode>0.00</c:formatCode>
                <c:ptCount val="5"/>
                <c:pt idx="0">
                  <c:v>0.94692868450368406</c:v>
                </c:pt>
                <c:pt idx="1">
                  <c:v>0.71343268931895887</c:v>
                </c:pt>
                <c:pt idx="2">
                  <c:v>1.2897304533635405</c:v>
                </c:pt>
                <c:pt idx="3">
                  <c:v>1.6039641634093191</c:v>
                </c:pt>
                <c:pt idx="4">
                  <c:v>0.9197304107592823</c:v>
                </c:pt>
              </c:numCache>
            </c:numRef>
          </c:val>
          <c:smooth val="0"/>
          <c:extLst xmlns:c16r2="http://schemas.microsoft.com/office/drawing/2015/06/chart">
            <c:ext xmlns:c16="http://schemas.microsoft.com/office/drawing/2014/chart" uri="{C3380CC4-5D6E-409C-BE32-E72D297353CC}">
              <c16:uniqueId val="{00000000-6336-49A4-B433-D71361C5C263}"/>
            </c:ext>
          </c:extLst>
        </c:ser>
        <c:dLbls>
          <c:showLegendKey val="0"/>
          <c:showVal val="0"/>
          <c:showCatName val="0"/>
          <c:showSerName val="0"/>
          <c:showPercent val="0"/>
          <c:showBubbleSize val="0"/>
        </c:dLbls>
        <c:marker val="1"/>
        <c:smooth val="0"/>
        <c:axId val="271699456"/>
        <c:axId val="231923008"/>
      </c:lineChart>
      <c:catAx>
        <c:axId val="271699456"/>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31923008"/>
        <c:crosses val="autoZero"/>
        <c:auto val="1"/>
        <c:lblAlgn val="ctr"/>
        <c:lblOffset val="100"/>
        <c:noMultiLvlLbl val="1"/>
      </c:catAx>
      <c:valAx>
        <c:axId val="231923008"/>
        <c:scaling>
          <c:orientation val="minMax"/>
        </c:scaling>
        <c:delete val="0"/>
        <c:axPos val="l"/>
        <c:majorGridlines>
          <c:spPr>
            <a:ln>
              <a:solidFill>
                <a:srgbClr val="B7B7B7"/>
              </a:solidFill>
            </a:ln>
          </c:spPr>
        </c:majorGridlines>
        <c:title>
          <c:tx>
            <c:rich>
              <a:bodyPr/>
              <a:lstStyle/>
              <a:p>
                <a:pPr lvl="0">
                  <a:defRPr b="1" i="0"/>
                </a:pPr>
                <a:r>
                  <a:rPr lang="es-ES"/>
                  <a:t>Razón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169945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Liquidez CTN v/s años</a:t>
            </a:r>
          </a:p>
        </c:rich>
      </c:tx>
      <c:layout/>
      <c:overlay val="0"/>
    </c:title>
    <c:autoTitleDeleted val="0"/>
    <c:plotArea>
      <c:layout/>
      <c:lineChart>
        <c:grouping val="standard"/>
        <c:varyColors val="0"/>
        <c:ser>
          <c:idx val="0"/>
          <c:order val="0"/>
          <c:tx>
            <c:strRef>
              <c:f>'CAPACIDAD DE PAGO '!$B$6:$C$6</c:f>
              <c:strCache>
                <c:ptCount val="1"/>
                <c:pt idx="0">
                  <c:v>Liquidez Capital de Trabajo Neto CNT/AC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'!$D$6:$H$6</c:f>
              <c:numCache>
                <c:formatCode>0.00</c:formatCode>
                <c:ptCount val="5"/>
                <c:pt idx="0">
                  <c:v>8.3160120412844055E-2</c:v>
                </c:pt>
                <c:pt idx="1">
                  <c:v>-0.24615463024310694</c:v>
                </c:pt>
                <c:pt idx="2">
                  <c:v>0.23413778145825945</c:v>
                </c:pt>
                <c:pt idx="3">
                  <c:v>0.39051695058188574</c:v>
                </c:pt>
                <c:pt idx="4">
                  <c:v>-5.6516021426051256E-2</c:v>
                </c:pt>
              </c:numCache>
            </c:numRef>
          </c:val>
          <c:smooth val="0"/>
          <c:extLst xmlns:c16r2="http://schemas.microsoft.com/office/drawing/2015/06/chart">
            <c:ext xmlns:c16="http://schemas.microsoft.com/office/drawing/2014/chart" uri="{C3380CC4-5D6E-409C-BE32-E72D297353CC}">
              <c16:uniqueId val="{00000000-3150-4470-B773-6273B3E73375}"/>
            </c:ext>
          </c:extLst>
        </c:ser>
        <c:dLbls>
          <c:showLegendKey val="0"/>
          <c:showVal val="0"/>
          <c:showCatName val="0"/>
          <c:showSerName val="0"/>
          <c:showPercent val="0"/>
          <c:showBubbleSize val="0"/>
        </c:dLbls>
        <c:marker val="1"/>
        <c:smooth val="0"/>
        <c:axId val="271937536"/>
        <c:axId val="237643456"/>
      </c:lineChart>
      <c:catAx>
        <c:axId val="271937536"/>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37643456"/>
        <c:crosses val="autoZero"/>
        <c:auto val="1"/>
        <c:lblAlgn val="ctr"/>
        <c:lblOffset val="100"/>
        <c:noMultiLvlLbl val="1"/>
      </c:catAx>
      <c:valAx>
        <c:axId val="237643456"/>
        <c:scaling>
          <c:orientation val="minMax"/>
        </c:scaling>
        <c:delete val="0"/>
        <c:axPos val="l"/>
        <c:majorGridlines>
          <c:spPr>
            <a:ln>
              <a:solidFill>
                <a:srgbClr val="B7B7B7"/>
              </a:solidFill>
            </a:ln>
          </c:spPr>
        </c:majorGridlines>
        <c:title>
          <c:tx>
            <c:rich>
              <a:bodyPr/>
              <a:lstStyle/>
              <a:p>
                <a:pPr lvl="0">
                  <a:defRPr b="1" i="0"/>
                </a:pPr>
                <a:r>
                  <a:rPr lang="es-ES"/>
                  <a:t>Razón</a:t>
                </a:r>
              </a:p>
            </c:rich>
          </c:tx>
          <c:layout/>
          <c:overlay val="0"/>
        </c:title>
        <c:numFmt formatCode="0.00" sourceLinked="1"/>
        <c:majorTickMark val="cross"/>
        <c:minorTickMark val="cross"/>
        <c:tickLblPos val="nextTo"/>
        <c:spPr>
          <a:ln w="47625">
            <a:noFill/>
          </a:ln>
        </c:spPr>
        <c:txPr>
          <a:bodyPr/>
          <a:lstStyle/>
          <a:p>
            <a:pPr lvl="0">
              <a:defRPr b="0" i="0"/>
            </a:pPr>
            <a:endParaRPr lang="es-CL"/>
          </a:p>
        </c:txPr>
        <c:crossAx val="271937536"/>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L"/>
  <c:roundedCorners val="1"/>
  <c:style val="2"/>
  <c:chart>
    <c:title>
      <c:tx>
        <c:rich>
          <a:bodyPr/>
          <a:lstStyle/>
          <a:p>
            <a:pPr lvl="0">
              <a:defRPr b="0" i="0"/>
            </a:pPr>
            <a:r>
              <a:rPr lang="es-ES"/>
              <a:t>Razón de Liquidez de Stock v/s años</a:t>
            </a:r>
          </a:p>
        </c:rich>
      </c:tx>
      <c:layout/>
      <c:overlay val="0"/>
    </c:title>
    <c:autoTitleDeleted val="0"/>
    <c:plotArea>
      <c:layout/>
      <c:lineChart>
        <c:grouping val="standard"/>
        <c:varyColors val="0"/>
        <c:ser>
          <c:idx val="0"/>
          <c:order val="0"/>
          <c:tx>
            <c:strRef>
              <c:f>'CAPACIDAD DE PAGO '!$B$7:$C$7</c:f>
              <c:strCache>
                <c:ptCount val="1"/>
                <c:pt idx="0">
                  <c:v>Liquidez Stock ST/AC</c:v>
                </c:pt>
              </c:strCache>
            </c:strRef>
          </c:tx>
          <c:spPr>
            <a:ln w="19050" cmpd="sng">
              <a:solidFill>
                <a:srgbClr val="3366CC"/>
              </a:solidFill>
              <a:prstDash val="solid"/>
            </a:ln>
          </c:spPr>
          <c:marker>
            <c:symbol val="circle"/>
            <c:size val="5"/>
            <c:spPr>
              <a:solidFill>
                <a:srgbClr val="3366CC"/>
              </a:solidFill>
              <a:ln cmpd="sng">
                <a:solidFill>
                  <a:srgbClr val="3366CC"/>
                </a:solidFill>
              </a:ln>
            </c:spPr>
          </c:marker>
          <c:cat>
            <c:numRef>
              <c:f>'CAPACIDAD DE PAGO '!$D$3:$H$3</c:f>
              <c:numCache>
                <c:formatCode>General</c:formatCode>
                <c:ptCount val="5"/>
                <c:pt idx="0">
                  <c:v>2013</c:v>
                </c:pt>
                <c:pt idx="1">
                  <c:v>2014</c:v>
                </c:pt>
                <c:pt idx="2">
                  <c:v>2015</c:v>
                </c:pt>
                <c:pt idx="3">
                  <c:v>2016</c:v>
                </c:pt>
                <c:pt idx="4">
                  <c:v>2017</c:v>
                </c:pt>
              </c:numCache>
            </c:numRef>
          </c:cat>
          <c:val>
            <c:numRef>
              <c:f>'CAPACIDAD DE PAGO '!$D$7:$H$7</c:f>
              <c:numCache>
                <c:formatCode>0%</c:formatCode>
                <c:ptCount val="5"/>
                <c:pt idx="0">
                  <c:v>0.13181801892201836</c:v>
                </c:pt>
                <c:pt idx="1">
                  <c:v>0.11095255083838744</c:v>
                </c:pt>
                <c:pt idx="2">
                  <c:v>1.224417366615403E-2</c:v>
                </c:pt>
                <c:pt idx="3">
                  <c:v>2.2411030527913642E-2</c:v>
                </c:pt>
                <c:pt idx="4">
                  <c:v>2.8290085640055168E-2</c:v>
                </c:pt>
              </c:numCache>
            </c:numRef>
          </c:val>
          <c:smooth val="0"/>
          <c:extLst xmlns:c16r2="http://schemas.microsoft.com/office/drawing/2015/06/chart">
            <c:ext xmlns:c16="http://schemas.microsoft.com/office/drawing/2014/chart" uri="{C3380CC4-5D6E-409C-BE32-E72D297353CC}">
              <c16:uniqueId val="{00000000-906A-44D0-AE9C-E6C46D82EDE9}"/>
            </c:ext>
          </c:extLst>
        </c:ser>
        <c:dLbls>
          <c:showLegendKey val="0"/>
          <c:showVal val="0"/>
          <c:showCatName val="0"/>
          <c:showSerName val="0"/>
          <c:showPercent val="0"/>
          <c:showBubbleSize val="0"/>
        </c:dLbls>
        <c:marker val="1"/>
        <c:smooth val="0"/>
        <c:axId val="271938048"/>
        <c:axId val="237646912"/>
      </c:lineChart>
      <c:catAx>
        <c:axId val="271938048"/>
        <c:scaling>
          <c:orientation val="minMax"/>
        </c:scaling>
        <c:delete val="0"/>
        <c:axPos val="b"/>
        <c:title>
          <c:tx>
            <c:rich>
              <a:bodyPr/>
              <a:lstStyle/>
              <a:p>
                <a:pPr lvl="0">
                  <a:defRPr b="1" i="0"/>
                </a:pPr>
                <a:r>
                  <a:rPr lang="es-ES"/>
                  <a:t>Años</a:t>
                </a:r>
              </a:p>
            </c:rich>
          </c:tx>
          <c:layout/>
          <c:overlay val="0"/>
        </c:title>
        <c:numFmt formatCode="General" sourceLinked="1"/>
        <c:majorTickMark val="cross"/>
        <c:minorTickMark val="cross"/>
        <c:tickLblPos val="nextTo"/>
        <c:txPr>
          <a:bodyPr/>
          <a:lstStyle/>
          <a:p>
            <a:pPr lvl="0">
              <a:defRPr b="0" i="0"/>
            </a:pPr>
            <a:endParaRPr lang="es-CL"/>
          </a:p>
        </c:txPr>
        <c:crossAx val="237646912"/>
        <c:crosses val="autoZero"/>
        <c:auto val="1"/>
        <c:lblAlgn val="ctr"/>
        <c:lblOffset val="100"/>
        <c:noMultiLvlLbl val="1"/>
      </c:catAx>
      <c:valAx>
        <c:axId val="237646912"/>
        <c:scaling>
          <c:orientation val="minMax"/>
        </c:scaling>
        <c:delete val="0"/>
        <c:axPos val="l"/>
        <c:majorGridlines>
          <c:spPr>
            <a:ln>
              <a:solidFill>
                <a:srgbClr val="B7B7B7"/>
              </a:solidFill>
            </a:ln>
          </c:spPr>
        </c:majorGridlines>
        <c:title>
          <c:tx>
            <c:rich>
              <a:bodyPr/>
              <a:lstStyle/>
              <a:p>
                <a:pPr lvl="0">
                  <a:defRPr b="1" i="0"/>
                </a:pPr>
                <a:r>
                  <a:rPr lang="es-ES"/>
                  <a:t>Razón</a:t>
                </a:r>
              </a:p>
            </c:rich>
          </c:tx>
          <c:layout/>
          <c:overlay val="0"/>
        </c:title>
        <c:numFmt formatCode="0%" sourceLinked="1"/>
        <c:majorTickMark val="cross"/>
        <c:minorTickMark val="cross"/>
        <c:tickLblPos val="nextTo"/>
        <c:spPr>
          <a:ln w="47625">
            <a:noFill/>
          </a:ln>
        </c:spPr>
        <c:txPr>
          <a:bodyPr/>
          <a:lstStyle/>
          <a:p>
            <a:pPr lvl="0">
              <a:defRPr b="0" i="0"/>
            </a:pPr>
            <a:endParaRPr lang="es-CL"/>
          </a:p>
        </c:txPr>
        <c:crossAx val="271938048"/>
        <c:crosses val="autoZero"/>
        <c:crossBetween val="between"/>
      </c:valAx>
      <c:spPr>
        <a:solidFill>
          <a:srgbClr val="FFFFFF"/>
        </a:solidFill>
      </c:spPr>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oneCellAnchor>
    <xdr:from>
      <xdr:col>4</xdr:col>
      <xdr:colOff>85725</xdr:colOff>
      <xdr:row>9</xdr:row>
      <xdr:rowOff>9525</xdr:rowOff>
    </xdr:from>
    <xdr:ext cx="2514600" cy="1838325"/>
    <xdr:pic>
      <xdr:nvPicPr>
        <xdr:cNvPr id="2" name="image1.jpg" descr="Imagen relacionada"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1038225</xdr:colOff>
      <xdr:row>5</xdr:row>
      <xdr:rowOff>9525</xdr:rowOff>
    </xdr:from>
    <xdr:ext cx="1952625" cy="2657475"/>
    <xdr:pic>
      <xdr:nvPicPr>
        <xdr:cNvPr id="3" name="image2.png" title="Imagen"/>
        <xdr:cNvPicPr preferRelativeResize="0"/>
      </xdr:nvPicPr>
      <xdr:blipFill>
        <a:blip xmlns:r="http://schemas.openxmlformats.org/officeDocument/2006/relationships" r:embed="rId2" cstate="print"/>
        <a:stretch>
          <a:fillRect/>
        </a:stretch>
      </xdr:blipFill>
      <xdr:spPr>
        <a:xfrm>
          <a:off x="6505575" y="1409700"/>
          <a:ext cx="1952625" cy="26574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114300</xdr:colOff>
      <xdr:row>40</xdr:row>
      <xdr:rowOff>9525</xdr:rowOff>
    </xdr:from>
    <xdr:ext cx="5114925" cy="50101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0</xdr:colOff>
      <xdr:row>41</xdr:row>
      <xdr:rowOff>0</xdr:rowOff>
    </xdr:from>
    <xdr:ext cx="4733925" cy="48387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952500</xdr:colOff>
      <xdr:row>41</xdr:row>
      <xdr:rowOff>9525</xdr:rowOff>
    </xdr:from>
    <xdr:ext cx="4810125" cy="481012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20</xdr:col>
      <xdr:colOff>0</xdr:colOff>
      <xdr:row>41</xdr:row>
      <xdr:rowOff>19050</xdr:rowOff>
    </xdr:from>
    <xdr:ext cx="4810125" cy="48006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26</xdr:col>
      <xdr:colOff>0</xdr:colOff>
      <xdr:row>41</xdr:row>
      <xdr:rowOff>9525</xdr:rowOff>
    </xdr:from>
    <xdr:ext cx="4781550" cy="4800600"/>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19050</xdr:colOff>
      <xdr:row>13</xdr:row>
      <xdr:rowOff>123825</xdr:rowOff>
    </xdr:from>
    <xdr:ext cx="4895850" cy="3028950"/>
    <xdr:graphicFrame macro="">
      <xdr:nvGraphicFramePr>
        <xdr:cNvPr id="7" name="Chart 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9525</xdr:colOff>
      <xdr:row>13</xdr:row>
      <xdr:rowOff>85725</xdr:rowOff>
    </xdr:from>
    <xdr:ext cx="4972050" cy="3076575"/>
    <xdr:graphicFrame macro="">
      <xdr:nvGraphicFramePr>
        <xdr:cNvPr id="8" name="Chart 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171450</xdr:colOff>
      <xdr:row>13</xdr:row>
      <xdr:rowOff>95250</xdr:rowOff>
    </xdr:from>
    <xdr:ext cx="4867275" cy="3009900"/>
    <xdr:graphicFrame macro="">
      <xdr:nvGraphicFramePr>
        <xdr:cNvPr id="10" name="Chart 1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29</xdr:row>
      <xdr:rowOff>0</xdr:rowOff>
    </xdr:from>
    <xdr:ext cx="4981575" cy="3076575"/>
    <xdr:graphicFrame macro="">
      <xdr:nvGraphicFramePr>
        <xdr:cNvPr id="12" name="Chart 1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66675</xdr:colOff>
      <xdr:row>28</xdr:row>
      <xdr:rowOff>180975</xdr:rowOff>
    </xdr:from>
    <xdr:ext cx="4886325" cy="3019425"/>
    <xdr:graphicFrame macro="">
      <xdr:nvGraphicFramePr>
        <xdr:cNvPr id="15" name="Chart 1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8</xdr:col>
      <xdr:colOff>123825</xdr:colOff>
      <xdr:row>28</xdr:row>
      <xdr:rowOff>161925</xdr:rowOff>
    </xdr:from>
    <xdr:ext cx="5172075" cy="3190875"/>
    <xdr:graphicFrame macro="">
      <xdr:nvGraphicFramePr>
        <xdr:cNvPr id="19" name="Chart 1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44</xdr:row>
      <xdr:rowOff>95250</xdr:rowOff>
    </xdr:from>
    <xdr:ext cx="4953000" cy="3057525"/>
    <xdr:graphicFrame macro="">
      <xdr:nvGraphicFramePr>
        <xdr:cNvPr id="22" name="Chart 2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8</xdr:col>
      <xdr:colOff>114300</xdr:colOff>
      <xdr:row>44</xdr:row>
      <xdr:rowOff>133350</xdr:rowOff>
    </xdr:from>
    <xdr:ext cx="5257800" cy="3248025"/>
    <xdr:graphicFrame macro="">
      <xdr:nvGraphicFramePr>
        <xdr:cNvPr id="24" name="Chart 2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2</xdr:col>
      <xdr:colOff>885825</xdr:colOff>
      <xdr:row>43</xdr:row>
      <xdr:rowOff>190500</xdr:rowOff>
    </xdr:from>
    <xdr:ext cx="5133975" cy="3171825"/>
    <xdr:graphicFrame macro="">
      <xdr:nvGraphicFramePr>
        <xdr:cNvPr id="26" name="Chart 2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19</xdr:row>
      <xdr:rowOff>0</xdr:rowOff>
    </xdr:from>
    <xdr:ext cx="4810125" cy="2971800"/>
    <xdr:graphicFrame macro="">
      <xdr:nvGraphicFramePr>
        <xdr:cNvPr id="27" name="Chart 2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800100</xdr:colOff>
      <xdr:row>18</xdr:row>
      <xdr:rowOff>171450</xdr:rowOff>
    </xdr:from>
    <xdr:ext cx="4972050" cy="3076575"/>
    <xdr:graphicFrame macro="">
      <xdr:nvGraphicFramePr>
        <xdr:cNvPr id="29" name="Chart 2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952500</xdr:colOff>
      <xdr:row>18</xdr:row>
      <xdr:rowOff>152400</xdr:rowOff>
    </xdr:from>
    <xdr:ext cx="5143500" cy="3181350"/>
    <xdr:graphicFrame macro="">
      <xdr:nvGraphicFramePr>
        <xdr:cNvPr id="31" name="Chart 3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33</xdr:row>
      <xdr:rowOff>76200</xdr:rowOff>
    </xdr:from>
    <xdr:ext cx="4886325" cy="3019425"/>
    <xdr:graphicFrame macro="">
      <xdr:nvGraphicFramePr>
        <xdr:cNvPr id="32" name="Chart 3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838200</xdr:colOff>
      <xdr:row>33</xdr:row>
      <xdr:rowOff>76200</xdr:rowOff>
    </xdr:from>
    <xdr:ext cx="5019675" cy="3105150"/>
    <xdr:graphicFrame macro="">
      <xdr:nvGraphicFramePr>
        <xdr:cNvPr id="33" name="Chart 3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9</xdr:col>
      <xdr:colOff>19050</xdr:colOff>
      <xdr:row>33</xdr:row>
      <xdr:rowOff>114300</xdr:rowOff>
    </xdr:from>
    <xdr:ext cx="5114925" cy="3162300"/>
    <xdr:graphicFrame macro="">
      <xdr:nvGraphicFramePr>
        <xdr:cNvPr id="34" name="Chart 3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47</xdr:row>
      <xdr:rowOff>190500</xdr:rowOff>
    </xdr:from>
    <xdr:ext cx="5133975" cy="3181350"/>
    <xdr:graphicFrame macro="">
      <xdr:nvGraphicFramePr>
        <xdr:cNvPr id="35" name="Chart 3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xdr:col>
      <xdr:colOff>114300</xdr:colOff>
      <xdr:row>47</xdr:row>
      <xdr:rowOff>190500</xdr:rowOff>
    </xdr:from>
    <xdr:ext cx="5153025" cy="3181350"/>
    <xdr:graphicFrame macro="">
      <xdr:nvGraphicFramePr>
        <xdr:cNvPr id="36" name="Chart 3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9</xdr:col>
      <xdr:colOff>457200</xdr:colOff>
      <xdr:row>48</xdr:row>
      <xdr:rowOff>38100</xdr:rowOff>
    </xdr:from>
    <xdr:ext cx="5200650" cy="3209925"/>
    <xdr:graphicFrame macro="">
      <xdr:nvGraphicFramePr>
        <xdr:cNvPr id="37" name="Chart 3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0</xdr:col>
      <xdr:colOff>0</xdr:colOff>
      <xdr:row>63</xdr:row>
      <xdr:rowOff>57150</xdr:rowOff>
    </xdr:from>
    <xdr:ext cx="5295900" cy="3276600"/>
    <xdr:graphicFrame macro="">
      <xdr:nvGraphicFramePr>
        <xdr:cNvPr id="38" name="Chart 3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4</xdr:col>
      <xdr:colOff>266700</xdr:colOff>
      <xdr:row>63</xdr:row>
      <xdr:rowOff>38100</xdr:rowOff>
    </xdr:from>
    <xdr:ext cx="5534025" cy="3419475"/>
    <xdr:graphicFrame macro="">
      <xdr:nvGraphicFramePr>
        <xdr:cNvPr id="39" name="Chart 3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9</xdr:col>
      <xdr:colOff>914400</xdr:colOff>
      <xdr:row>63</xdr:row>
      <xdr:rowOff>76200</xdr:rowOff>
    </xdr:from>
    <xdr:ext cx="5467350" cy="3381375"/>
    <xdr:graphicFrame macro="">
      <xdr:nvGraphicFramePr>
        <xdr:cNvPr id="40" name="Chart 4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78</xdr:row>
      <xdr:rowOff>190500</xdr:rowOff>
    </xdr:from>
    <xdr:ext cx="5372100" cy="3314700"/>
    <xdr:graphicFrame macro="">
      <xdr:nvGraphicFramePr>
        <xdr:cNvPr id="41" name="Chart 4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4</xdr:col>
      <xdr:colOff>323850</xdr:colOff>
      <xdr:row>78</xdr:row>
      <xdr:rowOff>171450</xdr:rowOff>
    </xdr:from>
    <xdr:ext cx="5715000" cy="3533775"/>
    <xdr:graphicFrame macro="">
      <xdr:nvGraphicFramePr>
        <xdr:cNvPr id="42" name="Chart 4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5</xdr:row>
      <xdr:rowOff>0</xdr:rowOff>
    </xdr:from>
    <xdr:ext cx="4914900" cy="3038475"/>
    <xdr:graphicFrame macro="">
      <xdr:nvGraphicFramePr>
        <xdr:cNvPr id="14" name="Chart 1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895350</xdr:colOff>
      <xdr:row>4</xdr:row>
      <xdr:rowOff>180975</xdr:rowOff>
    </xdr:from>
    <xdr:ext cx="4895850" cy="3019425"/>
    <xdr:graphicFrame macro="">
      <xdr:nvGraphicFramePr>
        <xdr:cNvPr id="17" name="Chart 1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447675</xdr:colOff>
      <xdr:row>20</xdr:row>
      <xdr:rowOff>142875</xdr:rowOff>
    </xdr:from>
    <xdr:ext cx="4972050" cy="3067050"/>
    <xdr:graphicFrame macro="">
      <xdr:nvGraphicFramePr>
        <xdr:cNvPr id="20" name="Chart 2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19050</xdr:colOff>
      <xdr:row>14</xdr:row>
      <xdr:rowOff>66675</xdr:rowOff>
    </xdr:from>
    <xdr:ext cx="5410200" cy="3352800"/>
    <xdr:graphicFrame macro="">
      <xdr:nvGraphicFramePr>
        <xdr:cNvPr id="6" name="Chart 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504825</xdr:colOff>
      <xdr:row>14</xdr:row>
      <xdr:rowOff>76200</xdr:rowOff>
    </xdr:from>
    <xdr:ext cx="5438775" cy="3362325"/>
    <xdr:graphicFrame macro="">
      <xdr:nvGraphicFramePr>
        <xdr:cNvPr id="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838200</xdr:colOff>
      <xdr:row>14</xdr:row>
      <xdr:rowOff>104775</xdr:rowOff>
    </xdr:from>
    <xdr:ext cx="5343525" cy="3305175"/>
    <xdr:graphicFrame macro="">
      <xdr:nvGraphicFramePr>
        <xdr:cNvPr id="11" name="Chart 1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32</xdr:row>
      <xdr:rowOff>19050</xdr:rowOff>
    </xdr:from>
    <xdr:ext cx="5476875" cy="3390900"/>
    <xdr:graphicFrame macro="">
      <xdr:nvGraphicFramePr>
        <xdr:cNvPr id="13" name="Chart 1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495300</xdr:colOff>
      <xdr:row>32</xdr:row>
      <xdr:rowOff>38100</xdr:rowOff>
    </xdr:from>
    <xdr:ext cx="5476875" cy="3390900"/>
    <xdr:graphicFrame macro="">
      <xdr:nvGraphicFramePr>
        <xdr:cNvPr id="16" name="Chart 1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8</xdr:col>
      <xdr:colOff>838200</xdr:colOff>
      <xdr:row>32</xdr:row>
      <xdr:rowOff>19050</xdr:rowOff>
    </xdr:from>
    <xdr:ext cx="5391150" cy="3333750"/>
    <xdr:graphicFrame macro="">
      <xdr:nvGraphicFramePr>
        <xdr:cNvPr id="18" name="Chart 1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50</xdr:row>
      <xdr:rowOff>133350</xdr:rowOff>
    </xdr:from>
    <xdr:ext cx="5715000" cy="3533775"/>
    <xdr:graphicFrame macro="">
      <xdr:nvGraphicFramePr>
        <xdr:cNvPr id="21" name="Chart 2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723900</xdr:colOff>
      <xdr:row>50</xdr:row>
      <xdr:rowOff>57150</xdr:rowOff>
    </xdr:from>
    <xdr:ext cx="5715000" cy="3533775"/>
    <xdr:graphicFrame macro="">
      <xdr:nvGraphicFramePr>
        <xdr:cNvPr id="23" name="Chart 2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9</xdr:col>
      <xdr:colOff>323850</xdr:colOff>
      <xdr:row>50</xdr:row>
      <xdr:rowOff>19050</xdr:rowOff>
    </xdr:from>
    <xdr:ext cx="5715000" cy="3533775"/>
    <xdr:graphicFrame macro="">
      <xdr:nvGraphicFramePr>
        <xdr:cNvPr id="25" name="Chart 2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762000</xdr:colOff>
      <xdr:row>32</xdr:row>
      <xdr:rowOff>95250</xdr:rowOff>
    </xdr:from>
    <xdr:ext cx="5715000" cy="3533775"/>
    <xdr:graphicFrame macro="">
      <xdr:nvGraphicFramePr>
        <xdr:cNvPr id="28" name="Chart 2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742950</xdr:colOff>
      <xdr:row>14</xdr:row>
      <xdr:rowOff>114300</xdr:rowOff>
    </xdr:from>
    <xdr:ext cx="5715000" cy="3533775"/>
    <xdr:graphicFrame macro="">
      <xdr:nvGraphicFramePr>
        <xdr:cNvPr id="30" name="Chart 3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tables/table1.xml><?xml version="1.0" encoding="utf-8"?>
<table xmlns="http://schemas.openxmlformats.org/spreadsheetml/2006/main" id="1" name="Table_1" displayName="Table_1" ref="B3:H13" headerRowCount="0">
  <tableColumns count="7">
    <tableColumn id="1" name="Column1"/>
    <tableColumn id="2" name="Column2"/>
    <tableColumn id="3" name="Column3"/>
    <tableColumn id="4" name="Column4"/>
    <tableColumn id="5" name="Column5"/>
    <tableColumn id="6" name="Column6"/>
    <tableColumn id="7" name="Column7"/>
  </tableColumns>
  <tableStyleInfo name="CAPACIDAD DE PAGO -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4" name="Table_4" displayName="Table_4" ref="B3:G17" headerRowCount="0">
  <tableColumns count="6">
    <tableColumn id="1" name="Column1"/>
    <tableColumn id="2" name="Column2"/>
    <tableColumn id="3" name="Column3"/>
    <tableColumn id="4" name="Column4"/>
    <tableColumn id="5" name="Column5"/>
    <tableColumn id="6" name="Column6"/>
  </tableColumns>
  <tableStyleInfo name="PUNTUALIDAD DE PAGO -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2" name="Table_2" displayName="Table_2" ref="J2:O14" headerRowCount="0">
  <tableColumns count="6">
    <tableColumn id="1" name="Column1"/>
    <tableColumn id="2" name="Column2"/>
    <tableColumn id="3" name="Column3"/>
    <tableColumn id="4" name="Column4"/>
    <tableColumn id="5" name="Column5"/>
    <tableColumn id="6" name="Column6"/>
  </tableColumns>
  <tableStyleInfo name="ANALISIS ECONOMICO -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3" name="Table_3" displayName="Table_3" ref="B3:H14" headerRowCount="0">
  <tableColumns count="7">
    <tableColumn id="1" name="Column1"/>
    <tableColumn id="2" name="Column2"/>
    <tableColumn id="3" name="Column3"/>
    <tableColumn id="4" name="Column4"/>
    <tableColumn id="5" name="Column5"/>
    <tableColumn id="6" name="Column6"/>
    <tableColumn id="7" name="Column7"/>
  </tableColumns>
  <tableStyleInfo name="ANALISIS ECONOMICO -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000"/>
  <sheetViews>
    <sheetView workbookViewId="0">
      <selection activeCell="G21" sqref="G21"/>
    </sheetView>
  </sheetViews>
  <sheetFormatPr baseColWidth="10" defaultColWidth="14.42578125" defaultRowHeight="15" customHeight="1"/>
  <cols>
    <col min="1" max="2" width="10.7109375" customWidth="1"/>
    <col min="3" max="3" width="25.28515625" customWidth="1"/>
    <col min="4" max="4" width="10.7109375" customWidth="1"/>
    <col min="5" max="5" width="24.5703125" customWidth="1"/>
    <col min="6" max="6" width="16" customWidth="1"/>
  </cols>
  <sheetData>
    <row r="3" spans="2:8" ht="23.25">
      <c r="E3" s="6" t="s">
        <v>2</v>
      </c>
      <c r="F3" s="8"/>
      <c r="G3" s="8"/>
      <c r="H3" s="10"/>
    </row>
    <row r="4" spans="2:8" ht="28.5">
      <c r="B4" s="12"/>
      <c r="C4" s="14"/>
      <c r="D4" s="12"/>
      <c r="E4" s="16" t="s">
        <v>15</v>
      </c>
      <c r="F4" s="18"/>
      <c r="G4" s="20"/>
      <c r="H4" s="21"/>
    </row>
    <row r="5" spans="2:8" ht="28.5">
      <c r="B5" s="12"/>
      <c r="C5" s="14"/>
      <c r="D5" s="12"/>
      <c r="E5" s="16" t="s">
        <v>19</v>
      </c>
      <c r="F5" s="23" t="s">
        <v>20</v>
      </c>
      <c r="G5" s="20"/>
      <c r="H5" s="21"/>
    </row>
    <row r="6" spans="2:8">
      <c r="B6" s="12"/>
      <c r="C6" s="12"/>
      <c r="D6" s="12"/>
      <c r="E6" s="25" t="s">
        <v>21</v>
      </c>
      <c r="F6" s="12" t="s">
        <v>24</v>
      </c>
      <c r="H6" s="27"/>
    </row>
    <row r="7" spans="2:8">
      <c r="B7" s="12"/>
      <c r="C7" s="12"/>
      <c r="E7" s="25" t="s">
        <v>34</v>
      </c>
      <c r="F7" s="12" t="s">
        <v>36</v>
      </c>
      <c r="H7" s="27"/>
    </row>
    <row r="8" spans="2:8">
      <c r="B8" s="12"/>
      <c r="C8" s="12"/>
      <c r="E8" s="25" t="s">
        <v>38</v>
      </c>
      <c r="F8" s="12" t="s">
        <v>40</v>
      </c>
      <c r="H8" s="27"/>
    </row>
    <row r="9" spans="2:8">
      <c r="B9" s="12"/>
      <c r="C9" s="12"/>
      <c r="E9" s="25" t="s">
        <v>41</v>
      </c>
      <c r="F9" s="12" t="s">
        <v>42</v>
      </c>
      <c r="H9" s="27"/>
    </row>
    <row r="10" spans="2:8">
      <c r="C10" s="12"/>
      <c r="E10" s="29"/>
      <c r="H10" s="27"/>
    </row>
    <row r="11" spans="2:8">
      <c r="E11" s="29"/>
      <c r="H11" s="27"/>
    </row>
    <row r="12" spans="2:8">
      <c r="E12" s="29"/>
      <c r="H12" s="27"/>
    </row>
    <row r="13" spans="2:8">
      <c r="E13" s="29"/>
      <c r="H13" s="27"/>
    </row>
    <row r="14" spans="2:8">
      <c r="E14" s="29"/>
      <c r="H14" s="27"/>
    </row>
    <row r="15" spans="2:8">
      <c r="E15" s="29"/>
      <c r="H15" s="27"/>
    </row>
    <row r="16" spans="2:8">
      <c r="E16" s="29"/>
      <c r="H16" s="27"/>
    </row>
    <row r="17" spans="5:8">
      <c r="E17" s="29"/>
      <c r="H17" s="27"/>
    </row>
    <row r="18" spans="5:8">
      <c r="E18" s="29"/>
      <c r="H18" s="27"/>
    </row>
    <row r="19" spans="5:8">
      <c r="E19" s="30"/>
      <c r="F19" s="31"/>
      <c r="G19" s="31"/>
      <c r="H19" s="32"/>
    </row>
    <row r="21" spans="5:8" ht="15.75" customHeight="1"/>
    <row r="22" spans="5:8" ht="15.75" customHeight="1"/>
    <row r="23" spans="5:8" ht="15.75" customHeight="1"/>
    <row r="24" spans="5:8" ht="15.75" customHeight="1"/>
    <row r="25" spans="5:8" ht="15.75" customHeight="1"/>
    <row r="26" spans="5:8" ht="15.75" customHeight="1"/>
    <row r="27" spans="5:8" ht="15.75" customHeight="1"/>
    <row r="28" spans="5:8" ht="15.75" customHeight="1"/>
    <row r="29" spans="5:8" ht="15.75" customHeight="1"/>
    <row r="30" spans="5:8" ht="15.75" customHeight="1"/>
    <row r="31" spans="5:8" ht="15.75" customHeight="1"/>
    <row r="32" spans="5: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baseColWidth="10"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Z1001"/>
  <sheetViews>
    <sheetView workbookViewId="0">
      <selection activeCell="C14" sqref="C14"/>
    </sheetView>
  </sheetViews>
  <sheetFormatPr baseColWidth="10" defaultColWidth="14.42578125" defaultRowHeight="15" customHeight="1"/>
  <cols>
    <col min="1" max="6" width="14.42578125" customWidth="1"/>
    <col min="11" max="11" width="18.140625" customWidth="1"/>
    <col min="12" max="12" width="16.42578125" customWidth="1"/>
  </cols>
  <sheetData>
    <row r="2" spans="1:26">
      <c r="A2" s="289" t="s">
        <v>145</v>
      </c>
      <c r="B2" s="291"/>
      <c r="C2" s="289" t="s">
        <v>146</v>
      </c>
      <c r="D2" s="290"/>
      <c r="E2" s="290"/>
      <c r="F2" s="291"/>
      <c r="G2" s="293" t="s">
        <v>146</v>
      </c>
      <c r="H2" s="290"/>
      <c r="I2" s="290"/>
      <c r="J2" s="291"/>
      <c r="K2" s="294" t="s">
        <v>147</v>
      </c>
      <c r="L2" s="291"/>
      <c r="M2" s="96"/>
      <c r="N2" s="96"/>
      <c r="O2" s="111"/>
      <c r="P2" s="112"/>
      <c r="Q2" s="293" t="s">
        <v>148</v>
      </c>
      <c r="R2" s="290"/>
      <c r="S2" s="290"/>
      <c r="T2" s="291"/>
      <c r="U2" s="289" t="s">
        <v>148</v>
      </c>
      <c r="V2" s="290"/>
      <c r="W2" s="290"/>
      <c r="X2" s="291"/>
      <c r="Y2" s="114" t="s">
        <v>147</v>
      </c>
      <c r="Z2" s="115"/>
    </row>
    <row r="3" spans="1:26">
      <c r="A3" s="295"/>
      <c r="B3" s="296"/>
      <c r="C3" s="117">
        <v>2013</v>
      </c>
      <c r="D3" s="118"/>
      <c r="E3" s="119">
        <v>2015</v>
      </c>
      <c r="F3" s="118"/>
      <c r="G3" s="119" t="s">
        <v>149</v>
      </c>
      <c r="H3" s="118"/>
      <c r="I3" s="119" t="s">
        <v>150</v>
      </c>
      <c r="J3" s="120"/>
      <c r="K3" s="121" t="s">
        <v>151</v>
      </c>
      <c r="L3" s="122" t="s">
        <v>152</v>
      </c>
      <c r="M3" s="26"/>
      <c r="N3" s="26"/>
      <c r="O3" s="116"/>
      <c r="P3" s="123"/>
      <c r="Q3" s="124">
        <v>2013</v>
      </c>
      <c r="R3" s="120"/>
      <c r="S3" s="125">
        <v>2017</v>
      </c>
      <c r="T3" s="120"/>
      <c r="U3" s="125" t="s">
        <v>153</v>
      </c>
      <c r="V3" s="120"/>
      <c r="W3" s="125" t="s">
        <v>154</v>
      </c>
      <c r="X3" s="120"/>
      <c r="Y3" s="126" t="s">
        <v>151</v>
      </c>
      <c r="Z3" s="127" t="s">
        <v>152</v>
      </c>
    </row>
    <row r="4" spans="1:26">
      <c r="A4" s="297"/>
      <c r="B4" s="298"/>
      <c r="C4" s="117" t="s">
        <v>155</v>
      </c>
      <c r="D4" s="118" t="s">
        <v>68</v>
      </c>
      <c r="E4" s="119" t="s">
        <v>155</v>
      </c>
      <c r="F4" s="118" t="s">
        <v>68</v>
      </c>
      <c r="G4" s="119" t="s">
        <v>155</v>
      </c>
      <c r="H4" s="118" t="s">
        <v>68</v>
      </c>
      <c r="I4" s="119" t="s">
        <v>155</v>
      </c>
      <c r="J4" s="120" t="s">
        <v>68</v>
      </c>
      <c r="K4" s="128"/>
      <c r="L4" s="129"/>
      <c r="M4" s="26"/>
      <c r="N4" s="26"/>
      <c r="O4" s="299"/>
      <c r="P4" s="298"/>
      <c r="Q4" s="125" t="s">
        <v>156</v>
      </c>
      <c r="R4" s="120" t="s">
        <v>68</v>
      </c>
      <c r="S4" s="125" t="s">
        <v>156</v>
      </c>
      <c r="T4" s="120" t="s">
        <v>68</v>
      </c>
      <c r="U4" s="125" t="s">
        <v>156</v>
      </c>
      <c r="V4" s="120" t="s">
        <v>68</v>
      </c>
      <c r="W4" s="125" t="s">
        <v>156</v>
      </c>
      <c r="X4" s="120" t="s">
        <v>68</v>
      </c>
      <c r="Y4" s="125"/>
      <c r="Z4" s="120"/>
    </row>
    <row r="5" spans="1:26">
      <c r="A5" s="292" t="s">
        <v>157</v>
      </c>
      <c r="B5" s="291"/>
      <c r="C5" s="130">
        <f>'BG CLASIFICADO AJUSTADO'!E11</f>
        <v>31774.566192506278</v>
      </c>
      <c r="D5" s="131">
        <f>(C5/C11)*100</f>
        <v>12.678945031199499</v>
      </c>
      <c r="E5" s="134">
        <f>'BG CLASIFICADO AJUSTADO'!I11</f>
        <v>34086.347723999992</v>
      </c>
      <c r="F5" s="131">
        <f>(E5/E11)*100</f>
        <v>10.21668414373392</v>
      </c>
      <c r="G5" s="119"/>
      <c r="H5" s="118"/>
      <c r="I5" s="134">
        <f>E5-C5</f>
        <v>2311.7815314937143</v>
      </c>
      <c r="J5" s="136">
        <f>(I5/I17)*100</f>
        <v>0.92586793290292679</v>
      </c>
      <c r="K5" s="138">
        <f t="shared" ref="K5:K10" si="0">(F5-D5)</f>
        <v>-2.4622608874655789</v>
      </c>
      <c r="L5" s="140">
        <f t="shared" ref="L5:L10" si="1">(E5-C5)/C5*100</f>
        <v>7.2755722847254027</v>
      </c>
      <c r="M5" s="26"/>
      <c r="N5" s="26"/>
      <c r="O5" s="292" t="s">
        <v>157</v>
      </c>
      <c r="P5" s="291"/>
      <c r="Q5" s="141">
        <f t="shared" ref="Q5:Q14" si="2">C5</f>
        <v>31774.566192506278</v>
      </c>
      <c r="R5" s="142">
        <f>(Q5/Q11)*100</f>
        <v>12.678945031199499</v>
      </c>
      <c r="S5" s="143">
        <f t="shared" ref="S5:S16" si="3">E21</f>
        <v>21259</v>
      </c>
      <c r="T5" s="142">
        <f>(S5/S11)*100</f>
        <v>5.3194843410635473</v>
      </c>
      <c r="U5" s="141">
        <f t="shared" ref="U5:U8" si="4">(Q5-S5)</f>
        <v>10515.566192506278</v>
      </c>
      <c r="V5" s="142">
        <f>U5/U17*100</f>
        <v>3.0459367221962625</v>
      </c>
      <c r="W5" s="125"/>
      <c r="X5" s="142"/>
      <c r="Y5" s="147">
        <f t="shared" ref="Y5:Y10" si="5">(T5-R5)</f>
        <v>-7.3594606901359514</v>
      </c>
      <c r="Z5" s="142">
        <f t="shared" ref="Z5:Z10" si="6">(S5-Q5)/S5</f>
        <v>-0.49464067888923646</v>
      </c>
    </row>
    <row r="6" spans="1:26">
      <c r="A6" s="292" t="s">
        <v>166</v>
      </c>
      <c r="B6" s="291"/>
      <c r="C6" s="130">
        <f>'BG CLASIFICADO AJUSTADO'!E10</f>
        <v>77976.471972330357</v>
      </c>
      <c r="D6" s="131">
        <f>(C6/C11)*100</f>
        <v>31.114804081800827</v>
      </c>
      <c r="E6" s="134">
        <f>'BG CLASIFICADO AJUSTADO'!I10</f>
        <v>7041.2619419999983</v>
      </c>
      <c r="F6" s="131">
        <f>(E6/E11)*100</f>
        <v>2.1104739591697919</v>
      </c>
      <c r="G6" s="134">
        <f t="shared" ref="G6:G7" si="7">C6-E6</f>
        <v>70935.21003033036</v>
      </c>
      <c r="H6" s="131">
        <f>(G6/G17)*100</f>
        <v>28.409534113018541</v>
      </c>
      <c r="I6" s="119"/>
      <c r="J6" s="136"/>
      <c r="K6" s="138">
        <f t="shared" si="0"/>
        <v>-29.004330122631035</v>
      </c>
      <c r="L6" s="140">
        <f t="shared" si="1"/>
        <v>-90.970017283548614</v>
      </c>
      <c r="M6" s="26"/>
      <c r="N6" s="26"/>
      <c r="O6" s="292" t="s">
        <v>166</v>
      </c>
      <c r="P6" s="291"/>
      <c r="Q6" s="141">
        <f t="shared" si="2"/>
        <v>77976.471972330357</v>
      </c>
      <c r="R6" s="142">
        <f>(Q6/Q11)*100</f>
        <v>31.114804081800827</v>
      </c>
      <c r="S6" s="143">
        <f t="shared" si="3"/>
        <v>8475</v>
      </c>
      <c r="T6" s="142">
        <f>(S6/S11)*100</f>
        <v>2.1206373672568586</v>
      </c>
      <c r="U6" s="141">
        <f t="shared" si="4"/>
        <v>69501.471972330357</v>
      </c>
      <c r="V6" s="142">
        <f>U6/U17*100</f>
        <v>20.131781955600005</v>
      </c>
      <c r="W6" s="125"/>
      <c r="X6" s="142"/>
      <c r="Y6" s="147">
        <f t="shared" si="5"/>
        <v>-28.994166714543969</v>
      </c>
      <c r="Z6" s="142">
        <f t="shared" si="6"/>
        <v>-8.2007636545522544</v>
      </c>
    </row>
    <row r="7" spans="1:26">
      <c r="A7" s="292" t="s">
        <v>169</v>
      </c>
      <c r="B7" s="291"/>
      <c r="C7" s="130">
        <f>'BG CLASIFICADO AJUSTADO'!E9</f>
        <v>16880.274142998551</v>
      </c>
      <c r="D7" s="131">
        <f>(C7/C11)*100</f>
        <v>6.7357038542711036</v>
      </c>
      <c r="E7" s="134">
        <f>'BG CLASIFICADO AJUSTADO'!I9</f>
        <v>652.43564099999992</v>
      </c>
      <c r="F7" s="131">
        <f>(E7/E11)*100</f>
        <v>0.19555421197320813</v>
      </c>
      <c r="G7" s="134">
        <f t="shared" si="7"/>
        <v>16227.838501998551</v>
      </c>
      <c r="H7" s="131">
        <f>(G7/G17)*100</f>
        <v>6.4992453156332246</v>
      </c>
      <c r="I7" s="119"/>
      <c r="J7" s="136"/>
      <c r="K7" s="138">
        <f t="shared" si="0"/>
        <v>-6.5401496422978953</v>
      </c>
      <c r="L7" s="140">
        <f t="shared" si="1"/>
        <v>-96.134922718239082</v>
      </c>
      <c r="M7" s="26"/>
      <c r="N7" s="26"/>
      <c r="O7" s="292" t="s">
        <v>169</v>
      </c>
      <c r="P7" s="291"/>
      <c r="Q7" s="141">
        <f t="shared" si="2"/>
        <v>16880.274142998551</v>
      </c>
      <c r="R7" s="142">
        <f>(Q7/Q11)*100</f>
        <v>6.7357038542711036</v>
      </c>
      <c r="S7" s="143">
        <f t="shared" si="3"/>
        <v>882</v>
      </c>
      <c r="T7" s="142">
        <f>(S7/S11)*100</f>
        <v>0.22069641981363411</v>
      </c>
      <c r="U7" s="141">
        <f t="shared" si="4"/>
        <v>15998.274142998551</v>
      </c>
      <c r="V7" s="142">
        <f>U7/U17*100</f>
        <v>4.6340567699196793</v>
      </c>
      <c r="W7" s="125"/>
      <c r="X7" s="142"/>
      <c r="Y7" s="147">
        <f t="shared" si="5"/>
        <v>-6.5150074344574698</v>
      </c>
      <c r="Z7" s="142">
        <f t="shared" si="6"/>
        <v>-18.138632815191102</v>
      </c>
    </row>
    <row r="8" spans="1:26">
      <c r="A8" s="292" t="s">
        <v>173</v>
      </c>
      <c r="B8" s="291"/>
      <c r="C8" s="130">
        <f>'BG CLASIFICADO AJUSTADO'!E8</f>
        <v>1426.0980602016718</v>
      </c>
      <c r="D8" s="131">
        <f>(C8/C11)*100</f>
        <v>0.56905321082437177</v>
      </c>
      <c r="E8" s="134">
        <f>'BG CLASIFICADO AJUSTADO'!I8</f>
        <v>11505.350570999997</v>
      </c>
      <c r="F8" s="131">
        <f>(E8/E11)*100</f>
        <v>3.4484930359397779</v>
      </c>
      <c r="G8" s="119"/>
      <c r="H8" s="131"/>
      <c r="I8" s="134">
        <f t="shared" ref="I8:I9" si="8">E8-C8</f>
        <v>10079.252510798326</v>
      </c>
      <c r="J8" s="136">
        <f>(I8/I17)*100</f>
        <v>4.0367381433961658</v>
      </c>
      <c r="K8" s="138">
        <f t="shared" si="0"/>
        <v>2.8794398251154059</v>
      </c>
      <c r="L8" s="140">
        <f t="shared" si="1"/>
        <v>706.77134988690511</v>
      </c>
      <c r="M8" s="26"/>
      <c r="N8" s="26"/>
      <c r="O8" s="292" t="s">
        <v>173</v>
      </c>
      <c r="P8" s="291"/>
      <c r="Q8" s="141">
        <f t="shared" si="2"/>
        <v>1426.0980602016718</v>
      </c>
      <c r="R8" s="142">
        <f>(Q8/Q11)*100</f>
        <v>0.56905321082437177</v>
      </c>
      <c r="S8" s="143">
        <f t="shared" si="3"/>
        <v>561</v>
      </c>
      <c r="T8" s="142">
        <f>(S8/S11)*100</f>
        <v>0.14037493369098497</v>
      </c>
      <c r="U8" s="141">
        <f t="shared" si="4"/>
        <v>865.09806020167184</v>
      </c>
      <c r="V8" s="142">
        <f>U8/U17*100</f>
        <v>0.25058412468049829</v>
      </c>
      <c r="W8" s="125"/>
      <c r="X8" s="142"/>
      <c r="Y8" s="147">
        <f t="shared" si="5"/>
        <v>-0.4286782771333868</v>
      </c>
      <c r="Z8" s="142">
        <f t="shared" si="6"/>
        <v>-1.5420642784343526</v>
      </c>
    </row>
    <row r="9" spans="1:26">
      <c r="A9" s="292" t="s">
        <v>174</v>
      </c>
      <c r="B9" s="291"/>
      <c r="C9" s="130">
        <f>'BG CLASIFICADO AJUSTADO'!E5</f>
        <v>38332.552123409543</v>
      </c>
      <c r="D9" s="131">
        <f>(C9/C11)*100</f>
        <v>15.295765749680681</v>
      </c>
      <c r="E9" s="134">
        <f>'BG CLASIFICADO AJUSTADO'!I5</f>
        <v>199030.69286099996</v>
      </c>
      <c r="F9" s="131">
        <f>(E9/E11)*100</f>
        <v>59.655371127884891</v>
      </c>
      <c r="G9" s="119"/>
      <c r="H9" s="131"/>
      <c r="I9" s="134">
        <f t="shared" si="8"/>
        <v>160698.14073759041</v>
      </c>
      <c r="J9" s="136">
        <f>(I9/I17)*100</f>
        <v>64.359565711177581</v>
      </c>
      <c r="K9" s="138">
        <f t="shared" si="0"/>
        <v>44.359605378204208</v>
      </c>
      <c r="L9" s="140">
        <f t="shared" si="1"/>
        <v>419.22108452427483</v>
      </c>
      <c r="M9" s="26"/>
      <c r="N9" s="26"/>
      <c r="O9" s="292" t="s">
        <v>174</v>
      </c>
      <c r="P9" s="291"/>
      <c r="Q9" s="141">
        <f t="shared" si="2"/>
        <v>38332.552123409543</v>
      </c>
      <c r="R9" s="142">
        <f>(Q9/Q11)*100</f>
        <v>15.295765749680681</v>
      </c>
      <c r="S9" s="143">
        <f t="shared" si="3"/>
        <v>299096</v>
      </c>
      <c r="T9" s="142">
        <f>(S9/S11)*100</f>
        <v>74.84060814124571</v>
      </c>
      <c r="U9" s="125"/>
      <c r="V9" s="142"/>
      <c r="W9" s="143">
        <f>(S9-Q9)</f>
        <v>260763.44787659045</v>
      </c>
      <c r="X9" s="142">
        <f>(W9/W17)*100</f>
        <v>75.532686224716912</v>
      </c>
      <c r="Y9" s="147">
        <f t="shared" si="5"/>
        <v>59.544842391565027</v>
      </c>
      <c r="Z9" s="142">
        <f t="shared" si="6"/>
        <v>0.87183863333709055</v>
      </c>
    </row>
    <row r="10" spans="1:26">
      <c r="A10" s="292" t="s">
        <v>175</v>
      </c>
      <c r="B10" s="291"/>
      <c r="C10" s="130">
        <f>'BG CLASIFICADO AJUSTADO'!E6</f>
        <v>84218.949482835014</v>
      </c>
      <c r="D10" s="131">
        <f>(C10/C11)*100</f>
        <v>33.605728072223521</v>
      </c>
      <c r="E10" s="134">
        <f>'BG CLASIFICADO AJUSTADO'!I6</f>
        <v>81318.065399999978</v>
      </c>
      <c r="F10" s="131">
        <f>(E10/E11)*100</f>
        <v>24.373423521298403</v>
      </c>
      <c r="G10" s="134">
        <f>C10-E10</f>
        <v>2900.8840828350367</v>
      </c>
      <c r="H10" s="131">
        <f>(G10/G17)*100</f>
        <v>1.1618033593468824</v>
      </c>
      <c r="I10" s="119"/>
      <c r="J10" s="136"/>
      <c r="K10" s="138">
        <f t="shared" si="0"/>
        <v>-9.232304550925118</v>
      </c>
      <c r="L10" s="140">
        <f t="shared" si="1"/>
        <v>-3.4444553163492939</v>
      </c>
      <c r="M10" s="26"/>
      <c r="N10" s="26"/>
      <c r="O10" s="292" t="s">
        <v>175</v>
      </c>
      <c r="P10" s="291"/>
      <c r="Q10" s="141">
        <f t="shared" si="2"/>
        <v>84218.949482835014</v>
      </c>
      <c r="R10" s="142">
        <f>(Q10/Q11)*100</f>
        <v>33.605728072223521</v>
      </c>
      <c r="S10" s="143">
        <f t="shared" si="3"/>
        <v>69371</v>
      </c>
      <c r="T10" s="142">
        <f>(S10/S11)*100</f>
        <v>17.358198796929265</v>
      </c>
      <c r="U10" s="141">
        <f>(Q10-S10)</f>
        <v>14847.949482835014</v>
      </c>
      <c r="V10" s="142">
        <f>U10/U17*100</f>
        <v>4.3008539674555601</v>
      </c>
      <c r="W10" s="125"/>
      <c r="X10" s="142"/>
      <c r="Y10" s="147">
        <f t="shared" si="5"/>
        <v>-16.247529275294255</v>
      </c>
      <c r="Z10" s="142">
        <f t="shared" si="6"/>
        <v>-0.21403683791260059</v>
      </c>
    </row>
    <row r="11" spans="1:26">
      <c r="A11" s="292" t="s">
        <v>176</v>
      </c>
      <c r="B11" s="291"/>
      <c r="C11" s="130">
        <f>'BG CLASIFICADO AJUSTADO'!E13</f>
        <v>250608.91197428142</v>
      </c>
      <c r="D11" s="131">
        <f>D10+D9+D8+D7+D6+D5</f>
        <v>100</v>
      </c>
      <c r="E11" s="134">
        <f>'BG CLASIFICADO AJUSTADO'!I13</f>
        <v>333634.15413899993</v>
      </c>
      <c r="F11" s="131">
        <f>F10+F9+F8+F7+F6+F5</f>
        <v>99.999999999999986</v>
      </c>
      <c r="G11" s="156"/>
      <c r="H11" s="157"/>
      <c r="I11" s="156"/>
      <c r="J11" s="158"/>
      <c r="K11" s="159"/>
      <c r="L11" s="159"/>
      <c r="M11" s="26"/>
      <c r="N11" s="26"/>
      <c r="O11" s="292" t="s">
        <v>176</v>
      </c>
      <c r="P11" s="291"/>
      <c r="Q11" s="141">
        <f t="shared" si="2"/>
        <v>250608.91197428142</v>
      </c>
      <c r="R11" s="142">
        <f>SUM(R5:R10)</f>
        <v>100</v>
      </c>
      <c r="S11" s="143">
        <f t="shared" si="3"/>
        <v>399644</v>
      </c>
      <c r="T11" s="142">
        <f>(S11/S11)*100</f>
        <v>100</v>
      </c>
      <c r="U11" s="160"/>
      <c r="V11" s="161"/>
      <c r="W11" s="160"/>
      <c r="X11" s="161"/>
      <c r="Y11" s="161"/>
      <c r="Z11" s="161"/>
    </row>
    <row r="12" spans="1:26">
      <c r="A12" s="292" t="s">
        <v>91</v>
      </c>
      <c r="B12" s="291"/>
      <c r="C12" s="130">
        <f>'BG CLASIFICADO AJUSTADO'!E14</f>
        <v>108243.48156700478</v>
      </c>
      <c r="D12" s="131">
        <f>(C12/C15)*100</f>
        <v>43.192191656022672</v>
      </c>
      <c r="E12" s="134">
        <f>'BG CLASIFICADO AJUSTADO'!I14</f>
        <v>178543.58336099997</v>
      </c>
      <c r="F12" s="131">
        <f>(E12/E15)*100</f>
        <v>53.514779930658548</v>
      </c>
      <c r="G12" s="134">
        <f t="shared" ref="G12:G13" si="9">E12-C12</f>
        <v>70300.101793995185</v>
      </c>
      <c r="H12" s="131">
        <f>(G12/G17)*100</f>
        <v>28.15517342108701</v>
      </c>
      <c r="I12" s="119"/>
      <c r="J12" s="136"/>
      <c r="K12" s="162">
        <f t="shared" ref="K12:K14" si="10">(F12-D12)</f>
        <v>10.322588274635876</v>
      </c>
      <c r="L12" s="163">
        <f t="shared" ref="L12:L14" si="11">(E12-C12)/C12*100</f>
        <v>64.946268150547311</v>
      </c>
      <c r="M12" s="26"/>
      <c r="N12" s="26"/>
      <c r="O12" s="292" t="s">
        <v>177</v>
      </c>
      <c r="P12" s="291"/>
      <c r="Q12" s="141">
        <f t="shared" si="2"/>
        <v>108243.48156700478</v>
      </c>
      <c r="R12" s="142">
        <f>(Q12/Q15)*100</f>
        <v>43.192191656022672</v>
      </c>
      <c r="S12" s="143">
        <f t="shared" si="3"/>
        <v>188516</v>
      </c>
      <c r="T12" s="142">
        <f>(S12/S15)*100</f>
        <v>47.170982174134977</v>
      </c>
      <c r="U12" s="143">
        <f t="shared" ref="U12:U13" si="12">(S12-Q12)</f>
        <v>80272.518432995217</v>
      </c>
      <c r="V12" s="142">
        <f>U12/U17*100</f>
        <v>23.251721039279698</v>
      </c>
      <c r="W12" s="125"/>
      <c r="X12" s="142"/>
      <c r="Y12" s="147">
        <f t="shared" ref="Y12:Y14" si="13">(T12-R12)</f>
        <v>3.9787905181123051</v>
      </c>
      <c r="Z12" s="142">
        <f t="shared" ref="Z12:Z14" si="14">(S12-Q12)/S12</f>
        <v>0.42581276089560155</v>
      </c>
    </row>
    <row r="13" spans="1:26">
      <c r="A13" s="164" t="s">
        <v>178</v>
      </c>
      <c r="B13" s="164"/>
      <c r="C13" s="130">
        <f>'BG CLASIFICADO AJUSTADO'!E15</f>
        <v>24957.289705202711</v>
      </c>
      <c r="D13" s="131">
        <f>(C13/C15)*100</f>
        <v>9.9586600925684312</v>
      </c>
      <c r="E13" s="134">
        <f>'BG CLASIFICADO AJUSTADO'!I15</f>
        <v>114281.29927499998</v>
      </c>
      <c r="F13" s="131">
        <f>(E13/E15)*100</f>
        <v>34.253477306579249</v>
      </c>
      <c r="G13" s="134">
        <f t="shared" si="9"/>
        <v>89324.009569797272</v>
      </c>
      <c r="H13" s="131">
        <f>(G13/G17)*100</f>
        <v>35.774243790914333</v>
      </c>
      <c r="I13" s="119"/>
      <c r="J13" s="136"/>
      <c r="K13" s="162">
        <f t="shared" si="10"/>
        <v>24.29481721401082</v>
      </c>
      <c r="L13" s="163">
        <f t="shared" si="11"/>
        <v>357.90749165834455</v>
      </c>
      <c r="M13" s="26"/>
      <c r="N13" s="26"/>
      <c r="O13" s="164" t="s">
        <v>178</v>
      </c>
      <c r="P13" s="164"/>
      <c r="Q13" s="141">
        <f t="shared" si="2"/>
        <v>24957.289705202711</v>
      </c>
      <c r="R13" s="142">
        <f>(Q13/Q15)*100</f>
        <v>9.9586600925684312</v>
      </c>
      <c r="S13" s="143">
        <f t="shared" si="3"/>
        <v>178189</v>
      </c>
      <c r="T13" s="142">
        <f>(S13/S15)*100</f>
        <v>44.586932369809126</v>
      </c>
      <c r="U13" s="143">
        <f t="shared" si="12"/>
        <v>153231.71029479729</v>
      </c>
      <c r="V13" s="142">
        <f>U13/U17*100</f>
        <v>44.385065420868301</v>
      </c>
      <c r="W13" s="125"/>
      <c r="X13" s="142"/>
      <c r="Y13" s="147">
        <f t="shared" si="13"/>
        <v>34.628272277240697</v>
      </c>
      <c r="Z13" s="142">
        <f t="shared" si="14"/>
        <v>0.85993922349189511</v>
      </c>
    </row>
    <row r="14" spans="1:26">
      <c r="A14" s="292" t="s">
        <v>179</v>
      </c>
      <c r="B14" s="291"/>
      <c r="C14" s="130">
        <f>'BG CLASIFICADO AJUSTADO'!E16</f>
        <v>117408.14070207393</v>
      </c>
      <c r="D14" s="131">
        <f>(C14/C15)*100</f>
        <v>46.849148251408899</v>
      </c>
      <c r="E14" s="134">
        <f>'BG CLASIFICADO AJUSTADO'!I16</f>
        <v>40809.271502999989</v>
      </c>
      <c r="F14" s="131">
        <f>(E14/E15)*100</f>
        <v>12.231742762762195</v>
      </c>
      <c r="G14" s="119"/>
      <c r="H14" s="131"/>
      <c r="I14" s="134">
        <f>C14-E14</f>
        <v>76598.869199073932</v>
      </c>
      <c r="J14" s="136">
        <f>(I14/I17)*100</f>
        <v>30.677828212523327</v>
      </c>
      <c r="K14" s="162">
        <f t="shared" si="10"/>
        <v>-34.617405488646703</v>
      </c>
      <c r="L14" s="163">
        <f t="shared" si="11"/>
        <v>-65.241531584633023</v>
      </c>
      <c r="M14" s="26"/>
      <c r="N14" s="26"/>
      <c r="O14" s="292" t="s">
        <v>180</v>
      </c>
      <c r="P14" s="291"/>
      <c r="Q14" s="141">
        <f t="shared" si="2"/>
        <v>117408.14070207393</v>
      </c>
      <c r="R14" s="142">
        <f>(Q14/Q15)*100</f>
        <v>46.849148251408899</v>
      </c>
      <c r="S14" s="143">
        <f t="shared" si="3"/>
        <v>32939</v>
      </c>
      <c r="T14" s="142">
        <f>(S14/S15)*100</f>
        <v>8.2420854560558894</v>
      </c>
      <c r="U14" s="125"/>
      <c r="V14" s="142"/>
      <c r="W14" s="141">
        <f>(Q14-S14)</f>
        <v>84469.140702073928</v>
      </c>
      <c r="X14" s="142">
        <f>(W14/W17)*100</f>
        <v>24.467313775283088</v>
      </c>
      <c r="Y14" s="147">
        <f t="shared" si="13"/>
        <v>-38.607062795353009</v>
      </c>
      <c r="Z14" s="142">
        <f t="shared" si="14"/>
        <v>-2.5644112056247588</v>
      </c>
    </row>
    <row r="15" spans="1:26">
      <c r="A15" s="165" t="s">
        <v>136</v>
      </c>
      <c r="B15" s="166"/>
      <c r="C15" s="134">
        <f>C12+C13+C14</f>
        <v>250608.91197428142</v>
      </c>
      <c r="D15" s="131">
        <f t="shared" ref="D15:F15" si="15">SUM(D12:D14)</f>
        <v>100</v>
      </c>
      <c r="E15" s="134">
        <f t="shared" si="15"/>
        <v>333634.15413899993</v>
      </c>
      <c r="F15" s="131">
        <f t="shared" si="15"/>
        <v>100</v>
      </c>
      <c r="G15" s="156"/>
      <c r="H15" s="157"/>
      <c r="I15" s="156"/>
      <c r="J15" s="158"/>
      <c r="K15" s="159"/>
      <c r="L15" s="159"/>
      <c r="M15" s="26"/>
      <c r="N15" s="26"/>
      <c r="O15" s="165" t="s">
        <v>136</v>
      </c>
      <c r="P15" s="167"/>
      <c r="Q15" s="168">
        <f t="shared" ref="Q15:R15" si="16">SUM(Q12:Q14)</f>
        <v>250608.91197428142</v>
      </c>
      <c r="R15" s="142">
        <f t="shared" si="16"/>
        <v>100</v>
      </c>
      <c r="S15" s="143">
        <f t="shared" si="3"/>
        <v>399644</v>
      </c>
      <c r="T15" s="142">
        <f>SUM(T12:T14)</f>
        <v>100</v>
      </c>
      <c r="U15" s="160"/>
      <c r="V15" s="161"/>
      <c r="W15" s="160"/>
      <c r="X15" s="161"/>
      <c r="Y15" s="161"/>
      <c r="Z15" s="161"/>
    </row>
    <row r="16" spans="1:26">
      <c r="A16" s="292" t="s">
        <v>181</v>
      </c>
      <c r="B16" s="291"/>
      <c r="C16" s="130">
        <f>C15+C11</f>
        <v>501217.82394856284</v>
      </c>
      <c r="D16" s="157"/>
      <c r="E16" s="134">
        <f>E15+E11</f>
        <v>667268.30827799987</v>
      </c>
      <c r="F16" s="157"/>
      <c r="G16" s="156"/>
      <c r="H16" s="157"/>
      <c r="I16" s="156"/>
      <c r="J16" s="158"/>
      <c r="K16" s="169"/>
      <c r="L16" s="170"/>
      <c r="M16" s="26"/>
      <c r="N16" s="26"/>
      <c r="O16" s="292" t="s">
        <v>181</v>
      </c>
      <c r="P16" s="291"/>
      <c r="Q16" s="141">
        <f>SUM(Q15+Q11)</f>
        <v>501217.82394856284</v>
      </c>
      <c r="R16" s="160"/>
      <c r="S16" s="143">
        <f t="shared" si="3"/>
        <v>799288</v>
      </c>
      <c r="T16" s="161"/>
      <c r="U16" s="160"/>
      <c r="V16" s="161"/>
      <c r="W16" s="160"/>
      <c r="X16" s="171"/>
      <c r="Y16" s="172"/>
      <c r="Z16" s="172"/>
    </row>
    <row r="17" spans="1:26">
      <c r="A17" s="173" t="s">
        <v>182</v>
      </c>
      <c r="B17" s="174"/>
      <c r="C17" s="175"/>
      <c r="D17" s="175"/>
      <c r="E17" s="175"/>
      <c r="F17" s="175"/>
      <c r="G17" s="175">
        <f>SUM(G5:G15)</f>
        <v>249688.04397895641</v>
      </c>
      <c r="H17" s="176">
        <f>SUM(H5:H16)</f>
        <v>100</v>
      </c>
      <c r="I17" s="78">
        <f>SUM(I5:I15)</f>
        <v>249688.04397895638</v>
      </c>
      <c r="J17" s="176">
        <f>J14+J11+J9+J8+J5</f>
        <v>100</v>
      </c>
      <c r="K17" s="177"/>
      <c r="L17" s="177"/>
      <c r="O17" s="178" t="s">
        <v>183</v>
      </c>
      <c r="P17" s="178"/>
      <c r="Q17" s="178"/>
      <c r="R17" s="178"/>
      <c r="S17" s="178"/>
      <c r="T17" s="178"/>
      <c r="U17" s="179">
        <f>SUM(U5:U14)</f>
        <v>345232.58857866435</v>
      </c>
      <c r="V17" s="180">
        <f>SUM(V5:V13)</f>
        <v>100</v>
      </c>
      <c r="W17" s="178">
        <f>SUM(W5:W14)</f>
        <v>345232.58857866435</v>
      </c>
      <c r="X17" s="181">
        <f>SUM(X5:X16)</f>
        <v>100</v>
      </c>
      <c r="Y17" s="172"/>
      <c r="Z17" s="172"/>
    </row>
    <row r="18" spans="1:26">
      <c r="A18" s="111"/>
      <c r="B18" s="112"/>
      <c r="C18" s="293" t="s">
        <v>184</v>
      </c>
      <c r="D18" s="290"/>
      <c r="E18" s="290"/>
      <c r="F18" s="291"/>
      <c r="G18" s="289" t="s">
        <v>184</v>
      </c>
      <c r="H18" s="290"/>
      <c r="I18" s="290"/>
      <c r="J18" s="291"/>
      <c r="K18" s="114" t="s">
        <v>147</v>
      </c>
      <c r="L18" s="115"/>
    </row>
    <row r="19" spans="1:26">
      <c r="A19" s="116"/>
      <c r="B19" s="123"/>
      <c r="C19" s="124">
        <v>2014</v>
      </c>
      <c r="D19" s="120"/>
      <c r="E19" s="125">
        <v>2017</v>
      </c>
      <c r="F19" s="120"/>
      <c r="G19" s="125" t="s">
        <v>153</v>
      </c>
      <c r="H19" s="120"/>
      <c r="I19" s="125" t="s">
        <v>154</v>
      </c>
      <c r="J19" s="120"/>
      <c r="K19" s="126" t="s">
        <v>151</v>
      </c>
      <c r="L19" s="127" t="s">
        <v>152</v>
      </c>
      <c r="M19" s="96"/>
      <c r="N19" s="96"/>
    </row>
    <row r="20" spans="1:26">
      <c r="A20" s="299"/>
      <c r="B20" s="298"/>
      <c r="C20" s="125" t="s">
        <v>156</v>
      </c>
      <c r="D20" s="120" t="s">
        <v>68</v>
      </c>
      <c r="E20" s="125" t="s">
        <v>156</v>
      </c>
      <c r="F20" s="120" t="s">
        <v>68</v>
      </c>
      <c r="G20" s="125" t="s">
        <v>156</v>
      </c>
      <c r="H20" s="120" t="s">
        <v>68</v>
      </c>
      <c r="I20" s="125" t="s">
        <v>156</v>
      </c>
      <c r="J20" s="120" t="s">
        <v>68</v>
      </c>
      <c r="K20" s="125"/>
      <c r="L20" s="120"/>
      <c r="M20" s="26"/>
      <c r="N20" s="26"/>
    </row>
    <row r="21" spans="1:26">
      <c r="A21" s="292" t="s">
        <v>157</v>
      </c>
      <c r="B21" s="291"/>
      <c r="C21" s="141">
        <f t="shared" ref="C21:C32" si="17">E5</f>
        <v>34086.347723999992</v>
      </c>
      <c r="D21" s="142">
        <f>(C21/C27)*100</f>
        <v>10.21668414373392</v>
      </c>
      <c r="E21" s="143">
        <f>'BG CLASIFICADO AJUSTADO'!M11</f>
        <v>21259</v>
      </c>
      <c r="F21" s="142">
        <f>(E21/E27)*100</f>
        <v>5.3194843410635473</v>
      </c>
      <c r="G21" s="141">
        <f>C21-E21</f>
        <v>12827.347723999992</v>
      </c>
      <c r="H21" s="182">
        <f>G21/G33*100</f>
        <v>11.703903908557869</v>
      </c>
      <c r="I21" s="125"/>
      <c r="J21" s="142"/>
      <c r="K21" s="147">
        <f t="shared" ref="K21:K26" si="18">(F21-D21)</f>
        <v>-4.8971998026703725</v>
      </c>
      <c r="L21" s="142">
        <f t="shared" ref="L21:L26" si="19">(E21-C21)/C21*100</f>
        <v>-37.631921811817733</v>
      </c>
      <c r="M21" s="26"/>
      <c r="N21" s="183"/>
    </row>
    <row r="22" spans="1:26" ht="15.75" customHeight="1">
      <c r="A22" s="292" t="s">
        <v>166</v>
      </c>
      <c r="B22" s="291"/>
      <c r="C22" s="141">
        <f t="shared" si="17"/>
        <v>7041.2619419999983</v>
      </c>
      <c r="D22" s="142">
        <f>(C22/C27)*100</f>
        <v>2.1104739591697919</v>
      </c>
      <c r="E22" s="143">
        <f>'BG CLASIFICADO AJUSTADO'!M10</f>
        <v>8475</v>
      </c>
      <c r="F22" s="142">
        <f>(E22/E27)*100</f>
        <v>2.1206373672568586</v>
      </c>
      <c r="G22" s="125"/>
      <c r="H22" s="142"/>
      <c r="I22" s="143">
        <f t="shared" ref="I22:I23" si="20">(E22-C22)</f>
        <v>1433.7380580000017</v>
      </c>
      <c r="J22" s="142">
        <f>I22/I33*100</f>
        <v>1.3081685179141398</v>
      </c>
      <c r="K22" s="147">
        <f t="shared" si="18"/>
        <v>1.0163408087066728E-2</v>
      </c>
      <c r="L22" s="142">
        <f t="shared" si="19"/>
        <v>20.361947472057302</v>
      </c>
      <c r="M22" s="26"/>
      <c r="N22" s="183"/>
    </row>
    <row r="23" spans="1:26" ht="15.75" customHeight="1">
      <c r="A23" s="292" t="s">
        <v>169</v>
      </c>
      <c r="B23" s="291"/>
      <c r="C23" s="141">
        <f t="shared" si="17"/>
        <v>652.43564099999992</v>
      </c>
      <c r="D23" s="142">
        <f>(C23/C27)*100</f>
        <v>0.19555421197320813</v>
      </c>
      <c r="E23" s="143">
        <f>'BG CLASIFICADO AJUSTADO'!M9</f>
        <v>882</v>
      </c>
      <c r="F23" s="142">
        <f>(E23/E27)*100</f>
        <v>0.22069641981363411</v>
      </c>
      <c r="G23" s="125"/>
      <c r="H23" s="142"/>
      <c r="I23" s="143">
        <f t="shared" si="20"/>
        <v>229.56435900000008</v>
      </c>
      <c r="J23" s="142">
        <f>I23/I33*100</f>
        <v>0.20945867036399704</v>
      </c>
      <c r="K23" s="147">
        <f t="shared" si="18"/>
        <v>2.5142207840425979E-2</v>
      </c>
      <c r="L23" s="142">
        <f t="shared" si="19"/>
        <v>35.185747769411044</v>
      </c>
      <c r="M23" s="26"/>
      <c r="N23" s="183"/>
    </row>
    <row r="24" spans="1:26" ht="15.75" customHeight="1">
      <c r="A24" s="292" t="s">
        <v>173</v>
      </c>
      <c r="B24" s="291"/>
      <c r="C24" s="141">
        <f t="shared" si="17"/>
        <v>11505.350570999997</v>
      </c>
      <c r="D24" s="142">
        <f>(C24/C27)*100</f>
        <v>3.4484930359397779</v>
      </c>
      <c r="E24" s="143">
        <f>'BG CLASIFICADO AJUSTADO'!M8</f>
        <v>561</v>
      </c>
      <c r="F24" s="142">
        <f>(E24/E27)*100</f>
        <v>0.14037493369098497</v>
      </c>
      <c r="G24" s="141">
        <f>C24-E24</f>
        <v>10944.350570999997</v>
      </c>
      <c r="H24" s="142">
        <f>(G24/G33)*100</f>
        <v>9.9858232723273535</v>
      </c>
      <c r="I24" s="125"/>
      <c r="J24" s="142"/>
      <c r="K24" s="147">
        <f t="shared" si="18"/>
        <v>-3.3081181022487929</v>
      </c>
      <c r="L24" s="142">
        <f t="shared" si="19"/>
        <v>-95.124007768924159</v>
      </c>
      <c r="M24" s="184"/>
      <c r="N24" s="183"/>
    </row>
    <row r="25" spans="1:26" ht="15.75" customHeight="1">
      <c r="A25" s="292" t="s">
        <v>174</v>
      </c>
      <c r="B25" s="291"/>
      <c r="C25" s="141">
        <f t="shared" si="17"/>
        <v>199030.69286099996</v>
      </c>
      <c r="D25" s="142">
        <f>(C25/C27)*100</f>
        <v>59.655371127884891</v>
      </c>
      <c r="E25" s="143">
        <f>'BG CLASIFICADO AJUSTADO'!M5</f>
        <v>299096</v>
      </c>
      <c r="F25" s="142">
        <f>(E25/E27)*100</f>
        <v>74.84060814124571</v>
      </c>
      <c r="G25" s="125"/>
      <c r="H25" s="142"/>
      <c r="I25" s="143">
        <f>E25-C25</f>
        <v>100065.30713900004</v>
      </c>
      <c r="J25" s="142">
        <f>(I25/I33)*100</f>
        <v>91.301394842828898</v>
      </c>
      <c r="K25" s="147">
        <f t="shared" si="18"/>
        <v>15.185237013360819</v>
      </c>
      <c r="L25" s="142">
        <f t="shared" si="19"/>
        <v>50.276319546796813</v>
      </c>
      <c r="M25" s="26"/>
      <c r="N25" s="183"/>
    </row>
    <row r="26" spans="1:26" ht="15.75" customHeight="1">
      <c r="A26" s="292" t="s">
        <v>175</v>
      </c>
      <c r="B26" s="291"/>
      <c r="C26" s="141">
        <f t="shared" si="17"/>
        <v>81318.065399999978</v>
      </c>
      <c r="D26" s="142">
        <f>(C26/C27)*100</f>
        <v>24.373423521298403</v>
      </c>
      <c r="E26" s="143">
        <f>'BG CLASIFICADO AJUSTADO'!M6</f>
        <v>69371</v>
      </c>
      <c r="F26" s="142">
        <f>(E26/E27)*100</f>
        <v>17.358198796929265</v>
      </c>
      <c r="G26" s="141">
        <f>C26-E26</f>
        <v>11947.065399999978</v>
      </c>
      <c r="H26" s="142">
        <f>(G26/G33)*100</f>
        <v>10.900718405663788</v>
      </c>
      <c r="I26" s="125"/>
      <c r="J26" s="142"/>
      <c r="K26" s="147">
        <f t="shared" si="18"/>
        <v>-7.015224724369137</v>
      </c>
      <c r="L26" s="142">
        <f t="shared" si="19"/>
        <v>-14.691772782877816</v>
      </c>
      <c r="M26" s="26"/>
      <c r="N26" s="183"/>
    </row>
    <row r="27" spans="1:26" ht="15.75" customHeight="1">
      <c r="A27" s="292" t="s">
        <v>176</v>
      </c>
      <c r="B27" s="291"/>
      <c r="C27" s="141">
        <f t="shared" si="17"/>
        <v>333634.15413899993</v>
      </c>
      <c r="D27" s="142">
        <f>SUM(D21:D26)</f>
        <v>100</v>
      </c>
      <c r="E27" s="143">
        <f>'BG CLASIFICADO AJUSTADO'!M13</f>
        <v>399644</v>
      </c>
      <c r="F27" s="142">
        <f>F21+F22+F23+F24+F25+F26</f>
        <v>100</v>
      </c>
      <c r="G27" s="160"/>
      <c r="H27" s="161"/>
      <c r="I27" s="160"/>
      <c r="J27" s="161"/>
      <c r="K27" s="161"/>
      <c r="L27" s="161"/>
      <c r="M27" s="26"/>
      <c r="N27" s="26"/>
    </row>
    <row r="28" spans="1:26" ht="15.75" customHeight="1">
      <c r="A28" s="292" t="s">
        <v>177</v>
      </c>
      <c r="B28" s="291"/>
      <c r="C28" s="141">
        <f t="shared" si="17"/>
        <v>178543.58336099997</v>
      </c>
      <c r="D28" s="142">
        <f>(C28/C31)*100</f>
        <v>53.514779930658548</v>
      </c>
      <c r="E28" s="143">
        <f>'BG CLASIFICADO AJUSTADO'!M14</f>
        <v>188516</v>
      </c>
      <c r="F28" s="142">
        <f>(E28/E31)*100</f>
        <v>47.170982174134977</v>
      </c>
      <c r="G28" s="143">
        <f t="shared" ref="G28:G29" si="21">E28-C28</f>
        <v>9972.4166390000319</v>
      </c>
      <c r="H28" s="142">
        <f>(G28/G33)*100</f>
        <v>9.0990131857565348</v>
      </c>
      <c r="I28" s="125"/>
      <c r="J28" s="142"/>
      <c r="K28" s="147">
        <f t="shared" ref="K28:K30" si="22">(F28-D28)</f>
        <v>-6.3437977565235713</v>
      </c>
      <c r="L28" s="142">
        <f t="shared" ref="L28:L30" si="23">(E28-C28)/C28*100</f>
        <v>5.5854242707992778</v>
      </c>
      <c r="M28" s="26"/>
      <c r="N28" s="183"/>
    </row>
    <row r="29" spans="1:26" ht="15.75" customHeight="1">
      <c r="A29" s="164" t="s">
        <v>178</v>
      </c>
      <c r="B29" s="164"/>
      <c r="C29" s="141">
        <f t="shared" si="17"/>
        <v>114281.29927499998</v>
      </c>
      <c r="D29" s="142">
        <f>(C29/C31)*100</f>
        <v>34.253477306579249</v>
      </c>
      <c r="E29" s="143">
        <f>'BG CLASIFICADO AJUSTADO'!M15</f>
        <v>178189</v>
      </c>
      <c r="F29" s="142">
        <f>(E29/E31)*100</f>
        <v>44.586932369809126</v>
      </c>
      <c r="G29" s="143">
        <f t="shared" si="21"/>
        <v>63907.700725000017</v>
      </c>
      <c r="H29" s="142">
        <f>(G29/G33)*100</f>
        <v>58.310541227694465</v>
      </c>
      <c r="I29" s="125"/>
      <c r="J29" s="142"/>
      <c r="K29" s="147">
        <f t="shared" si="22"/>
        <v>10.333455063229877</v>
      </c>
      <c r="L29" s="142">
        <f t="shared" si="23"/>
        <v>55.921398453141649</v>
      </c>
      <c r="M29" s="26"/>
      <c r="N29" s="183"/>
    </row>
    <row r="30" spans="1:26" ht="15.75" customHeight="1">
      <c r="A30" s="292" t="s">
        <v>180</v>
      </c>
      <c r="B30" s="291"/>
      <c r="C30" s="141">
        <f t="shared" si="17"/>
        <v>40809.271502999989</v>
      </c>
      <c r="D30" s="142">
        <f>(C30/C31)*100</f>
        <v>12.231742762762195</v>
      </c>
      <c r="E30" s="143">
        <f>'BG CLASIFICADO AJUSTADO'!M16</f>
        <v>32939</v>
      </c>
      <c r="F30" s="142">
        <f>(E30/E31)*100</f>
        <v>8.2420854560558894</v>
      </c>
      <c r="G30" s="125"/>
      <c r="H30" s="142"/>
      <c r="I30" s="141">
        <f>C30-E30</f>
        <v>7870.271502999989</v>
      </c>
      <c r="J30" s="142">
        <f>(I30/I33)*100</f>
        <v>7.1809779688929574</v>
      </c>
      <c r="K30" s="147">
        <f t="shared" si="22"/>
        <v>-3.9896573067063059</v>
      </c>
      <c r="L30" s="142">
        <f t="shared" si="23"/>
        <v>-19.285498645623768</v>
      </c>
      <c r="M30" s="26"/>
      <c r="N30" s="183"/>
    </row>
    <row r="31" spans="1:26" ht="15.75" customHeight="1">
      <c r="A31" s="185" t="s">
        <v>136</v>
      </c>
      <c r="B31" s="164"/>
      <c r="C31" s="141">
        <f t="shared" si="17"/>
        <v>333634.15413899993</v>
      </c>
      <c r="D31" s="142">
        <f t="shared" ref="D31:F31" si="24">SUM(D28:D30)</f>
        <v>100</v>
      </c>
      <c r="E31" s="143">
        <f t="shared" si="24"/>
        <v>399644</v>
      </c>
      <c r="F31" s="142">
        <f t="shared" si="24"/>
        <v>100</v>
      </c>
      <c r="G31" s="160"/>
      <c r="H31" s="161"/>
      <c r="I31" s="160"/>
      <c r="J31" s="161"/>
      <c r="K31" s="161"/>
      <c r="L31" s="161"/>
      <c r="M31" s="26"/>
      <c r="N31" s="183"/>
    </row>
    <row r="32" spans="1:26" ht="15.75" customHeight="1">
      <c r="A32" s="292" t="s">
        <v>181</v>
      </c>
      <c r="B32" s="291"/>
      <c r="C32" s="141">
        <f t="shared" si="17"/>
        <v>667268.30827799987</v>
      </c>
      <c r="D32" s="160"/>
      <c r="E32" s="143">
        <f>E31+E27</f>
        <v>799288</v>
      </c>
      <c r="F32" s="161"/>
      <c r="G32" s="160"/>
      <c r="H32" s="161"/>
      <c r="I32" s="160"/>
      <c r="J32" s="171"/>
      <c r="K32" s="172"/>
      <c r="L32" s="172"/>
    </row>
    <row r="33" spans="1:12" ht="15.75" customHeight="1">
      <c r="A33" s="178" t="s">
        <v>183</v>
      </c>
      <c r="B33" s="178"/>
      <c r="C33" s="178"/>
      <c r="D33" s="178"/>
      <c r="E33" s="178"/>
      <c r="F33" s="178"/>
      <c r="G33" s="179">
        <f t="shared" ref="G33:H33" si="25">SUM(G21:G32)</f>
        <v>109598.88105900001</v>
      </c>
      <c r="H33" s="180">
        <f t="shared" si="25"/>
        <v>100</v>
      </c>
      <c r="I33" s="178">
        <f>SUM(I21:I30)</f>
        <v>109598.88105900004</v>
      </c>
      <c r="J33" s="181">
        <f>SUM(J21:J32)</f>
        <v>100</v>
      </c>
      <c r="K33" s="186"/>
      <c r="L33" s="186"/>
    </row>
    <row r="34" spans="1:12" ht="15.75" customHeight="1"/>
    <row r="35" spans="1:12" ht="15.75" customHeight="1">
      <c r="J35" s="187"/>
    </row>
    <row r="36" spans="1:12" ht="15.75" customHeight="1">
      <c r="C36" s="105"/>
      <c r="D36" s="105"/>
      <c r="E36" s="105" t="s">
        <v>185</v>
      </c>
      <c r="F36" s="105"/>
      <c r="G36" s="105" t="s">
        <v>186</v>
      </c>
    </row>
    <row r="37" spans="1:12" ht="15.75" customHeight="1">
      <c r="C37" s="105" t="s">
        <v>187</v>
      </c>
      <c r="D37" s="105"/>
      <c r="E37" s="105" t="s">
        <v>188</v>
      </c>
      <c r="F37" s="105"/>
      <c r="G37" s="105" t="s">
        <v>189</v>
      </c>
    </row>
    <row r="38" spans="1:12" ht="15.75" customHeight="1">
      <c r="C38" s="105" t="s">
        <v>190</v>
      </c>
      <c r="D38" s="105"/>
      <c r="E38" s="105" t="s">
        <v>191</v>
      </c>
      <c r="F38" s="105"/>
      <c r="G38" s="105" t="s">
        <v>192</v>
      </c>
    </row>
    <row r="39" spans="1:12" ht="15.75" customHeight="1"/>
    <row r="40" spans="1:12" ht="15.75" customHeight="1">
      <c r="A40" s="302"/>
      <c r="B40" s="301"/>
    </row>
    <row r="41" spans="1:12" ht="15.75" customHeight="1">
      <c r="A41" s="300"/>
      <c r="B41" s="301"/>
    </row>
    <row r="42" spans="1:12" ht="15.75" customHeight="1">
      <c r="A42" s="301"/>
      <c r="B42" s="301"/>
    </row>
    <row r="43" spans="1:12" ht="15.75" customHeight="1">
      <c r="A43" s="300"/>
      <c r="B43" s="301"/>
    </row>
    <row r="44" spans="1:12" ht="15.75" customHeight="1">
      <c r="A44" s="300"/>
      <c r="B44" s="301"/>
    </row>
    <row r="45" spans="1:12" ht="15.75" customHeight="1">
      <c r="A45" s="300"/>
      <c r="B45" s="301"/>
    </row>
    <row r="46" spans="1:12" ht="15.75" customHeight="1">
      <c r="A46" s="300"/>
      <c r="B46" s="301"/>
    </row>
    <row r="47" spans="1:12" ht="15.75" customHeight="1">
      <c r="A47" s="300"/>
      <c r="B47" s="301"/>
    </row>
    <row r="48" spans="1:12" ht="15.75" customHeight="1">
      <c r="A48" s="300"/>
      <c r="B48" s="301"/>
    </row>
    <row r="49" spans="1:2" ht="15.75" customHeight="1">
      <c r="A49" s="300"/>
      <c r="B49" s="301"/>
    </row>
    <row r="50" spans="1:2" ht="15.75" customHeight="1">
      <c r="A50" s="300"/>
      <c r="B50" s="301"/>
    </row>
    <row r="51" spans="1:2" ht="15.75" customHeight="1">
      <c r="A51" s="26"/>
      <c r="B51" s="26"/>
    </row>
    <row r="52" spans="1:2" ht="15.75" customHeight="1">
      <c r="A52" s="300"/>
      <c r="B52" s="301"/>
    </row>
    <row r="53" spans="1:2" ht="15.75" customHeight="1">
      <c r="A53" s="300"/>
      <c r="B53" s="301"/>
    </row>
    <row r="54" spans="1:2" ht="15.75" customHeight="1">
      <c r="A54" s="300"/>
      <c r="B54" s="30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4">
    <mergeCell ref="A25:B25"/>
    <mergeCell ref="A16:B16"/>
    <mergeCell ref="A23:B23"/>
    <mergeCell ref="A24:B24"/>
    <mergeCell ref="A54:B54"/>
    <mergeCell ref="A53:B53"/>
    <mergeCell ref="A26:B26"/>
    <mergeCell ref="A28:B28"/>
    <mergeCell ref="A27:B27"/>
    <mergeCell ref="A52:B52"/>
    <mergeCell ref="A48:B48"/>
    <mergeCell ref="A47:B47"/>
    <mergeCell ref="A49:B49"/>
    <mergeCell ref="A50:B50"/>
    <mergeCell ref="A41:B42"/>
    <mergeCell ref="A32:B32"/>
    <mergeCell ref="A30:B30"/>
    <mergeCell ref="A46:B46"/>
    <mergeCell ref="A43:B43"/>
    <mergeCell ref="A45:B45"/>
    <mergeCell ref="A44:B44"/>
    <mergeCell ref="A40:B40"/>
    <mergeCell ref="O9:P9"/>
    <mergeCell ref="O7:P7"/>
    <mergeCell ref="O8:P8"/>
    <mergeCell ref="O10:P10"/>
    <mergeCell ref="O6:P6"/>
    <mergeCell ref="A20:B20"/>
    <mergeCell ref="A22:B22"/>
    <mergeCell ref="A21:B21"/>
    <mergeCell ref="O11:P11"/>
    <mergeCell ref="O14:P14"/>
    <mergeCell ref="O16:P16"/>
    <mergeCell ref="O12:P12"/>
    <mergeCell ref="A14:B14"/>
    <mergeCell ref="A10:B10"/>
    <mergeCell ref="A7:B7"/>
    <mergeCell ref="G18:J18"/>
    <mergeCell ref="C18:F18"/>
    <mergeCell ref="A11:B11"/>
    <mergeCell ref="A12:B12"/>
    <mergeCell ref="A9:B9"/>
    <mergeCell ref="A8:B8"/>
    <mergeCell ref="U2:X2"/>
    <mergeCell ref="A6:B6"/>
    <mergeCell ref="Q2:T2"/>
    <mergeCell ref="G2:J2"/>
    <mergeCell ref="K2:L2"/>
    <mergeCell ref="O5:P5"/>
    <mergeCell ref="C2:F2"/>
    <mergeCell ref="A2:B2"/>
    <mergeCell ref="A3:B4"/>
    <mergeCell ref="A5:B5"/>
    <mergeCell ref="O4:P4"/>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I1000"/>
  <sheetViews>
    <sheetView zoomScale="87" zoomScaleNormal="87" workbookViewId="0">
      <selection activeCell="K7" sqref="K7"/>
    </sheetView>
  </sheetViews>
  <sheetFormatPr baseColWidth="10" defaultColWidth="14.42578125" defaultRowHeight="15" customHeight="1"/>
  <cols>
    <col min="1" max="1" width="14.42578125" customWidth="1"/>
    <col min="2" max="2" width="44.85546875" customWidth="1"/>
    <col min="3" max="6" width="14.42578125" customWidth="1"/>
  </cols>
  <sheetData>
    <row r="3" spans="2:9" ht="15.75">
      <c r="B3" s="228" t="s">
        <v>214</v>
      </c>
      <c r="C3" s="228"/>
      <c r="D3" s="229">
        <v>2013</v>
      </c>
      <c r="E3" s="229">
        <v>2014</v>
      </c>
      <c r="F3" s="229">
        <v>2015</v>
      </c>
      <c r="G3" s="229">
        <v>2016</v>
      </c>
      <c r="H3" s="229">
        <v>2017</v>
      </c>
      <c r="I3" s="320"/>
    </row>
    <row r="4" spans="2:9" ht="15.75">
      <c r="B4" s="230" t="s">
        <v>215</v>
      </c>
      <c r="C4" s="230" t="s">
        <v>216</v>
      </c>
      <c r="D4" s="231">
        <f>('BG CLASIFICADO AJUSTADO'!E12/'BG CLASIFICADO AJUSTADO'!E16)</f>
        <v>1.0907029921629174</v>
      </c>
      <c r="E4" s="231">
        <f>('BG CLASIFICADO AJUSTADO'!G12/'BG CLASIFICADO AJUSTADO'!G16)</f>
        <v>0.80246863088324305</v>
      </c>
      <c r="F4" s="231">
        <f>('BG CLASIFICADO AJUSTADO'!I12/'BG CLASIFICADO AJUSTADO'!I16)</f>
        <v>1.3057178899673043</v>
      </c>
      <c r="G4" s="231">
        <f>('BG CLASIFICADO AJUSTADO'!K12/'BG CLASIFICADO AJUSTADO'!K16)</f>
        <v>1.6407347192915704</v>
      </c>
      <c r="H4" s="231">
        <f>('BG CLASIFICADO AJUSTADO'!M12/'BG CLASIFICADO AJUSTADO'!M16)</f>
        <v>0.9465071799386745</v>
      </c>
      <c r="I4" s="320"/>
    </row>
    <row r="5" spans="2:9" ht="15.75">
      <c r="B5" s="230" t="s">
        <v>217</v>
      </c>
      <c r="C5" s="230" t="s">
        <v>218</v>
      </c>
      <c r="D5" s="231">
        <f>('BG CLASIFICADO AJUSTADO'!E12-'BG CLASIFICADO AJUSTADO'!E9)/'BG CLASIFICADO AJUSTADO'!E16</f>
        <v>0.94692868450368406</v>
      </c>
      <c r="E5" s="231">
        <f>('BG CLASIFICADO AJUSTADO'!G12-'BG CLASIFICADO AJUSTADO'!G9)/'BG CLASIFICADO AJUSTADO'!G16</f>
        <v>0.71343268931895887</v>
      </c>
      <c r="F5" s="231">
        <f>('BG CLASIFICADO AJUSTADO'!I12-'BG CLASIFICADO AJUSTADO'!I9)/'BG CLASIFICADO AJUSTADO'!I16</f>
        <v>1.2897304533635405</v>
      </c>
      <c r="G5" s="231">
        <f>('BG CLASIFICADO AJUSTADO'!K12-'BG CLASIFICADO AJUSTADO'!K9)/'BG CLASIFICADO AJUSTADO'!K16</f>
        <v>1.6039641634093191</v>
      </c>
      <c r="H5" s="231">
        <f>('BG CLASIFICADO AJUSTADO'!M12-'BG CLASIFICADO AJUSTADO'!M9)/'BG CLASIFICADO AJUSTADO'!M16</f>
        <v>0.9197304107592823</v>
      </c>
      <c r="I5" s="320"/>
    </row>
    <row r="6" spans="2:9" ht="15.75">
      <c r="B6" s="230" t="s">
        <v>219</v>
      </c>
      <c r="C6" s="230" t="s">
        <v>220</v>
      </c>
      <c r="D6" s="231">
        <f>('BG CLASIFICADO AJUSTADO'!E12-'BG CLASIFICADO AJUSTADO'!E16)/'BG CLASIFICADO AJUSTADO'!E12</f>
        <v>8.3160120412844055E-2</v>
      </c>
      <c r="E6" s="231">
        <f>('BG CLASIFICADO AJUSTADO'!G12-'BG CLASIFICADO AJUSTADO'!G16)/'BG CLASIFICADO AJUSTADO'!G12</f>
        <v>-0.24615463024310694</v>
      </c>
      <c r="F6" s="231">
        <f>('BG CLASIFICADO AJUSTADO'!I12-'BG CLASIFICADO AJUSTADO'!I16)/'BG CLASIFICADO AJUSTADO'!I12</f>
        <v>0.23413778145825945</v>
      </c>
      <c r="G6" s="231">
        <f>('BG CLASIFICADO AJUSTADO'!K12-'BG CLASIFICADO AJUSTADO'!K16)/'BG CLASIFICADO AJUSTADO'!K12</f>
        <v>0.39051695058188574</v>
      </c>
      <c r="H6" s="231">
        <f>('BG CLASIFICADO AJUSTADO'!M12-'BG CLASIFICADO AJUSTADO'!M16)/'BG CLASIFICADO AJUSTADO'!M12</f>
        <v>-5.6516021426051256E-2</v>
      </c>
      <c r="I6" s="320"/>
    </row>
    <row r="7" spans="2:9" ht="15.75">
      <c r="B7" s="230" t="s">
        <v>221</v>
      </c>
      <c r="C7" s="230" t="s">
        <v>222</v>
      </c>
      <c r="D7" s="281">
        <f>('BG CLASIFICADO AJUSTADO'!E9/'BG CLASIFICADO AJUSTADO'!E12)*100%</f>
        <v>0.13181801892201836</v>
      </c>
      <c r="E7" s="281">
        <f>('BG CLASIFICADO AJUSTADO'!G9/'BG CLASIFICADO AJUSTADO'!G12)</f>
        <v>0.11095255083838744</v>
      </c>
      <c r="F7" s="281">
        <f>('BG CLASIFICADO AJUSTADO'!I9/'BG CLASIFICADO AJUSTADO'!I12)</f>
        <v>1.224417366615403E-2</v>
      </c>
      <c r="G7" s="281">
        <f>('BG CLASIFICADO AJUSTADO'!K9/'BG CLASIFICADO AJUSTADO'!K12)</f>
        <v>2.2411030527913642E-2</v>
      </c>
      <c r="H7" s="281">
        <f>('BG CLASIFICADO AJUSTADO'!M9/'BG CLASIFICADO AJUSTADO'!M12)</f>
        <v>2.8290085640055168E-2</v>
      </c>
      <c r="I7" s="320"/>
    </row>
    <row r="8" spans="2:9" ht="15.75">
      <c r="B8" s="230" t="s">
        <v>223</v>
      </c>
      <c r="C8" s="230" t="s">
        <v>224</v>
      </c>
      <c r="D8" s="231">
        <f>('BG CLASIFICADO AJUSTADO'!E15+'BG CLASIFICADO AJUSTADO'!E16)/'BG CLASIFICADO AJUSTADO'!E13</f>
        <v>0.56807808343977328</v>
      </c>
      <c r="E8" s="231">
        <f>('BG CLASIFICADO AJUSTADO'!G15+'BG CLASIFICADO AJUSTADO'!G16)/'BG CLASIFICADO AJUSTADO'!G13</f>
        <v>0.62011900724009561</v>
      </c>
      <c r="F8" s="231">
        <f>('BG CLASIFICADO AJUSTADO'!I15+'BG CLASIFICADO AJUSTADO'!I16)/'BG CLASIFICADO AJUSTADO'!I13</f>
        <v>0.46485220069341443</v>
      </c>
      <c r="G8" s="231">
        <f>('BG CLASIFICADO AJUSTADO'!K15+'BG CLASIFICADO AJUSTADO'!K16)/'BG CLASIFICADO AJUSTADO'!K13</f>
        <v>0.52012717543991338</v>
      </c>
      <c r="H8" s="231">
        <f>('BG CLASIFICADO AJUSTADO'!M15+'BG CLASIFICADO AJUSTADO'!M16)/'BG CLASIFICADO AJUSTADO'!M13</f>
        <v>0.52829017825865021</v>
      </c>
      <c r="I8" s="320"/>
    </row>
    <row r="9" spans="2:9" ht="15.75">
      <c r="B9" s="230" t="s">
        <v>225</v>
      </c>
      <c r="C9" s="230" t="s">
        <v>226</v>
      </c>
      <c r="D9" s="231">
        <f>('BG CLASIFICADO AJUSTADO'!E11/'BG CLASIFICADO AJUSTADO'!E16)</f>
        <v>0.27063341606895069</v>
      </c>
      <c r="E9" s="231">
        <f>('BG CLASIFICADO AJUSTADO'!G11/'BG CLASIFICADO AJUSTADO'!G16)</f>
        <v>0.14217121730168339</v>
      </c>
      <c r="F9" s="231">
        <f>('BG CLASIFICADO AJUSTADO'!I11/'BG CLASIFICADO AJUSTADO'!I16)</f>
        <v>0.8352598923873028</v>
      </c>
      <c r="G9" s="231">
        <f>('BG CLASIFICADO AJUSTADO'!K11/'BG CLASIFICADO AJUSTADO'!K16)</f>
        <v>1.3082085163789825</v>
      </c>
      <c r="H9" s="231">
        <f>('BG CLASIFICADO AJUSTADO'!M11/'BG CLASIFICADO AJUSTADO'!M16)</f>
        <v>0.64540514283979478</v>
      </c>
      <c r="I9" s="320"/>
    </row>
    <row r="10" spans="2:9" ht="15.75">
      <c r="B10" s="230" t="s">
        <v>227</v>
      </c>
      <c r="C10" s="230" t="s">
        <v>297</v>
      </c>
      <c r="D10" s="231">
        <f>('BG CLASIFICADO AJUSTADO'!E16/('BG CLASIFICADO AJUSTADO'!E15+'BG CLASIFICADO AJUSTADO'!E16))</f>
        <v>0.82469557649068803</v>
      </c>
      <c r="E10" s="231">
        <f>('BG CLASIFICADO AJUSTADO'!G16/('BG CLASIFICADO AJUSTADO'!G15+'BG CLASIFICADO AJUSTADO'!G16))</f>
        <v>0.82553852387061921</v>
      </c>
      <c r="F10" s="231">
        <f>('BG CLASIFICADO AJUSTADO'!I16/('BG CLASIFICADO AJUSTADO'!I15+'BG CLASIFICADO AJUSTADO'!I16))</f>
        <v>0.26313186738744598</v>
      </c>
      <c r="G10" s="231">
        <f>('BG CLASIFICADO AJUSTADO'!K16/('BG CLASIFICADO AJUSTADO'!K15+'BG CLASIFICADO AJUSTADO'!K16))</f>
        <v>0.14899856717279483</v>
      </c>
      <c r="H10" s="231">
        <f>('BG CLASIFICADO AJUSTADO'!M16/('BG CLASIFICADO AJUSTADO'!M15+'BG CLASIFICADO AJUSTADO'!M16))</f>
        <v>0.15601436095638666</v>
      </c>
      <c r="I10" s="320"/>
    </row>
    <row r="11" spans="2:9" ht="15.75">
      <c r="B11" s="270" t="s">
        <v>290</v>
      </c>
      <c r="C11" s="230" t="s">
        <v>228</v>
      </c>
      <c r="D11" s="231">
        <f>('BG CLASIFICADO AJUSTADO'!E12-'BG CLASIFICADO AJUSTADO'!E16)/'BG CLASIFICADO AJUSTADO'!E9</f>
        <v>0.63087065860123714</v>
      </c>
      <c r="E11" s="231">
        <f>('BG CLASIFICADO AJUSTADO'!G12-'BG CLASIFICADO AJUSTADO'!G16)/'BG CLASIFICADO AJUSTADO'!G9</f>
        <v>-2.2185576481396425</v>
      </c>
      <c r="F11" s="231">
        <f>('BG CLASIFICADO AJUSTADO'!I12-'BG CLASIFICADO AJUSTADO'!I16)/'BG CLASIFICADO AJUSTADO'!I9</f>
        <v>19.122383252818036</v>
      </c>
      <c r="G11" s="231">
        <f>('BG CLASIFICADO AJUSTADO'!K12-'BG CLASIFICADO AJUSTADO'!K16)/'BG CLASIFICADO AJUSTADO'!K9</f>
        <v>17.425211665098786</v>
      </c>
      <c r="H11" s="231">
        <f>('BG CLASIFICADO AJUSTADO'!M12-'BG CLASIFICADO AJUSTADO'!M16)/'BG CLASIFICADO AJUSTADO'!M9</f>
        <v>-1.9977324263038549</v>
      </c>
      <c r="I11" s="320"/>
    </row>
    <row r="12" spans="2:9" ht="15.75">
      <c r="B12" s="230" t="s">
        <v>229</v>
      </c>
      <c r="C12" s="230" t="s">
        <v>230</v>
      </c>
      <c r="D12" s="231">
        <f>('BG CLASIFICADO AJUSTADO'!E12-'BG CLASIFICADO AJUSTADO'!E16)/'BG CLASIFICADO AJUSTADO'!E13</f>
        <v>4.2493579266869023E-2</v>
      </c>
      <c r="E12" s="231">
        <f>('BG CLASIFICADO AJUSTADO'!G12-'BG CLASIFICADO AJUSTADO'!G16)/'BG CLASIFICADO AJUSTADO'!G13</f>
        <v>-0.10112265450632098</v>
      </c>
      <c r="F12" s="231">
        <f>('BG CLASIFICADO AJUSTADO'!I12-'BG CLASIFICADO AJUSTADO'!I16)/'BG CLASIFICADO AJUSTADO'!I13</f>
        <v>3.739462588054504E-2</v>
      </c>
      <c r="G12" s="231">
        <f>('BG CLASIFICADO AJUSTADO'!K12-'BG CLASIFICADO AJUSTADO'!K16)/'BG CLASIFICADO AJUSTADO'!K13</f>
        <v>4.9655789913893883E-2</v>
      </c>
      <c r="H12" s="84">
        <f>('BG CLASIFICADO AJUSTADO'!M12-'BG CLASIFICADO AJUSTADO'!M16)/'BG CLASIFICADO AJUSTADO'!M13</f>
        <v>-4.4089239423086551E-3</v>
      </c>
      <c r="I12" s="320"/>
    </row>
    <row r="13" spans="2:9" ht="15.75">
      <c r="B13" s="232" t="s">
        <v>231</v>
      </c>
      <c r="C13" s="232" t="s">
        <v>232</v>
      </c>
      <c r="D13" s="233">
        <f>('BG CLASIFICADO AJUSTADO'!E12-'BG CLASIFICADO AJUSTADO'!E16)/'BG CLASIFICADO AJUSTADO'!E7</f>
        <v>8.6896280554593378E-2</v>
      </c>
      <c r="E13" s="233">
        <f>('BG CLASIFICADO AJUSTADO'!G12-'BG CLASIFICADO AJUSTADO'!G16)/'BG CLASIFICADO AJUSTADO'!G7</f>
        <v>-0.17162980441209919</v>
      </c>
      <c r="F13" s="233">
        <f>('BG CLASIFICADO AJUSTADO'!I12-'BG CLASIFICADO AJUSTADO'!I16)/'BG CLASIFICADO AJUSTADO'!I7</f>
        <v>4.450215671504755E-2</v>
      </c>
      <c r="G13" s="233">
        <f>('BG CLASIFICADO AJUSTADO'!K12-'BG CLASIFICADO AJUSTADO'!K16)/'BG CLASIFICADO AJUSTADO'!K7</f>
        <v>5.6889519527266938E-2</v>
      </c>
      <c r="H13" s="269">
        <f>('BG CLASIFICADO AJUSTADO'!M12-'BG CLASIFICADO AJUSTADO'!M16)/'BG CLASIFICADO AJUSTADO'!M7</f>
        <v>-4.7819750479690176E-3</v>
      </c>
      <c r="I13" s="320"/>
    </row>
    <row r="16" spans="2:9" ht="15.75">
      <c r="E16" s="234"/>
      <c r="F16" s="234"/>
      <c r="G16" s="234"/>
      <c r="H16" s="234"/>
    </row>
    <row r="17" spans="5:8">
      <c r="E17" s="235"/>
      <c r="F17" s="235"/>
      <c r="G17" s="235"/>
      <c r="H17" s="235"/>
    </row>
    <row r="18" spans="5:8" ht="15.75">
      <c r="E18" s="235"/>
      <c r="F18" s="235"/>
      <c r="G18" s="234"/>
      <c r="H18" s="235"/>
    </row>
    <row r="19" spans="5:8">
      <c r="E19" s="235"/>
      <c r="F19" s="235"/>
      <c r="G19" s="235"/>
      <c r="H19" s="235"/>
    </row>
    <row r="21" spans="5:8" ht="15.75" customHeight="1"/>
    <row r="22" spans="5:8" ht="15.75" customHeight="1"/>
    <row r="23" spans="5:8" ht="15.75" customHeight="1"/>
    <row r="24" spans="5:8" ht="15.75" customHeight="1"/>
    <row r="25" spans="5:8" ht="15.75" customHeight="1"/>
    <row r="26" spans="5:8" ht="15.75" customHeight="1"/>
    <row r="27" spans="5:8" ht="15.75" customHeight="1"/>
    <row r="28" spans="5:8" ht="15.75" customHeight="1"/>
    <row r="29" spans="5:8" ht="15.75" customHeight="1"/>
    <row r="30" spans="5:8" ht="15.75" customHeight="1"/>
    <row r="31" spans="5:8" ht="15.75" customHeight="1"/>
    <row r="32" spans="5: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H1000"/>
  <sheetViews>
    <sheetView workbookViewId="0"/>
  </sheetViews>
  <sheetFormatPr baseColWidth="10" defaultColWidth="14.42578125" defaultRowHeight="15" customHeight="1"/>
  <cols>
    <col min="1" max="1" width="14.42578125" customWidth="1"/>
    <col min="2" max="2" width="31.7109375" customWidth="1"/>
    <col min="3" max="6" width="14.42578125" customWidth="1"/>
  </cols>
  <sheetData>
    <row r="3" spans="2:8" ht="15.75">
      <c r="B3" s="229" t="s">
        <v>281</v>
      </c>
      <c r="C3" s="229">
        <v>2013</v>
      </c>
      <c r="D3" s="229">
        <v>2014</v>
      </c>
      <c r="E3" s="229">
        <v>2015</v>
      </c>
      <c r="F3" s="229">
        <v>2016</v>
      </c>
      <c r="G3" s="229">
        <v>2017</v>
      </c>
    </row>
    <row r="4" spans="2:8" ht="15.75">
      <c r="B4" s="230" t="s">
        <v>282</v>
      </c>
      <c r="C4" s="252">
        <f>'EE. RR. CLASIFICADO AJUSTADO'!E5/'BG CLASIFICADO AJUSTADO'!E13</f>
        <v>3.8522842244532649</v>
      </c>
      <c r="D4" s="252">
        <f>'EE. RR. CLASIFICADO AJUSTADO'!G5/'BG CLASIFICADO AJUSTADO'!G13</f>
        <v>0.38008617765662095</v>
      </c>
      <c r="E4" s="252">
        <f>'EE. RR. CLASIFICADO AJUSTADO'!I5/'BG CLASIFICADO AJUSTADO'!I13</f>
        <v>0.29912866585421921</v>
      </c>
      <c r="F4" s="252">
        <f>'EE. RR. CLASIFICADO AJUSTADO'!K5/'BG CLASIFICADO AJUSTADO'!K13</f>
        <v>0.24315332897262404</v>
      </c>
      <c r="G4" s="252">
        <f>'EE. RR. CLASIFICADO AJUSTADO'!M5/'BG CLASIFICADO AJUSTADO'!M13</f>
        <v>0.18862537658516079</v>
      </c>
    </row>
    <row r="5" spans="2:8" ht="15.75">
      <c r="B5" s="253" t="s">
        <v>283</v>
      </c>
      <c r="C5" s="254">
        <f t="shared" ref="C5:G5" si="0">360/C4</f>
        <v>93.451048527213217</v>
      </c>
      <c r="D5" s="254">
        <f t="shared" si="0"/>
        <v>947.15362242199899</v>
      </c>
      <c r="E5" s="254">
        <f t="shared" si="0"/>
        <v>1203.4954890463307</v>
      </c>
      <c r="F5" s="254">
        <f t="shared" si="0"/>
        <v>1480.5472806853136</v>
      </c>
      <c r="G5" s="254">
        <f t="shared" si="0"/>
        <v>1908.5448973906584</v>
      </c>
    </row>
    <row r="6" spans="2:8" ht="15.75">
      <c r="B6" s="255" t="s">
        <v>284</v>
      </c>
      <c r="C6" s="252">
        <f>'EE. RR. CLASIFICADO AJUSTADO'!E5/'BG CLASIFICADO AJUSTADO'!E7</f>
        <v>7.8776411994345468</v>
      </c>
      <c r="D6" s="252">
        <f>'EE. RR. CLASIFICADO AJUSTADO'!G5/'BG CLASIFICADO AJUSTADO'!G7</f>
        <v>0.6450989310893791</v>
      </c>
      <c r="E6" s="252">
        <f>'EE. RR. CLASIFICADO AJUSTADO'!I5/'BG CLASIFICADO AJUSTADO'!I7</f>
        <v>0.35598352577002784</v>
      </c>
      <c r="F6" s="252">
        <f>'EE. RR. CLASIFICADO AJUSTADO'!K5/'BG CLASIFICADO AJUSTADO'!K7</f>
        <v>0.27857528962272265</v>
      </c>
      <c r="G6" s="252">
        <f>'EE. RR. CLASIFICADO AJUSTADO'!M5/'BG CLASIFICADO AJUSTADO'!M7</f>
        <v>0.20458548526733739</v>
      </c>
    </row>
    <row r="7" spans="2:8" ht="15.75">
      <c r="B7" s="253" t="s">
        <v>283</v>
      </c>
      <c r="C7" s="254">
        <f t="shared" ref="C7:G7" si="1">360/C6</f>
        <v>45.698958722039869</v>
      </c>
      <c r="D7" s="254">
        <f t="shared" si="1"/>
        <v>558.05393971443686</v>
      </c>
      <c r="E7" s="254">
        <f t="shared" si="1"/>
        <v>1011.2827531029255</v>
      </c>
      <c r="F7" s="254">
        <f t="shared" si="1"/>
        <v>1292.2897809333758</v>
      </c>
      <c r="G7" s="254">
        <f t="shared" si="1"/>
        <v>1759.6556252736027</v>
      </c>
    </row>
    <row r="8" spans="2:8" ht="15.75">
      <c r="B8" s="230" t="s">
        <v>285</v>
      </c>
      <c r="C8" s="252">
        <f>'EE. RR. CLASIFICADO AJUSTADO'!E5/'BG CLASIFICADO AJUSTADO'!E12</f>
        <v>7.5389370699541285</v>
      </c>
      <c r="D8" s="252">
        <f>'EE. RR. CLASIFICADO AJUSTADO'!G5/'BG CLASIFICADO AJUSTADO'!G12</f>
        <v>0.9252127822231283</v>
      </c>
      <c r="E8" s="252">
        <f>'EE. RR. CLASIFICADO AJUSTADO'!I5/'BG CLASIFICADO AJUSTADO'!I12</f>
        <v>1.8729247998738121</v>
      </c>
      <c r="F8" s="252">
        <f>'EE. RR. CLASIFICADO AJUSTADO'!K5/'BG CLASIFICADO AJUSTADO'!K12</f>
        <v>1.9122744138977903</v>
      </c>
      <c r="G8" s="252">
        <f>'EE. RR. CLASIFICADO AJUSTADO'!M5/'BG CLASIFICADO AJUSTADO'!M12</f>
        <v>2.4179042242678896</v>
      </c>
    </row>
    <row r="9" spans="2:8" ht="15.75">
      <c r="B9" s="253" t="s">
        <v>283</v>
      </c>
      <c r="C9" s="254">
        <f t="shared" ref="C9:G9" si="2">360/C8</f>
        <v>47.752089805173355</v>
      </c>
      <c r="D9" s="254">
        <f t="shared" si="2"/>
        <v>389.09968270756212</v>
      </c>
      <c r="E9" s="254">
        <f t="shared" si="2"/>
        <v>192.21273594340516</v>
      </c>
      <c r="F9" s="254">
        <f t="shared" si="2"/>
        <v>188.25749975193767</v>
      </c>
      <c r="G9" s="254">
        <f t="shared" si="2"/>
        <v>148.88927211705558</v>
      </c>
      <c r="H9" s="26"/>
    </row>
    <row r="10" spans="2:8" ht="15.75">
      <c r="B10" s="230" t="s">
        <v>286</v>
      </c>
      <c r="C10" s="252">
        <f>('EE. RR. CLASIFICADO AJUSTADO'!E6/'BG CLASIFICADO AJUSTADO'!E9)*-1</f>
        <v>56.137157615713996</v>
      </c>
      <c r="D10" s="252">
        <f>('EE. RR. CLASIFICADO AJUSTADO'!G6/'BG CLASIFICADO AJUSTADO'!G9)*-1</f>
        <v>6.4987597611391825</v>
      </c>
      <c r="E10" s="252">
        <f>('EE. RR. CLASIFICADO AJUSTADO'!I6/'BG CLASIFICADO AJUSTADO'!I9)*-1</f>
        <v>115.061191626409</v>
      </c>
      <c r="F10" s="252">
        <f>'EE. RR. CLASIFICADO AJUSTADO'!K5/'BG CLASIFICADO AJUSTADO'!K9</f>
        <v>85.327375352775178</v>
      </c>
      <c r="G10" s="252">
        <f>('EE. RR. CLASIFICADO AJUSTADO'!M6/'BG CLASIFICADO AJUSTADO'!M9)*-1</f>
        <v>49.972789115646258</v>
      </c>
    </row>
    <row r="11" spans="2:8" ht="15.75">
      <c r="B11" s="253" t="s">
        <v>283</v>
      </c>
      <c r="C11" s="254">
        <f t="shared" ref="C11:D11" si="3">360/C10</f>
        <v>6.4128647635559712</v>
      </c>
      <c r="D11" s="254">
        <f t="shared" si="3"/>
        <v>55.395185117120683</v>
      </c>
      <c r="E11" s="254">
        <f>(360/E10)</f>
        <v>3.1287699606734503</v>
      </c>
      <c r="F11" s="254">
        <f t="shared" ref="F11:G11" si="4">360/F10</f>
        <v>4.2190445740493692</v>
      </c>
      <c r="G11" s="254">
        <f t="shared" si="4"/>
        <v>7.2039205009528997</v>
      </c>
    </row>
    <row r="12" spans="2:8" ht="15.75">
      <c r="B12" s="230" t="s">
        <v>287</v>
      </c>
      <c r="C12" s="252">
        <f>'EE. RR. CLASIFICADO AJUSTADO'!E5/'BG CLASIFICADO AJUSTADO'!E10</f>
        <v>12.380872507908482</v>
      </c>
      <c r="D12" s="252">
        <f>'EE. RR. CLASIFICADO AJUSTADO'!G5/'BG CLASIFICADO AJUSTADO'!G10</f>
        <v>1.669972218644785</v>
      </c>
      <c r="E12" s="252">
        <f>'EE. RR. CLASIFICADO AJUSTADO'!I5/'BG CLASIFICADO AJUSTADO'!I10</f>
        <v>14.17353028946583</v>
      </c>
      <c r="F12" s="252">
        <f>'EE. RR. CLASIFICADO AJUSTADO'!K5/'BG CLASIFICADO AJUSTADO'!K10</f>
        <v>17.097643732327992</v>
      </c>
      <c r="G12" s="252">
        <f>'EE. RR. CLASIFICADO AJUSTADO'!M5/'BG CLASIFICADO AJUSTADO'!M10</f>
        <v>8.8947492625368731</v>
      </c>
    </row>
    <row r="13" spans="2:8" ht="15.75">
      <c r="B13" s="256" t="s">
        <v>283</v>
      </c>
      <c r="C13" s="257">
        <f t="shared" ref="C13:G13" si="5">360/C12</f>
        <v>29.077110661631011</v>
      </c>
      <c r="D13" s="257">
        <f t="shared" si="5"/>
        <v>215.57244843997884</v>
      </c>
      <c r="E13" s="257">
        <f t="shared" si="5"/>
        <v>25.399458896105948</v>
      </c>
      <c r="F13" s="257">
        <f t="shared" si="5"/>
        <v>21.055532893068587</v>
      </c>
      <c r="G13" s="257">
        <f t="shared" si="5"/>
        <v>40.473316264940372</v>
      </c>
    </row>
    <row r="14" spans="2:8" ht="15.75">
      <c r="B14" s="230" t="s">
        <v>288</v>
      </c>
      <c r="C14" s="252">
        <f>('EE. RR. CLASIFICADO AJUSTADO'!E5/'BG CLASIFICADO AJUSTADO'!E11)</f>
        <v>30.38331828849973</v>
      </c>
      <c r="D14" s="252">
        <f>('EE. RR. CLASIFICADO AJUSTADO'!G5/'BG CLASIFICADO AJUSTADO'!G11)</f>
        <v>5.2222541856049709</v>
      </c>
      <c r="E14" s="252">
        <f>('EE. RR. CLASIFICADO AJUSTADO'!I5/'BG CLASIFICADO AJUSTADO'!I11)</f>
        <v>2.9278449019849586</v>
      </c>
      <c r="F14" s="252">
        <f>('EE. RR. CLASIFICADO AJUSTADO'!K5/'BG CLASIFICADO AJUSTADO'!K11)</f>
        <v>2.3983447473492161</v>
      </c>
      <c r="G14" s="252">
        <f>('EE. RR. CLASIFICADO AJUSTADO'!M5/'BG CLASIFICADO AJUSTADO'!M11)</f>
        <v>3.5459334869937438</v>
      </c>
    </row>
    <row r="15" spans="2:8" ht="15.75">
      <c r="B15" s="253" t="s">
        <v>283</v>
      </c>
      <c r="C15" s="254">
        <f t="shared" ref="C15:G15" si="6">(360/C14)</f>
        <v>11.848607073844931</v>
      </c>
      <c r="D15" s="254">
        <f t="shared" si="6"/>
        <v>68.935748281332636</v>
      </c>
      <c r="E15" s="254">
        <f t="shared" si="6"/>
        <v>122.95733279994947</v>
      </c>
      <c r="F15" s="254">
        <f t="shared" si="6"/>
        <v>150.10352469047331</v>
      </c>
      <c r="G15" s="254">
        <f t="shared" si="6"/>
        <v>101.5247469588634</v>
      </c>
    </row>
    <row r="16" spans="2:8" ht="15.75">
      <c r="B16" s="230" t="s">
        <v>289</v>
      </c>
      <c r="C16" s="252">
        <f>('EE. RR. CLASIFICADO AJUSTADO'!E5/'BG CLASIFICADO AJUSTADO'!E14)</f>
        <v>8.9189366798804404</v>
      </c>
      <c r="D16" s="252">
        <f>('EE. RR. CLASIFICADO AJUSTADO'!G5/'BG CLASIFICADO AJUSTADO'!G14)</f>
        <v>1.0005401294105976</v>
      </c>
      <c r="E16" s="252">
        <f>('EE. RR. CLASIFICADO AJUSTADO'!I5/'BG CLASIFICADO AJUSTADO'!I14)</f>
        <v>0.55896458182545705</v>
      </c>
      <c r="F16" s="252">
        <f>('EE. RR. CLASIFICADO AJUSTADO'!K5/'BG CLASIFICADO AJUSTADO'!K14)</f>
        <v>0.5067036859099695</v>
      </c>
      <c r="G16" s="252">
        <f>('EE. RR. CLASIFICADO AJUSTADO'!M5/'BG CLASIFICADO AJUSTADO'!M14)</f>
        <v>0.39987587260497781</v>
      </c>
    </row>
    <row r="17" spans="2:7" ht="15.75">
      <c r="B17" s="258" t="s">
        <v>283</v>
      </c>
      <c r="C17" s="259">
        <f t="shared" ref="C17:G17" si="7">(360/C16)</f>
        <v>40.363555984436687</v>
      </c>
      <c r="D17" s="259">
        <f t="shared" si="7"/>
        <v>359.80565838180854</v>
      </c>
      <c r="E17" s="259">
        <f t="shared" si="7"/>
        <v>644.04796243854685</v>
      </c>
      <c r="F17" s="259">
        <f t="shared" si="7"/>
        <v>710.47440547721681</v>
      </c>
      <c r="G17" s="259">
        <f t="shared" si="7"/>
        <v>900.27937333351019</v>
      </c>
    </row>
    <row r="18" spans="2:7" ht="15.75">
      <c r="B18" s="260"/>
      <c r="C18" s="26"/>
      <c r="D18" s="26"/>
      <c r="E18" s="26"/>
      <c r="F18" s="26"/>
      <c r="G18" s="26"/>
    </row>
    <row r="19" spans="2:7" ht="15.75">
      <c r="B19" s="261"/>
      <c r="C19" s="262"/>
      <c r="D19" s="262"/>
      <c r="E19" s="262"/>
      <c r="F19" s="262"/>
      <c r="G19" s="262"/>
    </row>
    <row r="21" spans="2:7" ht="15.75" customHeight="1"/>
    <row r="22" spans="2:7" ht="15.75" customHeight="1"/>
    <row r="23" spans="2:7" ht="15.75" customHeight="1"/>
    <row r="24" spans="2:7" ht="15.75" customHeight="1"/>
    <row r="25" spans="2:7" ht="15.75" customHeight="1"/>
    <row r="26" spans="2:7" ht="15.75" customHeight="1"/>
    <row r="27" spans="2:7" ht="15.75" customHeight="1"/>
    <row r="28" spans="2:7" ht="15.75" customHeight="1"/>
    <row r="29" spans="2:7" ht="15.75" customHeight="1"/>
    <row r="30" spans="2:7" ht="15.75" customHeight="1"/>
    <row r="31" spans="2:7" ht="15.75" customHeight="1"/>
    <row r="32" spans="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0"/>
  <sheetViews>
    <sheetView workbookViewId="0">
      <selection activeCell="A2" sqref="A2:G5"/>
    </sheetView>
  </sheetViews>
  <sheetFormatPr baseColWidth="10" defaultColWidth="14.42578125" defaultRowHeight="15" customHeight="1"/>
  <cols>
    <col min="1" max="1" width="31.7109375" customWidth="1"/>
    <col min="2" max="6" width="14.42578125" customWidth="1"/>
  </cols>
  <sheetData>
    <row r="1" spans="1:7">
      <c r="A1" s="319" t="s">
        <v>207</v>
      </c>
      <c r="B1" s="290"/>
      <c r="C1" s="290"/>
      <c r="D1" s="290"/>
      <c r="E1" s="290"/>
      <c r="F1" s="290"/>
      <c r="G1" s="291"/>
    </row>
    <row r="2" spans="1:7">
      <c r="A2" s="283" t="s">
        <v>302</v>
      </c>
      <c r="B2" s="221"/>
      <c r="C2" s="222">
        <v>2013</v>
      </c>
      <c r="D2" s="222">
        <v>2014</v>
      </c>
      <c r="E2" s="222">
        <v>2015</v>
      </c>
      <c r="F2" s="222">
        <v>2016</v>
      </c>
      <c r="G2" s="223">
        <v>2017</v>
      </c>
    </row>
    <row r="3" spans="1:7">
      <c r="A3" s="220" t="s">
        <v>208</v>
      </c>
      <c r="B3" s="221" t="s">
        <v>209</v>
      </c>
      <c r="C3" s="224">
        <f>('EE. RR. CLASIFICADO AJUSTADO'!E7/'EE. RR. CLASIFICADO AJUSTADO'!E9)</f>
        <v>-1.8685287743799504</v>
      </c>
      <c r="D3" s="224">
        <f>('EE. RR. CLASIFICADO AJUSTADO'!G7/'EE. RR. CLASIFICADO AJUSTADO'!G9)</f>
        <v>1.3372279343036455</v>
      </c>
      <c r="E3" s="224">
        <f>('EE. RR. CLASIFICADO AJUSTADO'!I7/'EE. RR. CLASIFICADO AJUSTADO'!I9)</f>
        <v>1.3723180970149254</v>
      </c>
      <c r="F3" s="224">
        <f>('EE. RR. CLASIFICADO AJUSTADO'!H7/'EE. RR. CLASIFICADO AJUSTADO'!H9)</f>
        <v>1.3723180970149256</v>
      </c>
      <c r="G3" s="224">
        <f>('EE. RR. CLASIFICADO AJUSTADO'!I7/'EE. RR. CLASIFICADO AJUSTADO'!I9)</f>
        <v>1.3723180970149254</v>
      </c>
    </row>
    <row r="4" spans="1:7">
      <c r="A4" s="220" t="s">
        <v>210</v>
      </c>
      <c r="B4" s="221" t="s">
        <v>211</v>
      </c>
      <c r="C4" s="224">
        <f>('EE. RR. CLASIFICADO AJUSTADO'!E9/'EE. RR. CLASIFICADO AJUSTADO'!E13)</f>
        <v>0.55134417524062529</v>
      </c>
      <c r="D4" s="224">
        <f>('EE. RR. CLASIFICADO AJUSTADO'!G9/'EE. RR. CLASIFICADO AJUSTADO'!G13)</f>
        <v>1.2260969220694173</v>
      </c>
      <c r="E4" s="224">
        <f>('EE. RR. CLASIFICADO AJUSTADO'!I9/'EE. RR. CLASIFICADO AJUSTADO'!I13)</f>
        <v>1.5170705819918624</v>
      </c>
      <c r="F4" s="224">
        <f>('EE. RR. CLASIFICADO AJUSTADO'!K9/'EE. RR. CLASIFICADO AJUSTADO'!K13)</f>
        <v>2.1378039059386205</v>
      </c>
      <c r="G4" s="224">
        <f>('EE. RR. CLASIFICADO AJUSTADO'!M9/'EE. RR. CLASIFICADO AJUSTADO'!M13)</f>
        <v>1.7945160870131562</v>
      </c>
    </row>
    <row r="5" spans="1:7">
      <c r="A5" s="220" t="s">
        <v>212</v>
      </c>
      <c r="B5" s="225" t="s">
        <v>213</v>
      </c>
      <c r="C5" s="226">
        <f t="shared" ref="C5:G5" si="0">(C3*C4)</f>
        <v>-1.03020245602389</v>
      </c>
      <c r="D5" s="226">
        <f t="shared" si="0"/>
        <v>1.6395710543549449</v>
      </c>
      <c r="E5" s="226">
        <f t="shared" si="0"/>
        <v>2.0819034141163977</v>
      </c>
      <c r="F5" s="226">
        <f t="shared" si="0"/>
        <v>2.9337469879887625</v>
      </c>
      <c r="G5" s="226">
        <f t="shared" si="0"/>
        <v>2.4626469015925649</v>
      </c>
    </row>
    <row r="6" spans="1:7">
      <c r="B6" s="2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O1000"/>
  <sheetViews>
    <sheetView workbookViewId="0">
      <selection activeCell="E4" sqref="E4"/>
    </sheetView>
  </sheetViews>
  <sheetFormatPr baseColWidth="10" defaultColWidth="14.42578125" defaultRowHeight="15" customHeight="1"/>
  <cols>
    <col min="1" max="1" width="14.42578125" customWidth="1"/>
    <col min="2" max="2" width="43.140625" customWidth="1"/>
    <col min="3" max="3" width="21.140625" customWidth="1"/>
    <col min="4" max="4" width="19" customWidth="1"/>
    <col min="5" max="6" width="14.42578125" customWidth="1"/>
    <col min="10" max="10" width="23.5703125" customWidth="1"/>
  </cols>
  <sheetData>
    <row r="2" spans="2:15">
      <c r="J2" s="236"/>
      <c r="K2" s="237">
        <v>2013</v>
      </c>
      <c r="L2" s="237">
        <v>2014</v>
      </c>
      <c r="M2" s="237">
        <v>2015</v>
      </c>
      <c r="N2" s="237">
        <v>2016</v>
      </c>
      <c r="O2" s="237">
        <v>2017</v>
      </c>
    </row>
    <row r="3" spans="2:15" ht="15.75">
      <c r="B3" s="282" t="s">
        <v>302</v>
      </c>
      <c r="C3" s="282"/>
      <c r="D3" s="280">
        <v>2013</v>
      </c>
      <c r="E3" s="280">
        <v>2014</v>
      </c>
      <c r="F3" s="280">
        <v>2015</v>
      </c>
      <c r="G3" s="280">
        <v>2016</v>
      </c>
      <c r="H3" s="280">
        <v>2017</v>
      </c>
      <c r="I3" s="238"/>
      <c r="J3" s="239" t="s">
        <v>233</v>
      </c>
      <c r="K3" s="240"/>
      <c r="L3" s="240"/>
      <c r="M3" s="240"/>
      <c r="N3" s="240"/>
      <c r="O3" s="240"/>
    </row>
    <row r="4" spans="2:15">
      <c r="B4" s="241" t="s">
        <v>234</v>
      </c>
      <c r="C4" s="241" t="s">
        <v>235</v>
      </c>
      <c r="D4" s="231">
        <f>('EE. RR. CLASIFICADO AJUSTADO'!E7/'EE. RR. CLASIFICADO AJUSTADO'!E5)</f>
        <v>1.8444001302488695E-2</v>
      </c>
      <c r="E4" s="231">
        <f>('EE. RR. CLASIFICADO AJUSTADO'!G7/'EE. RR. CLASIFICADO AJUSTADO'!G5)</f>
        <v>0.22066146659615715</v>
      </c>
      <c r="F4" s="231">
        <f>('EE. RR. CLASIFICADO AJUSTADO'!I7/'EE. RR. CLASIFICADO AJUSTADO'!I5)</f>
        <v>0.24779189607436497</v>
      </c>
      <c r="G4" s="231">
        <f>('EE. RR. CLASIFICADO AJUSTADO'!K7/'EE. RR. CLASIFICADO AJUSTADO'!K5)</f>
        <v>0.30918492221866978</v>
      </c>
      <c r="H4" s="231">
        <f>('EE. RR. CLASIFICADO AJUSTADO'!M7/'EE. RR. CLASIFICADO AJUSTADO'!M5)</f>
        <v>0.41530583818632849</v>
      </c>
      <c r="I4" s="238"/>
      <c r="J4" s="244" t="s">
        <v>238</v>
      </c>
      <c r="K4" s="231">
        <f>('EE. RR. CLASIFICADO AJUSTADO'!E9/'EE. RR. CLASIFICADO AJUSTADO'!E5)</f>
        <v>-9.8708682228397168E-3</v>
      </c>
      <c r="L4" s="231">
        <f>('EE. RR. CLASIFICADO AJUSTADO'!G9/'EE. RR. CLASIFICADO AJUSTADO'!G5)</f>
        <v>0.1650141018861272</v>
      </c>
      <c r="M4" s="231">
        <f>('EE. RR. CLASIFICADO AJUSTADO'!I9/'EE. RR. CLASIFICADO AJUSTADO'!I5)</f>
        <v>0.18056447452916594</v>
      </c>
      <c r="N4" s="231">
        <f>('EE. RR. CLASIFICADO AJUSTADO'!K9/'EE. RR. CLASIFICADO AJUSTADO'!K5)</f>
        <v>0.23654123898878765</v>
      </c>
      <c r="O4" s="231">
        <f>('EE. RR. CLASIFICADO AJUSTADO'!M9/'EE. RR. CLASIFICADO AJUSTADO'!M5)</f>
        <v>0.36550681188066275</v>
      </c>
    </row>
    <row r="5" spans="2:15">
      <c r="B5" s="241" t="s">
        <v>241</v>
      </c>
      <c r="C5" s="241" t="s">
        <v>242</v>
      </c>
      <c r="D5" s="231">
        <f>('EE. RR. CLASIFICADO AJUSTADO'!E9/'EE. RR. CLASIFICADO AJUSTADO'!E5)</f>
        <v>-9.8708682228397168E-3</v>
      </c>
      <c r="E5" s="231">
        <f>('EE. RR. CLASIFICADO AJUSTADO'!G9/'EE. RR. CLASIFICADO AJUSTADO'!G5)</f>
        <v>0.1650141018861272</v>
      </c>
      <c r="F5" s="231">
        <f>('EE. RR. CLASIFICADO AJUSTADO'!I9/'EE. RR. CLASIFICADO AJUSTADO'!I5)</f>
        <v>0.18056447452916594</v>
      </c>
      <c r="G5" s="231">
        <f>('EE. RR. CLASIFICADO AJUSTADO'!K9/'EE. RR. CLASIFICADO AJUSTADO'!K5)</f>
        <v>0.23654123898878765</v>
      </c>
      <c r="H5" s="231">
        <f>('EE. RR. CLASIFICADO AJUSTADO'!M9/'EE. RR. CLASIFICADO AJUSTADO'!M5)</f>
        <v>0.36550681188066275</v>
      </c>
      <c r="I5" s="238"/>
      <c r="J5" s="244" t="s">
        <v>247</v>
      </c>
      <c r="K5" s="231">
        <f>('EE. RR. CLASIFICADO AJUSTADO'!E5/'EE. RR. CLASIFICADO AJUSTADO'!E13)</f>
        <v>-55.855692001327412</v>
      </c>
      <c r="L5" s="231">
        <f>('EE. RR. CLASIFICADO AJUSTADO'!G5/'EE. RR. CLASIFICADO AJUSTADO'!G13)</f>
        <v>7.430255402750495</v>
      </c>
      <c r="M5" s="231">
        <f>('EE. RR. CLASIFICADO AJUSTADO'!I5/'EE. RR. CLASIFICADO AJUSTADO'!I13)</f>
        <v>8.4018220413939471</v>
      </c>
      <c r="N5" s="231">
        <f>('EE. RR. CLASIFICADO AJUSTADO'!K5/'EE. RR. CLASIFICADO AJUSTADO'!K13)</f>
        <v>9.0377640494220763</v>
      </c>
      <c r="O5" s="231">
        <f>('EE. RR. CLASIFICADO AJUSTADO'!M5/'EE. RR. CLASIFICADO AJUSTADO'!M13)</f>
        <v>4.9096652338152929</v>
      </c>
    </row>
    <row r="6" spans="2:15">
      <c r="B6" s="241" t="s">
        <v>250</v>
      </c>
      <c r="C6" s="241" t="s">
        <v>251</v>
      </c>
      <c r="D6" s="268">
        <f>('EE. RR. CLASIFICADO AJUSTADO'!E16/'EE. RR. CLASIFICADO AJUSTADO'!E5)</f>
        <v>1.9370954976190939E-4</v>
      </c>
      <c r="E6" s="231">
        <f>('EE. RR. CLASIFICADO AJUSTADO'!G16/'EE. RR. CLASIFICADO AJUSTADO'!G5)</f>
        <v>0.10679772428808448</v>
      </c>
      <c r="F6" s="231">
        <f>('EE. RR. CLASIFICADO AJUSTADO'!I16/'EE. RR. CLASIFICADO AJUSTADO'!I5)</f>
        <v>0.85062795422724269</v>
      </c>
      <c r="G6" s="231">
        <f>('EE. RR. CLASIFICADO AJUSTADO'!K16/'EE. RR. CLASIFICADO AJUSTADO'!K5)</f>
        <v>9.2918646571778257E-2</v>
      </c>
      <c r="H6" s="231">
        <f>('EE. RR. CLASIFICADO AJUSTADO'!M16/'EE. RR. CLASIFICADO AJUSTADO'!M5)</f>
        <v>0.17826300359497499</v>
      </c>
      <c r="I6" s="238"/>
      <c r="J6" s="244" t="s">
        <v>255</v>
      </c>
      <c r="K6" s="231">
        <f t="shared" ref="K6:O6" si="0">(K4*K5)</f>
        <v>0.55134417524062529</v>
      </c>
      <c r="L6" s="231">
        <f t="shared" si="0"/>
        <v>1.2260969220694173</v>
      </c>
      <c r="M6" s="231">
        <f t="shared" si="0"/>
        <v>1.5170705819918624</v>
      </c>
      <c r="N6" s="231">
        <f t="shared" si="0"/>
        <v>2.1378039059386205</v>
      </c>
      <c r="O6" s="231">
        <f t="shared" si="0"/>
        <v>1.7945160870131565</v>
      </c>
    </row>
    <row r="7" spans="2:15" ht="15.75">
      <c r="B7" s="241" t="s">
        <v>257</v>
      </c>
      <c r="C7" s="241" t="s">
        <v>258</v>
      </c>
      <c r="D7" s="231">
        <f>('EE. RR. CLASIFICADO AJUSTADO'!E9/'BG CLASIFICADO AJUSTADO'!E13)</f>
        <v>-3.8025389936502473E-2</v>
      </c>
      <c r="E7" s="231">
        <f>('EE. RR. CLASIFICADO AJUSTADO'!G9/'BG CLASIFICADO AJUSTADO'!G13)</f>
        <v>6.2719579245338289E-2</v>
      </c>
      <c r="F7" s="231">
        <f>('EE. RR. CLASIFICADO AJUSTADO'!I9/'BG CLASIFICADO AJUSTADO'!I13)</f>
        <v>5.4012010366577552E-2</v>
      </c>
      <c r="G7" s="231">
        <f>('EE. RR. CLASIFICADO AJUSTADO'!K9/'BG CLASIFICADO AJUSTADO'!K13)</f>
        <v>5.7515789699432766E-2</v>
      </c>
      <c r="H7" s="231">
        <f>('EE. RR. CLASIFICADO AJUSTADO'!M9/'BG CLASIFICADO AJUSTADO'!M13)</f>
        <v>6.8943860035431528E-2</v>
      </c>
      <c r="I7" s="238"/>
      <c r="J7" s="239" t="s">
        <v>260</v>
      </c>
      <c r="K7" s="240"/>
      <c r="L7" s="240"/>
      <c r="M7" s="240"/>
      <c r="N7" s="240"/>
      <c r="O7" s="240"/>
    </row>
    <row r="8" spans="2:15">
      <c r="B8" s="241" t="s">
        <v>261</v>
      </c>
      <c r="C8" s="241" t="s">
        <v>262</v>
      </c>
      <c r="D8" s="231">
        <f>('EE. RR. CLASIFICADO AJUSTADO'!E13/'BG CLASIFICADO AJUSTADO'!E14)</f>
        <v>-0.15967820575329156</v>
      </c>
      <c r="E8" s="231">
        <f>('EE. RR. CLASIFICADO AJUSTADO'!G13/'BG CLASIFICADO AJUSTADO'!G14)</f>
        <v>0.13465756897673029</v>
      </c>
      <c r="F8" s="231">
        <f>('EE. RR. CLASIFICADO AJUSTADO'!I13/'BG CLASIFICADO AJUSTADO'!I14)</f>
        <v>6.6528971819631536E-2</v>
      </c>
      <c r="G8" s="231">
        <f>('EE. RR. CLASIFICADO AJUSTADO'!K13/'BG CLASIFICADO AJUSTADO'!K14)</f>
        <v>5.6065159827044929E-2</v>
      </c>
      <c r="H8" s="231">
        <f>('EE. RR. CLASIFICADO AJUSTADO'!M13/'BG CLASIFICADO AJUSTADO'!M14)</f>
        <v>8.1446667656856708E-2</v>
      </c>
      <c r="I8" s="238"/>
      <c r="J8" s="244" t="s">
        <v>238</v>
      </c>
      <c r="K8" s="231">
        <f>('EE.RR CLASIFICADO'!E13/'EE.RR CLASIFICADO'!E5)</f>
        <v>-1.7903278326159344E-2</v>
      </c>
      <c r="L8" s="231">
        <f>('EE.RR CLASIFICADO'!G13/'EE.RR CLASIFICADO'!G5)</f>
        <v>0.13458487572712852</v>
      </c>
      <c r="M8" s="231">
        <f>('EE.RR CLASIFICADO'!I13/'EE.RR CLASIFICADO'!I5)</f>
        <v>0.11902180206545883</v>
      </c>
      <c r="N8" s="231">
        <f>('EE.RR CLASIFICADO'!K13/'EE.RR CLASIFICADO'!K5)</f>
        <v>0.11064683637806909</v>
      </c>
      <c r="O8" s="231">
        <f>('EE.RR CLASIFICADO'!M13/'EE.RR CLASIFICADO'!M5)</f>
        <v>0.20367987477282676</v>
      </c>
    </row>
    <row r="9" spans="2:15">
      <c r="B9" s="241" t="s">
        <v>266</v>
      </c>
      <c r="C9" s="241" t="s">
        <v>267</v>
      </c>
      <c r="D9" s="267">
        <f>('EE. RR. CLASIFICADO AJUSTADO'!E16/'BG CLASIFICADO AJUSTADO'!E14)</f>
        <v>1.7276832086146189E-3</v>
      </c>
      <c r="E9" s="231">
        <f>('EE. RR. CLASIFICADO AJUSTADO'!G16/'BG CLASIFICADO AJUSTADO'!G14)</f>
        <v>0.10685540887995736</v>
      </c>
      <c r="F9" s="231">
        <f>('EE. RR. CLASIFICADO AJUSTADO'!I16/'BG CLASIFICADO AJUSTADO'!I14)</f>
        <v>0.47547089872367471</v>
      </c>
      <c r="G9" s="231">
        <f>('EE. RR. CLASIFICADO AJUSTADO'!K16/'BG CLASIFICADO AJUSTADO'!K14)</f>
        <v>4.70822207076858E-2</v>
      </c>
      <c r="H9" s="231">
        <f>('EE. RR. CLASIFICADO AJUSTADO'!M16/'BG CLASIFICADO AJUSTADO'!M14)</f>
        <v>7.1283074115724931E-2</v>
      </c>
      <c r="I9" s="238"/>
      <c r="J9" s="244" t="s">
        <v>247</v>
      </c>
      <c r="K9" s="231">
        <f>('EE. RR. CLASIFICADO AJUSTADO'!E5/'BG CLASIFICADO AJUSTADO'!E14)</f>
        <v>8.9189366798804404</v>
      </c>
      <c r="L9" s="231">
        <f>('EE. RR. CLASIFICADO AJUSTADO'!G5/'BG CLASIFICADO AJUSTADO'!G14)</f>
        <v>1.0005401294105976</v>
      </c>
      <c r="M9" s="231">
        <f>('EE. RR. CLASIFICADO AJUSTADO'!I5/'BG CLASIFICADO AJUSTADO'!I14)</f>
        <v>0.55896458182545705</v>
      </c>
      <c r="N9" s="231">
        <f>('EE. RR. CLASIFICADO AJUSTADO'!K5/'BG CLASIFICADO AJUSTADO'!K14)</f>
        <v>0.5067036859099695</v>
      </c>
      <c r="O9" s="231">
        <f>('EE. RR. CLASIFICADO AJUSTADO'!M5/'BG CLASIFICADO AJUSTADO'!M14)</f>
        <v>0.39987587260497781</v>
      </c>
    </row>
    <row r="10" spans="2:15">
      <c r="B10" s="241" t="s">
        <v>270</v>
      </c>
      <c r="C10" s="241" t="s">
        <v>271</v>
      </c>
      <c r="D10" s="231">
        <f>('BG CLASIFICADO AJUSTADO'!E13/'BG CLASIFICADO AJUSTADO'!E14)</f>
        <v>2.3152332902295805</v>
      </c>
      <c r="E10" s="231">
        <f>('BG CLASIFICADO AJUSTADO'!G13/'BG CLASIFICADO AJUSTADO'!G14)</f>
        <v>2.6324033554161752</v>
      </c>
      <c r="F10" s="231">
        <f>('BG CLASIFICADO AJUSTADO'!I13/'BG CLASIFICADO AJUSTADO'!I14)</f>
        <v>1.8686426465655728</v>
      </c>
      <c r="G10" s="231">
        <f>('BG CLASIFICADO AJUSTADO'!K13/'BG CLASIFICADO AJUSTADO'!K14)</f>
        <v>2.0838854563534186</v>
      </c>
      <c r="H10" s="231">
        <f>('BG CLASIFICADO AJUSTADO'!M13/'BG CLASIFICADO AJUSTADO'!M14)</f>
        <v>2.1199473784718537</v>
      </c>
      <c r="I10" s="238"/>
      <c r="J10" s="244" t="s">
        <v>255</v>
      </c>
      <c r="K10" s="231">
        <f t="shared" ref="K10:O10" si="1">(K8*K9)</f>
        <v>-0.15967820575329106</v>
      </c>
      <c r="L10" s="231">
        <f t="shared" si="1"/>
        <v>0.13465756897673037</v>
      </c>
      <c r="M10" s="231">
        <f t="shared" si="1"/>
        <v>6.6528971819631508E-2</v>
      </c>
      <c r="N10" s="231">
        <f t="shared" si="1"/>
        <v>5.6065159827044908E-2</v>
      </c>
      <c r="O10" s="231">
        <f t="shared" si="1"/>
        <v>8.1446667656856708E-2</v>
      </c>
    </row>
    <row r="11" spans="2:15" ht="15.75">
      <c r="B11" s="241" t="s">
        <v>272</v>
      </c>
      <c r="C11" s="241" t="s">
        <v>273</v>
      </c>
      <c r="D11" s="231">
        <f>('EE. RR. CLASIFICADO AJUSTADO'!E13/'EE. RR. CLASIFICADO AJUSTADO'!E9)</f>
        <v>1.813749097038281</v>
      </c>
      <c r="E11" s="231">
        <f>('EE. RR. CLASIFICADO AJUSTADO'!G13/'EE. RR. CLASIFICADO AJUSTADO'!G9)</f>
        <v>0.81559620777139796</v>
      </c>
      <c r="F11" s="231">
        <f>('EE. RR. CLASIFICADO AJUSTADO'!I13/'EE. RR. CLASIFICADO AJUSTADO'!I9)</f>
        <v>0.6591651119402987</v>
      </c>
      <c r="G11" s="231">
        <f>('EE. RR. CLASIFICADO AJUSTADO'!K13/'EE. RR. CLASIFICADO AJUSTADO'!K9)</f>
        <v>0.46776975064087634</v>
      </c>
      <c r="H11" s="231">
        <f>('EE. RR. CLASIFICADO AJUSTADO'!M13/'EE. RR. CLASIFICADO AJUSTADO'!M9)</f>
        <v>0.55725329365223386</v>
      </c>
      <c r="I11" s="238"/>
      <c r="J11" s="239" t="s">
        <v>274</v>
      </c>
      <c r="K11" s="249"/>
      <c r="L11" s="249"/>
      <c r="M11" s="249"/>
      <c r="N11" s="249"/>
      <c r="O11" s="249"/>
    </row>
    <row r="12" spans="2:15">
      <c r="B12" s="250" t="s">
        <v>275</v>
      </c>
      <c r="C12" s="251" t="s">
        <v>276</v>
      </c>
      <c r="D12" s="231">
        <f>('EE. RR. CLASIFICADO AJUSTADO'!E16/'EE. RR. CLASIFICADO AJUSTADO'!E13)</f>
        <v>-1.0819780949217017E-2</v>
      </c>
      <c r="E12" s="231">
        <f>('EE. RR. CLASIFICADO AJUSTADO'!G16/'EE. RR. CLASIFICADO AJUSTADO'!G13)</f>
        <v>0.79353436789299736</v>
      </c>
      <c r="F12" s="231">
        <f>('EE. RR. CLASIFICADO AJUSTADO'!I16/'EE. RR. CLASIFICADO AJUSTADO'!I13)</f>
        <v>7.1468246948522891</v>
      </c>
      <c r="G12" s="231">
        <f>('EE. RR. CLASIFICADO AJUSTADO'!K16/'EE. RR. CLASIFICADO AJUSTADO'!K13)</f>
        <v>0.83977680350737349</v>
      </c>
      <c r="H12" s="231">
        <f>('EE. RR. CLASIFICADO AJUSTADO'!M16/'EE. RR. CLASIFICADO AJUSTADO'!M13)</f>
        <v>0.87521167122573917</v>
      </c>
      <c r="I12" s="238"/>
      <c r="J12" s="244" t="s">
        <v>238</v>
      </c>
      <c r="K12" s="268">
        <f>('EE. RR. CLASIFICADO AJUSTADO'!E16/'EE. RR. CLASIFICADO AJUSTADO'!E5)</f>
        <v>1.9370954976190939E-4</v>
      </c>
      <c r="L12" s="231">
        <f>('EE. RR. CLASIFICADO AJUSTADO'!G16/'EE. RR. CLASIFICADO AJUSTADO'!G5)</f>
        <v>0.10679772428808448</v>
      </c>
      <c r="M12" s="231">
        <f>('EE. RR. CLASIFICADO AJUSTADO'!I16/'EE. RR. CLASIFICADO AJUSTADO'!I5)</f>
        <v>0.85062795422724269</v>
      </c>
      <c r="N12" s="231">
        <f>('EE. RR. CLASIFICADO AJUSTADO'!K16/'EE. RR. CLASIFICADO AJUSTADO'!K5)</f>
        <v>9.2918646571778257E-2</v>
      </c>
      <c r="O12" s="231">
        <f>('EE. RR. CLASIFICADO AJUSTADO'!M16/'EE. RR. CLASIFICADO AJUSTADO'!M5)</f>
        <v>0.17826300359497499</v>
      </c>
    </row>
    <row r="13" spans="2:15">
      <c r="B13" s="241" t="s">
        <v>277</v>
      </c>
      <c r="C13" s="241" t="s">
        <v>278</v>
      </c>
      <c r="D13" s="231">
        <f t="shared" ref="D13:H13" si="2">D10*D11</f>
        <v>4.1992522895868696</v>
      </c>
      <c r="E13" s="231">
        <f t="shared" si="2"/>
        <v>2.146978194002136</v>
      </c>
      <c r="F13" s="231">
        <f t="shared" si="2"/>
        <v>1.2317440392998118</v>
      </c>
      <c r="G13" s="231">
        <f t="shared" si="2"/>
        <v>0.97477858028258746</v>
      </c>
      <c r="H13" s="231">
        <f t="shared" si="2"/>
        <v>1.1813476590228593</v>
      </c>
      <c r="I13" s="238"/>
      <c r="J13" s="244" t="s">
        <v>247</v>
      </c>
      <c r="K13" s="231">
        <f>('EE. RR. CLASIFICADO AJUSTADO'!E5/'BG CLASIFICADO AJUSTADO'!E14)</f>
        <v>8.9189366798804404</v>
      </c>
      <c r="L13" s="231">
        <f>('EE. RR. CLASIFICADO AJUSTADO'!F5/'BG CLASIFICADO AJUSTADO'!F14)</f>
        <v>2.6324033554161756</v>
      </c>
      <c r="M13" s="231">
        <f>('EE. RR. CLASIFICADO AJUSTADO'!G5/'BG CLASIFICADO AJUSTADO'!G14)</f>
        <v>1.0005401294105976</v>
      </c>
      <c r="N13" s="231">
        <f>('EE. RR. CLASIFICADO AJUSTADO'!H5/'BG CLASIFICADO AJUSTADO'!H14)</f>
        <v>1.868642646565573</v>
      </c>
      <c r="O13" s="231">
        <f>('EE. RR. CLASIFICADO AJUSTADO'!I5/'BG CLASIFICADO AJUSTADO'!I14)</f>
        <v>0.55896458182545705</v>
      </c>
    </row>
    <row r="14" spans="2:15">
      <c r="B14" s="241" t="s">
        <v>279</v>
      </c>
      <c r="C14" s="241" t="s">
        <v>280</v>
      </c>
      <c r="D14" s="231">
        <f>('BG CLASIFICADO AJUSTADO'!E15+'BG CLASIFICADO AJUSTADO'!E16)/'BG CLASIFICADO AJUSTADO'!E14</f>
        <v>1.3152332902295805</v>
      </c>
      <c r="E14" s="231">
        <f>('BG CLASIFICADO AJUSTADO'!G15+'BG CLASIFICADO AJUSTADO'!G16)/'BG CLASIFICADO AJUSTADO'!G14</f>
        <v>1.6324033554161752</v>
      </c>
      <c r="F14" s="231">
        <f>('BG CLASIFICADO AJUSTADO'!I15+'BG CLASIFICADO AJUSTADO'!I16)/'BG CLASIFICADO AJUSTADO'!I14</f>
        <v>0.86864264656557266</v>
      </c>
      <c r="G14" s="231">
        <f>('BG CLASIFICADO AJUSTADO'!K15+'BG CLASIFICADO AJUSTADO'!K16)/'BG CLASIFICADO AJUSTADO'!K14</f>
        <v>1.0838854563534184</v>
      </c>
      <c r="H14" s="231">
        <f>('BG CLASIFICADO AJUSTADO'!M15+'BG CLASIFICADO AJUSTADO'!M16)/'BG CLASIFICADO AJUSTADO'!M14</f>
        <v>1.1199473784718539</v>
      </c>
      <c r="I14" s="238"/>
      <c r="J14" s="244" t="s">
        <v>255</v>
      </c>
      <c r="K14" s="267">
        <f t="shared" ref="K14:O14" si="3">(K12*K13)</f>
        <v>1.7276832086146191E-3</v>
      </c>
      <c r="L14" s="231">
        <f t="shared" si="3"/>
        <v>0.2811346877667652</v>
      </c>
      <c r="M14" s="231">
        <f t="shared" si="3"/>
        <v>0.8510874034027972</v>
      </c>
      <c r="N14" s="231">
        <f t="shared" si="3"/>
        <v>0.17363174564517883</v>
      </c>
      <c r="O14" s="231">
        <f t="shared" si="3"/>
        <v>9.964270525941514E-2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S1000"/>
  <sheetViews>
    <sheetView workbookViewId="0">
      <selection activeCell="B58" sqref="B58"/>
    </sheetView>
  </sheetViews>
  <sheetFormatPr baseColWidth="10" defaultColWidth="14.42578125" defaultRowHeight="15" customHeight="1"/>
  <cols>
    <col min="1" max="1" width="14.42578125" customWidth="1"/>
    <col min="2" max="2" width="132.28515625" customWidth="1"/>
    <col min="3" max="6" width="14.42578125" customWidth="1"/>
  </cols>
  <sheetData>
    <row r="3" spans="2:15" ht="15.75">
      <c r="B3" s="242" t="s">
        <v>236</v>
      </c>
      <c r="C3" s="242"/>
      <c r="D3" s="242"/>
      <c r="E3" s="242"/>
      <c r="F3" s="242"/>
    </row>
    <row r="5" spans="2:15" ht="57.75">
      <c r="B5" s="243" t="s">
        <v>237</v>
      </c>
      <c r="J5" s="26">
        <v>9282</v>
      </c>
      <c r="K5" s="26">
        <v>-24149</v>
      </c>
      <c r="L5" s="26">
        <v>11875</v>
      </c>
      <c r="M5" s="26">
        <v>18523</v>
      </c>
      <c r="N5" s="26">
        <v>-1762</v>
      </c>
      <c r="O5">
        <f>J5+N5</f>
        <v>7520</v>
      </c>
    </row>
    <row r="6" spans="2:15" ht="72">
      <c r="B6" s="243" t="s">
        <v>306</v>
      </c>
    </row>
    <row r="7" spans="2:15">
      <c r="B7" s="245"/>
    </row>
    <row r="8" spans="2:15" ht="15.75">
      <c r="B8" s="242" t="s">
        <v>239</v>
      </c>
      <c r="C8" s="242"/>
      <c r="D8" s="242"/>
      <c r="E8" s="242"/>
    </row>
    <row r="10" spans="2:15" ht="57.75">
      <c r="B10" s="246" t="s">
        <v>305</v>
      </c>
    </row>
    <row r="11" spans="2:15">
      <c r="B11" s="26"/>
    </row>
    <row r="12" spans="2:15" ht="15.75">
      <c r="B12" s="247" t="s">
        <v>240</v>
      </c>
    </row>
    <row r="14" spans="2:15" ht="128.25" customHeight="1">
      <c r="B14" s="246" t="s">
        <v>307</v>
      </c>
    </row>
    <row r="16" spans="2:15" ht="15.75">
      <c r="B16" s="242" t="s">
        <v>243</v>
      </c>
      <c r="C16" s="242"/>
      <c r="D16" s="242"/>
      <c r="E16" s="242"/>
      <c r="F16" s="242"/>
      <c r="G16" s="242"/>
      <c r="H16" s="242"/>
    </row>
    <row r="18" spans="2:10" ht="66.75" customHeight="1">
      <c r="B18" s="274" t="s">
        <v>308</v>
      </c>
    </row>
    <row r="20" spans="2:10" ht="15.75">
      <c r="B20" s="242" t="s">
        <v>244</v>
      </c>
    </row>
    <row r="21" spans="2:10" ht="15.75" customHeight="1"/>
    <row r="22" spans="2:10" ht="48.75" customHeight="1">
      <c r="B22" s="266" t="s">
        <v>293</v>
      </c>
    </row>
    <row r="23" spans="2:10" ht="15.75" customHeight="1">
      <c r="B23" s="263"/>
    </row>
    <row r="24" spans="2:10" ht="15.75" customHeight="1">
      <c r="B24" s="242" t="s">
        <v>245</v>
      </c>
      <c r="C24" s="242"/>
      <c r="D24" s="242"/>
      <c r="E24" s="242"/>
      <c r="F24" s="242"/>
      <c r="G24" s="242"/>
      <c r="H24" s="242"/>
      <c r="I24" s="242"/>
      <c r="J24" s="248"/>
    </row>
    <row r="25" spans="2:10" ht="15.75" customHeight="1"/>
    <row r="26" spans="2:10" ht="106.5" customHeight="1">
      <c r="B26" s="274" t="s">
        <v>309</v>
      </c>
    </row>
    <row r="27" spans="2:10" ht="15.75" customHeight="1">
      <c r="B27" s="265" t="s">
        <v>7</v>
      </c>
    </row>
    <row r="28" spans="2:10" ht="15.75" customHeight="1">
      <c r="B28" s="242" t="s">
        <v>246</v>
      </c>
      <c r="C28" s="242"/>
      <c r="D28" s="242"/>
      <c r="E28" s="242"/>
      <c r="F28" s="242"/>
      <c r="G28" s="242"/>
      <c r="H28" s="242"/>
      <c r="I28" s="242"/>
      <c r="J28" s="242"/>
    </row>
    <row r="29" spans="2:10" ht="15.75" customHeight="1">
      <c r="B29" s="242"/>
      <c r="C29" s="242"/>
      <c r="D29" s="242"/>
      <c r="E29" s="242"/>
      <c r="F29" s="242"/>
      <c r="G29" s="242"/>
      <c r="H29" s="242"/>
      <c r="I29" s="242"/>
      <c r="J29" s="242"/>
    </row>
    <row r="30" spans="2:10" ht="73.5" customHeight="1">
      <c r="B30" s="271" t="s">
        <v>291</v>
      </c>
      <c r="C30" s="242"/>
      <c r="D30" s="242"/>
      <c r="E30" s="242"/>
      <c r="F30" s="242"/>
      <c r="G30" s="242"/>
      <c r="H30" s="242"/>
      <c r="I30" s="242"/>
      <c r="J30" s="242"/>
    </row>
    <row r="31" spans="2:10" ht="15.75" customHeight="1">
      <c r="B31" s="242"/>
      <c r="C31" s="242"/>
      <c r="D31" s="242"/>
      <c r="E31" s="242"/>
      <c r="F31" s="242"/>
      <c r="G31" s="242"/>
      <c r="H31" s="242"/>
      <c r="I31" s="242"/>
      <c r="J31" s="242"/>
    </row>
    <row r="32" spans="2:10" ht="15.75" customHeight="1">
      <c r="B32" s="242" t="s">
        <v>248</v>
      </c>
      <c r="C32" s="242"/>
      <c r="D32" s="242"/>
      <c r="E32" s="242"/>
      <c r="F32" s="242"/>
      <c r="G32" s="242"/>
      <c r="H32" s="242"/>
      <c r="I32" s="242"/>
      <c r="J32" s="242"/>
    </row>
    <row r="33" spans="2:10" ht="15.75" customHeight="1">
      <c r="B33" s="242"/>
      <c r="C33" s="242"/>
      <c r="D33" s="242"/>
      <c r="E33" s="242"/>
      <c r="F33" s="242"/>
      <c r="G33" s="242"/>
      <c r="H33" s="242"/>
      <c r="I33" s="242"/>
      <c r="J33" s="242"/>
    </row>
    <row r="34" spans="2:10" ht="97.5" customHeight="1">
      <c r="B34" s="271" t="s">
        <v>292</v>
      </c>
      <c r="C34" s="242"/>
      <c r="D34" s="242"/>
      <c r="E34" s="242"/>
      <c r="F34" s="242"/>
      <c r="G34" s="242"/>
      <c r="H34" s="242"/>
      <c r="I34" s="242"/>
      <c r="J34" s="242"/>
    </row>
    <row r="35" spans="2:10" ht="15.75" customHeight="1">
      <c r="B35" s="242"/>
      <c r="C35" s="242"/>
      <c r="D35" s="242"/>
      <c r="E35" s="242"/>
      <c r="F35" s="242"/>
      <c r="G35" s="242"/>
      <c r="H35" s="242"/>
      <c r="I35" s="242"/>
      <c r="J35" s="242"/>
    </row>
    <row r="36" spans="2:10" ht="15.75" customHeight="1">
      <c r="B36" s="242" t="s">
        <v>249</v>
      </c>
      <c r="C36" s="242"/>
      <c r="D36" s="242"/>
      <c r="E36" s="242"/>
      <c r="F36" s="242"/>
      <c r="G36" s="242"/>
      <c r="H36" s="242"/>
      <c r="I36" s="242"/>
      <c r="J36" s="242"/>
    </row>
    <row r="37" spans="2:10" ht="15.75" customHeight="1">
      <c r="B37" s="273"/>
      <c r="C37" s="242"/>
      <c r="D37" s="242"/>
      <c r="E37" s="242"/>
      <c r="F37" s="242"/>
      <c r="G37" s="242"/>
      <c r="H37" s="242"/>
      <c r="I37" s="242"/>
      <c r="J37" s="242"/>
    </row>
    <row r="38" spans="2:10" ht="66" customHeight="1">
      <c r="B38" s="271" t="s">
        <v>310</v>
      </c>
      <c r="C38" s="242"/>
      <c r="D38" s="242"/>
      <c r="E38" s="242"/>
      <c r="F38" s="242"/>
      <c r="G38" s="242"/>
      <c r="H38" s="242"/>
      <c r="I38" s="242"/>
      <c r="J38" s="242"/>
    </row>
    <row r="39" spans="2:10" ht="15.75" customHeight="1">
      <c r="B39" s="242"/>
      <c r="C39" s="242"/>
      <c r="D39" s="242"/>
      <c r="E39" s="242"/>
      <c r="F39" s="242"/>
      <c r="G39" s="242"/>
      <c r="H39" s="242"/>
      <c r="I39" s="242"/>
      <c r="J39" s="242"/>
    </row>
    <row r="40" spans="2:10" ht="15.75" customHeight="1">
      <c r="B40" s="242" t="s">
        <v>252</v>
      </c>
      <c r="C40" s="242"/>
      <c r="D40" s="242"/>
      <c r="E40" s="242"/>
      <c r="F40" s="242"/>
      <c r="G40" s="242"/>
      <c r="H40" s="242"/>
      <c r="I40" s="242"/>
      <c r="J40" s="242"/>
    </row>
    <row r="41" spans="2:10" ht="15.75" customHeight="1">
      <c r="B41" s="242"/>
      <c r="C41" s="242"/>
      <c r="D41" s="242"/>
      <c r="E41" s="242"/>
      <c r="F41" s="242"/>
      <c r="G41" s="242"/>
      <c r="H41" s="242"/>
      <c r="I41" s="242"/>
      <c r="J41" s="242"/>
    </row>
    <row r="42" spans="2:10" ht="66.75" customHeight="1">
      <c r="B42" s="271" t="s">
        <v>300</v>
      </c>
      <c r="C42" s="242"/>
      <c r="D42" s="242"/>
      <c r="E42" s="242"/>
      <c r="F42" s="242"/>
      <c r="G42" s="242"/>
      <c r="H42" s="242"/>
      <c r="I42" s="242"/>
      <c r="J42" s="242"/>
    </row>
    <row r="43" spans="2:10" ht="15.75" customHeight="1">
      <c r="B43" s="242"/>
      <c r="C43" s="242"/>
      <c r="D43" s="242"/>
      <c r="E43" s="242"/>
      <c r="F43" s="242"/>
      <c r="G43" s="242"/>
      <c r="H43" s="242"/>
      <c r="I43" s="242"/>
      <c r="J43" s="242"/>
    </row>
    <row r="44" spans="2:10" ht="15.75" customHeight="1">
      <c r="B44" s="242" t="s">
        <v>253</v>
      </c>
      <c r="C44" s="242"/>
      <c r="D44" s="242"/>
      <c r="E44" s="242"/>
      <c r="F44" s="242"/>
      <c r="G44" s="242"/>
      <c r="H44" s="242"/>
      <c r="I44" s="242"/>
      <c r="J44" s="242"/>
    </row>
    <row r="45" spans="2:10" ht="15.75" customHeight="1">
      <c r="B45" s="242"/>
      <c r="C45" s="242"/>
      <c r="D45" s="242"/>
      <c r="E45" s="242"/>
      <c r="F45" s="242"/>
      <c r="G45" s="242"/>
      <c r="H45" s="242"/>
      <c r="I45" s="242"/>
      <c r="J45" s="242"/>
    </row>
    <row r="46" spans="2:10" ht="53.25" customHeight="1">
      <c r="B46" s="271" t="s">
        <v>295</v>
      </c>
      <c r="C46" s="242"/>
      <c r="D46" s="242"/>
      <c r="E46" s="242"/>
      <c r="F46" s="242"/>
      <c r="G46" s="242"/>
      <c r="H46" s="242"/>
      <c r="I46" s="242"/>
      <c r="J46" s="242"/>
    </row>
    <row r="47" spans="2:10" ht="15.75" customHeight="1">
      <c r="B47" s="242"/>
      <c r="C47" s="242"/>
      <c r="D47" s="242"/>
      <c r="E47" s="242"/>
      <c r="F47" s="242"/>
      <c r="G47" s="242"/>
      <c r="H47" s="242"/>
      <c r="I47" s="242"/>
      <c r="J47" s="242"/>
    </row>
    <row r="48" spans="2:10" ht="15.75" customHeight="1">
      <c r="B48" s="242" t="s">
        <v>254</v>
      </c>
      <c r="C48" s="242"/>
      <c r="D48" s="242"/>
      <c r="E48" s="242"/>
      <c r="F48" s="242"/>
      <c r="G48" s="242"/>
      <c r="H48" s="242"/>
      <c r="I48" s="242"/>
      <c r="J48" s="242"/>
    </row>
    <row r="49" spans="2:19" ht="15.75" customHeight="1"/>
    <row r="50" spans="2:19" s="275" customFormat="1" ht="75.75" customHeight="1">
      <c r="B50" s="276" t="s">
        <v>298</v>
      </c>
    </row>
    <row r="51" spans="2:19" ht="15.75" customHeight="1">
      <c r="B51" s="242"/>
      <c r="C51" s="242"/>
      <c r="D51" s="242"/>
      <c r="E51" s="242"/>
      <c r="F51" s="242"/>
      <c r="G51" s="242"/>
      <c r="H51" s="242"/>
      <c r="I51" s="242"/>
      <c r="J51" s="242"/>
      <c r="K51" s="242"/>
      <c r="L51" s="242"/>
      <c r="M51" s="242"/>
      <c r="N51" s="242"/>
      <c r="O51" s="242"/>
      <c r="R51" s="242"/>
      <c r="S51" s="242"/>
    </row>
    <row r="52" spans="2:19" ht="15.75" customHeight="1">
      <c r="B52" s="242" t="s">
        <v>256</v>
      </c>
      <c r="C52" s="242"/>
      <c r="D52" s="242"/>
      <c r="E52" s="242"/>
      <c r="F52" s="242"/>
      <c r="G52" s="242"/>
      <c r="H52" s="242"/>
      <c r="I52" s="242"/>
      <c r="J52" s="242"/>
      <c r="K52" s="242"/>
      <c r="L52" s="242"/>
      <c r="M52" s="242"/>
      <c r="N52" s="242"/>
      <c r="O52" s="242"/>
      <c r="R52" s="242"/>
      <c r="S52" s="242"/>
    </row>
    <row r="53" spans="2:19" ht="15.75" customHeight="1">
      <c r="B53" s="242"/>
      <c r="C53" s="242"/>
      <c r="D53" s="242"/>
      <c r="E53" s="242"/>
      <c r="F53" s="242"/>
      <c r="G53" s="242"/>
      <c r="H53" s="242"/>
      <c r="I53" s="242"/>
      <c r="J53" s="242"/>
      <c r="K53" s="242"/>
      <c r="L53" s="242"/>
      <c r="M53" s="242"/>
      <c r="N53" s="242"/>
      <c r="O53" s="242"/>
      <c r="R53" s="242"/>
      <c r="S53" s="242"/>
    </row>
    <row r="54" spans="2:19" s="275" customFormat="1" ht="63" customHeight="1">
      <c r="B54" s="271" t="s">
        <v>296</v>
      </c>
      <c r="C54" s="272"/>
      <c r="D54" s="272"/>
      <c r="E54" s="272"/>
      <c r="F54" s="272"/>
      <c r="G54" s="272"/>
      <c r="H54" s="272"/>
      <c r="I54" s="272"/>
      <c r="J54" s="272"/>
      <c r="K54" s="272"/>
      <c r="L54" s="272"/>
      <c r="M54" s="272"/>
      <c r="N54" s="272"/>
      <c r="O54" s="272"/>
      <c r="R54" s="272"/>
      <c r="S54" s="272"/>
    </row>
    <row r="55" spans="2:19" ht="15.75" customHeight="1">
      <c r="B55" s="242"/>
      <c r="C55" s="242"/>
      <c r="D55" s="242"/>
      <c r="E55" s="242"/>
      <c r="F55" s="242"/>
      <c r="G55" s="242"/>
      <c r="H55" s="242"/>
      <c r="I55" s="242"/>
      <c r="J55" s="242"/>
      <c r="K55" s="242"/>
      <c r="L55" s="242"/>
      <c r="M55" s="242"/>
      <c r="N55" s="242"/>
      <c r="O55" s="242"/>
      <c r="R55" s="242"/>
      <c r="S55" s="242"/>
    </row>
    <row r="56" spans="2:19" ht="15.75" customHeight="1">
      <c r="B56" s="242" t="s">
        <v>259</v>
      </c>
      <c r="C56" s="242"/>
      <c r="D56" s="242"/>
      <c r="E56" s="242"/>
      <c r="F56" s="242"/>
      <c r="G56" s="242"/>
      <c r="H56" s="242"/>
      <c r="I56" s="242"/>
      <c r="J56" s="242"/>
      <c r="K56" s="242"/>
      <c r="L56" s="242"/>
      <c r="M56" s="242"/>
      <c r="N56" s="242"/>
      <c r="O56" s="242"/>
      <c r="R56" s="242"/>
      <c r="S56" s="242"/>
    </row>
    <row r="57" spans="2:19" ht="15.75" customHeight="1">
      <c r="B57" s="242"/>
      <c r="C57" s="242"/>
      <c r="D57" s="242"/>
      <c r="E57" s="242"/>
      <c r="F57" s="242"/>
      <c r="G57" s="242"/>
      <c r="H57" s="242"/>
      <c r="I57" s="242"/>
      <c r="J57" s="242"/>
      <c r="K57" s="242"/>
      <c r="L57" s="242"/>
      <c r="M57" s="242"/>
      <c r="N57" s="242"/>
      <c r="O57" s="242"/>
      <c r="R57" s="242"/>
      <c r="S57" s="242"/>
    </row>
    <row r="58" spans="2:19" ht="128.25" customHeight="1">
      <c r="B58" s="271" t="s">
        <v>304</v>
      </c>
      <c r="C58" s="242"/>
      <c r="D58" s="242"/>
      <c r="E58" s="242"/>
      <c r="F58" s="242"/>
      <c r="G58" s="242"/>
      <c r="H58" s="242"/>
      <c r="I58" s="242"/>
      <c r="J58" s="242"/>
      <c r="K58" s="242"/>
      <c r="L58" s="242"/>
      <c r="M58" s="242"/>
      <c r="N58" s="242"/>
      <c r="O58" s="242"/>
      <c r="R58" s="242"/>
      <c r="S58" s="242"/>
    </row>
    <row r="59" spans="2:19" ht="15.75" customHeight="1">
      <c r="B59" s="242"/>
      <c r="C59" s="242"/>
      <c r="D59" s="242"/>
      <c r="E59" s="242"/>
      <c r="F59" s="242"/>
      <c r="G59" s="242"/>
      <c r="H59" s="242"/>
      <c r="I59" s="242"/>
      <c r="J59" s="242"/>
      <c r="K59" s="242"/>
      <c r="L59" s="242"/>
      <c r="M59" s="242"/>
      <c r="N59" s="242"/>
      <c r="O59" s="242"/>
      <c r="R59" s="242"/>
      <c r="S59" s="242"/>
    </row>
    <row r="60" spans="2:19" ht="15.75" customHeight="1">
      <c r="B60" s="242" t="s">
        <v>263</v>
      </c>
      <c r="C60" s="242"/>
      <c r="D60" s="242"/>
      <c r="E60" s="242"/>
      <c r="F60" s="242"/>
      <c r="G60" s="242"/>
      <c r="H60" s="242"/>
      <c r="I60" s="242"/>
      <c r="J60" s="242"/>
      <c r="K60" s="242"/>
      <c r="L60" s="242"/>
      <c r="M60" s="242"/>
      <c r="N60" s="242"/>
      <c r="O60" s="242"/>
      <c r="R60" s="242"/>
      <c r="S60" s="242"/>
    </row>
    <row r="61" spans="2:19" ht="15.75" customHeight="1">
      <c r="B61" s="242"/>
      <c r="C61" s="242"/>
      <c r="D61" s="242"/>
      <c r="E61" s="242"/>
      <c r="F61" s="242"/>
      <c r="G61" s="242"/>
      <c r="H61" s="242"/>
      <c r="I61" s="242"/>
      <c r="J61" s="242"/>
      <c r="K61" s="242"/>
      <c r="L61" s="242"/>
      <c r="M61" s="242"/>
      <c r="N61" s="242"/>
      <c r="O61" s="242"/>
      <c r="R61" s="242"/>
      <c r="S61" s="242"/>
    </row>
    <row r="62" spans="2:19" ht="220.5" customHeight="1">
      <c r="B62" s="271" t="s">
        <v>312</v>
      </c>
      <c r="C62" s="242"/>
      <c r="D62" s="242"/>
      <c r="E62" s="242"/>
      <c r="F62" s="242"/>
      <c r="G62" s="242"/>
      <c r="H62" s="242"/>
      <c r="I62" s="242"/>
      <c r="J62" s="242"/>
      <c r="K62" s="242"/>
      <c r="L62" s="242"/>
      <c r="M62" s="242"/>
      <c r="N62" s="242"/>
      <c r="O62" s="242"/>
      <c r="R62" s="242"/>
      <c r="S62" s="242"/>
    </row>
    <row r="63" spans="2:19" ht="15.75" customHeight="1">
      <c r="B63" s="242"/>
      <c r="C63" s="242"/>
      <c r="D63" s="242"/>
      <c r="E63" s="242"/>
      <c r="F63" s="242"/>
      <c r="G63" s="242"/>
      <c r="H63" s="242"/>
      <c r="I63" s="242"/>
      <c r="J63" s="242"/>
      <c r="K63" s="242"/>
      <c r="L63" s="242"/>
      <c r="M63" s="242"/>
      <c r="N63" s="242"/>
      <c r="O63" s="242"/>
      <c r="R63" s="242"/>
      <c r="S63" s="242"/>
    </row>
    <row r="64" spans="2:19" ht="15.75" customHeight="1">
      <c r="B64" s="242" t="s">
        <v>264</v>
      </c>
      <c r="C64" s="242"/>
      <c r="D64" s="242"/>
      <c r="E64" s="242"/>
      <c r="F64" s="242"/>
      <c r="G64" s="242"/>
      <c r="H64" s="242"/>
      <c r="I64" s="242"/>
      <c r="J64" s="242"/>
      <c r="K64" s="242"/>
      <c r="L64" s="242"/>
      <c r="M64" s="242"/>
      <c r="N64" s="242"/>
      <c r="O64" s="242"/>
      <c r="R64" s="242"/>
      <c r="S64" s="242"/>
    </row>
    <row r="65" spans="2:19" ht="164.25" customHeight="1">
      <c r="B65" s="271" t="s">
        <v>301</v>
      </c>
      <c r="C65" s="242"/>
      <c r="D65" s="242"/>
      <c r="E65" s="242"/>
      <c r="F65" s="242"/>
      <c r="G65" s="242"/>
      <c r="H65" s="242"/>
      <c r="I65" s="242"/>
      <c r="J65" s="242"/>
      <c r="K65" s="242"/>
      <c r="L65" s="242"/>
      <c r="M65" s="242"/>
      <c r="N65" s="242"/>
      <c r="O65" s="242"/>
      <c r="R65" s="242"/>
      <c r="S65" s="242"/>
    </row>
    <row r="66" spans="2:19" ht="15.75" customHeight="1">
      <c r="B66" s="242"/>
      <c r="C66" s="242"/>
      <c r="D66" s="242"/>
      <c r="E66" s="242"/>
      <c r="F66" s="242"/>
      <c r="G66" s="242"/>
      <c r="H66" s="242"/>
      <c r="I66" s="242"/>
      <c r="J66" s="242"/>
      <c r="K66" s="242"/>
      <c r="L66" s="242"/>
      <c r="M66" s="242"/>
      <c r="N66" s="242"/>
      <c r="O66" s="242"/>
      <c r="R66" s="242"/>
      <c r="S66" s="242"/>
    </row>
    <row r="67" spans="2:19" ht="15.75" customHeight="1">
      <c r="B67" s="242"/>
      <c r="C67" s="242"/>
      <c r="D67" s="242"/>
      <c r="E67" s="242"/>
      <c r="F67" s="242"/>
      <c r="G67" s="242"/>
      <c r="H67" s="242"/>
      <c r="I67" s="242"/>
      <c r="J67" s="242"/>
      <c r="K67" s="242"/>
      <c r="L67" s="242"/>
      <c r="M67" s="242"/>
      <c r="N67" s="242"/>
      <c r="O67" s="242"/>
      <c r="R67" s="242"/>
      <c r="S67" s="242"/>
    </row>
    <row r="68" spans="2:19" ht="15.75" customHeight="1">
      <c r="B68" s="242" t="s">
        <v>265</v>
      </c>
      <c r="C68" s="242"/>
      <c r="D68" s="242"/>
      <c r="E68" s="242"/>
      <c r="F68" s="242"/>
      <c r="G68" s="242"/>
      <c r="H68" s="242"/>
      <c r="I68" s="242"/>
      <c r="J68" s="242"/>
      <c r="K68" s="242"/>
      <c r="L68" s="242"/>
      <c r="M68" s="242"/>
      <c r="N68" s="242"/>
      <c r="O68" s="242"/>
      <c r="R68" s="242"/>
      <c r="S68" s="242"/>
    </row>
    <row r="69" spans="2:19" ht="112.5" customHeight="1">
      <c r="B69" s="271" t="s">
        <v>303</v>
      </c>
      <c r="C69" s="242"/>
      <c r="D69" s="242"/>
      <c r="E69" s="242"/>
      <c r="F69" s="242"/>
      <c r="G69" s="242"/>
      <c r="H69" s="242"/>
      <c r="I69" s="242"/>
      <c r="J69" s="242"/>
      <c r="K69" s="242"/>
      <c r="L69" s="242"/>
      <c r="M69" s="242"/>
      <c r="N69" s="242"/>
      <c r="O69" s="242"/>
      <c r="R69" s="242"/>
      <c r="S69" s="242"/>
    </row>
    <row r="70" spans="2:19" ht="15.75" customHeight="1">
      <c r="B70" s="242"/>
      <c r="C70" s="242"/>
      <c r="D70" s="242"/>
      <c r="E70" s="242"/>
      <c r="F70" s="242"/>
      <c r="G70" s="242"/>
      <c r="H70" s="242"/>
      <c r="I70" s="242"/>
      <c r="J70" s="242"/>
      <c r="K70" s="242"/>
      <c r="L70" s="242"/>
      <c r="M70" s="242"/>
      <c r="N70" s="242"/>
      <c r="O70" s="242"/>
      <c r="R70" s="242"/>
      <c r="S70" s="242"/>
    </row>
    <row r="71" spans="2:19" ht="15.75" customHeight="1">
      <c r="B71" s="242"/>
      <c r="C71" s="242"/>
      <c r="D71" s="242"/>
      <c r="E71" s="242"/>
      <c r="F71" s="242"/>
      <c r="G71" s="242"/>
      <c r="H71" s="242"/>
      <c r="I71" s="242"/>
      <c r="J71" s="242"/>
      <c r="K71" s="242"/>
      <c r="L71" s="242"/>
      <c r="M71" s="242"/>
      <c r="N71" s="242"/>
      <c r="O71" s="242"/>
      <c r="R71" s="242"/>
      <c r="S71" s="242"/>
    </row>
    <row r="72" spans="2:19" ht="15.75" customHeight="1">
      <c r="B72" s="242" t="s">
        <v>268</v>
      </c>
      <c r="C72" s="242"/>
      <c r="D72" s="242"/>
      <c r="E72" s="242"/>
      <c r="F72" s="242"/>
      <c r="G72" s="242"/>
      <c r="H72" s="242"/>
      <c r="I72" s="242"/>
      <c r="J72" s="242"/>
      <c r="K72" s="242"/>
      <c r="L72" s="242"/>
      <c r="M72" s="242"/>
      <c r="N72" s="242"/>
      <c r="O72" s="242"/>
      <c r="R72" s="242"/>
      <c r="S72" s="242"/>
    </row>
    <row r="73" spans="2:19" ht="125.25" customHeight="1">
      <c r="B73" s="271" t="s">
        <v>311</v>
      </c>
      <c r="C73" s="242"/>
      <c r="D73" s="242"/>
      <c r="E73" s="242"/>
      <c r="F73" s="242"/>
      <c r="G73" s="242"/>
      <c r="H73" s="242"/>
      <c r="I73" s="242"/>
      <c r="J73" s="242"/>
      <c r="K73" s="242"/>
      <c r="L73" s="242"/>
      <c r="M73" s="242"/>
      <c r="N73" s="242"/>
      <c r="O73" s="242"/>
      <c r="R73" s="242"/>
      <c r="S73" s="242"/>
    </row>
    <row r="74" spans="2:19" ht="15.75" customHeight="1">
      <c r="B74" s="242"/>
      <c r="C74" s="242"/>
      <c r="D74" s="242"/>
      <c r="E74" s="242"/>
      <c r="F74" s="242"/>
      <c r="G74" s="242"/>
      <c r="H74" s="242"/>
      <c r="I74" s="242"/>
      <c r="J74" s="242"/>
      <c r="K74" s="242"/>
      <c r="L74" s="242"/>
      <c r="M74" s="242"/>
      <c r="N74" s="242"/>
      <c r="O74" s="242"/>
      <c r="R74" s="242"/>
      <c r="S74" s="242"/>
    </row>
    <row r="75" spans="2:19" ht="15.75" customHeight="1">
      <c r="B75" s="242"/>
      <c r="C75" s="242"/>
      <c r="D75" s="242"/>
      <c r="E75" s="242"/>
      <c r="F75" s="242"/>
      <c r="G75" s="242"/>
      <c r="H75" s="242"/>
      <c r="I75" s="242"/>
      <c r="J75" s="242"/>
      <c r="K75" s="242"/>
      <c r="L75" s="242"/>
      <c r="M75" s="242"/>
      <c r="N75" s="242"/>
      <c r="O75" s="242"/>
      <c r="R75" s="242"/>
      <c r="S75" s="242"/>
    </row>
    <row r="76" spans="2:19" ht="16.5" customHeight="1">
      <c r="B76" s="242" t="s">
        <v>269</v>
      </c>
      <c r="C76" s="242"/>
      <c r="D76" s="242"/>
      <c r="E76" s="242"/>
      <c r="F76" s="242"/>
      <c r="G76" s="242"/>
      <c r="H76" s="242"/>
      <c r="I76" s="242"/>
      <c r="J76" s="242"/>
      <c r="K76" s="242"/>
      <c r="L76" s="242"/>
      <c r="M76" s="242"/>
      <c r="N76" s="242"/>
      <c r="O76" s="242"/>
      <c r="R76" s="242"/>
      <c r="S76" s="242"/>
    </row>
    <row r="77" spans="2:19" ht="15.75" customHeight="1">
      <c r="B77" s="242"/>
      <c r="C77" s="242"/>
      <c r="D77" s="242"/>
      <c r="E77" s="242"/>
      <c r="F77" s="242"/>
      <c r="G77" s="242"/>
      <c r="H77" s="242"/>
      <c r="I77" s="242"/>
      <c r="J77" s="242"/>
      <c r="K77" s="242"/>
      <c r="L77" s="242"/>
      <c r="M77" s="242"/>
      <c r="N77" s="242"/>
      <c r="O77" s="242"/>
      <c r="R77" s="242"/>
      <c r="S77" s="242"/>
    </row>
    <row r="78" spans="2:19" s="275" customFormat="1" ht="123.75" customHeight="1">
      <c r="B78" s="271" t="s">
        <v>294</v>
      </c>
      <c r="C78" s="272"/>
      <c r="D78" s="272"/>
      <c r="E78" s="272"/>
      <c r="F78" s="272"/>
      <c r="G78" s="272"/>
      <c r="H78" s="272"/>
      <c r="I78" s="272"/>
      <c r="J78" s="272"/>
      <c r="K78" s="272"/>
      <c r="L78" s="272"/>
      <c r="M78" s="272"/>
      <c r="N78" s="272"/>
      <c r="O78" s="272"/>
      <c r="R78" s="272"/>
      <c r="S78" s="272"/>
    </row>
    <row r="79" spans="2:19" ht="15.75" customHeight="1"/>
    <row r="80" spans="2: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1000"/>
  <sheetViews>
    <sheetView tabSelected="1" workbookViewId="0">
      <selection activeCell="B2" sqref="B2"/>
    </sheetView>
  </sheetViews>
  <sheetFormatPr baseColWidth="10" defaultColWidth="14.42578125" defaultRowHeight="15" customHeight="1"/>
  <cols>
    <col min="1" max="1" width="14.42578125" customWidth="1"/>
    <col min="2" max="2" width="86.42578125" customWidth="1"/>
    <col min="3" max="6" width="14.42578125" customWidth="1"/>
  </cols>
  <sheetData>
    <row r="2" spans="2:2" ht="254.25" customHeight="1">
      <c r="B2" s="321" t="s">
        <v>313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opLeftCell="A7" workbookViewId="0">
      <selection activeCell="C2" sqref="C2"/>
    </sheetView>
  </sheetViews>
  <sheetFormatPr baseColWidth="10" defaultColWidth="14.42578125" defaultRowHeight="15" customHeight="1"/>
  <cols>
    <col min="1" max="1" width="10.7109375" customWidth="1"/>
    <col min="2" max="2" width="93.7109375" customWidth="1"/>
    <col min="3" max="4" width="10.7109375" customWidth="1"/>
    <col min="5" max="5" width="53.140625" customWidth="1"/>
    <col min="6" max="6" width="10.7109375" customWidth="1"/>
  </cols>
  <sheetData>
    <row r="1" spans="1:5" ht="32.25" thickBot="1">
      <c r="B1" s="2" t="s">
        <v>0</v>
      </c>
    </row>
    <row r="2" spans="1:5" ht="131.25" customHeight="1">
      <c r="B2" s="4" t="s">
        <v>1</v>
      </c>
      <c r="D2" s="264"/>
      <c r="E2" s="284" t="s">
        <v>299</v>
      </c>
    </row>
    <row r="3" spans="1:5" ht="75">
      <c r="B3" s="19" t="s">
        <v>3</v>
      </c>
      <c r="D3" s="264"/>
      <c r="E3" s="285"/>
    </row>
    <row r="4" spans="1:5" ht="56.25">
      <c r="B4" s="19" t="s">
        <v>17</v>
      </c>
      <c r="C4" s="26" t="s">
        <v>18</v>
      </c>
      <c r="D4" s="264"/>
      <c r="E4" s="285"/>
    </row>
    <row r="5" spans="1:5" ht="93.75">
      <c r="A5" s="26" t="s">
        <v>18</v>
      </c>
      <c r="B5" s="19" t="s">
        <v>29</v>
      </c>
      <c r="D5" s="264"/>
      <c r="E5" s="285"/>
    </row>
    <row r="6" spans="1:5" ht="93.75">
      <c r="B6" s="19" t="s">
        <v>31</v>
      </c>
      <c r="D6" s="264"/>
      <c r="E6" s="285"/>
    </row>
    <row r="7" spans="1:5" ht="56.25">
      <c r="B7" s="19" t="s">
        <v>32</v>
      </c>
      <c r="D7" s="264"/>
      <c r="E7" s="285"/>
    </row>
    <row r="8" spans="1:5" ht="56.25">
      <c r="B8" s="19" t="s">
        <v>35</v>
      </c>
      <c r="D8" s="264"/>
      <c r="E8" s="285"/>
    </row>
    <row r="9" spans="1:5" ht="15" customHeight="1">
      <c r="D9" s="264"/>
      <c r="E9" s="285"/>
    </row>
    <row r="10" spans="1:5" ht="15" customHeight="1">
      <c r="D10" s="264"/>
      <c r="E10" s="285"/>
    </row>
    <row r="11" spans="1:5" ht="15" customHeight="1">
      <c r="D11" s="264"/>
      <c r="E11" s="285"/>
    </row>
    <row r="12" spans="1:5" ht="15" customHeight="1">
      <c r="D12" s="264"/>
      <c r="E12" s="285"/>
    </row>
    <row r="13" spans="1:5" ht="15" customHeight="1">
      <c r="D13" s="264"/>
      <c r="E13" s="285"/>
    </row>
    <row r="14" spans="1:5" ht="15" customHeight="1">
      <c r="D14" s="264"/>
      <c r="E14" s="285"/>
    </row>
    <row r="15" spans="1:5" ht="15" customHeight="1">
      <c r="D15" s="264"/>
      <c r="E15" s="285"/>
    </row>
    <row r="16" spans="1:5" ht="15" customHeight="1">
      <c r="D16" s="264"/>
      <c r="E16" s="285"/>
    </row>
    <row r="17" spans="4:5" ht="15" customHeight="1">
      <c r="D17" s="264"/>
      <c r="E17" s="285"/>
    </row>
    <row r="18" spans="4:5" ht="15" customHeight="1">
      <c r="D18" s="264"/>
      <c r="E18" s="285"/>
    </row>
    <row r="19" spans="4:5" ht="15" customHeight="1">
      <c r="D19" s="264"/>
      <c r="E19" s="285"/>
    </row>
    <row r="20" spans="4:5" ht="15" customHeight="1">
      <c r="D20" s="264"/>
      <c r="E20" s="285"/>
    </row>
    <row r="21" spans="4:5" ht="15.75" customHeight="1">
      <c r="D21" s="277"/>
      <c r="E21" s="286"/>
    </row>
    <row r="22" spans="4:5" ht="15.75" customHeight="1">
      <c r="D22" s="277"/>
      <c r="E22" s="279"/>
    </row>
    <row r="23" spans="4:5" ht="15.75" customHeight="1">
      <c r="D23" s="277"/>
      <c r="E23" s="278"/>
    </row>
    <row r="24" spans="4:5" ht="15.75" customHeight="1">
      <c r="D24" s="277"/>
      <c r="E24" s="278"/>
    </row>
    <row r="25" spans="4:5" ht="15.75" customHeight="1">
      <c r="D25" s="277"/>
      <c r="E25" s="278"/>
    </row>
    <row r="26" spans="4:5" ht="15.75" customHeight="1">
      <c r="D26" s="277"/>
      <c r="E26" s="278"/>
    </row>
    <row r="27" spans="4:5" ht="15.75" customHeight="1">
      <c r="D27" s="277"/>
      <c r="E27" s="278"/>
    </row>
    <row r="28" spans="4:5" ht="15.75" customHeight="1">
      <c r="D28" s="277"/>
      <c r="E28" s="278"/>
    </row>
    <row r="29" spans="4:5" ht="15.75" customHeight="1">
      <c r="D29" s="277"/>
      <c r="E29" s="278"/>
    </row>
    <row r="30" spans="4:5" ht="15.75" customHeight="1">
      <c r="D30" s="277"/>
      <c r="E30" s="278"/>
    </row>
    <row r="31" spans="4:5" ht="15.75" customHeight="1">
      <c r="D31" s="277"/>
      <c r="E31" s="278"/>
    </row>
    <row r="32" spans="4:5" ht="15.75" customHeight="1">
      <c r="D32" s="277"/>
      <c r="E32" s="278"/>
    </row>
    <row r="33" spans="4:5" ht="15.75" customHeight="1">
      <c r="D33" s="277"/>
      <c r="E33" s="278"/>
    </row>
    <row r="34" spans="4:5" ht="15.75" customHeight="1">
      <c r="D34" s="277"/>
      <c r="E34" s="278"/>
    </row>
    <row r="35" spans="4:5" ht="15.75" customHeight="1">
      <c r="D35" s="277"/>
      <c r="E35" s="278"/>
    </row>
    <row r="36" spans="4:5" ht="15.75" customHeight="1">
      <c r="D36" s="277"/>
      <c r="E36" s="278"/>
    </row>
    <row r="37" spans="4:5" ht="15.75" customHeight="1">
      <c r="D37" s="277"/>
      <c r="E37" s="278"/>
    </row>
    <row r="38" spans="4:5" ht="15.75" customHeight="1">
      <c r="D38" s="277"/>
      <c r="E38" s="278"/>
    </row>
    <row r="39" spans="4:5" ht="15.75" customHeight="1">
      <c r="D39" s="277"/>
      <c r="E39" s="278"/>
    </row>
    <row r="40" spans="4:5" ht="15.75" customHeight="1">
      <c r="D40" s="277"/>
      <c r="E40" s="278"/>
    </row>
    <row r="41" spans="4:5" ht="15.75" customHeight="1">
      <c r="D41" s="277"/>
      <c r="E41" s="278"/>
    </row>
    <row r="42" spans="4:5" ht="15.75" customHeight="1">
      <c r="D42" s="277"/>
      <c r="E42" s="278"/>
    </row>
    <row r="43" spans="4:5" ht="15.75" customHeight="1">
      <c r="D43" s="277"/>
      <c r="E43" s="278"/>
    </row>
    <row r="44" spans="4:5" ht="15.75" customHeight="1">
      <c r="D44" s="277"/>
      <c r="E44" s="278"/>
    </row>
    <row r="45" spans="4:5" ht="15.75" customHeight="1">
      <c r="D45" s="277"/>
      <c r="E45" s="278"/>
    </row>
    <row r="46" spans="4:5" ht="15.75" customHeight="1">
      <c r="D46" s="277"/>
      <c r="E46" s="278"/>
    </row>
    <row r="47" spans="4:5" ht="15.75" customHeight="1">
      <c r="D47" s="277"/>
      <c r="E47" s="278"/>
    </row>
    <row r="48" spans="4:5" ht="15.75" customHeight="1">
      <c r="D48" s="277"/>
      <c r="E48" s="278"/>
    </row>
    <row r="49" spans="4:5" ht="15.75" customHeight="1">
      <c r="D49" s="277"/>
      <c r="E49" s="278"/>
    </row>
    <row r="50" spans="4:5" ht="15.75" customHeight="1">
      <c r="D50" s="277"/>
      <c r="E50" s="278"/>
    </row>
    <row r="51" spans="4:5" ht="15.75" customHeight="1">
      <c r="D51" s="277"/>
      <c r="E51" s="278"/>
    </row>
    <row r="52" spans="4:5" ht="15.75" customHeight="1">
      <c r="D52" s="277"/>
      <c r="E52" s="278"/>
    </row>
    <row r="53" spans="4:5" ht="15.75" customHeight="1">
      <c r="D53" s="277"/>
      <c r="E53" s="278"/>
    </row>
    <row r="54" spans="4:5" ht="15.75" customHeight="1">
      <c r="D54" s="277"/>
      <c r="E54" s="278"/>
    </row>
    <row r="55" spans="4:5" ht="15.75" customHeight="1">
      <c r="D55" s="277"/>
      <c r="E55" s="278"/>
    </row>
    <row r="56" spans="4:5" ht="15.75" customHeight="1">
      <c r="D56" s="277"/>
      <c r="E56" s="278"/>
    </row>
    <row r="57" spans="4:5" ht="15.75" customHeight="1">
      <c r="D57" s="277"/>
      <c r="E57" s="278"/>
    </row>
    <row r="58" spans="4:5" ht="15.75" customHeight="1">
      <c r="D58" s="277"/>
      <c r="E58" s="278"/>
    </row>
    <row r="59" spans="4:5" ht="15.75" customHeight="1">
      <c r="D59" s="277"/>
      <c r="E59" s="278"/>
    </row>
    <row r="60" spans="4:5" ht="15.75" customHeight="1">
      <c r="D60" s="277"/>
      <c r="E60" s="278"/>
    </row>
    <row r="61" spans="4:5" ht="15.75" customHeight="1">
      <c r="D61" s="277"/>
      <c r="E61" s="278"/>
    </row>
    <row r="62" spans="4:5" ht="15.75" customHeight="1">
      <c r="D62" s="277"/>
      <c r="E62" s="278"/>
    </row>
    <row r="63" spans="4:5" ht="15.75" customHeight="1">
      <c r="D63" s="277"/>
      <c r="E63" s="278"/>
    </row>
    <row r="64" spans="4:5" ht="15.75" customHeight="1">
      <c r="D64" s="277"/>
      <c r="E64" s="278"/>
    </row>
    <row r="65" spans="4:5" ht="15.75" customHeight="1">
      <c r="D65" s="277"/>
      <c r="E65" s="278"/>
    </row>
    <row r="66" spans="4:5" ht="15.75" customHeight="1">
      <c r="D66" s="277"/>
      <c r="E66" s="278"/>
    </row>
    <row r="67" spans="4:5" ht="15.75" customHeight="1">
      <c r="D67" s="277"/>
      <c r="E67" s="278"/>
    </row>
    <row r="68" spans="4:5" ht="15.75" customHeight="1">
      <c r="D68" s="277"/>
      <c r="E68" s="278"/>
    </row>
    <row r="69" spans="4:5" ht="15.75" customHeight="1">
      <c r="D69" s="277"/>
      <c r="E69" s="278"/>
    </row>
    <row r="70" spans="4:5" ht="15.75" customHeight="1">
      <c r="D70" s="277"/>
      <c r="E70" s="278"/>
    </row>
    <row r="71" spans="4:5" ht="15.75" customHeight="1">
      <c r="D71" s="277"/>
      <c r="E71" s="278"/>
    </row>
    <row r="72" spans="4:5" ht="15.75" customHeight="1">
      <c r="D72" s="277"/>
      <c r="E72" s="278"/>
    </row>
    <row r="73" spans="4:5" ht="15.75" customHeight="1">
      <c r="D73" s="277"/>
      <c r="E73" s="278"/>
    </row>
    <row r="74" spans="4:5" ht="15.75" customHeight="1">
      <c r="D74" s="277"/>
      <c r="E74" s="278"/>
    </row>
    <row r="75" spans="4:5" ht="15.75" customHeight="1">
      <c r="D75" s="277"/>
      <c r="E75" s="278"/>
    </row>
    <row r="76" spans="4:5" ht="15.75" customHeight="1">
      <c r="D76" s="277"/>
      <c r="E76" s="278"/>
    </row>
    <row r="77" spans="4:5" ht="15.75" customHeight="1">
      <c r="D77" s="277"/>
      <c r="E77" s="278"/>
    </row>
    <row r="78" spans="4:5" ht="15.75" customHeight="1">
      <c r="D78" s="277"/>
      <c r="E78" s="278"/>
    </row>
    <row r="79" spans="4:5" ht="15.75" customHeight="1">
      <c r="D79" s="277"/>
      <c r="E79" s="278"/>
    </row>
    <row r="80" spans="4:5" ht="15.75" customHeight="1">
      <c r="D80" s="277"/>
      <c r="E80" s="278"/>
    </row>
    <row r="81" spans="4:5" ht="15.75" customHeight="1">
      <c r="D81" s="277"/>
      <c r="E81" s="278"/>
    </row>
    <row r="82" spans="4:5" ht="15.75" customHeight="1">
      <c r="D82" s="277"/>
      <c r="E82" s="278"/>
    </row>
    <row r="83" spans="4:5" ht="15.75" customHeight="1">
      <c r="D83" s="277"/>
      <c r="E83" s="278"/>
    </row>
    <row r="84" spans="4:5" ht="15.75" customHeight="1">
      <c r="D84" s="277"/>
      <c r="E84" s="278"/>
    </row>
    <row r="85" spans="4:5" ht="15.75" customHeight="1">
      <c r="D85" s="277"/>
      <c r="E85" s="278"/>
    </row>
    <row r="86" spans="4:5" ht="15.75" customHeight="1">
      <c r="D86" s="277"/>
      <c r="E86" s="278"/>
    </row>
    <row r="87" spans="4:5" ht="15.75" customHeight="1">
      <c r="D87" s="277"/>
      <c r="E87" s="278"/>
    </row>
    <row r="88" spans="4:5" ht="15.75" customHeight="1">
      <c r="D88" s="277"/>
      <c r="E88" s="278"/>
    </row>
    <row r="89" spans="4:5" ht="15.75" customHeight="1">
      <c r="D89" s="277"/>
      <c r="E89" s="278"/>
    </row>
    <row r="90" spans="4:5" ht="15.75" customHeight="1">
      <c r="D90" s="277"/>
      <c r="E90" s="278"/>
    </row>
    <row r="91" spans="4:5" ht="15.75" customHeight="1">
      <c r="D91" s="277"/>
      <c r="E91" s="278"/>
    </row>
    <row r="92" spans="4:5" ht="15.75" customHeight="1">
      <c r="D92" s="277"/>
      <c r="E92" s="278"/>
    </row>
    <row r="93" spans="4:5" ht="15.75" customHeight="1">
      <c r="D93" s="277"/>
      <c r="E93" s="278"/>
    </row>
    <row r="94" spans="4:5" ht="15.75" customHeight="1">
      <c r="D94" s="277"/>
      <c r="E94" s="277"/>
    </row>
    <row r="95" spans="4:5" ht="15.75" customHeight="1">
      <c r="D95" s="277"/>
      <c r="E95" s="277"/>
    </row>
    <row r="96" spans="4:5" ht="15.75" customHeight="1">
      <c r="D96" s="277"/>
      <c r="E96" s="277"/>
    </row>
    <row r="97" spans="4:5" ht="15.75" customHeight="1">
      <c r="D97" s="277"/>
      <c r="E97" s="277"/>
    </row>
    <row r="98" spans="4:5" ht="15.75" customHeight="1">
      <c r="D98" s="277"/>
      <c r="E98" s="277"/>
    </row>
    <row r="99" spans="4:5" ht="15.75" customHeight="1">
      <c r="D99" s="277"/>
      <c r="E99" s="277"/>
    </row>
    <row r="100" spans="4:5" ht="15.75" customHeight="1">
      <c r="D100" s="277"/>
      <c r="E100" s="277"/>
    </row>
    <row r="101" spans="4:5" ht="15.75" customHeight="1">
      <c r="D101" s="277"/>
      <c r="E101" s="277"/>
    </row>
    <row r="102" spans="4:5" ht="15.75" customHeight="1">
      <c r="D102" s="277"/>
      <c r="E102" s="277"/>
    </row>
    <row r="103" spans="4:5" ht="15.75" customHeight="1">
      <c r="D103" s="277"/>
      <c r="E103" s="277"/>
    </row>
    <row r="104" spans="4:5" ht="15.75" customHeight="1">
      <c r="D104" s="277"/>
      <c r="E104" s="277"/>
    </row>
    <row r="105" spans="4:5" ht="15.75" customHeight="1">
      <c r="D105" s="277"/>
      <c r="E105" s="277"/>
    </row>
    <row r="106" spans="4:5" ht="15.75" customHeight="1">
      <c r="D106" s="277"/>
      <c r="E106" s="277"/>
    </row>
    <row r="107" spans="4:5" ht="15.75" customHeight="1">
      <c r="D107" s="277"/>
      <c r="E107" s="277"/>
    </row>
    <row r="108" spans="4:5" ht="15.75" customHeight="1">
      <c r="D108" s="277"/>
      <c r="E108" s="277"/>
    </row>
    <row r="109" spans="4:5" ht="15.75" customHeight="1">
      <c r="D109" s="277"/>
      <c r="E109" s="277"/>
    </row>
    <row r="110" spans="4:5" ht="15.75" customHeight="1">
      <c r="D110" s="277"/>
      <c r="E110" s="277"/>
    </row>
    <row r="111" spans="4:5" ht="15.75" customHeight="1">
      <c r="D111" s="277"/>
      <c r="E111" s="277"/>
    </row>
    <row r="112" spans="4:5" ht="15.75" customHeight="1">
      <c r="D112" s="277"/>
      <c r="E112" s="277"/>
    </row>
    <row r="113" spans="4:5" ht="15.75" customHeight="1">
      <c r="D113" s="277"/>
      <c r="E113" s="277"/>
    </row>
    <row r="114" spans="4:5" ht="15.75" customHeight="1">
      <c r="D114" s="277"/>
      <c r="E114" s="277"/>
    </row>
    <row r="115" spans="4:5" ht="15.75" customHeight="1">
      <c r="D115" s="277"/>
      <c r="E115" s="277"/>
    </row>
    <row r="116" spans="4:5" ht="15.75" customHeight="1">
      <c r="D116" s="277"/>
      <c r="E116" s="277"/>
    </row>
    <row r="117" spans="4:5" ht="15.75" customHeight="1">
      <c r="D117" s="277"/>
      <c r="E117" s="277"/>
    </row>
    <row r="118" spans="4:5" ht="15.75" customHeight="1">
      <c r="D118" s="277"/>
      <c r="E118" s="277"/>
    </row>
    <row r="119" spans="4:5" ht="15.75" customHeight="1">
      <c r="D119" s="277"/>
      <c r="E119" s="277"/>
    </row>
    <row r="120" spans="4:5" ht="15.75" customHeight="1">
      <c r="D120" s="277"/>
      <c r="E120" s="277"/>
    </row>
    <row r="121" spans="4:5" ht="15.75" customHeight="1">
      <c r="D121" s="277"/>
      <c r="E121" s="277"/>
    </row>
    <row r="122" spans="4:5" ht="15.75" customHeight="1">
      <c r="D122" s="277"/>
      <c r="E122" s="277"/>
    </row>
    <row r="123" spans="4:5" ht="15.75" customHeight="1">
      <c r="D123" s="277"/>
      <c r="E123" s="277"/>
    </row>
    <row r="124" spans="4:5" ht="15.75" customHeight="1">
      <c r="D124" s="277"/>
      <c r="E124" s="277"/>
    </row>
    <row r="125" spans="4:5" ht="15.75" customHeight="1">
      <c r="D125" s="277"/>
      <c r="E125" s="277"/>
    </row>
    <row r="126" spans="4:5" ht="15.75" customHeight="1">
      <c r="D126" s="277"/>
      <c r="E126" s="277"/>
    </row>
    <row r="127" spans="4:5" ht="15.75" customHeight="1">
      <c r="D127" s="277"/>
      <c r="E127" s="277"/>
    </row>
    <row r="128" spans="4:5" ht="15.75" customHeight="1">
      <c r="D128" s="277"/>
      <c r="E128" s="277"/>
    </row>
    <row r="129" spans="4:5" ht="15.75" customHeight="1">
      <c r="D129" s="277"/>
      <c r="E129" s="277"/>
    </row>
    <row r="130" spans="4:5" ht="15.75" customHeight="1">
      <c r="D130" s="277"/>
      <c r="E130" s="277"/>
    </row>
    <row r="131" spans="4:5" ht="15.75" customHeight="1">
      <c r="D131" s="277"/>
      <c r="E131" s="277"/>
    </row>
    <row r="132" spans="4:5" ht="15.75" customHeight="1">
      <c r="D132" s="277"/>
      <c r="E132" s="277"/>
    </row>
    <row r="133" spans="4:5" ht="15.75" customHeight="1">
      <c r="D133" s="277"/>
      <c r="E133" s="277"/>
    </row>
    <row r="134" spans="4:5" ht="15.75" customHeight="1">
      <c r="D134" s="277"/>
      <c r="E134" s="277"/>
    </row>
    <row r="135" spans="4:5" ht="15.75" customHeight="1">
      <c r="D135" s="277"/>
      <c r="E135" s="277"/>
    </row>
    <row r="136" spans="4:5" ht="15.75" customHeight="1">
      <c r="D136" s="277"/>
      <c r="E136" s="277"/>
    </row>
    <row r="137" spans="4:5" ht="15.75" customHeight="1">
      <c r="D137" s="277"/>
      <c r="E137" s="277"/>
    </row>
    <row r="138" spans="4:5" ht="15.75" customHeight="1">
      <c r="D138" s="277"/>
      <c r="E138" s="277"/>
    </row>
    <row r="139" spans="4:5" ht="15.75" customHeight="1">
      <c r="D139" s="277"/>
      <c r="E139" s="277"/>
    </row>
    <row r="140" spans="4:5" ht="15.75" customHeight="1">
      <c r="D140" s="277"/>
      <c r="E140" s="277"/>
    </row>
    <row r="141" spans="4:5" ht="15.75" customHeight="1">
      <c r="D141" s="277"/>
      <c r="E141" s="277"/>
    </row>
    <row r="142" spans="4:5" ht="15.75" customHeight="1">
      <c r="D142" s="277"/>
      <c r="E142" s="277"/>
    </row>
    <row r="143" spans="4:5" ht="15.75" customHeight="1">
      <c r="D143" s="277"/>
      <c r="E143" s="277"/>
    </row>
    <row r="144" spans="4:5" ht="15.75" customHeight="1">
      <c r="D144" s="277"/>
      <c r="E144" s="277"/>
    </row>
    <row r="145" spans="4:5" ht="15.75" customHeight="1">
      <c r="D145" s="277"/>
      <c r="E145" s="277"/>
    </row>
    <row r="146" spans="4:5" ht="15.75" customHeight="1">
      <c r="D146" s="277"/>
      <c r="E146" s="277"/>
    </row>
    <row r="147" spans="4:5" ht="15.75" customHeight="1">
      <c r="D147" s="277"/>
      <c r="E147" s="277"/>
    </row>
    <row r="148" spans="4:5" ht="15.75" customHeight="1">
      <c r="D148" s="277"/>
      <c r="E148" s="277"/>
    </row>
    <row r="149" spans="4:5" ht="15.75" customHeight="1">
      <c r="D149" s="277"/>
      <c r="E149" s="277"/>
    </row>
    <row r="150" spans="4:5" ht="15.75" customHeight="1">
      <c r="D150" s="277"/>
      <c r="E150" s="277"/>
    </row>
    <row r="151" spans="4:5" ht="15.75" customHeight="1">
      <c r="D151" s="277"/>
      <c r="E151" s="277"/>
    </row>
    <row r="152" spans="4:5" ht="15.75" customHeight="1">
      <c r="D152" s="277"/>
      <c r="E152" s="277"/>
    </row>
    <row r="153" spans="4:5" ht="15.75" customHeight="1">
      <c r="D153" s="277"/>
      <c r="E153" s="277"/>
    </row>
    <row r="154" spans="4:5" ht="15.75" customHeight="1">
      <c r="D154" s="277"/>
      <c r="E154" s="277"/>
    </row>
    <row r="155" spans="4:5" ht="15.75" customHeight="1">
      <c r="D155" s="277"/>
      <c r="E155" s="277"/>
    </row>
    <row r="156" spans="4:5" ht="15.75" customHeight="1">
      <c r="D156" s="277"/>
      <c r="E156" s="277"/>
    </row>
    <row r="157" spans="4:5" ht="15.75" customHeight="1">
      <c r="D157" s="277"/>
      <c r="E157" s="277"/>
    </row>
    <row r="158" spans="4:5" ht="15.75" customHeight="1">
      <c r="D158" s="277"/>
      <c r="E158" s="277"/>
    </row>
    <row r="159" spans="4:5" ht="15.75" customHeight="1">
      <c r="D159" s="277"/>
      <c r="E159" s="277"/>
    </row>
    <row r="160" spans="4:5" ht="15.75" customHeight="1">
      <c r="D160" s="277"/>
      <c r="E160" s="277"/>
    </row>
    <row r="161" spans="4:5" ht="15.75" customHeight="1">
      <c r="D161" s="277"/>
      <c r="E161" s="277"/>
    </row>
    <row r="162" spans="4:5" ht="15.75" customHeight="1">
      <c r="D162" s="277"/>
      <c r="E162" s="277"/>
    </row>
    <row r="163" spans="4:5" ht="15.75" customHeight="1">
      <c r="D163" s="277"/>
      <c r="E163" s="277"/>
    </row>
    <row r="164" spans="4:5" ht="15.75" customHeight="1">
      <c r="D164" s="277"/>
      <c r="E164" s="277"/>
    </row>
    <row r="165" spans="4:5" ht="15.75" customHeight="1">
      <c r="D165" s="277"/>
      <c r="E165" s="277"/>
    </row>
    <row r="166" spans="4:5" ht="15.75" customHeight="1">
      <c r="D166" s="277"/>
      <c r="E166" s="277"/>
    </row>
    <row r="167" spans="4:5" ht="15.75" customHeight="1"/>
    <row r="168" spans="4:5" ht="15.75" customHeight="1"/>
    <row r="169" spans="4:5" ht="15.75" customHeight="1"/>
    <row r="170" spans="4:5" ht="15.75" customHeight="1"/>
    <row r="171" spans="4:5" ht="15.75" customHeight="1"/>
    <row r="172" spans="4:5" ht="15.75" customHeight="1"/>
    <row r="173" spans="4:5" ht="15.75" customHeight="1"/>
    <row r="174" spans="4:5" ht="15.75" customHeight="1"/>
    <row r="175" spans="4:5" ht="15.75" customHeight="1"/>
    <row r="176" spans="4:5"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2:E2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00"/>
  <sheetViews>
    <sheetView workbookViewId="0"/>
  </sheetViews>
  <sheetFormatPr baseColWidth="10" defaultColWidth="14.42578125" defaultRowHeight="15" customHeight="1"/>
  <cols>
    <col min="1" max="1" width="10.7109375" customWidth="1"/>
    <col min="2" max="2" width="82.7109375" customWidth="1"/>
    <col min="3" max="3" width="6.7109375" customWidth="1"/>
    <col min="4" max="8" width="10.7109375" customWidth="1"/>
    <col min="9" max="9" width="17.28515625" customWidth="1"/>
    <col min="10" max="10" width="10.7109375" customWidth="1"/>
  </cols>
  <sheetData>
    <row r="1" spans="2:10">
      <c r="J1" s="1"/>
    </row>
    <row r="2" spans="2:10">
      <c r="J2" s="1"/>
    </row>
    <row r="3" spans="2:10">
      <c r="J3" s="1"/>
    </row>
    <row r="4" spans="2:10" ht="28.5">
      <c r="B4" s="3"/>
      <c r="C4" s="5"/>
      <c r="D4" s="5" t="s">
        <v>4</v>
      </c>
      <c r="E4" s="5"/>
      <c r="F4" s="5"/>
      <c r="G4" s="7"/>
      <c r="H4" s="7"/>
      <c r="I4" s="3"/>
      <c r="J4" s="1"/>
    </row>
    <row r="5" spans="2:10" ht="26.25">
      <c r="B5" s="3"/>
      <c r="C5" s="3"/>
      <c r="D5" s="9" t="s">
        <v>5</v>
      </c>
      <c r="E5" s="3"/>
      <c r="F5" s="3"/>
      <c r="G5" s="3"/>
      <c r="H5" s="3"/>
      <c r="I5" s="3"/>
      <c r="J5" s="1"/>
    </row>
    <row r="6" spans="2:10" ht="37.5" customHeight="1">
      <c r="B6" s="11" t="s">
        <v>6</v>
      </c>
      <c r="C6" s="3" t="s">
        <v>7</v>
      </c>
      <c r="D6" s="9" t="s">
        <v>8</v>
      </c>
      <c r="E6" s="9" t="s">
        <v>9</v>
      </c>
      <c r="F6" s="9" t="s">
        <v>10</v>
      </c>
      <c r="G6" s="9" t="s">
        <v>11</v>
      </c>
      <c r="H6" s="9" t="s">
        <v>12</v>
      </c>
      <c r="I6" s="9" t="s">
        <v>13</v>
      </c>
      <c r="J6" s="1"/>
    </row>
    <row r="7" spans="2:10" ht="15.75">
      <c r="B7" s="13" t="s">
        <v>14</v>
      </c>
      <c r="C7" s="15"/>
      <c r="D7" s="15"/>
      <c r="E7" s="15"/>
      <c r="F7" s="15"/>
      <c r="G7" s="15"/>
      <c r="H7" s="15"/>
      <c r="I7" s="15"/>
      <c r="J7" s="1"/>
    </row>
    <row r="8" spans="2:10">
      <c r="B8" s="17" t="s">
        <v>16</v>
      </c>
      <c r="C8" s="22">
        <v>4</v>
      </c>
      <c r="D8" s="24">
        <v>27695</v>
      </c>
      <c r="E8" s="24">
        <v>17381</v>
      </c>
      <c r="F8" s="24">
        <v>32444</v>
      </c>
      <c r="G8" s="24">
        <v>37819</v>
      </c>
      <c r="H8" s="24">
        <v>21259</v>
      </c>
      <c r="I8" s="22" t="s">
        <v>22</v>
      </c>
      <c r="J8" s="1"/>
    </row>
    <row r="9" spans="2:10">
      <c r="B9" s="17" t="s">
        <v>23</v>
      </c>
      <c r="C9" s="22">
        <v>4</v>
      </c>
      <c r="D9" s="22">
        <v>328</v>
      </c>
      <c r="E9" s="22">
        <v>331</v>
      </c>
      <c r="F9" s="24">
        <v>3710</v>
      </c>
      <c r="G9" s="22">
        <v>12</v>
      </c>
      <c r="H9" s="22">
        <v>13</v>
      </c>
      <c r="I9" s="22" t="s">
        <v>25</v>
      </c>
      <c r="J9" s="1"/>
    </row>
    <row r="10" spans="2:10">
      <c r="B10" s="17" t="s">
        <v>26</v>
      </c>
      <c r="C10" s="22">
        <v>6</v>
      </c>
      <c r="D10" s="22">
        <v>915</v>
      </c>
      <c r="E10" s="24">
        <v>1271</v>
      </c>
      <c r="F10" s="24">
        <v>7241</v>
      </c>
      <c r="G10" s="24">
        <v>3233</v>
      </c>
      <c r="H10" s="22">
        <v>548</v>
      </c>
      <c r="I10" s="22" t="s">
        <v>25</v>
      </c>
      <c r="J10" s="1"/>
    </row>
    <row r="11" spans="2:10">
      <c r="B11" s="17" t="s">
        <v>27</v>
      </c>
      <c r="C11" s="22">
        <v>7</v>
      </c>
      <c r="D11" s="24">
        <v>58269</v>
      </c>
      <c r="E11" s="24">
        <v>50114</v>
      </c>
      <c r="F11" s="24">
        <v>3589</v>
      </c>
      <c r="G11" s="24">
        <v>2758</v>
      </c>
      <c r="H11" s="24">
        <v>5387</v>
      </c>
      <c r="I11" s="22" t="s">
        <v>28</v>
      </c>
      <c r="J11" s="1"/>
    </row>
    <row r="12" spans="2:10">
      <c r="B12" s="17" t="s">
        <v>30</v>
      </c>
      <c r="C12" s="22">
        <v>8</v>
      </c>
      <c r="D12" s="24">
        <v>9600</v>
      </c>
      <c r="E12" s="24">
        <v>4151</v>
      </c>
      <c r="F12" s="24">
        <v>2980</v>
      </c>
      <c r="G12" s="24">
        <v>2414</v>
      </c>
      <c r="H12" s="24">
        <v>2921</v>
      </c>
      <c r="I12" s="22" t="s">
        <v>28</v>
      </c>
      <c r="J12" s="1"/>
    </row>
    <row r="13" spans="2:10">
      <c r="B13" s="17" t="s">
        <v>33</v>
      </c>
      <c r="C13" s="22">
        <v>9</v>
      </c>
      <c r="D13" s="24">
        <v>14713</v>
      </c>
      <c r="E13" s="24">
        <v>10885</v>
      </c>
      <c r="F13" s="22">
        <v>621</v>
      </c>
      <c r="G13" s="24">
        <v>1063</v>
      </c>
      <c r="H13" s="22">
        <v>882</v>
      </c>
      <c r="I13" s="22" t="s">
        <v>37</v>
      </c>
      <c r="J13" s="1"/>
    </row>
    <row r="14" spans="2:10">
      <c r="B14" s="17" t="s">
        <v>39</v>
      </c>
      <c r="C14" s="22"/>
      <c r="D14" s="22">
        <v>96</v>
      </c>
      <c r="E14" s="22">
        <v>88</v>
      </c>
      <c r="F14" s="22">
        <v>133</v>
      </c>
      <c r="G14" s="22">
        <v>133</v>
      </c>
      <c r="H14" s="22">
        <v>167</v>
      </c>
      <c r="I14" s="22" t="s">
        <v>28</v>
      </c>
      <c r="J14" s="1"/>
    </row>
    <row r="15" spans="2:10" ht="60">
      <c r="B15" s="28" t="s">
        <v>43</v>
      </c>
      <c r="C15" s="22"/>
      <c r="D15" s="22">
        <v>0</v>
      </c>
      <c r="E15" s="24">
        <f t="shared" ref="E15:F15" si="0">SUM(E8:E14)</f>
        <v>84221</v>
      </c>
      <c r="F15" s="24">
        <f t="shared" si="0"/>
        <v>50718</v>
      </c>
      <c r="G15" s="22">
        <v>0</v>
      </c>
      <c r="H15" s="22">
        <v>0</v>
      </c>
      <c r="I15" s="22"/>
      <c r="J15" s="1"/>
    </row>
    <row r="16" spans="2:10" ht="45">
      <c r="B16" s="28" t="s">
        <v>44</v>
      </c>
      <c r="C16" s="22">
        <v>33</v>
      </c>
      <c r="D16" s="22">
        <v>0</v>
      </c>
      <c r="E16" s="24">
        <v>13884</v>
      </c>
      <c r="F16" s="22">
        <v>0</v>
      </c>
      <c r="G16" s="22">
        <v>0</v>
      </c>
      <c r="H16" s="22">
        <v>0</v>
      </c>
      <c r="I16" s="22" t="s">
        <v>25</v>
      </c>
      <c r="J16" s="1"/>
    </row>
    <row r="17" spans="2:10" ht="15.75">
      <c r="B17" s="33" t="s">
        <v>45</v>
      </c>
      <c r="C17" s="34"/>
      <c r="D17" s="35">
        <f>SUM(D8:D16)</f>
        <v>111616</v>
      </c>
      <c r="E17" s="35">
        <f t="shared" ref="E17:F17" si="1">SUM(E15+E16)</f>
        <v>98105</v>
      </c>
      <c r="F17" s="35">
        <f t="shared" si="1"/>
        <v>50718</v>
      </c>
      <c r="G17" s="35">
        <f t="shared" ref="G17:H17" si="2">SUM(G8:G16)</f>
        <v>47432</v>
      </c>
      <c r="H17" s="35">
        <f t="shared" si="2"/>
        <v>31177</v>
      </c>
      <c r="I17" s="34"/>
      <c r="J17" s="1"/>
    </row>
    <row r="18" spans="2:10" ht="15.75">
      <c r="B18" s="13" t="s">
        <v>46</v>
      </c>
      <c r="C18" s="15"/>
      <c r="D18" s="15"/>
      <c r="E18" s="15"/>
      <c r="F18" s="15"/>
      <c r="G18" s="15"/>
      <c r="H18" s="15"/>
      <c r="I18" s="15"/>
      <c r="J18" s="1"/>
    </row>
    <row r="19" spans="2:10">
      <c r="B19" s="17" t="s">
        <v>47</v>
      </c>
      <c r="C19" s="22">
        <v>4</v>
      </c>
      <c r="D19" s="22">
        <v>0</v>
      </c>
      <c r="E19" s="22">
        <v>0</v>
      </c>
      <c r="F19" s="22">
        <v>0</v>
      </c>
      <c r="G19" s="22">
        <v>0</v>
      </c>
      <c r="H19" s="24">
        <v>1541</v>
      </c>
      <c r="I19" s="22" t="s">
        <v>48</v>
      </c>
      <c r="J19" s="1"/>
    </row>
    <row r="20" spans="2:10">
      <c r="B20" s="17" t="s">
        <v>49</v>
      </c>
      <c r="C20" s="22">
        <v>6</v>
      </c>
      <c r="D20" s="24">
        <v>4314</v>
      </c>
      <c r="E20" s="22">
        <v>372</v>
      </c>
      <c r="F20" s="24">
        <v>6553</v>
      </c>
      <c r="G20" s="24">
        <v>5007</v>
      </c>
      <c r="H20" s="24">
        <v>4618</v>
      </c>
      <c r="I20" s="22" t="s">
        <v>48</v>
      </c>
      <c r="J20" s="1"/>
    </row>
    <row r="21" spans="2:10" ht="15.75" customHeight="1">
      <c r="B21" s="17" t="s">
        <v>50</v>
      </c>
      <c r="C21" s="22">
        <v>5</v>
      </c>
      <c r="D21" s="22">
        <v>575</v>
      </c>
      <c r="E21" s="22">
        <v>499</v>
      </c>
      <c r="F21" s="22">
        <v>454</v>
      </c>
      <c r="G21" s="22">
        <v>403</v>
      </c>
      <c r="H21" s="22">
        <v>352</v>
      </c>
      <c r="I21" s="22" t="s">
        <v>48</v>
      </c>
      <c r="J21" s="1"/>
    </row>
    <row r="22" spans="2:10" ht="15.75" customHeight="1">
      <c r="B22" s="17" t="s">
        <v>51</v>
      </c>
      <c r="C22" s="22">
        <v>8</v>
      </c>
      <c r="D22" s="22">
        <v>500</v>
      </c>
      <c r="E22" s="22">
        <v>259</v>
      </c>
      <c r="F22" s="22">
        <v>50</v>
      </c>
      <c r="G22" s="22">
        <v>55</v>
      </c>
      <c r="H22" s="22">
        <v>61</v>
      </c>
      <c r="I22" s="22" t="s">
        <v>48</v>
      </c>
      <c r="J22" s="1"/>
    </row>
    <row r="23" spans="2:10" ht="15.75" customHeight="1">
      <c r="B23" s="17" t="s">
        <v>52</v>
      </c>
      <c r="C23" s="22">
        <v>10</v>
      </c>
      <c r="D23" s="24">
        <v>25191</v>
      </c>
      <c r="E23" s="24">
        <v>33027</v>
      </c>
      <c r="F23" s="24">
        <v>36042</v>
      </c>
      <c r="G23" s="24">
        <v>33360</v>
      </c>
      <c r="H23" s="24">
        <v>32409</v>
      </c>
      <c r="I23" s="22" t="s">
        <v>48</v>
      </c>
      <c r="J23" s="1"/>
    </row>
    <row r="24" spans="2:10" ht="15.75" customHeight="1">
      <c r="B24" s="17" t="s">
        <v>53</v>
      </c>
      <c r="C24" s="22">
        <v>11</v>
      </c>
      <c r="D24" s="24">
        <v>1078</v>
      </c>
      <c r="E24" s="22">
        <v>324</v>
      </c>
      <c r="F24" s="22">
        <v>313</v>
      </c>
      <c r="G24" s="22">
        <v>176</v>
      </c>
      <c r="H24" s="22">
        <v>76</v>
      </c>
      <c r="I24" s="22" t="s">
        <v>48</v>
      </c>
      <c r="J24" s="1"/>
    </row>
    <row r="25" spans="2:10" ht="15.75" customHeight="1">
      <c r="B25" s="17" t="s">
        <v>54</v>
      </c>
      <c r="C25" s="22">
        <v>12</v>
      </c>
      <c r="D25" s="24">
        <v>33411</v>
      </c>
      <c r="E25" s="24">
        <v>45622</v>
      </c>
      <c r="F25" s="24">
        <v>189441</v>
      </c>
      <c r="G25" s="24">
        <v>254365</v>
      </c>
      <c r="H25" s="24">
        <v>299096</v>
      </c>
      <c r="I25" s="22" t="s">
        <v>55</v>
      </c>
      <c r="J25" s="1"/>
    </row>
    <row r="26" spans="2:10" ht="15.75" customHeight="1">
      <c r="B26" s="17" t="s">
        <v>56</v>
      </c>
      <c r="C26" s="22">
        <v>15</v>
      </c>
      <c r="D26" s="24">
        <v>41748</v>
      </c>
      <c r="E26" s="24">
        <v>60601</v>
      </c>
      <c r="F26" s="24">
        <v>33988</v>
      </c>
      <c r="G26" s="24">
        <v>32230</v>
      </c>
      <c r="H26" s="24">
        <v>30314</v>
      </c>
      <c r="I26" s="22" t="s">
        <v>48</v>
      </c>
      <c r="J26" s="1"/>
    </row>
    <row r="27" spans="2:10" ht="15.75" customHeight="1">
      <c r="B27" s="33" t="s">
        <v>57</v>
      </c>
      <c r="C27" s="34"/>
      <c r="D27" s="35">
        <f t="shared" ref="D27:G27" si="3">SUM(D20:D26)</f>
        <v>106817</v>
      </c>
      <c r="E27" s="35">
        <f t="shared" si="3"/>
        <v>140704</v>
      </c>
      <c r="F27" s="35">
        <f t="shared" si="3"/>
        <v>266841</v>
      </c>
      <c r="G27" s="35">
        <f t="shared" si="3"/>
        <v>325596</v>
      </c>
      <c r="H27" s="35">
        <f>SUM(H19:H26)</f>
        <v>368467</v>
      </c>
      <c r="I27" s="35"/>
      <c r="J27" s="1"/>
    </row>
    <row r="28" spans="2:10" ht="15.75" customHeight="1">
      <c r="B28" s="22"/>
      <c r="C28" s="22"/>
      <c r="D28" s="22"/>
      <c r="E28" s="22"/>
      <c r="F28" s="22"/>
      <c r="G28" s="22"/>
      <c r="H28" s="22"/>
      <c r="I28" s="22"/>
      <c r="J28" s="1"/>
    </row>
    <row r="29" spans="2:10" ht="15.75" customHeight="1">
      <c r="B29" s="36" t="s">
        <v>58</v>
      </c>
      <c r="C29" s="37"/>
      <c r="D29" s="38">
        <f t="shared" ref="D29:H29" si="4">SUM(D17+D27)</f>
        <v>218433</v>
      </c>
      <c r="E29" s="38">
        <f t="shared" si="4"/>
        <v>238809</v>
      </c>
      <c r="F29" s="38">
        <f t="shared" si="4"/>
        <v>317559</v>
      </c>
      <c r="G29" s="38">
        <f t="shared" si="4"/>
        <v>373028</v>
      </c>
      <c r="H29" s="38">
        <f t="shared" si="4"/>
        <v>399644</v>
      </c>
      <c r="I29" s="38"/>
      <c r="J29" s="1"/>
    </row>
    <row r="30" spans="2:10" ht="15.75" customHeight="1">
      <c r="J30" s="1"/>
    </row>
    <row r="31" spans="2:10" ht="15.75" customHeight="1">
      <c r="J31" s="1"/>
    </row>
    <row r="32" spans="2:10" ht="15.75" customHeight="1">
      <c r="J32" s="1"/>
    </row>
    <row r="33" spans="2:10" ht="18.75" customHeight="1">
      <c r="J33" s="1"/>
    </row>
    <row r="34" spans="2:10" ht="10.5" customHeight="1">
      <c r="J34" s="1"/>
    </row>
    <row r="35" spans="2:10" ht="37.5" customHeight="1">
      <c r="B35" s="3"/>
      <c r="C35" s="39" t="s">
        <v>59</v>
      </c>
      <c r="D35" s="3"/>
      <c r="E35" s="3"/>
      <c r="F35" s="3"/>
      <c r="G35" s="3"/>
      <c r="H35" s="3"/>
      <c r="I35" s="3"/>
      <c r="J35" s="1"/>
    </row>
    <row r="36" spans="2:10" ht="25.5" customHeight="1">
      <c r="B36" s="3"/>
      <c r="C36" s="3"/>
      <c r="D36" s="3"/>
      <c r="E36" s="40" t="s">
        <v>60</v>
      </c>
      <c r="F36" s="3"/>
      <c r="G36" s="3"/>
      <c r="H36" s="3"/>
      <c r="I36" s="3"/>
      <c r="J36" s="1"/>
    </row>
    <row r="37" spans="2:10" ht="27.75" customHeight="1">
      <c r="B37" s="41" t="s">
        <v>61</v>
      </c>
      <c r="C37" s="42" t="s">
        <v>62</v>
      </c>
      <c r="D37" s="7">
        <v>2013</v>
      </c>
      <c r="E37" s="7">
        <v>2014</v>
      </c>
      <c r="F37" s="7">
        <v>2015</v>
      </c>
      <c r="G37" s="7">
        <v>2016</v>
      </c>
      <c r="H37" s="7">
        <v>2017</v>
      </c>
      <c r="I37" s="7" t="s">
        <v>64</v>
      </c>
      <c r="J37" s="1"/>
    </row>
    <row r="38" spans="2:10" ht="15.75" customHeight="1">
      <c r="B38" s="13" t="s">
        <v>65</v>
      </c>
      <c r="C38" s="43"/>
      <c r="D38" s="45"/>
      <c r="E38" s="45"/>
      <c r="F38" s="45"/>
      <c r="G38" s="45"/>
      <c r="H38" s="45"/>
      <c r="I38" s="45"/>
      <c r="J38" s="1"/>
    </row>
    <row r="39" spans="2:10" ht="15.75" customHeight="1">
      <c r="B39" s="13" t="s">
        <v>66</v>
      </c>
      <c r="C39" s="45"/>
      <c r="D39" s="45"/>
      <c r="E39" s="45"/>
      <c r="F39" s="45"/>
      <c r="G39" s="45"/>
      <c r="H39" s="45"/>
      <c r="I39" s="45"/>
      <c r="J39" s="1"/>
    </row>
    <row r="40" spans="2:10" ht="15.75" customHeight="1">
      <c r="B40" s="13" t="s">
        <v>67</v>
      </c>
      <c r="C40" s="45"/>
      <c r="D40" s="45"/>
      <c r="E40" s="45"/>
      <c r="F40" s="45"/>
      <c r="G40" s="45"/>
      <c r="H40" s="45"/>
      <c r="I40" s="45"/>
      <c r="J40" s="1"/>
    </row>
    <row r="41" spans="2:10" ht="15.75" customHeight="1">
      <c r="B41" s="17" t="s">
        <v>70</v>
      </c>
      <c r="C41" s="46">
        <v>16</v>
      </c>
      <c r="D41" s="48">
        <v>5288</v>
      </c>
      <c r="E41" s="24">
        <v>5380</v>
      </c>
      <c r="F41" s="24">
        <v>26255</v>
      </c>
      <c r="G41" s="24">
        <v>18920</v>
      </c>
      <c r="H41" s="24">
        <v>21418</v>
      </c>
      <c r="I41" s="46" t="s">
        <v>72</v>
      </c>
      <c r="J41" s="1"/>
    </row>
    <row r="42" spans="2:10" ht="15.75" customHeight="1">
      <c r="B42" s="17" t="s">
        <v>73</v>
      </c>
      <c r="C42" s="46">
        <v>18</v>
      </c>
      <c r="D42" s="48">
        <v>70258</v>
      </c>
      <c r="E42" s="24">
        <v>85238</v>
      </c>
      <c r="F42" s="24">
        <v>2727</v>
      </c>
      <c r="G42" s="24">
        <v>1519</v>
      </c>
      <c r="H42" s="24">
        <v>3836</v>
      </c>
      <c r="I42" s="46" t="s">
        <v>74</v>
      </c>
      <c r="J42" s="1"/>
    </row>
    <row r="43" spans="2:10" ht="15.75" customHeight="1">
      <c r="B43" s="17" t="s">
        <v>75</v>
      </c>
      <c r="C43" s="46">
        <v>8</v>
      </c>
      <c r="D43" s="48">
        <v>8725</v>
      </c>
      <c r="E43" s="24">
        <v>13185</v>
      </c>
      <c r="F43" s="24">
        <v>2528</v>
      </c>
      <c r="G43" s="24">
        <v>1255</v>
      </c>
      <c r="H43" s="24">
        <v>2090</v>
      </c>
      <c r="I43" s="46" t="s">
        <v>74</v>
      </c>
      <c r="J43" s="1"/>
    </row>
    <row r="44" spans="2:10" ht="15.75" customHeight="1">
      <c r="B44" s="17" t="s">
        <v>76</v>
      </c>
      <c r="C44" s="46">
        <v>19</v>
      </c>
      <c r="D44" s="48">
        <v>15654</v>
      </c>
      <c r="E44" s="24">
        <v>9272</v>
      </c>
      <c r="F44" s="24">
        <v>5326</v>
      </c>
      <c r="G44" s="24">
        <v>2255</v>
      </c>
      <c r="H44" s="24">
        <v>2140</v>
      </c>
      <c r="I44" s="46" t="s">
        <v>72</v>
      </c>
      <c r="J44" s="1"/>
    </row>
    <row r="45" spans="2:10" ht="15.75" customHeight="1">
      <c r="B45" s="17" t="s">
        <v>77</v>
      </c>
      <c r="C45" s="22"/>
      <c r="D45" s="46">
        <v>0</v>
      </c>
      <c r="E45" s="24">
        <v>0</v>
      </c>
      <c r="F45" s="46">
        <v>0</v>
      </c>
      <c r="G45" s="22">
        <v>6</v>
      </c>
      <c r="H45" s="22">
        <v>295</v>
      </c>
      <c r="I45" s="46" t="s">
        <v>74</v>
      </c>
      <c r="J45" s="1"/>
    </row>
    <row r="46" spans="2:10" ht="15.75" customHeight="1">
      <c r="B46" s="17" t="s">
        <v>78</v>
      </c>
      <c r="C46" s="46">
        <v>21</v>
      </c>
      <c r="D46" s="48">
        <v>2409</v>
      </c>
      <c r="E46" s="24">
        <v>1911</v>
      </c>
      <c r="F46" s="24">
        <v>2007</v>
      </c>
      <c r="G46" s="24">
        <v>4954</v>
      </c>
      <c r="H46" s="24">
        <v>3160</v>
      </c>
      <c r="I46" s="46" t="s">
        <v>79</v>
      </c>
      <c r="J46" s="1"/>
    </row>
    <row r="47" spans="2:10" ht="15.75" customHeight="1">
      <c r="B47" s="28" t="s">
        <v>80</v>
      </c>
      <c r="C47" s="22"/>
      <c r="D47" s="46">
        <v>0</v>
      </c>
      <c r="E47" s="48">
        <f t="shared" ref="E47:F47" si="5">SUM(E41:E46)</f>
        <v>114986</v>
      </c>
      <c r="F47" s="24">
        <f t="shared" si="5"/>
        <v>38843</v>
      </c>
      <c r="G47" s="46">
        <v>0</v>
      </c>
      <c r="H47" s="46">
        <v>0</v>
      </c>
      <c r="I47" s="50" t="s">
        <v>74</v>
      </c>
      <c r="J47" s="1"/>
    </row>
    <row r="48" spans="2:10" ht="27.75" customHeight="1">
      <c r="B48" s="28" t="s">
        <v>81</v>
      </c>
      <c r="C48" s="22">
        <v>33</v>
      </c>
      <c r="D48" s="46">
        <v>0</v>
      </c>
      <c r="E48" s="24">
        <v>7268</v>
      </c>
      <c r="F48" s="48">
        <v>0</v>
      </c>
      <c r="G48" s="46">
        <v>0</v>
      </c>
      <c r="H48" s="46">
        <v>0</v>
      </c>
      <c r="I48" s="46"/>
      <c r="J48" s="1"/>
    </row>
    <row r="49" spans="2:10" ht="15.75" customHeight="1">
      <c r="B49" s="33" t="s">
        <v>82</v>
      </c>
      <c r="C49" s="52"/>
      <c r="D49" s="54">
        <f>SUM(D41:D48)</f>
        <v>102334</v>
      </c>
      <c r="E49" s="54">
        <f t="shared" ref="E49:F49" si="6">SUM(E47+E48)</f>
        <v>122254</v>
      </c>
      <c r="F49" s="54">
        <f t="shared" si="6"/>
        <v>38843</v>
      </c>
      <c r="G49" s="54">
        <f t="shared" ref="G49:H49" si="7">SUM(G41:G48)</f>
        <v>28909</v>
      </c>
      <c r="H49" s="54">
        <f t="shared" si="7"/>
        <v>32939</v>
      </c>
      <c r="I49" s="56"/>
      <c r="J49" s="1"/>
    </row>
    <row r="50" spans="2:10" ht="15.75" customHeight="1">
      <c r="B50" s="13" t="s">
        <v>83</v>
      </c>
      <c r="C50" s="15"/>
      <c r="D50" s="57"/>
      <c r="E50" s="57"/>
      <c r="F50" s="57"/>
      <c r="G50" s="57"/>
      <c r="H50" s="57"/>
      <c r="I50" s="57"/>
      <c r="J50" s="1"/>
    </row>
    <row r="51" spans="2:10" ht="15.75" customHeight="1">
      <c r="B51" s="17" t="s">
        <v>84</v>
      </c>
      <c r="C51" s="22">
        <v>16</v>
      </c>
      <c r="D51" s="48">
        <v>17623</v>
      </c>
      <c r="E51" s="24">
        <v>23508</v>
      </c>
      <c r="F51" s="24">
        <v>106835</v>
      </c>
      <c r="G51" s="24">
        <v>163944</v>
      </c>
      <c r="H51" s="24">
        <v>178189</v>
      </c>
      <c r="I51" s="46" t="s">
        <v>79</v>
      </c>
      <c r="J51" s="1"/>
    </row>
    <row r="52" spans="2:10" ht="15.75" customHeight="1">
      <c r="B52" s="17" t="s">
        <v>85</v>
      </c>
      <c r="C52" s="22">
        <v>19</v>
      </c>
      <c r="D52" s="48">
        <v>2465</v>
      </c>
      <c r="E52" s="48">
        <v>0</v>
      </c>
      <c r="F52" s="24">
        <v>1890</v>
      </c>
      <c r="G52" s="46">
        <v>0</v>
      </c>
      <c r="H52" s="46">
        <v>0</v>
      </c>
      <c r="I52" s="46" t="s">
        <v>79</v>
      </c>
      <c r="J52" s="1"/>
    </row>
    <row r="53" spans="2:10" ht="15.75" customHeight="1">
      <c r="B53" s="17" t="s">
        <v>86</v>
      </c>
      <c r="C53" s="22">
        <v>15</v>
      </c>
      <c r="D53" s="48">
        <v>1665</v>
      </c>
      <c r="E53" s="24">
        <v>2328</v>
      </c>
      <c r="F53" s="22">
        <v>50</v>
      </c>
      <c r="G53" s="24">
        <v>1169</v>
      </c>
      <c r="H53" s="46">
        <v>0</v>
      </c>
      <c r="I53" s="46" t="s">
        <v>87</v>
      </c>
      <c r="J53" s="1"/>
    </row>
    <row r="54" spans="2:10" ht="15.75" customHeight="1">
      <c r="B54" s="58" t="s">
        <v>88</v>
      </c>
      <c r="C54" s="59"/>
      <c r="D54" s="60">
        <f t="shared" ref="D54:H54" si="8">SUM(D51:D53)</f>
        <v>21753</v>
      </c>
      <c r="E54" s="60">
        <f t="shared" si="8"/>
        <v>25836</v>
      </c>
      <c r="F54" s="60">
        <f t="shared" si="8"/>
        <v>108775</v>
      </c>
      <c r="G54" s="60">
        <f t="shared" si="8"/>
        <v>165113</v>
      </c>
      <c r="H54" s="60">
        <f t="shared" si="8"/>
        <v>178189</v>
      </c>
      <c r="I54" s="60"/>
      <c r="J54" s="1"/>
    </row>
    <row r="55" spans="2:10" ht="15.75" customHeight="1">
      <c r="B55" s="33" t="s">
        <v>90</v>
      </c>
      <c r="C55" s="61"/>
      <c r="D55" s="60">
        <f t="shared" ref="D55:H55" si="9">SUM(D49+D54)</f>
        <v>124087</v>
      </c>
      <c r="E55" s="60">
        <f t="shared" si="9"/>
        <v>148090</v>
      </c>
      <c r="F55" s="60">
        <f t="shared" si="9"/>
        <v>147618</v>
      </c>
      <c r="G55" s="60">
        <f t="shared" si="9"/>
        <v>194022</v>
      </c>
      <c r="H55" s="60">
        <f t="shared" si="9"/>
        <v>211128</v>
      </c>
      <c r="I55" s="60"/>
      <c r="J55" s="1"/>
    </row>
    <row r="56" spans="2:10" ht="15.75" customHeight="1">
      <c r="B56" s="13" t="s">
        <v>91</v>
      </c>
      <c r="C56" s="45"/>
      <c r="D56" s="63"/>
      <c r="E56" s="45"/>
      <c r="F56" s="45"/>
      <c r="G56" s="45"/>
      <c r="H56" s="45"/>
      <c r="I56" s="45"/>
      <c r="J56" s="1"/>
    </row>
    <row r="57" spans="2:10" ht="15.75" customHeight="1">
      <c r="B57" s="17" t="s">
        <v>92</v>
      </c>
      <c r="C57" s="22">
        <v>23</v>
      </c>
      <c r="D57" s="24">
        <v>177010</v>
      </c>
      <c r="E57" s="24">
        <v>177010</v>
      </c>
      <c r="F57" s="24">
        <v>177010</v>
      </c>
      <c r="G57" s="24">
        <v>157188</v>
      </c>
      <c r="H57" s="24">
        <v>157188</v>
      </c>
      <c r="I57" s="46" t="s">
        <v>93</v>
      </c>
      <c r="J57" s="1"/>
    </row>
    <row r="58" spans="2:10" ht="15.75" customHeight="1">
      <c r="B58" s="17" t="s">
        <v>94</v>
      </c>
      <c r="C58" s="22">
        <v>23</v>
      </c>
      <c r="D58" s="24">
        <v>-86940</v>
      </c>
      <c r="E58" s="24">
        <v>-100409</v>
      </c>
      <c r="F58" s="24">
        <v>-20218</v>
      </c>
      <c r="G58" s="24">
        <v>3590</v>
      </c>
      <c r="H58" s="24">
        <v>8922</v>
      </c>
      <c r="I58" s="46" t="s">
        <v>93</v>
      </c>
      <c r="J58" s="1"/>
    </row>
    <row r="59" spans="2:10" ht="15.75" customHeight="1">
      <c r="B59" s="17" t="s">
        <v>95</v>
      </c>
      <c r="C59" s="22">
        <v>23</v>
      </c>
      <c r="D59" s="22">
        <v>538</v>
      </c>
      <c r="E59" s="24">
        <v>-1551</v>
      </c>
      <c r="F59" s="24">
        <v>-2640</v>
      </c>
      <c r="G59" s="24">
        <v>-1578</v>
      </c>
      <c r="H59" s="46">
        <v>-813</v>
      </c>
      <c r="I59" s="46" t="s">
        <v>93</v>
      </c>
      <c r="J59" s="1"/>
    </row>
    <row r="60" spans="2:10" ht="15.75" customHeight="1">
      <c r="B60" s="33" t="s">
        <v>96</v>
      </c>
      <c r="C60" s="34"/>
      <c r="D60" s="64">
        <f t="shared" ref="D60:H60" si="10">SUM(D57:D59)</f>
        <v>90608</v>
      </c>
      <c r="E60" s="64">
        <f t="shared" si="10"/>
        <v>75050</v>
      </c>
      <c r="F60" s="64">
        <f t="shared" si="10"/>
        <v>154152</v>
      </c>
      <c r="G60" s="64">
        <f t="shared" si="10"/>
        <v>159200</v>
      </c>
      <c r="H60" s="64">
        <f t="shared" si="10"/>
        <v>165297</v>
      </c>
      <c r="I60" s="65"/>
      <c r="J60" s="1"/>
    </row>
    <row r="61" spans="2:10" ht="15.75" customHeight="1">
      <c r="B61" s="17" t="s">
        <v>97</v>
      </c>
      <c r="C61" s="22"/>
      <c r="D61" s="24">
        <v>3738</v>
      </c>
      <c r="E61" s="24">
        <v>15669</v>
      </c>
      <c r="F61" s="24">
        <v>15789</v>
      </c>
      <c r="G61" s="24">
        <v>19806</v>
      </c>
      <c r="H61" s="24">
        <v>23219</v>
      </c>
      <c r="I61" s="46" t="s">
        <v>93</v>
      </c>
      <c r="J61" s="1"/>
    </row>
    <row r="62" spans="2:10" ht="15.75" customHeight="1">
      <c r="B62" s="33" t="s">
        <v>98</v>
      </c>
      <c r="C62" s="34"/>
      <c r="D62" s="35">
        <f t="shared" ref="D62:H62" si="11">SUM(D60:D61)</f>
        <v>94346</v>
      </c>
      <c r="E62" s="35">
        <f t="shared" si="11"/>
        <v>90719</v>
      </c>
      <c r="F62" s="35">
        <f t="shared" si="11"/>
        <v>169941</v>
      </c>
      <c r="G62" s="35">
        <f t="shared" si="11"/>
        <v>179006</v>
      </c>
      <c r="H62" s="35">
        <f t="shared" si="11"/>
        <v>188516</v>
      </c>
      <c r="I62" s="34"/>
      <c r="J62" s="1"/>
    </row>
    <row r="63" spans="2:10" ht="15.75" customHeight="1">
      <c r="B63" s="66"/>
      <c r="C63" s="22"/>
      <c r="D63" s="22"/>
      <c r="E63" s="24"/>
      <c r="F63" s="22"/>
      <c r="G63" s="22"/>
      <c r="H63" s="22"/>
      <c r="I63" s="22"/>
      <c r="J63" s="1"/>
    </row>
    <row r="64" spans="2:10" ht="15.75" customHeight="1">
      <c r="B64" s="67" t="s">
        <v>99</v>
      </c>
      <c r="C64" s="68"/>
      <c r="D64" s="70">
        <f t="shared" ref="D64:H64" si="12">SUM(D55+D62)</f>
        <v>218433</v>
      </c>
      <c r="E64" s="70">
        <f t="shared" si="12"/>
        <v>238809</v>
      </c>
      <c r="F64" s="70">
        <f t="shared" si="12"/>
        <v>317559</v>
      </c>
      <c r="G64" s="70">
        <f t="shared" si="12"/>
        <v>373028</v>
      </c>
      <c r="H64" s="70">
        <f t="shared" si="12"/>
        <v>399644</v>
      </c>
      <c r="I64" s="70"/>
      <c r="J64" s="1"/>
    </row>
    <row r="65" spans="10:10" ht="15.75" customHeight="1">
      <c r="J65" s="1"/>
    </row>
    <row r="66" spans="10:10" ht="15.75" customHeight="1">
      <c r="J66" s="1"/>
    </row>
    <row r="67" spans="10:10" ht="15.75" customHeight="1">
      <c r="J67" s="1"/>
    </row>
    <row r="68" spans="10:10" ht="15.75" customHeight="1">
      <c r="J68" s="1"/>
    </row>
    <row r="69" spans="10:10" ht="15.75" customHeight="1">
      <c r="J69" s="1"/>
    </row>
    <row r="70" spans="10:10" ht="15.75" customHeight="1">
      <c r="J70" s="1"/>
    </row>
    <row r="71" spans="10:10" ht="15.75" customHeight="1">
      <c r="J71" s="1"/>
    </row>
    <row r="72" spans="10:10" ht="15.75" customHeight="1">
      <c r="J72" s="1"/>
    </row>
    <row r="73" spans="10:10" ht="15.75" customHeight="1">
      <c r="J73" s="1"/>
    </row>
    <row r="74" spans="10:10" ht="15.75" customHeight="1">
      <c r="J74" s="1"/>
    </row>
    <row r="75" spans="10:10" ht="15.75" customHeight="1">
      <c r="J75" s="1"/>
    </row>
    <row r="76" spans="10:10" ht="15.75" customHeight="1">
      <c r="J76" s="1"/>
    </row>
    <row r="77" spans="10:10" ht="15.75" customHeight="1">
      <c r="J77" s="1"/>
    </row>
    <row r="78" spans="10:10" ht="15.75" customHeight="1">
      <c r="J78" s="1"/>
    </row>
    <row r="79" spans="10:10" ht="15.75" customHeight="1">
      <c r="J79" s="1"/>
    </row>
    <row r="80" spans="10:10" ht="15.75" customHeight="1">
      <c r="J80" s="1"/>
    </row>
    <row r="81" spans="10:10" ht="15.75" customHeight="1">
      <c r="J81" s="1"/>
    </row>
    <row r="82" spans="10:10" ht="15.75" customHeight="1">
      <c r="J82" s="1"/>
    </row>
    <row r="83" spans="10:10" ht="15.75" customHeight="1">
      <c r="J83" s="1"/>
    </row>
    <row r="84" spans="10:10" ht="15.75" customHeight="1">
      <c r="J84" s="1"/>
    </row>
    <row r="85" spans="10:10" ht="15.75" customHeight="1">
      <c r="J85" s="1"/>
    </row>
    <row r="86" spans="10:10" ht="15.75" customHeight="1">
      <c r="J86" s="1"/>
    </row>
    <row r="87" spans="10:10" ht="15.75" customHeight="1">
      <c r="J87" s="1"/>
    </row>
    <row r="88" spans="10:10" ht="15.75" customHeight="1">
      <c r="J88" s="1"/>
    </row>
    <row r="89" spans="10:10" ht="15.75" customHeight="1">
      <c r="J89" s="1"/>
    </row>
    <row r="90" spans="10:10" ht="15.75" customHeight="1">
      <c r="J90" s="1"/>
    </row>
    <row r="91" spans="10:10" ht="15.75" customHeight="1">
      <c r="J91" s="1"/>
    </row>
    <row r="92" spans="10:10" ht="15.75" customHeight="1">
      <c r="J92" s="1"/>
    </row>
    <row r="93" spans="10:10" ht="15.75" customHeight="1">
      <c r="J93" s="1"/>
    </row>
    <row r="94" spans="10:10" ht="15.75" customHeight="1">
      <c r="J94" s="1"/>
    </row>
    <row r="95" spans="10:10" ht="15.75" customHeight="1">
      <c r="J95" s="1"/>
    </row>
    <row r="96" spans="10:10" ht="15.75" customHeight="1">
      <c r="J96" s="1"/>
    </row>
    <row r="97" spans="10:10" ht="15.75" customHeight="1">
      <c r="J97" s="1"/>
    </row>
    <row r="98" spans="10:10" ht="15.75" customHeight="1">
      <c r="J98" s="1"/>
    </row>
    <row r="99" spans="10:10" ht="15.75" customHeight="1">
      <c r="J99" s="1"/>
    </row>
    <row r="100" spans="10:10" ht="15.75" customHeight="1">
      <c r="J100" s="1"/>
    </row>
    <row r="101" spans="10:10" ht="15.75" customHeight="1">
      <c r="J101" s="1"/>
    </row>
    <row r="102" spans="10:10" ht="15.75" customHeight="1">
      <c r="J102" s="1"/>
    </row>
    <row r="103" spans="10:10" ht="15.75" customHeight="1">
      <c r="J103" s="1"/>
    </row>
    <row r="104" spans="10:10" ht="15.75" customHeight="1">
      <c r="J104" s="1"/>
    </row>
    <row r="105" spans="10:10" ht="15.75" customHeight="1">
      <c r="J105" s="1"/>
    </row>
    <row r="106" spans="10:10" ht="15.75" customHeight="1">
      <c r="J106" s="1"/>
    </row>
    <row r="107" spans="10:10" ht="15.75" customHeight="1">
      <c r="J107" s="1"/>
    </row>
    <row r="108" spans="10:10" ht="15.75" customHeight="1">
      <c r="J108" s="1"/>
    </row>
    <row r="109" spans="10:10" ht="15.75" customHeight="1">
      <c r="J109" s="1"/>
    </row>
    <row r="110" spans="10:10" ht="15.75" customHeight="1">
      <c r="J110" s="1"/>
    </row>
    <row r="111" spans="10:10" ht="15.75" customHeight="1">
      <c r="J111" s="1"/>
    </row>
    <row r="112" spans="10:10" ht="15.75" customHeight="1">
      <c r="J112" s="1"/>
    </row>
    <row r="113" spans="10:10" ht="15.75" customHeight="1">
      <c r="J113" s="1"/>
    </row>
    <row r="114" spans="10:10" ht="15.75" customHeight="1">
      <c r="J114" s="1"/>
    </row>
    <row r="115" spans="10:10" ht="15.75" customHeight="1">
      <c r="J115" s="1"/>
    </row>
    <row r="116" spans="10:10" ht="15.75" customHeight="1">
      <c r="J116" s="1"/>
    </row>
    <row r="117" spans="10:10" ht="15.75" customHeight="1">
      <c r="J117" s="1"/>
    </row>
    <row r="118" spans="10:10" ht="15.75" customHeight="1">
      <c r="J118" s="1"/>
    </row>
    <row r="119" spans="10:10" ht="15.75" customHeight="1">
      <c r="J119" s="1"/>
    </row>
    <row r="120" spans="10:10" ht="15.75" customHeight="1">
      <c r="J120" s="1"/>
    </row>
    <row r="121" spans="10:10" ht="15.75" customHeight="1">
      <c r="J121" s="1"/>
    </row>
    <row r="122" spans="10:10" ht="15.75" customHeight="1">
      <c r="J122" s="1"/>
    </row>
    <row r="123" spans="10:10" ht="15.75" customHeight="1">
      <c r="J123" s="1"/>
    </row>
    <row r="124" spans="10:10" ht="15.75" customHeight="1">
      <c r="J124" s="1"/>
    </row>
    <row r="125" spans="10:10" ht="15.75" customHeight="1">
      <c r="J125" s="1"/>
    </row>
    <row r="126" spans="10:10" ht="15.75" customHeight="1">
      <c r="J126" s="1"/>
    </row>
    <row r="127" spans="10:10" ht="15.75" customHeight="1">
      <c r="J127" s="1"/>
    </row>
    <row r="128" spans="10:10" ht="15.75" customHeight="1">
      <c r="J128" s="1"/>
    </row>
    <row r="129" spans="10:10" ht="15.75" customHeight="1">
      <c r="J129" s="1"/>
    </row>
    <row r="130" spans="10:10" ht="15.75" customHeight="1">
      <c r="J130" s="1"/>
    </row>
    <row r="131" spans="10:10" ht="15.75" customHeight="1">
      <c r="J131" s="1"/>
    </row>
    <row r="132" spans="10:10" ht="15.75" customHeight="1">
      <c r="J132" s="1"/>
    </row>
    <row r="133" spans="10:10" ht="15.75" customHeight="1">
      <c r="J133" s="1"/>
    </row>
    <row r="134" spans="10:10" ht="15.75" customHeight="1">
      <c r="J134" s="1"/>
    </row>
    <row r="135" spans="10:10" ht="15.75" customHeight="1">
      <c r="J135" s="1"/>
    </row>
    <row r="136" spans="10:10" ht="15.75" customHeight="1">
      <c r="J136" s="1"/>
    </row>
    <row r="137" spans="10:10" ht="15.75" customHeight="1">
      <c r="J137" s="1"/>
    </row>
    <row r="138" spans="10:10" ht="15.75" customHeight="1">
      <c r="J138" s="1"/>
    </row>
    <row r="139" spans="10:10" ht="15.75" customHeight="1">
      <c r="J139" s="1"/>
    </row>
    <row r="140" spans="10:10" ht="15.75" customHeight="1">
      <c r="J140" s="1"/>
    </row>
    <row r="141" spans="10:10" ht="15.75" customHeight="1">
      <c r="J141" s="1"/>
    </row>
    <row r="142" spans="10:10" ht="15.75" customHeight="1">
      <c r="J142" s="1"/>
    </row>
    <row r="143" spans="10:10" ht="15.75" customHeight="1">
      <c r="J143" s="1"/>
    </row>
    <row r="144" spans="10:10" ht="15.75" customHeight="1">
      <c r="J144" s="1"/>
    </row>
    <row r="145" spans="10:10" ht="15.75" customHeight="1">
      <c r="J145" s="1"/>
    </row>
    <row r="146" spans="10:10" ht="15.75" customHeight="1">
      <c r="J146" s="1"/>
    </row>
    <row r="147" spans="10:10" ht="15.75" customHeight="1">
      <c r="J147" s="1"/>
    </row>
    <row r="148" spans="10:10" ht="15.75" customHeight="1">
      <c r="J148" s="1"/>
    </row>
    <row r="149" spans="10:10" ht="15.75" customHeight="1">
      <c r="J149" s="1"/>
    </row>
    <row r="150" spans="10:10" ht="15.75" customHeight="1">
      <c r="J150" s="1"/>
    </row>
    <row r="151" spans="10:10" ht="15.75" customHeight="1">
      <c r="J151" s="1"/>
    </row>
    <row r="152" spans="10:10" ht="15.75" customHeight="1">
      <c r="J152" s="1"/>
    </row>
    <row r="153" spans="10:10" ht="15.75" customHeight="1">
      <c r="J153" s="1"/>
    </row>
    <row r="154" spans="10:10" ht="15.75" customHeight="1">
      <c r="J154" s="1"/>
    </row>
    <row r="155" spans="10:10" ht="15.75" customHeight="1">
      <c r="J155" s="1"/>
    </row>
    <row r="156" spans="10:10" ht="15.75" customHeight="1">
      <c r="J156" s="1"/>
    </row>
    <row r="157" spans="10:10" ht="15.75" customHeight="1">
      <c r="J157" s="1"/>
    </row>
    <row r="158" spans="10:10" ht="15.75" customHeight="1">
      <c r="J158" s="1"/>
    </row>
    <row r="159" spans="10:10" ht="15.75" customHeight="1">
      <c r="J159" s="1"/>
    </row>
    <row r="160" spans="10:10" ht="15.75" customHeight="1">
      <c r="J160" s="1"/>
    </row>
    <row r="161" spans="10:10" ht="15.75" customHeight="1">
      <c r="J161" s="1"/>
    </row>
    <row r="162" spans="10:10" ht="15.75" customHeight="1">
      <c r="J162" s="1"/>
    </row>
    <row r="163" spans="10:10" ht="15.75" customHeight="1">
      <c r="J163" s="1"/>
    </row>
    <row r="164" spans="10:10" ht="15.75" customHeight="1">
      <c r="J164" s="1"/>
    </row>
    <row r="165" spans="10:10" ht="15.75" customHeight="1">
      <c r="J165" s="1"/>
    </row>
    <row r="166" spans="10:10" ht="15.75" customHeight="1">
      <c r="J166" s="1"/>
    </row>
    <row r="167" spans="10:10" ht="15.75" customHeight="1">
      <c r="J167" s="1"/>
    </row>
    <row r="168" spans="10:10" ht="15.75" customHeight="1">
      <c r="J168" s="1"/>
    </row>
    <row r="169" spans="10:10" ht="15.75" customHeight="1">
      <c r="J169" s="1"/>
    </row>
    <row r="170" spans="10:10" ht="15.75" customHeight="1">
      <c r="J170" s="1"/>
    </row>
    <row r="171" spans="10:10" ht="15.75" customHeight="1">
      <c r="J171" s="1"/>
    </row>
    <row r="172" spans="10:10" ht="15.75" customHeight="1">
      <c r="J172" s="1"/>
    </row>
    <row r="173" spans="10:10" ht="15.75" customHeight="1">
      <c r="J173" s="1"/>
    </row>
    <row r="174" spans="10:10" ht="15.75" customHeight="1">
      <c r="J174" s="1"/>
    </row>
    <row r="175" spans="10:10" ht="15.75" customHeight="1">
      <c r="J175" s="1"/>
    </row>
    <row r="176" spans="10:10" ht="15.75" customHeight="1">
      <c r="J176" s="1"/>
    </row>
    <row r="177" spans="10:10" ht="15.75" customHeight="1">
      <c r="J177" s="1"/>
    </row>
    <row r="178" spans="10:10" ht="15.75" customHeight="1">
      <c r="J178" s="1"/>
    </row>
    <row r="179" spans="10:10" ht="15.75" customHeight="1">
      <c r="J179" s="1"/>
    </row>
    <row r="180" spans="10:10" ht="15.75" customHeight="1">
      <c r="J180" s="1"/>
    </row>
    <row r="181" spans="10:10" ht="15.75" customHeight="1">
      <c r="J181" s="1"/>
    </row>
    <row r="182" spans="10:10" ht="15.75" customHeight="1">
      <c r="J182" s="1"/>
    </row>
    <row r="183" spans="10:10" ht="15.75" customHeight="1">
      <c r="J183" s="1"/>
    </row>
    <row r="184" spans="10:10" ht="15.75" customHeight="1">
      <c r="J184" s="1"/>
    </row>
    <row r="185" spans="10:10" ht="15.75" customHeight="1">
      <c r="J185" s="1"/>
    </row>
    <row r="186" spans="10:10" ht="15.75" customHeight="1">
      <c r="J186" s="1"/>
    </row>
    <row r="187" spans="10:10" ht="15.75" customHeight="1">
      <c r="J187" s="1"/>
    </row>
    <row r="188" spans="10:10" ht="15.75" customHeight="1">
      <c r="J188" s="1"/>
    </row>
    <row r="189" spans="10:10" ht="15.75" customHeight="1">
      <c r="J189" s="1"/>
    </row>
    <row r="190" spans="10:10" ht="15.75" customHeight="1">
      <c r="J190" s="1"/>
    </row>
    <row r="191" spans="10:10" ht="15.75" customHeight="1">
      <c r="J191" s="1"/>
    </row>
    <row r="192" spans="10:10" ht="15.75" customHeight="1">
      <c r="J192" s="1"/>
    </row>
    <row r="193" spans="10:10" ht="15.75" customHeight="1">
      <c r="J193" s="1"/>
    </row>
    <row r="194" spans="10:10" ht="15.75" customHeight="1">
      <c r="J194" s="1"/>
    </row>
    <row r="195" spans="10:10" ht="15.75" customHeight="1">
      <c r="J195" s="1"/>
    </row>
    <row r="196" spans="10:10" ht="15.75" customHeight="1">
      <c r="J196" s="1"/>
    </row>
    <row r="197" spans="10:10" ht="15.75" customHeight="1">
      <c r="J197" s="1"/>
    </row>
    <row r="198" spans="10:10" ht="15.75" customHeight="1">
      <c r="J198" s="1"/>
    </row>
    <row r="199" spans="10:10" ht="15.75" customHeight="1">
      <c r="J199" s="1"/>
    </row>
    <row r="200" spans="10:10" ht="15.75" customHeight="1">
      <c r="J200" s="1"/>
    </row>
    <row r="201" spans="10:10" ht="15.75" customHeight="1">
      <c r="J201" s="1"/>
    </row>
    <row r="202" spans="10:10" ht="15.75" customHeight="1">
      <c r="J202" s="1"/>
    </row>
    <row r="203" spans="10:10" ht="15.75" customHeight="1">
      <c r="J203" s="1"/>
    </row>
    <row r="204" spans="10:10" ht="15.75" customHeight="1">
      <c r="J204" s="1"/>
    </row>
    <row r="205" spans="10:10" ht="15.75" customHeight="1">
      <c r="J205" s="1"/>
    </row>
    <row r="206" spans="10:10" ht="15.75" customHeight="1">
      <c r="J206" s="1"/>
    </row>
    <row r="207" spans="10:10" ht="15.75" customHeight="1">
      <c r="J207" s="1"/>
    </row>
    <row r="208" spans="10:10" ht="15.75" customHeight="1">
      <c r="J208" s="1"/>
    </row>
    <row r="209" spans="10:10" ht="15.75" customHeight="1">
      <c r="J209" s="1"/>
    </row>
    <row r="210" spans="10:10" ht="15.75" customHeight="1">
      <c r="J210" s="1"/>
    </row>
    <row r="211" spans="10:10" ht="15.75" customHeight="1">
      <c r="J211" s="1"/>
    </row>
    <row r="212" spans="10:10" ht="15.75" customHeight="1">
      <c r="J212" s="1"/>
    </row>
    <row r="213" spans="10:10" ht="15.75" customHeight="1">
      <c r="J213" s="1"/>
    </row>
    <row r="214" spans="10:10" ht="15.75" customHeight="1">
      <c r="J214" s="1"/>
    </row>
    <row r="215" spans="10:10" ht="15.75" customHeight="1">
      <c r="J215" s="1"/>
    </row>
    <row r="216" spans="10:10" ht="15.75" customHeight="1">
      <c r="J216" s="1"/>
    </row>
    <row r="217" spans="10:10" ht="15.75" customHeight="1">
      <c r="J217" s="1"/>
    </row>
    <row r="218" spans="10:10" ht="15.75" customHeight="1">
      <c r="J218" s="1"/>
    </row>
    <row r="219" spans="10:10" ht="15.75" customHeight="1">
      <c r="J219" s="1"/>
    </row>
    <row r="220" spans="10:10" ht="15.75" customHeight="1">
      <c r="J220" s="1"/>
    </row>
    <row r="221" spans="10:10" ht="15.75" customHeight="1">
      <c r="J221" s="1"/>
    </row>
    <row r="222" spans="10:10" ht="15.75" customHeight="1">
      <c r="J222" s="1"/>
    </row>
    <row r="223" spans="10:10" ht="15.75" customHeight="1">
      <c r="J223" s="1"/>
    </row>
    <row r="224" spans="10:10" ht="15.75" customHeight="1">
      <c r="J224" s="1"/>
    </row>
    <row r="225" spans="10:10" ht="15.75" customHeight="1">
      <c r="J225" s="1"/>
    </row>
    <row r="226" spans="10:10" ht="15.75" customHeight="1">
      <c r="J226" s="1"/>
    </row>
    <row r="227" spans="10:10" ht="15.75" customHeight="1">
      <c r="J227" s="1"/>
    </row>
    <row r="228" spans="10:10" ht="15.75" customHeight="1">
      <c r="J228" s="1"/>
    </row>
    <row r="229" spans="10:10" ht="15.75" customHeight="1">
      <c r="J229" s="1"/>
    </row>
    <row r="230" spans="10:10" ht="15.75" customHeight="1">
      <c r="J230" s="1"/>
    </row>
    <row r="231" spans="10:10" ht="15.75" customHeight="1">
      <c r="J231" s="1"/>
    </row>
    <row r="232" spans="10:10" ht="15.75" customHeight="1">
      <c r="J232" s="1"/>
    </row>
    <row r="233" spans="10:10" ht="15.75" customHeight="1">
      <c r="J233" s="1"/>
    </row>
    <row r="234" spans="10:10" ht="15.75" customHeight="1">
      <c r="J234" s="1"/>
    </row>
    <row r="235" spans="10:10" ht="15.75" customHeight="1">
      <c r="J235" s="1"/>
    </row>
    <row r="236" spans="10:10" ht="15.75" customHeight="1">
      <c r="J236" s="1"/>
    </row>
    <row r="237" spans="10:10" ht="15.75" customHeight="1">
      <c r="J237" s="1"/>
    </row>
    <row r="238" spans="10:10" ht="15.75" customHeight="1">
      <c r="J238" s="1"/>
    </row>
    <row r="239" spans="10:10" ht="15.75" customHeight="1">
      <c r="J239" s="1"/>
    </row>
    <row r="240" spans="10:10" ht="15.75" customHeight="1">
      <c r="J240" s="1"/>
    </row>
    <row r="241" spans="10:10" ht="15.75" customHeight="1">
      <c r="J241" s="1"/>
    </row>
    <row r="242" spans="10:10" ht="15.75" customHeight="1">
      <c r="J242" s="1"/>
    </row>
    <row r="243" spans="10:10" ht="15.75" customHeight="1">
      <c r="J243" s="1"/>
    </row>
    <row r="244" spans="10:10" ht="15.75" customHeight="1">
      <c r="J244" s="1"/>
    </row>
    <row r="245" spans="10:10" ht="15.75" customHeight="1">
      <c r="J245" s="1"/>
    </row>
    <row r="246" spans="10:10" ht="15.75" customHeight="1">
      <c r="J246" s="1"/>
    </row>
    <row r="247" spans="10:10" ht="15.75" customHeight="1">
      <c r="J247" s="1"/>
    </row>
    <row r="248" spans="10:10" ht="15.75" customHeight="1">
      <c r="J248" s="1"/>
    </row>
    <row r="249" spans="10:10" ht="15.75" customHeight="1">
      <c r="J249" s="1"/>
    </row>
    <row r="250" spans="10:10" ht="15.75" customHeight="1">
      <c r="J250" s="1"/>
    </row>
    <row r="251" spans="10:10" ht="15.75" customHeight="1">
      <c r="J251" s="1"/>
    </row>
    <row r="252" spans="10:10" ht="15.75" customHeight="1">
      <c r="J252" s="1"/>
    </row>
    <row r="253" spans="10:10" ht="15.75" customHeight="1">
      <c r="J253" s="1"/>
    </row>
    <row r="254" spans="10:10" ht="15.75" customHeight="1">
      <c r="J254" s="1"/>
    </row>
    <row r="255" spans="10:10" ht="15.75" customHeight="1">
      <c r="J255" s="1"/>
    </row>
    <row r="256" spans="10:10" ht="15.75" customHeight="1">
      <c r="J256" s="1"/>
    </row>
    <row r="257" spans="10:10" ht="15.75" customHeight="1">
      <c r="J257" s="1"/>
    </row>
    <row r="258" spans="10:10" ht="15.75" customHeight="1">
      <c r="J258" s="1"/>
    </row>
    <row r="259" spans="10:10" ht="15.75" customHeight="1">
      <c r="J259" s="1"/>
    </row>
    <row r="260" spans="10:10" ht="15.75" customHeight="1">
      <c r="J260" s="1"/>
    </row>
    <row r="261" spans="10:10" ht="15.75" customHeight="1">
      <c r="J261" s="1"/>
    </row>
    <row r="262" spans="10:10" ht="15.75" customHeight="1">
      <c r="J262" s="1"/>
    </row>
    <row r="263" spans="10:10" ht="15.75" customHeight="1">
      <c r="J263" s="1"/>
    </row>
    <row r="264" spans="10:10" ht="15.75" customHeight="1">
      <c r="J264" s="1"/>
    </row>
    <row r="265" spans="10:10" ht="15.75" customHeight="1"/>
    <row r="266" spans="10:10" ht="15.75" customHeight="1"/>
    <row r="267" spans="10:10" ht="15.75" customHeight="1"/>
    <row r="268" spans="10:10" ht="15.75" customHeight="1"/>
    <row r="269" spans="10:10" ht="15.75" customHeight="1"/>
    <row r="270" spans="10:10" ht="15.75" customHeight="1"/>
    <row r="271" spans="10:10" ht="15.75" customHeight="1"/>
    <row r="272" spans="10:10"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M1000"/>
  <sheetViews>
    <sheetView workbookViewId="0"/>
  </sheetViews>
  <sheetFormatPr baseColWidth="10" defaultColWidth="14.42578125" defaultRowHeight="15" customHeight="1"/>
  <cols>
    <col min="1" max="2" width="14.42578125" customWidth="1"/>
    <col min="3" max="3" width="32.28515625" customWidth="1"/>
    <col min="4" max="6" width="14.42578125" customWidth="1"/>
    <col min="10" max="10" width="13.42578125" customWidth="1"/>
    <col min="12" max="12" width="11.42578125" customWidth="1"/>
  </cols>
  <sheetData>
    <row r="3" spans="3:13" ht="15.75">
      <c r="C3" s="287" t="s">
        <v>63</v>
      </c>
      <c r="D3" s="44"/>
      <c r="E3" s="44">
        <v>2013</v>
      </c>
      <c r="F3" s="44"/>
      <c r="G3" s="44">
        <v>2014</v>
      </c>
      <c r="H3" s="44"/>
      <c r="I3" s="44">
        <v>2015</v>
      </c>
      <c r="J3" s="44"/>
      <c r="K3" s="44">
        <v>2016</v>
      </c>
      <c r="L3" s="44"/>
      <c r="M3" s="44">
        <v>2017</v>
      </c>
    </row>
    <row r="4" spans="3:13" ht="15.75">
      <c r="C4" s="288"/>
      <c r="D4" s="44" t="s">
        <v>68</v>
      </c>
      <c r="E4" s="44" t="s">
        <v>69</v>
      </c>
      <c r="F4" s="44" t="s">
        <v>68</v>
      </c>
      <c r="G4" s="44" t="s">
        <v>69</v>
      </c>
      <c r="H4" s="44" t="s">
        <v>68</v>
      </c>
      <c r="I4" s="44" t="s">
        <v>69</v>
      </c>
      <c r="J4" s="44" t="s">
        <v>68</v>
      </c>
      <c r="K4" s="44" t="s">
        <v>69</v>
      </c>
      <c r="L4" s="44" t="s">
        <v>68</v>
      </c>
      <c r="M4" s="44" t="s">
        <v>69</v>
      </c>
    </row>
    <row r="5" spans="3:13" ht="15.75">
      <c r="C5" s="47" t="s">
        <v>71</v>
      </c>
      <c r="D5" s="49">
        <f>(E5*100)/E7</f>
        <v>31.278729041257478</v>
      </c>
      <c r="E5" s="51">
        <f>BG!D25</f>
        <v>33411</v>
      </c>
      <c r="F5" s="53">
        <f>(G5*100)/G7</f>
        <v>32.424095974528086</v>
      </c>
      <c r="G5" s="55">
        <f>BG!E25</f>
        <v>45622</v>
      </c>
      <c r="H5" s="49">
        <f>(I5*100)/I7</f>
        <v>70.993962696886911</v>
      </c>
      <c r="I5" s="55">
        <f>BG!F25</f>
        <v>189441</v>
      </c>
      <c r="J5" s="49">
        <f>(K5*100)/K7</f>
        <v>78.122888487573562</v>
      </c>
      <c r="K5" s="55">
        <f>BG!G25</f>
        <v>254365</v>
      </c>
      <c r="L5" s="49">
        <f>(M5*100)/M7</f>
        <v>81.173076557737872</v>
      </c>
      <c r="M5" s="55">
        <f>BG!H25</f>
        <v>299096</v>
      </c>
    </row>
    <row r="6" spans="3:13" ht="15.75">
      <c r="C6" s="47" t="s">
        <v>89</v>
      </c>
      <c r="D6" s="49">
        <f>(E6*100)/E7</f>
        <v>68.721270958742522</v>
      </c>
      <c r="E6" s="55">
        <f>BG!D19+BG!D20+BG!D21+BG!D22+BG!D23+BG!D24+BG!D26</f>
        <v>73406</v>
      </c>
      <c r="F6" s="62">
        <f>(G6*100)/G7</f>
        <v>67.575904025471914</v>
      </c>
      <c r="G6" s="55">
        <f>BG!E20+BG!E21+BG!E22+BG!E23+BG!E24+BG!E26</f>
        <v>95082</v>
      </c>
      <c r="H6" s="49">
        <f>(I6*100)/I7</f>
        <v>29.006037303113089</v>
      </c>
      <c r="I6" s="55">
        <f>BG!F19+BG!F20+BG!F21+BG!F22+BG!F23+BG!F24+BG!F26</f>
        <v>77400</v>
      </c>
      <c r="J6" s="49">
        <f>(K6*100)/K7</f>
        <v>21.877111512426442</v>
      </c>
      <c r="K6" s="55">
        <f>BG!G19+BG!G20+BG!G21+BG!G22+BG!G23+BG!G24+BG!G26</f>
        <v>71231</v>
      </c>
      <c r="L6" s="49">
        <f>(M6*100)/M7</f>
        <v>18.826923442262128</v>
      </c>
      <c r="M6" s="55">
        <f>BG!H19+BG!H20+BG!H21+BG!H22+BG!H23+BG!H24+BG!H26</f>
        <v>69371</v>
      </c>
    </row>
    <row r="7" spans="3:13" ht="15.75">
      <c r="C7" s="69" t="s">
        <v>100</v>
      </c>
      <c r="D7" s="71">
        <v>100</v>
      </c>
      <c r="E7" s="72">
        <f>E5+E6</f>
        <v>106817</v>
      </c>
      <c r="F7" s="71">
        <f t="shared" ref="F7:M7" si="0">F6+F5</f>
        <v>100</v>
      </c>
      <c r="G7" s="72">
        <f t="shared" si="0"/>
        <v>140704</v>
      </c>
      <c r="H7" s="71">
        <f t="shared" si="0"/>
        <v>100</v>
      </c>
      <c r="I7" s="72">
        <f t="shared" si="0"/>
        <v>266841</v>
      </c>
      <c r="J7" s="71">
        <f t="shared" si="0"/>
        <v>100</v>
      </c>
      <c r="K7" s="72">
        <f t="shared" si="0"/>
        <v>325596</v>
      </c>
      <c r="L7" s="71">
        <f t="shared" si="0"/>
        <v>100</v>
      </c>
      <c r="M7" s="72">
        <f t="shared" si="0"/>
        <v>368467</v>
      </c>
    </row>
    <row r="8" spans="3:13" ht="15.75">
      <c r="C8" s="47" t="s">
        <v>101</v>
      </c>
      <c r="D8" s="49">
        <f>(E8*100)/E12</f>
        <v>1.1136396215596329</v>
      </c>
      <c r="E8" s="73">
        <f>BG!D9+BG!D10+BG!D16</f>
        <v>1243</v>
      </c>
      <c r="F8" s="49">
        <f>(G8*100)/G12</f>
        <v>15.785128178991897</v>
      </c>
      <c r="G8" s="55">
        <f>BG!E9+BG!E10+BG!E16</f>
        <v>15486</v>
      </c>
      <c r="H8" s="49">
        <f>(I8*100)/I12</f>
        <v>21.591939745258095</v>
      </c>
      <c r="I8" s="55">
        <f>BG!F9+BG!F10+BG!F16</f>
        <v>10951</v>
      </c>
      <c r="J8" s="49">
        <f>(K8*100)/K12</f>
        <v>6.841372912801484</v>
      </c>
      <c r="K8" s="55">
        <f>BG!G9+BG!G10+BG!G16</f>
        <v>3245</v>
      </c>
      <c r="L8" s="49">
        <f>(M8*100)/M12</f>
        <v>1.7994034063572506</v>
      </c>
      <c r="M8" s="73">
        <f>BG!H9+BG!H10+BG!H16</f>
        <v>561</v>
      </c>
    </row>
    <row r="9" spans="3:13" ht="15.75">
      <c r="C9" s="47" t="s">
        <v>102</v>
      </c>
      <c r="D9" s="49">
        <f>(E9*100)/E12</f>
        <v>13.181801892201834</v>
      </c>
      <c r="E9" s="55">
        <f>BG!D13</f>
        <v>14713</v>
      </c>
      <c r="F9" s="49">
        <f>(G9*100)/G12</f>
        <v>11.095255083838744</v>
      </c>
      <c r="G9" s="55">
        <f>BG!E13</f>
        <v>10885</v>
      </c>
      <c r="H9" s="49">
        <f>(I9*100)/I12</f>
        <v>1.2244173666154028</v>
      </c>
      <c r="I9" s="73">
        <f>BG!F13</f>
        <v>621</v>
      </c>
      <c r="J9" s="49">
        <f>(K9*100)/K12</f>
        <v>2.2411030527913645</v>
      </c>
      <c r="K9" s="55">
        <f>BG!G13</f>
        <v>1063</v>
      </c>
      <c r="L9" s="49">
        <f>(M9*100)/M12</f>
        <v>2.8290085640055169</v>
      </c>
      <c r="M9" s="73">
        <f>BG!H13</f>
        <v>882</v>
      </c>
    </row>
    <row r="10" spans="3:13" ht="15.75">
      <c r="C10" s="47" t="s">
        <v>103</v>
      </c>
      <c r="D10" s="49">
        <f>(E10*100)/E12</f>
        <v>60.891807626146786</v>
      </c>
      <c r="E10" s="55">
        <f>BG!D11+BG!D12+BG!D14</f>
        <v>67965</v>
      </c>
      <c r="F10" s="49">
        <f>(G10*100)/G12</f>
        <v>55.402884664390193</v>
      </c>
      <c r="G10" s="55">
        <f>BG!E11+BG!E12+BG!E14</f>
        <v>54353</v>
      </c>
      <c r="H10" s="49">
        <f>(I10*100)/I12</f>
        <v>13.214243463858985</v>
      </c>
      <c r="I10" s="55">
        <f>BG!F11+BG!F12+BG!F14</f>
        <v>6702</v>
      </c>
      <c r="J10" s="49">
        <f>(K10*100)/K12</f>
        <v>11.184432450666216</v>
      </c>
      <c r="K10" s="55">
        <f>BG!G11+BG!G12+BG!G14</f>
        <v>5305</v>
      </c>
      <c r="L10" s="49">
        <f>(M10*100)/M12</f>
        <v>27.183500657536005</v>
      </c>
      <c r="M10" s="55">
        <f>BG!H11+BG!H12+BG!H14</f>
        <v>8475</v>
      </c>
    </row>
    <row r="11" spans="3:13" ht="15.75">
      <c r="C11" s="47" t="s">
        <v>104</v>
      </c>
      <c r="D11" s="49">
        <f>(E11*100)/E12</f>
        <v>24.812750860091743</v>
      </c>
      <c r="E11" s="55">
        <f>BG!D8</f>
        <v>27695</v>
      </c>
      <c r="F11" s="49">
        <f>(G11*100)/G12</f>
        <v>17.716732072779166</v>
      </c>
      <c r="G11" s="55">
        <f>BG!E8</f>
        <v>17381</v>
      </c>
      <c r="H11" s="49">
        <f>(I11*100)/I12</f>
        <v>63.969399424267522</v>
      </c>
      <c r="I11" s="55">
        <f>BG!F8</f>
        <v>32444</v>
      </c>
      <c r="J11" s="49">
        <f>(K11*100)/K12</f>
        <v>79.733091583740929</v>
      </c>
      <c r="K11" s="55">
        <f>BG!G8</f>
        <v>37819</v>
      </c>
      <c r="L11" s="49">
        <f>(M11*100)/M12</f>
        <v>68.188087372101222</v>
      </c>
      <c r="M11" s="55">
        <f>BG!H8</f>
        <v>21259</v>
      </c>
    </row>
    <row r="12" spans="3:13" ht="15.75">
      <c r="C12" s="69" t="s">
        <v>105</v>
      </c>
      <c r="D12" s="71">
        <f t="shared" ref="D12:F12" si="1">D11+D10+D9+D8</f>
        <v>99.999999999999986</v>
      </c>
      <c r="E12" s="72">
        <f t="shared" si="1"/>
        <v>111616</v>
      </c>
      <c r="F12" s="71">
        <f t="shared" si="1"/>
        <v>100</v>
      </c>
      <c r="G12" s="72">
        <f>G8+G9+G10+G11</f>
        <v>98105</v>
      </c>
      <c r="H12" s="71">
        <f t="shared" ref="H12:L12" si="2">H11+H10+H9+H8</f>
        <v>100</v>
      </c>
      <c r="I12" s="72">
        <f t="shared" si="2"/>
        <v>50718</v>
      </c>
      <c r="J12" s="71">
        <f t="shared" si="2"/>
        <v>100</v>
      </c>
      <c r="K12" s="72">
        <f t="shared" si="2"/>
        <v>47432</v>
      </c>
      <c r="L12" s="71">
        <f t="shared" si="2"/>
        <v>100</v>
      </c>
      <c r="M12" s="72">
        <f>M11+M10+M8+M9</f>
        <v>31177</v>
      </c>
    </row>
    <row r="13" spans="3:13" ht="18">
      <c r="C13" s="75" t="s">
        <v>106</v>
      </c>
      <c r="D13" s="76"/>
      <c r="E13" s="79">
        <f>E12+E7</f>
        <v>218433</v>
      </c>
      <c r="F13" s="81"/>
      <c r="G13" s="79">
        <f>G12+G7</f>
        <v>238809</v>
      </c>
      <c r="H13" s="76"/>
      <c r="I13" s="79">
        <f>I12+I7</f>
        <v>317559</v>
      </c>
      <c r="J13" s="76"/>
      <c r="K13" s="79">
        <f>K7+K12</f>
        <v>373028</v>
      </c>
      <c r="L13" s="76"/>
      <c r="M13" s="79">
        <f>M12+M7</f>
        <v>399644</v>
      </c>
    </row>
    <row r="14" spans="3:13" ht="15.75">
      <c r="C14" s="69" t="s">
        <v>108</v>
      </c>
      <c r="D14" s="86">
        <f>(E14*100)/E17</f>
        <v>43.192191656022672</v>
      </c>
      <c r="E14" s="72">
        <f>BG!D57+BG!D58+BG!D59+BG!D61</f>
        <v>94346</v>
      </c>
      <c r="F14" s="86">
        <f>(G14*100)/G17</f>
        <v>37.988099275990436</v>
      </c>
      <c r="G14" s="72">
        <f>BG!E57+BG!E58+BG!E59+BG!E61</f>
        <v>90719</v>
      </c>
      <c r="H14" s="86">
        <f>(I14*100)/I17</f>
        <v>53.514779930658555</v>
      </c>
      <c r="I14" s="72">
        <f>BG!F57+BG!F58+BG!F59+BG!F61</f>
        <v>169941</v>
      </c>
      <c r="J14" s="86">
        <f>(K14*100)/K17</f>
        <v>47.987282456008664</v>
      </c>
      <c r="K14" s="72">
        <f>BG!G57+BG!G58+BG!G59+BG!G61</f>
        <v>179006</v>
      </c>
      <c r="L14" s="86">
        <f>(M14*100)/M17</f>
        <v>47.170982174134977</v>
      </c>
      <c r="M14" s="72">
        <f>BG!H57+BG!H58+BG!H59+BG!H61</f>
        <v>188516</v>
      </c>
    </row>
    <row r="15" spans="3:13" ht="15.75">
      <c r="C15" s="69" t="s">
        <v>119</v>
      </c>
      <c r="D15" s="86">
        <f>(E15*100)/E17</f>
        <v>9.9586600925684312</v>
      </c>
      <c r="E15" s="72">
        <f>BG!D51+BG!D52+BG!D53</f>
        <v>21753</v>
      </c>
      <c r="F15" s="86">
        <f>(G15*100)/G17</f>
        <v>10.818687737899326</v>
      </c>
      <c r="G15" s="72">
        <f>BG!E51+BG!E52+BG!E53</f>
        <v>25836</v>
      </c>
      <c r="H15" s="86">
        <f>(I15*100)/I17</f>
        <v>34.253477306579249</v>
      </c>
      <c r="I15" s="72">
        <f>BG!F51+BG!F52+BG!F53</f>
        <v>108775</v>
      </c>
      <c r="J15" s="86">
        <f>(K15*100)/K17</f>
        <v>44.262897155173341</v>
      </c>
      <c r="K15" s="72">
        <f>BG!G51+BG!G52+BG!G53</f>
        <v>165113</v>
      </c>
      <c r="L15" s="86">
        <f>(M15*100)/M17</f>
        <v>44.586932369809134</v>
      </c>
      <c r="M15" s="72">
        <f>BG!H51+BG!H52+BG!H53</f>
        <v>178189</v>
      </c>
    </row>
    <row r="16" spans="3:13" ht="15.75">
      <c r="C16" s="69" t="s">
        <v>134</v>
      </c>
      <c r="D16" s="86">
        <f>(E16*100)/E17</f>
        <v>46.849148251408899</v>
      </c>
      <c r="E16" s="72">
        <f>BG!D41+BG!D42+BG!D43+BG!D44+BG!D45+BG!D46+BG!D47</f>
        <v>102334</v>
      </c>
      <c r="F16" s="86">
        <f>(G16*100)/G17</f>
        <v>51.19321298611024</v>
      </c>
      <c r="G16" s="72">
        <f>BG!E41+BG!E42+BG!E43+BG!E44+BG!E45+BG!E46+BG!E48</f>
        <v>122254</v>
      </c>
      <c r="H16" s="86">
        <f>(I16*100)/I17</f>
        <v>12.231742762762195</v>
      </c>
      <c r="I16" s="72">
        <f>BG!F41+BG!F42+BG!F43+BG!F44+BG!F45+BG!F46+BG!F48</f>
        <v>38843</v>
      </c>
      <c r="J16" s="86">
        <f>(K16*100)/K17</f>
        <v>7.749820388817998</v>
      </c>
      <c r="K16" s="72">
        <f>BG!G41+BG!G42+BG!G43+BG!G44+BG!G45+BG!G46+BG!G48</f>
        <v>28909</v>
      </c>
      <c r="L16" s="86">
        <f>(M16*100)/M17</f>
        <v>8.2420854560558894</v>
      </c>
      <c r="M16" s="72">
        <f>BG!H41+BG!H42+BG!H43+BG!H44+BG!H45+BG!H46+BG!H48</f>
        <v>32939</v>
      </c>
    </row>
    <row r="17" spans="3:13" ht="18">
      <c r="C17" s="75" t="s">
        <v>136</v>
      </c>
      <c r="D17" s="76">
        <f t="shared" ref="D17:M17" si="3">D16+D15+D14</f>
        <v>100</v>
      </c>
      <c r="E17" s="79">
        <f t="shared" si="3"/>
        <v>218433</v>
      </c>
      <c r="F17" s="97">
        <f t="shared" si="3"/>
        <v>100</v>
      </c>
      <c r="G17" s="79">
        <f t="shared" si="3"/>
        <v>238809</v>
      </c>
      <c r="H17" s="97">
        <f t="shared" si="3"/>
        <v>100</v>
      </c>
      <c r="I17" s="79">
        <f t="shared" si="3"/>
        <v>317559</v>
      </c>
      <c r="J17" s="97">
        <f t="shared" si="3"/>
        <v>100</v>
      </c>
      <c r="K17" s="79">
        <f t="shared" si="3"/>
        <v>373028</v>
      </c>
      <c r="L17" s="97">
        <f t="shared" si="3"/>
        <v>100</v>
      </c>
      <c r="M17" s="79">
        <f t="shared" si="3"/>
        <v>399644</v>
      </c>
    </row>
    <row r="19" spans="3:13">
      <c r="D19" s="98"/>
      <c r="E19" s="26"/>
      <c r="F19" s="98"/>
      <c r="G19" s="26"/>
      <c r="H19" s="98"/>
      <c r="I19" s="26"/>
      <c r="J19" s="98"/>
      <c r="K19" s="26"/>
      <c r="L19" s="98"/>
    </row>
    <row r="21" spans="3:13" ht="15.75" customHeight="1"/>
    <row r="22" spans="3:13" ht="15.75" customHeight="1">
      <c r="E22" s="26"/>
      <c r="F22" s="26"/>
      <c r="G22" s="26"/>
      <c r="H22" s="26"/>
      <c r="I22" s="26"/>
    </row>
    <row r="23" spans="3:13" ht="15.75" customHeight="1"/>
    <row r="24" spans="3:13" ht="15.75" customHeight="1"/>
    <row r="25" spans="3:13" ht="15.75" customHeight="1"/>
    <row r="26" spans="3:13" ht="15.75" customHeight="1"/>
    <row r="27" spans="3:13" ht="15.75" customHeight="1"/>
    <row r="28" spans="3:13" ht="15.75" customHeight="1"/>
    <row r="29" spans="3:13" ht="15.75" customHeight="1"/>
    <row r="30" spans="3:13" ht="15.75" customHeight="1"/>
    <row r="31" spans="3:13" ht="15.75" customHeight="1"/>
    <row r="32" spans="3: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C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AD1000"/>
  <sheetViews>
    <sheetView topLeftCell="E4" zoomScaleNormal="100" workbookViewId="0">
      <selection activeCell="A14" sqref="A14:XFD14"/>
    </sheetView>
  </sheetViews>
  <sheetFormatPr baseColWidth="10" defaultColWidth="14.42578125" defaultRowHeight="15" customHeight="1"/>
  <cols>
    <col min="1" max="2" width="14.42578125" customWidth="1"/>
    <col min="3" max="3" width="29.28515625" customWidth="1"/>
    <col min="4" max="6" width="14.42578125" customWidth="1"/>
    <col min="7" max="7" width="19.5703125" customWidth="1"/>
    <col min="11" max="11" width="14.5703125" customWidth="1"/>
  </cols>
  <sheetData>
    <row r="3" spans="1:20" ht="15.75">
      <c r="A3" s="188"/>
      <c r="B3" s="188"/>
      <c r="C3" s="178"/>
      <c r="D3" s="102"/>
      <c r="E3" s="103">
        <v>2013</v>
      </c>
      <c r="F3" s="102"/>
      <c r="G3" s="103">
        <v>2014</v>
      </c>
      <c r="H3" s="102"/>
      <c r="I3" s="103">
        <v>2015</v>
      </c>
      <c r="J3" s="102"/>
      <c r="K3" s="103">
        <v>2016</v>
      </c>
      <c r="L3" s="102"/>
      <c r="M3" s="103">
        <v>2017</v>
      </c>
      <c r="R3" s="189"/>
      <c r="S3" s="26"/>
      <c r="T3" s="26"/>
    </row>
    <row r="4" spans="1:20" ht="15.75">
      <c r="A4" s="188"/>
      <c r="B4" s="188"/>
      <c r="C4" s="190" t="s">
        <v>63</v>
      </c>
      <c r="D4" s="103" t="s">
        <v>68</v>
      </c>
      <c r="E4" s="191" t="s">
        <v>69</v>
      </c>
      <c r="F4" s="103" t="s">
        <v>68</v>
      </c>
      <c r="G4" s="103" t="s">
        <v>69</v>
      </c>
      <c r="H4" s="103" t="s">
        <v>68</v>
      </c>
      <c r="I4" s="103" t="s">
        <v>69</v>
      </c>
      <c r="J4" s="103" t="s">
        <v>68</v>
      </c>
      <c r="K4" s="103" t="s">
        <v>69</v>
      </c>
      <c r="L4" s="103" t="s">
        <v>68</v>
      </c>
      <c r="M4" s="103" t="s">
        <v>69</v>
      </c>
      <c r="R4" s="192"/>
      <c r="S4" s="192"/>
      <c r="T4" s="192"/>
    </row>
    <row r="5" spans="1:20">
      <c r="C5" s="73" t="str">
        <f>'BG CLASIFICADO'!C5</f>
        <v>ACTIVO FIJO</v>
      </c>
      <c r="D5" s="193">
        <f>(E5/E13)*100</f>
        <v>15.295765749680681</v>
      </c>
      <c r="E5" s="193">
        <f>'BG CLASIFICADO'!E5*H21</f>
        <v>38332.552123409543</v>
      </c>
      <c r="F5" s="193">
        <f>(G5/G13)*100</f>
        <v>19.103970118379124</v>
      </c>
      <c r="G5" s="193">
        <f>'BG CLASIFICADO'!G5*H22</f>
        <v>50040.414237527992</v>
      </c>
      <c r="H5" s="193">
        <f>(I5/I13)*100</f>
        <v>59.655371127884891</v>
      </c>
      <c r="I5" s="193">
        <f>('BG CLASIFICADO'!I5*H23)</f>
        <v>199030.69286099996</v>
      </c>
      <c r="J5" s="193">
        <f>(K5/K13)*100</f>
        <v>68.189251209024519</v>
      </c>
      <c r="K5" s="193">
        <f>'BG CLASIFICADO'!K5*H24</f>
        <v>260215.39499999999</v>
      </c>
      <c r="L5" s="193">
        <f>(M5/M13)*100</f>
        <v>74.84060814124571</v>
      </c>
      <c r="M5" s="193">
        <f>'BG CLASIFICADO'!M5*H25</f>
        <v>299096</v>
      </c>
      <c r="R5" s="12"/>
      <c r="S5" s="194"/>
      <c r="T5" s="12"/>
    </row>
    <row r="6" spans="1:20">
      <c r="C6" s="73" t="str">
        <f>'BG CLASIFICADO'!C6</f>
        <v>OTRO A.FIJO</v>
      </c>
      <c r="D6" s="193">
        <f>(E6/E13)*100</f>
        <v>33.605728072223521</v>
      </c>
      <c r="E6" s="193">
        <f>'BG CLASIFICADO'!E6*H21</f>
        <v>84218.949482835014</v>
      </c>
      <c r="F6" s="193">
        <f>(G6/G13)*100</f>
        <v>39.815082346142731</v>
      </c>
      <c r="G6" s="193">
        <f>'BG CLASIFICADO'!G6*H22</f>
        <v>104290.53234256798</v>
      </c>
      <c r="H6" s="193">
        <f>(I6/I13)*100</f>
        <v>24.373423521298403</v>
      </c>
      <c r="I6" s="193">
        <f>('BG CLASIFICADO'!I6*H23)</f>
        <v>81318.065399999978</v>
      </c>
      <c r="J6" s="193">
        <f>(K6/K13)*100</f>
        <v>19.095349410768094</v>
      </c>
      <c r="K6" s="193">
        <f>'BG CLASIFICADO'!K6*H24</f>
        <v>72869.312999999995</v>
      </c>
      <c r="L6" s="193">
        <f>(M6/M13)*100</f>
        <v>17.358198796929265</v>
      </c>
      <c r="M6" s="193">
        <f>'BG CLASIFICADO'!M6*H25</f>
        <v>69371</v>
      </c>
      <c r="R6" s="12"/>
      <c r="S6" s="194"/>
      <c r="T6" s="12"/>
    </row>
    <row r="7" spans="1:20">
      <c r="C7" s="195" t="str">
        <f>'BG CLASIFICADO'!C7</f>
        <v>ACTIVO FIJO TOTAL</v>
      </c>
      <c r="D7" s="196">
        <f t="shared" ref="D7:J7" si="0">SUM(D5:D6)</f>
        <v>48.901493821904204</v>
      </c>
      <c r="E7" s="196">
        <f t="shared" si="0"/>
        <v>122551.50160624456</v>
      </c>
      <c r="F7" s="196">
        <f t="shared" si="0"/>
        <v>58.919052464521855</v>
      </c>
      <c r="G7" s="196">
        <f t="shared" si="0"/>
        <v>154330.94658009597</v>
      </c>
      <c r="H7" s="196">
        <f t="shared" si="0"/>
        <v>84.028794649183297</v>
      </c>
      <c r="I7" s="196">
        <f t="shared" si="0"/>
        <v>280348.75826099992</v>
      </c>
      <c r="J7" s="196">
        <f t="shared" si="0"/>
        <v>87.284600619792613</v>
      </c>
      <c r="K7" s="196">
        <f>'BG CLASIFICADO'!K7*H24</f>
        <v>333084.70799999998</v>
      </c>
      <c r="L7" s="196">
        <f t="shared" ref="L7:M7" si="1">SUM(L5:L6)</f>
        <v>92.198806938174982</v>
      </c>
      <c r="M7" s="196">
        <f t="shared" si="1"/>
        <v>368467</v>
      </c>
      <c r="R7" s="12"/>
      <c r="S7" s="194"/>
      <c r="T7" s="12"/>
    </row>
    <row r="8" spans="1:20">
      <c r="C8" s="73" t="s">
        <v>101</v>
      </c>
      <c r="D8" s="193">
        <f>(E8/E13)*100</f>
        <v>0.56905321082437177</v>
      </c>
      <c r="E8" s="193">
        <f>'BG CLASIFICADO'!E8*H21</f>
        <v>1426.0980602016718</v>
      </c>
      <c r="F8" s="193">
        <f>(G8/G13)*100</f>
        <v>6.4846802256196368</v>
      </c>
      <c r="G8" s="193">
        <f>'BG CLASIFICADO'!G8*H22</f>
        <v>16985.793145463995</v>
      </c>
      <c r="H8" s="193">
        <f t="shared" ref="H8:H11" si="2">(I8*100)/$I$13</f>
        <v>3.4484930359397779</v>
      </c>
      <c r="I8" s="193">
        <f>('BG CLASIFICADO'!I8*H23)</f>
        <v>11505.350570999997</v>
      </c>
      <c r="J8" s="193">
        <f>(K8/K13)*100</f>
        <v>0.86990788895203575</v>
      </c>
      <c r="K8" s="193">
        <f>'BG CLASIFICADO'!K8*H24</f>
        <v>3319.6349999999998</v>
      </c>
      <c r="L8" s="193">
        <f>(M8/M13)*100</f>
        <v>0.14037493369098497</v>
      </c>
      <c r="M8" s="193">
        <f>'BG CLASIFICADO'!M8*H25</f>
        <v>561</v>
      </c>
      <c r="R8" s="12"/>
      <c r="S8" s="194"/>
      <c r="T8" s="12"/>
    </row>
    <row r="9" spans="1:20">
      <c r="C9" s="73" t="s">
        <v>102</v>
      </c>
      <c r="D9" s="193">
        <f>(E9/E13)*100</f>
        <v>6.7357038542711036</v>
      </c>
      <c r="E9" s="193">
        <f>'BG CLASIFICADO'!E9*H21</f>
        <v>16880.274142998551</v>
      </c>
      <c r="F9" s="193">
        <f>(G9/G13)*100</f>
        <v>4.5580359199192655</v>
      </c>
      <c r="G9" s="193">
        <f>'BG CLASIFICADO'!G9*H22</f>
        <v>11939.194006739997</v>
      </c>
      <c r="H9" s="193">
        <f t="shared" si="2"/>
        <v>0.19555421197320813</v>
      </c>
      <c r="I9" s="193">
        <f>('BG CLASIFICADO'!I9*H23)</f>
        <v>652.43564099999992</v>
      </c>
      <c r="J9" s="193">
        <f>(K9/K13)*100</f>
        <v>0.28496520368444189</v>
      </c>
      <c r="K9" s="193">
        <f>'BG CLASIFICADO'!K9*H24</f>
        <v>1087.4489999999998</v>
      </c>
      <c r="L9" s="193">
        <f>(M9/M13)*100</f>
        <v>0.22069641981363411</v>
      </c>
      <c r="M9" s="193">
        <f>'BG CLASIFICADO'!M9*H25</f>
        <v>882</v>
      </c>
      <c r="R9" s="12"/>
      <c r="S9" s="194"/>
      <c r="T9" s="12"/>
    </row>
    <row r="10" spans="1:20">
      <c r="C10" s="73" t="str">
        <f>'BG CLASIFICADO'!C10</f>
        <v>CLIENTE</v>
      </c>
      <c r="D10" s="193">
        <f>(E10/E13)*100</f>
        <v>31.114804081800827</v>
      </c>
      <c r="E10" s="193">
        <f>'BG CLASIFICADO'!E10*H21</f>
        <v>77976.471972330357</v>
      </c>
      <c r="F10" s="193">
        <f>(G10/G13)*100</f>
        <v>22.760029982119601</v>
      </c>
      <c r="G10" s="193">
        <f>'BG CLASIFICADO'!G10*H22</f>
        <v>59616.996954371985</v>
      </c>
      <c r="H10" s="193">
        <f t="shared" si="2"/>
        <v>2.1104739591697919</v>
      </c>
      <c r="I10" s="193">
        <f>('BG CLASIFICADO'!I10*H23)</f>
        <v>7041.2619419999983</v>
      </c>
      <c r="J10" s="193">
        <f>(K10/K13)*100</f>
        <v>1.4221452545117257</v>
      </c>
      <c r="K10" s="193">
        <f>'BG CLASIFICADO'!K10*H24</f>
        <v>5427.0149999999994</v>
      </c>
      <c r="L10" s="193">
        <f>(M10/M13)*100</f>
        <v>2.1206373672568586</v>
      </c>
      <c r="M10" s="193">
        <f>'BG CLASIFICADO'!M10*H25</f>
        <v>8475</v>
      </c>
      <c r="R10" s="12"/>
      <c r="S10" s="194"/>
      <c r="T10" s="12"/>
    </row>
    <row r="11" spans="1:20">
      <c r="C11" s="73" t="str">
        <f>'BG CLASIFICADO'!C11</f>
        <v>CAJA Y BANCO</v>
      </c>
      <c r="D11" s="193">
        <f>(E11/E13)*100</f>
        <v>12.678945031199499</v>
      </c>
      <c r="E11" s="193">
        <f>'BG CLASIFICADO'!E11*H21</f>
        <v>31774.566192506278</v>
      </c>
      <c r="F11" s="193">
        <f>(G11/G13)*100</f>
        <v>7.2782014078196386</v>
      </c>
      <c r="G11" s="193">
        <f>'BG CLASIFICADO'!G11*H22</f>
        <v>19064.320719443996</v>
      </c>
      <c r="H11" s="193">
        <f t="shared" si="2"/>
        <v>10.21668414373392</v>
      </c>
      <c r="I11" s="193">
        <f>('BG CLASIFICADO'!I11*H23)</f>
        <v>34086.347723999992</v>
      </c>
      <c r="J11" s="193">
        <f>(K11/K13)*100</f>
        <v>10.138381033059181</v>
      </c>
      <c r="K11" s="193">
        <f>'BG CLASIFICADO'!K11*H24</f>
        <v>38688.837</v>
      </c>
      <c r="L11" s="193">
        <f>(M11/M13)*100</f>
        <v>5.3194843410635473</v>
      </c>
      <c r="M11" s="193">
        <f>'BG CLASIFICADO'!M11*H25</f>
        <v>21259</v>
      </c>
      <c r="R11" s="12"/>
      <c r="S11" s="12"/>
      <c r="T11" s="194"/>
    </row>
    <row r="12" spans="1:20">
      <c r="C12" s="195" t="s">
        <v>105</v>
      </c>
      <c r="D12" s="196">
        <f>(E12/E13)*100</f>
        <v>51.098506178095803</v>
      </c>
      <c r="E12" s="196">
        <f>SUM(E8:E11)</f>
        <v>128057.41036803686</v>
      </c>
      <c r="F12" s="196">
        <f>(G12/G13)*100</f>
        <v>41.080947535478138</v>
      </c>
      <c r="G12" s="196">
        <f>SUM(G8:G11)</f>
        <v>107606.30482601997</v>
      </c>
      <c r="H12" s="196">
        <f>(I12*100)/I13</f>
        <v>15.971205350816698</v>
      </c>
      <c r="I12" s="196">
        <f t="shared" ref="I12:M12" si="3">SUM(I8:I11)</f>
        <v>53285.395877999988</v>
      </c>
      <c r="J12" s="196">
        <f t="shared" si="3"/>
        <v>12.715399380207383</v>
      </c>
      <c r="K12" s="196">
        <f t="shared" si="3"/>
        <v>48522.936000000002</v>
      </c>
      <c r="L12" s="196">
        <f t="shared" si="3"/>
        <v>7.8011930618250247</v>
      </c>
      <c r="M12" s="196">
        <f t="shared" si="3"/>
        <v>31177</v>
      </c>
      <c r="R12" s="12"/>
      <c r="S12" s="12"/>
      <c r="T12" s="194"/>
    </row>
    <row r="13" spans="1:20">
      <c r="C13" s="197" t="str">
        <f>'BG CLASIFICADO'!C13</f>
        <v>TOTAL ACTIVOS</v>
      </c>
      <c r="D13" s="198">
        <f t="shared" ref="D13:H13" si="4">SUM(D7+D12)</f>
        <v>100</v>
      </c>
      <c r="E13" s="198">
        <f t="shared" si="4"/>
        <v>250608.91197428142</v>
      </c>
      <c r="F13" s="198">
        <f t="shared" si="4"/>
        <v>100</v>
      </c>
      <c r="G13" s="198">
        <f t="shared" si="4"/>
        <v>261937.25140611595</v>
      </c>
      <c r="H13" s="198">
        <f t="shared" si="4"/>
        <v>100</v>
      </c>
      <c r="I13" s="198">
        <f>I7+I12</f>
        <v>333634.15413899993</v>
      </c>
      <c r="J13" s="198">
        <f t="shared" ref="J13:M13" si="5">SUM(J7+J12)</f>
        <v>100</v>
      </c>
      <c r="K13" s="198">
        <f t="shared" si="5"/>
        <v>381607.64399999997</v>
      </c>
      <c r="L13" s="198">
        <f t="shared" si="5"/>
        <v>100</v>
      </c>
      <c r="M13" s="198">
        <f t="shared" si="5"/>
        <v>399644</v>
      </c>
      <c r="R13" s="12"/>
      <c r="S13" s="12"/>
      <c r="T13" s="194"/>
    </row>
    <row r="14" spans="1:20">
      <c r="C14" s="195" t="str">
        <f>'BG CLASIFICADO'!C14</f>
        <v>PATRIMONIO</v>
      </c>
      <c r="D14" s="196">
        <f>(E14/E17)*100</f>
        <v>43.192191656022672</v>
      </c>
      <c r="E14" s="196">
        <f>'BG CLASIFICADO'!E14*H21</f>
        <v>108243.48156700478</v>
      </c>
      <c r="F14" s="196">
        <f t="shared" ref="F14:F16" si="6">(G14*100)/$G$17</f>
        <v>37.988099275990429</v>
      </c>
      <c r="G14" s="196">
        <f>('BG CLASIFICADO'!G14*H22)</f>
        <v>99504.983104955973</v>
      </c>
      <c r="H14" s="199">
        <f>(I14/I17)*100</f>
        <v>53.514779930658548</v>
      </c>
      <c r="I14" s="196">
        <f>('BG CLASIFICADO'!I14*H23)</f>
        <v>178543.58336099997</v>
      </c>
      <c r="J14" s="196">
        <f>(K14/K17)*100</f>
        <v>47.987282456008664</v>
      </c>
      <c r="K14" s="196">
        <f>'BG CLASIFICADO'!K14*H24</f>
        <v>183123.13799999998</v>
      </c>
      <c r="L14" s="196">
        <f>(M14/M17)*100</f>
        <v>47.170982174134977</v>
      </c>
      <c r="M14" s="196">
        <f>'BG CLASIFICADO'!M14*H25</f>
        <v>188516</v>
      </c>
    </row>
    <row r="15" spans="1:20">
      <c r="C15" s="195" t="str">
        <f>'BG CLASIFICADO'!C15</f>
        <v>PASIVO L/P</v>
      </c>
      <c r="D15" s="196">
        <f>(E15/E17)*100</f>
        <v>9.9586600925684312</v>
      </c>
      <c r="E15" s="196">
        <f>'BG CLASIFICADO'!E15*H21</f>
        <v>24957.289705202711</v>
      </c>
      <c r="F15" s="196">
        <f t="shared" si="6"/>
        <v>10.818687737899324</v>
      </c>
      <c r="G15" s="196">
        <f>('BG CLASIFICADO'!G15*H22)</f>
        <v>28338.173298863992</v>
      </c>
      <c r="H15" s="196">
        <f>(I15/I17)*100</f>
        <v>34.253477306579249</v>
      </c>
      <c r="I15" s="196">
        <f>'BG CLASIFICADO'!I15*H23</f>
        <v>114281.29927499998</v>
      </c>
      <c r="J15" s="196">
        <f>(K15/K17)*100</f>
        <v>44.262897155173334</v>
      </c>
      <c r="K15" s="196">
        <f>'BG CLASIFICADO'!K15*H24</f>
        <v>168910.59899999999</v>
      </c>
      <c r="L15" s="196">
        <f>(M15/M17)*100</f>
        <v>44.586932369809126</v>
      </c>
      <c r="M15" s="196">
        <f>'BG CLASIFICADO'!M15*H25</f>
        <v>178189</v>
      </c>
    </row>
    <row r="16" spans="1:20">
      <c r="C16" s="195" t="str">
        <f>'BG CLASIFICADO'!C16</f>
        <v>PASIVO C/P</v>
      </c>
      <c r="D16" s="196">
        <f>(E16/E17)*100</f>
        <v>46.849148251408899</v>
      </c>
      <c r="E16" s="196">
        <f>'BG CLASIFICADO'!E16*H21</f>
        <v>117408.14070207393</v>
      </c>
      <c r="F16" s="196">
        <f t="shared" si="6"/>
        <v>51.19321298611024</v>
      </c>
      <c r="G16" s="196">
        <f>('BG CLASIFICADO'!G16*H22)</f>
        <v>134094.09500229597</v>
      </c>
      <c r="H16" s="196">
        <f>(I16/I17)*100</f>
        <v>12.231742762762195</v>
      </c>
      <c r="I16" s="196">
        <f>('BG CLASIFICADO'!I16*H23)</f>
        <v>40809.271502999989</v>
      </c>
      <c r="J16" s="196">
        <f>(K16/K17)*100</f>
        <v>7.749820388817998</v>
      </c>
      <c r="K16" s="196">
        <f>'BG CLASIFICADO'!K16*H24</f>
        <v>29573.906999999996</v>
      </c>
      <c r="L16" s="196">
        <f>(M16/M17)*100</f>
        <v>8.2420854560558894</v>
      </c>
      <c r="M16" s="196">
        <f>'BG CLASIFICADO'!M16*H25</f>
        <v>32939</v>
      </c>
    </row>
    <row r="17" spans="2:30">
      <c r="C17" s="197" t="str">
        <f>'BG CLASIFICADO'!C17</f>
        <v>TOTAL PASIVOS</v>
      </c>
      <c r="D17" s="198">
        <f t="shared" ref="D17:E17" si="7">SUM(D14:D16)</f>
        <v>100</v>
      </c>
      <c r="E17" s="198">
        <f t="shared" si="7"/>
        <v>250608.91197428142</v>
      </c>
      <c r="F17" s="198">
        <v>100</v>
      </c>
      <c r="G17" s="198">
        <f t="shared" ref="G17:K17" si="8">SUM(G14:G16)</f>
        <v>261937.25140611595</v>
      </c>
      <c r="H17" s="198">
        <f t="shared" si="8"/>
        <v>100</v>
      </c>
      <c r="I17" s="198">
        <f t="shared" si="8"/>
        <v>333634.15413899993</v>
      </c>
      <c r="J17" s="198">
        <f t="shared" si="8"/>
        <v>100</v>
      </c>
      <c r="K17" s="198">
        <f t="shared" si="8"/>
        <v>381607.64399999997</v>
      </c>
      <c r="L17" s="198">
        <f t="shared" ref="L17:M17" si="9">L16+L15+L14</f>
        <v>100</v>
      </c>
      <c r="M17" s="198">
        <f t="shared" si="9"/>
        <v>399644</v>
      </c>
    </row>
    <row r="20" spans="2:30" ht="15.75">
      <c r="C20" s="132" t="s">
        <v>158</v>
      </c>
      <c r="D20" s="132" t="s">
        <v>159</v>
      </c>
      <c r="E20" s="132" t="s">
        <v>160</v>
      </c>
      <c r="F20" s="308" t="s">
        <v>161</v>
      </c>
      <c r="G20" s="291"/>
      <c r="H20" s="132" t="s">
        <v>162</v>
      </c>
    </row>
    <row r="21" spans="2:30" ht="15.75" customHeight="1">
      <c r="B21" s="200"/>
      <c r="C21" s="201">
        <v>2013</v>
      </c>
      <c r="D21" s="202">
        <v>0.03</v>
      </c>
      <c r="E21" s="203">
        <f>3/100</f>
        <v>0.03</v>
      </c>
      <c r="F21" s="309" t="s">
        <v>163</v>
      </c>
      <c r="G21" s="291"/>
      <c r="H21" s="204">
        <f>(1+E22)*(1+E23)*(1+E24)*(1+E25)</f>
        <v>1.1473033469039999</v>
      </c>
    </row>
    <row r="22" spans="2:30" ht="15.75" customHeight="1">
      <c r="B22" s="205"/>
      <c r="C22" s="201">
        <v>2014</v>
      </c>
      <c r="D22" s="206" t="s">
        <v>193</v>
      </c>
      <c r="E22" s="207">
        <f>4.6/100</f>
        <v>4.5999999999999999E-2</v>
      </c>
      <c r="F22" s="306" t="s">
        <v>165</v>
      </c>
      <c r="G22" s="291"/>
      <c r="H22" s="208">
        <f>(1+E23)*(1+E24)*(1+E25)</f>
        <v>1.0968483239999998</v>
      </c>
    </row>
    <row r="23" spans="2:30" ht="15.75" customHeight="1">
      <c r="B23" s="205"/>
      <c r="C23" s="201">
        <v>2015</v>
      </c>
      <c r="D23" s="209" t="s">
        <v>194</v>
      </c>
      <c r="E23" s="210">
        <f>4.4/100</f>
        <v>4.4000000000000004E-2</v>
      </c>
      <c r="F23" s="309" t="s">
        <v>168</v>
      </c>
      <c r="G23" s="291"/>
      <c r="H23" s="211">
        <f>(1+E24)*(1+E25)</f>
        <v>1.0506209999999998</v>
      </c>
    </row>
    <row r="24" spans="2:30" ht="15.75" customHeight="1">
      <c r="B24" s="205"/>
      <c r="C24" s="201">
        <v>2016</v>
      </c>
      <c r="D24" s="206" t="s">
        <v>195</v>
      </c>
      <c r="E24" s="207">
        <f>2.7/100</f>
        <v>2.7000000000000003E-2</v>
      </c>
      <c r="F24" s="306" t="s">
        <v>171</v>
      </c>
      <c r="G24" s="291"/>
      <c r="H24" s="212">
        <f>(1+E25)</f>
        <v>1.0229999999999999</v>
      </c>
    </row>
    <row r="25" spans="2:30" ht="15.75" customHeight="1">
      <c r="B25" s="205"/>
      <c r="C25" s="201">
        <v>2017</v>
      </c>
      <c r="D25" s="209" t="s">
        <v>196</v>
      </c>
      <c r="E25" s="203">
        <f>2.3/100</f>
        <v>2.3E-2</v>
      </c>
      <c r="F25" s="307">
        <v>1</v>
      </c>
      <c r="G25" s="291"/>
      <c r="H25" s="204">
        <v>1</v>
      </c>
    </row>
    <row r="26" spans="2:30" ht="15.75" customHeight="1"/>
    <row r="27" spans="2:30" ht="15.75" customHeight="1"/>
    <row r="28" spans="2:30" ht="15.75" customHeight="1"/>
    <row r="29" spans="2:30" ht="15.75" customHeight="1">
      <c r="C29" s="305" t="s">
        <v>197</v>
      </c>
      <c r="D29" s="290"/>
      <c r="E29" s="291"/>
    </row>
    <row r="30" spans="2:30" ht="15.75" customHeight="1">
      <c r="C30" s="213"/>
      <c r="D30" s="214" t="s">
        <v>185</v>
      </c>
      <c r="E30" s="215" t="s">
        <v>186</v>
      </c>
      <c r="J30" s="305" t="s">
        <v>198</v>
      </c>
      <c r="K30" s="290"/>
      <c r="L30" s="291"/>
      <c r="P30" s="305" t="s">
        <v>199</v>
      </c>
      <c r="Q30" s="290"/>
      <c r="R30" s="291"/>
      <c r="V30" s="305" t="s">
        <v>200</v>
      </c>
      <c r="W30" s="290"/>
      <c r="X30" s="291"/>
      <c r="AB30" s="305" t="s">
        <v>201</v>
      </c>
      <c r="AC30" s="290"/>
      <c r="AD30" s="291"/>
    </row>
    <row r="31" spans="2:30" ht="15.75" customHeight="1">
      <c r="C31" s="216" t="s">
        <v>202</v>
      </c>
      <c r="D31" s="217">
        <f>(E5/E13)</f>
        <v>0.15295765749680681</v>
      </c>
      <c r="E31" s="218"/>
      <c r="J31" s="213"/>
      <c r="K31" s="214" t="s">
        <v>185</v>
      </c>
      <c r="L31" s="215" t="s">
        <v>186</v>
      </c>
      <c r="P31" s="213"/>
      <c r="Q31" s="214" t="s">
        <v>185</v>
      </c>
      <c r="R31" s="215" t="s">
        <v>186</v>
      </c>
      <c r="V31" s="213"/>
      <c r="W31" s="214" t="s">
        <v>185</v>
      </c>
      <c r="X31" s="215" t="s">
        <v>186</v>
      </c>
      <c r="AB31" s="213"/>
      <c r="AC31" s="214" t="s">
        <v>185</v>
      </c>
      <c r="AD31" s="215" t="s">
        <v>186</v>
      </c>
    </row>
    <row r="32" spans="2:30" ht="15.75" customHeight="1">
      <c r="C32" s="216" t="s">
        <v>203</v>
      </c>
      <c r="D32" s="217">
        <f>(E6/E13)</f>
        <v>0.33605728072223517</v>
      </c>
      <c r="E32" s="218"/>
      <c r="J32" s="216" t="s">
        <v>202</v>
      </c>
      <c r="K32" s="217">
        <f>(G5/G13)</f>
        <v>0.19103970118379124</v>
      </c>
      <c r="L32" s="218"/>
      <c r="P32" s="216" t="s">
        <v>202</v>
      </c>
      <c r="Q32" s="217">
        <f>I5/I13</f>
        <v>0.59655371127884893</v>
      </c>
      <c r="R32" s="218"/>
      <c r="V32" s="216" t="s">
        <v>202</v>
      </c>
      <c r="W32" s="217">
        <f>K5/K13</f>
        <v>0.68189251209024526</v>
      </c>
      <c r="X32" s="218"/>
      <c r="AB32" s="216" t="s">
        <v>202</v>
      </c>
      <c r="AC32" s="217">
        <f>M5/M13</f>
        <v>0.74840608141245712</v>
      </c>
      <c r="AD32" s="218"/>
    </row>
    <row r="33" spans="3:30" ht="15.75" customHeight="1">
      <c r="C33" s="216" t="s">
        <v>25</v>
      </c>
      <c r="D33" s="217">
        <f>(E8/E13)</f>
        <v>5.6905321082437177E-3</v>
      </c>
      <c r="E33" s="218"/>
      <c r="J33" s="216" t="s">
        <v>203</v>
      </c>
      <c r="K33" s="217">
        <f>G6/G13</f>
        <v>0.39815082346142733</v>
      </c>
      <c r="L33" s="218"/>
      <c r="P33" s="216" t="s">
        <v>203</v>
      </c>
      <c r="Q33" s="217">
        <f>I6/I13</f>
        <v>0.24373423521298401</v>
      </c>
      <c r="R33" s="218"/>
      <c r="V33" s="216" t="s">
        <v>203</v>
      </c>
      <c r="W33" s="217">
        <f>K6/K13</f>
        <v>0.19095349410768092</v>
      </c>
      <c r="X33" s="218"/>
      <c r="AB33" s="216" t="s">
        <v>203</v>
      </c>
      <c r="AC33" s="217">
        <f>M6/M13</f>
        <v>0.17358198796929267</v>
      </c>
      <c r="AD33" s="218"/>
    </row>
    <row r="34" spans="3:30" ht="15.75" customHeight="1">
      <c r="C34" s="216" t="s">
        <v>37</v>
      </c>
      <c r="D34" s="217">
        <f>(E9/E13)</f>
        <v>6.7357038542711037E-2</v>
      </c>
      <c r="E34" s="218"/>
      <c r="J34" s="216" t="s">
        <v>25</v>
      </c>
      <c r="K34" s="217">
        <f>G8/G13</f>
        <v>6.4846802256196365E-2</v>
      </c>
      <c r="L34" s="218"/>
      <c r="P34" s="216" t="s">
        <v>25</v>
      </c>
      <c r="Q34" s="217">
        <f>I8/I13</f>
        <v>3.4484930359397779E-2</v>
      </c>
      <c r="R34" s="218"/>
      <c r="V34" s="216" t="s">
        <v>25</v>
      </c>
      <c r="W34" s="217">
        <f>K8/K13</f>
        <v>8.6990788895203574E-3</v>
      </c>
      <c r="X34" s="218"/>
      <c r="AB34" s="216" t="s">
        <v>25</v>
      </c>
      <c r="AC34" s="217">
        <f>M8/M13</f>
        <v>1.4037493369098498E-3</v>
      </c>
      <c r="AD34" s="218"/>
    </row>
    <row r="35" spans="3:30" ht="15.75" customHeight="1">
      <c r="C35" s="216" t="s">
        <v>28</v>
      </c>
      <c r="D35" s="217">
        <f>(E10/E13)</f>
        <v>0.31114804081800829</v>
      </c>
      <c r="E35" s="218"/>
      <c r="J35" s="216" t="s">
        <v>37</v>
      </c>
      <c r="K35" s="217">
        <f>G9/G13</f>
        <v>4.5580359199192656E-2</v>
      </c>
      <c r="L35" s="218"/>
      <c r="P35" s="216" t="s">
        <v>37</v>
      </c>
      <c r="Q35" s="217">
        <f>I9/I13</f>
        <v>1.9555421197320812E-3</v>
      </c>
      <c r="R35" s="218"/>
      <c r="V35" s="216" t="s">
        <v>37</v>
      </c>
      <c r="W35" s="217">
        <f>K9/K13</f>
        <v>2.8496520368444188E-3</v>
      </c>
      <c r="X35" s="218"/>
      <c r="AB35" s="216" t="s">
        <v>37</v>
      </c>
      <c r="AC35" s="217">
        <f>M9/M13</f>
        <v>2.2069641981363412E-3</v>
      </c>
      <c r="AD35" s="218"/>
    </row>
    <row r="36" spans="3:30" ht="15.75" customHeight="1">
      <c r="C36" s="216" t="s">
        <v>204</v>
      </c>
      <c r="D36" s="217">
        <f>(E11/E13)</f>
        <v>0.12678945031199498</v>
      </c>
      <c r="E36" s="218"/>
      <c r="J36" s="216" t="s">
        <v>28</v>
      </c>
      <c r="K36" s="217">
        <f>G10/G13</f>
        <v>0.22760029982119601</v>
      </c>
      <c r="L36" s="218"/>
      <c r="P36" s="216" t="s">
        <v>28</v>
      </c>
      <c r="Q36" s="217">
        <f>I10/I13</f>
        <v>2.1104739591697921E-2</v>
      </c>
      <c r="R36" s="218"/>
      <c r="V36" s="216" t="s">
        <v>28</v>
      </c>
      <c r="W36" s="217">
        <f>K10/K13</f>
        <v>1.4221452545117256E-2</v>
      </c>
      <c r="X36" s="218"/>
      <c r="AB36" s="216" t="s">
        <v>28</v>
      </c>
      <c r="AC36" s="217">
        <f>M10/M13</f>
        <v>2.1206373672568585E-2</v>
      </c>
      <c r="AD36" s="218"/>
    </row>
    <row r="37" spans="3:30" ht="15.75" customHeight="1">
      <c r="C37" s="216" t="s">
        <v>93</v>
      </c>
      <c r="D37" s="22"/>
      <c r="E37" s="219">
        <f>(E14/E17)</f>
        <v>0.43192191656022672</v>
      </c>
      <c r="J37" s="216" t="s">
        <v>204</v>
      </c>
      <c r="K37" s="217">
        <f>G11/G13</f>
        <v>7.2782014078196386E-2</v>
      </c>
      <c r="L37" s="218"/>
      <c r="P37" s="216" t="s">
        <v>204</v>
      </c>
      <c r="Q37" s="217">
        <f>I11/I13</f>
        <v>0.1021668414373392</v>
      </c>
      <c r="R37" s="218"/>
      <c r="V37" s="216" t="s">
        <v>204</v>
      </c>
      <c r="W37" s="217">
        <f>K11/K13</f>
        <v>0.10138381033059181</v>
      </c>
      <c r="X37" s="218"/>
      <c r="AB37" s="216" t="s">
        <v>204</v>
      </c>
      <c r="AC37" s="217">
        <f>M11/M13</f>
        <v>5.3194843410635469E-2</v>
      </c>
      <c r="AD37" s="218"/>
    </row>
    <row r="38" spans="3:30" ht="15.75" customHeight="1">
      <c r="C38" s="216" t="s">
        <v>205</v>
      </c>
      <c r="D38" s="22"/>
      <c r="E38" s="219">
        <f>(E15/E17)</f>
        <v>9.9586600925684304E-2</v>
      </c>
      <c r="J38" s="216" t="s">
        <v>93</v>
      </c>
      <c r="K38" s="22"/>
      <c r="L38" s="219">
        <f>G14/G17</f>
        <v>0.37988099275990433</v>
      </c>
      <c r="P38" s="216" t="s">
        <v>93</v>
      </c>
      <c r="Q38" s="22"/>
      <c r="R38" s="219">
        <f>I14/I17</f>
        <v>0.53514779930658551</v>
      </c>
      <c r="V38" s="216" t="s">
        <v>93</v>
      </c>
      <c r="W38" s="22"/>
      <c r="X38" s="219">
        <f>K14/K17</f>
        <v>0.47987282456008662</v>
      </c>
      <c r="AB38" s="216" t="s">
        <v>93</v>
      </c>
      <c r="AC38" s="22"/>
      <c r="AD38" s="219">
        <f>M14/M17</f>
        <v>0.47170982174134979</v>
      </c>
    </row>
    <row r="39" spans="3:30" ht="15.75" customHeight="1">
      <c r="C39" s="216" t="s">
        <v>206</v>
      </c>
      <c r="D39" s="218"/>
      <c r="E39" s="219">
        <f>(E16/E17)</f>
        <v>0.46849148251408895</v>
      </c>
      <c r="J39" s="216" t="s">
        <v>205</v>
      </c>
      <c r="K39" s="22"/>
      <c r="L39" s="219">
        <f>G15/G17</f>
        <v>0.10818687737899325</v>
      </c>
      <c r="P39" s="216" t="s">
        <v>205</v>
      </c>
      <c r="Q39" s="22"/>
      <c r="R39" s="219">
        <f>I15/I17</f>
        <v>0.3425347730657925</v>
      </c>
      <c r="V39" s="216" t="s">
        <v>205</v>
      </c>
      <c r="W39" s="22"/>
      <c r="X39" s="219">
        <f>K15/K17</f>
        <v>0.44262897155173336</v>
      </c>
      <c r="AB39" s="216" t="s">
        <v>205</v>
      </c>
      <c r="AC39" s="22"/>
      <c r="AD39" s="219">
        <f>M15/M17</f>
        <v>0.44586932369809129</v>
      </c>
    </row>
    <row r="40" spans="3:30" ht="15" customHeight="1">
      <c r="J40" s="216" t="s">
        <v>206</v>
      </c>
      <c r="K40" s="218"/>
      <c r="L40" s="219">
        <f>G16/G17</f>
        <v>0.51193212986110237</v>
      </c>
      <c r="P40" s="216" t="s">
        <v>206</v>
      </c>
      <c r="Q40" s="218"/>
      <c r="R40" s="219">
        <f>I16/I17</f>
        <v>0.12231742762762195</v>
      </c>
      <c r="V40" s="216" t="s">
        <v>206</v>
      </c>
      <c r="W40" s="218"/>
      <c r="X40" s="219">
        <f>K16/K17</f>
        <v>7.7498203888179976E-2</v>
      </c>
      <c r="AB40" s="216" t="s">
        <v>206</v>
      </c>
      <c r="AC40" s="218"/>
      <c r="AD40" s="219">
        <f>M16/M17</f>
        <v>8.2420854560558893E-2</v>
      </c>
    </row>
    <row r="41" spans="3:30" ht="15.75" customHeight="1"/>
    <row r="42" spans="3:30" ht="15.75" customHeight="1"/>
    <row r="43" spans="3:30" ht="15.75" customHeight="1"/>
    <row r="44" spans="3:30" ht="15.75" customHeight="1"/>
    <row r="45" spans="3:30" ht="15.75" customHeight="1"/>
    <row r="46" spans="3:30" ht="15.75" customHeight="1"/>
    <row r="47" spans="3:30" ht="15.75" customHeight="1"/>
    <row r="48" spans="3:3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B30:AD30"/>
    <mergeCell ref="F24:G24"/>
    <mergeCell ref="F25:G25"/>
    <mergeCell ref="C29:E29"/>
    <mergeCell ref="F20:G20"/>
    <mergeCell ref="F23:G23"/>
    <mergeCell ref="V30:X30"/>
    <mergeCell ref="J30:L30"/>
    <mergeCell ref="P30:R30"/>
    <mergeCell ref="F21:G21"/>
    <mergeCell ref="F22:G2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4:J1000"/>
  <sheetViews>
    <sheetView workbookViewId="0"/>
  </sheetViews>
  <sheetFormatPr baseColWidth="10" defaultColWidth="14.42578125" defaultRowHeight="15" customHeight="1"/>
  <cols>
    <col min="1" max="1" width="14.42578125" customWidth="1"/>
    <col min="2" max="2" width="60.28515625" customWidth="1"/>
    <col min="3" max="3" width="15.42578125" customWidth="1"/>
    <col min="4" max="4" width="16" customWidth="1"/>
    <col min="5" max="7" width="16.140625" customWidth="1"/>
    <col min="8" max="8" width="15.5703125" customWidth="1"/>
  </cols>
  <sheetData>
    <row r="4" spans="2:9" ht="27" customHeight="1">
      <c r="B4" s="74" t="s">
        <v>61</v>
      </c>
      <c r="C4" s="77" t="s">
        <v>62</v>
      </c>
      <c r="D4" s="77" t="s">
        <v>8</v>
      </c>
      <c r="E4" s="77" t="s">
        <v>9</v>
      </c>
      <c r="F4" s="77" t="s">
        <v>10</v>
      </c>
      <c r="G4" s="77" t="s">
        <v>11</v>
      </c>
      <c r="H4" s="77" t="s">
        <v>12</v>
      </c>
      <c r="I4" s="78"/>
    </row>
    <row r="5" spans="2:9">
      <c r="B5" s="80"/>
      <c r="C5" s="82"/>
      <c r="D5" s="82"/>
      <c r="E5" s="82"/>
      <c r="F5" s="82"/>
      <c r="G5" s="82"/>
      <c r="H5" s="82"/>
      <c r="I5" s="83"/>
    </row>
    <row r="6" spans="2:9">
      <c r="B6" s="84" t="s">
        <v>107</v>
      </c>
      <c r="C6" s="85"/>
      <c r="D6" s="85"/>
      <c r="E6" s="85"/>
      <c r="F6" s="85"/>
      <c r="G6" s="85"/>
      <c r="H6" s="85"/>
      <c r="I6" s="83"/>
    </row>
    <row r="7" spans="2:9">
      <c r="B7" s="84" t="s">
        <v>109</v>
      </c>
      <c r="C7" s="87">
        <v>25</v>
      </c>
      <c r="D7" s="87">
        <v>841466</v>
      </c>
      <c r="E7" s="87">
        <v>90768</v>
      </c>
      <c r="F7" s="87">
        <v>94991</v>
      </c>
      <c r="G7" s="87">
        <v>90703</v>
      </c>
      <c r="H7" s="87">
        <v>75383</v>
      </c>
      <c r="I7" s="88" t="s">
        <v>110</v>
      </c>
    </row>
    <row r="8" spans="2:9">
      <c r="B8" s="84" t="s">
        <v>111</v>
      </c>
      <c r="C8" s="87">
        <v>26</v>
      </c>
      <c r="D8" s="87">
        <v>-825946</v>
      </c>
      <c r="E8" s="87">
        <v>-70739</v>
      </c>
      <c r="F8" s="87">
        <v>-71453</v>
      </c>
      <c r="G8" s="87">
        <v>-62659</v>
      </c>
      <c r="H8" s="87">
        <v>-44076</v>
      </c>
      <c r="I8" s="88" t="s">
        <v>112</v>
      </c>
    </row>
    <row r="9" spans="2:9" ht="15.75">
      <c r="B9" s="89" t="s">
        <v>113</v>
      </c>
      <c r="C9" s="90"/>
      <c r="D9" s="91">
        <f t="shared" ref="D9:H9" si="0">(D7+D8)</f>
        <v>15520</v>
      </c>
      <c r="E9" s="91">
        <f t="shared" si="0"/>
        <v>20029</v>
      </c>
      <c r="F9" s="91">
        <f t="shared" si="0"/>
        <v>23538</v>
      </c>
      <c r="G9" s="91">
        <f t="shared" si="0"/>
        <v>28044</v>
      </c>
      <c r="H9" s="91">
        <f t="shared" si="0"/>
        <v>31307</v>
      </c>
      <c r="I9" s="83"/>
    </row>
    <row r="10" spans="2:9">
      <c r="B10" s="84" t="s">
        <v>114</v>
      </c>
      <c r="C10" s="85"/>
      <c r="D10" s="87">
        <v>140</v>
      </c>
      <c r="E10" s="87">
        <v>128</v>
      </c>
      <c r="F10" s="87">
        <v>552</v>
      </c>
      <c r="G10" s="87">
        <v>338</v>
      </c>
      <c r="H10" s="87">
        <v>368</v>
      </c>
      <c r="I10" s="88" t="s">
        <v>115</v>
      </c>
    </row>
    <row r="11" spans="2:9">
      <c r="B11" s="84" t="s">
        <v>116</v>
      </c>
      <c r="C11" s="87">
        <v>27</v>
      </c>
      <c r="D11" s="87">
        <v>-23227</v>
      </c>
      <c r="E11" s="87">
        <v>-2749</v>
      </c>
      <c r="F11" s="87">
        <v>-6934</v>
      </c>
      <c r="G11" s="87">
        <v>-6119</v>
      </c>
      <c r="H11" s="87">
        <v>-5083</v>
      </c>
      <c r="I11" s="88" t="s">
        <v>115</v>
      </c>
    </row>
    <row r="12" spans="2:9">
      <c r="B12" s="84" t="s">
        <v>117</v>
      </c>
      <c r="C12" s="85"/>
      <c r="D12" s="87">
        <v>-739</v>
      </c>
      <c r="E12" s="87">
        <v>-2430</v>
      </c>
      <c r="F12" s="87">
        <v>-4</v>
      </c>
      <c r="G12" s="87">
        <v>-808</v>
      </c>
      <c r="H12" s="87">
        <v>961</v>
      </c>
      <c r="I12" s="88" t="s">
        <v>115</v>
      </c>
    </row>
    <row r="13" spans="2:9" ht="15.75">
      <c r="B13" s="89" t="s">
        <v>118</v>
      </c>
      <c r="C13" s="90"/>
      <c r="D13" s="91">
        <f t="shared" ref="D13:G13" si="1">D9+D10+D11+D12</f>
        <v>-8306</v>
      </c>
      <c r="E13" s="91">
        <f t="shared" si="1"/>
        <v>14978</v>
      </c>
      <c r="F13" s="91">
        <f t="shared" si="1"/>
        <v>17152</v>
      </c>
      <c r="G13" s="91">
        <f t="shared" si="1"/>
        <v>21455</v>
      </c>
      <c r="H13" s="91">
        <f>(H12+H11+H10+H9)</f>
        <v>27553</v>
      </c>
      <c r="I13" s="88" t="s">
        <v>120</v>
      </c>
    </row>
    <row r="14" spans="2:9">
      <c r="B14" s="84" t="s">
        <v>121</v>
      </c>
      <c r="C14" s="85"/>
      <c r="D14" s="87">
        <v>358</v>
      </c>
      <c r="E14" s="87">
        <v>140</v>
      </c>
      <c r="F14" s="87">
        <v>212</v>
      </c>
      <c r="G14" s="87">
        <v>2796</v>
      </c>
      <c r="H14" s="87">
        <v>293</v>
      </c>
      <c r="I14" s="88" t="s">
        <v>122</v>
      </c>
    </row>
    <row r="15" spans="2:9">
      <c r="B15" s="84" t="s">
        <v>123</v>
      </c>
      <c r="C15" s="85"/>
      <c r="D15" s="87">
        <v>-1881</v>
      </c>
      <c r="E15" s="87">
        <v>-1818</v>
      </c>
      <c r="F15" s="87">
        <v>-5406</v>
      </c>
      <c r="G15" s="87">
        <v>-10866</v>
      </c>
      <c r="H15" s="87">
        <v>-11864</v>
      </c>
      <c r="I15" s="88" t="s">
        <v>124</v>
      </c>
    </row>
    <row r="16" spans="2:9">
      <c r="B16" s="84" t="s">
        <v>125</v>
      </c>
      <c r="C16" s="87">
        <v>31</v>
      </c>
      <c r="D16" s="87">
        <v>-4985</v>
      </c>
      <c r="E16" s="87">
        <v>-947</v>
      </c>
      <c r="F16" s="87">
        <v>162</v>
      </c>
      <c r="G16" s="87">
        <v>-3310</v>
      </c>
      <c r="H16" s="87">
        <v>-711</v>
      </c>
      <c r="I16" s="88" t="s">
        <v>122</v>
      </c>
    </row>
    <row r="17" spans="2:10">
      <c r="B17" s="84" t="s">
        <v>126</v>
      </c>
      <c r="C17" s="85"/>
      <c r="D17" s="87">
        <v>-251</v>
      </c>
      <c r="E17" s="87">
        <v>-137</v>
      </c>
      <c r="F17" s="87">
        <v>-814</v>
      </c>
      <c r="G17" s="87">
        <v>-39</v>
      </c>
      <c r="H17" s="87">
        <v>83</v>
      </c>
      <c r="I17" s="88" t="s">
        <v>122</v>
      </c>
    </row>
    <row r="18" spans="2:10" ht="15.75">
      <c r="B18" s="89" t="s">
        <v>127</v>
      </c>
      <c r="C18" s="92"/>
      <c r="D18" s="93">
        <f t="shared" ref="D18:H18" si="2">(D13+D14+D15+D16+D17)</f>
        <v>-15065</v>
      </c>
      <c r="E18" s="93">
        <f t="shared" si="2"/>
        <v>12216</v>
      </c>
      <c r="F18" s="93">
        <f t="shared" si="2"/>
        <v>11306</v>
      </c>
      <c r="G18" s="93">
        <f t="shared" si="2"/>
        <v>10036</v>
      </c>
      <c r="H18" s="93">
        <f t="shared" si="2"/>
        <v>15354</v>
      </c>
      <c r="I18" s="88" t="s">
        <v>128</v>
      </c>
      <c r="J18" s="94"/>
    </row>
    <row r="19" spans="2:10">
      <c r="B19" s="84" t="s">
        <v>129</v>
      </c>
      <c r="C19" s="87">
        <v>32</v>
      </c>
      <c r="D19" s="87">
        <v>15228</v>
      </c>
      <c r="E19" s="87">
        <v>-2484</v>
      </c>
      <c r="F19" s="87">
        <v>-2507</v>
      </c>
      <c r="G19" s="87">
        <v>-1696</v>
      </c>
      <c r="H19" s="87">
        <v>-1916</v>
      </c>
      <c r="I19" s="88" t="s">
        <v>130</v>
      </c>
    </row>
    <row r="20" spans="2:10" ht="15.75">
      <c r="B20" s="89" t="s">
        <v>131</v>
      </c>
      <c r="C20" s="95"/>
      <c r="D20" s="93">
        <v>0</v>
      </c>
      <c r="E20" s="93">
        <v>9732</v>
      </c>
      <c r="F20" s="93">
        <v>8799</v>
      </c>
      <c r="G20" s="93">
        <v>8340</v>
      </c>
      <c r="H20" s="93">
        <v>13438</v>
      </c>
      <c r="I20" s="83"/>
    </row>
    <row r="21" spans="2:10" ht="15.75" customHeight="1">
      <c r="B21" s="89" t="s">
        <v>132</v>
      </c>
      <c r="C21" s="93">
        <v>33</v>
      </c>
      <c r="D21" s="93">
        <v>0</v>
      </c>
      <c r="E21" s="93">
        <v>-34659</v>
      </c>
      <c r="F21" s="93">
        <v>72003</v>
      </c>
      <c r="G21" s="93">
        <v>88</v>
      </c>
      <c r="H21" s="93">
        <v>0</v>
      </c>
      <c r="I21" s="83"/>
    </row>
    <row r="22" spans="2:10" ht="15.75" customHeight="1">
      <c r="B22" s="89" t="s">
        <v>133</v>
      </c>
      <c r="C22" s="95"/>
      <c r="D22" s="93">
        <f>D19+D18+D21+D20</f>
        <v>163</v>
      </c>
      <c r="E22" s="93">
        <f t="shared" ref="E22:H22" si="3">(E18+E19+E21)</f>
        <v>-24927</v>
      </c>
      <c r="F22" s="93">
        <f t="shared" si="3"/>
        <v>80802</v>
      </c>
      <c r="G22" s="93">
        <f t="shared" si="3"/>
        <v>8428</v>
      </c>
      <c r="H22" s="93">
        <f t="shared" si="3"/>
        <v>13438</v>
      </c>
      <c r="I22" s="88" t="s">
        <v>135</v>
      </c>
    </row>
    <row r="23" spans="2:10" ht="15.75" customHeight="1">
      <c r="C23" s="96"/>
      <c r="D23" s="96"/>
      <c r="E23" s="96"/>
      <c r="F23" s="96"/>
      <c r="G23" s="96"/>
      <c r="H23" s="96"/>
    </row>
    <row r="24" spans="2:10" ht="15.75" customHeight="1">
      <c r="C24" s="96"/>
      <c r="D24" s="96"/>
      <c r="E24" s="96"/>
      <c r="F24" s="96"/>
      <c r="G24" s="96"/>
      <c r="H24" s="96"/>
    </row>
    <row r="25" spans="2:10" ht="15.75" customHeight="1">
      <c r="C25" s="96"/>
      <c r="D25" s="96"/>
      <c r="E25" s="96"/>
      <c r="F25" s="96"/>
      <c r="G25" s="96"/>
      <c r="H25" s="96"/>
    </row>
    <row r="26" spans="2:10" ht="15.75" customHeight="1">
      <c r="C26" s="96"/>
      <c r="D26" s="96"/>
      <c r="E26" s="96"/>
      <c r="F26" s="96"/>
      <c r="G26" s="96"/>
      <c r="H26" s="96"/>
    </row>
    <row r="27" spans="2:10" ht="15.75" customHeight="1">
      <c r="C27" s="96"/>
      <c r="D27" s="96"/>
      <c r="E27" s="96"/>
      <c r="F27" s="96"/>
      <c r="G27" s="96"/>
      <c r="H27" s="96"/>
    </row>
    <row r="28" spans="2:10" ht="15.75" customHeight="1">
      <c r="C28" s="96"/>
      <c r="D28" s="96"/>
      <c r="E28" s="96"/>
      <c r="F28" s="96"/>
      <c r="G28" s="96"/>
      <c r="H28" s="96"/>
    </row>
    <row r="29" spans="2:10" ht="15.75" customHeight="1">
      <c r="C29" s="96"/>
      <c r="D29" s="96"/>
      <c r="E29" s="96"/>
      <c r="F29" s="96"/>
      <c r="G29" s="96"/>
      <c r="H29" s="96"/>
    </row>
    <row r="30" spans="2:10" ht="15.75" customHeight="1">
      <c r="C30" s="96"/>
      <c r="D30" s="96"/>
      <c r="E30" s="96"/>
      <c r="F30" s="96"/>
      <c r="G30" s="96"/>
      <c r="H30" s="96"/>
    </row>
    <row r="31" spans="2:10" ht="15.75" customHeight="1">
      <c r="C31" s="96"/>
      <c r="D31" s="96"/>
      <c r="E31" s="96"/>
      <c r="F31" s="96"/>
      <c r="G31" s="96"/>
      <c r="H31" s="96"/>
    </row>
    <row r="32" spans="2:10" ht="15.75" customHeight="1">
      <c r="C32" s="96"/>
      <c r="D32" s="96"/>
      <c r="E32" s="96"/>
      <c r="F32" s="96"/>
      <c r="G32" s="96"/>
      <c r="H32" s="96"/>
    </row>
    <row r="33" spans="3:8" ht="15.75" customHeight="1">
      <c r="C33" s="96"/>
      <c r="D33" s="96"/>
      <c r="E33" s="96"/>
      <c r="F33" s="96"/>
      <c r="G33" s="96"/>
      <c r="H33" s="96"/>
    </row>
    <row r="34" spans="3:8" ht="15.75" customHeight="1">
      <c r="C34" s="96"/>
      <c r="D34" s="96"/>
      <c r="E34" s="96"/>
      <c r="F34" s="96"/>
      <c r="G34" s="96"/>
      <c r="H34" s="96"/>
    </row>
    <row r="35" spans="3:8" ht="15.75" customHeight="1">
      <c r="C35" s="96"/>
      <c r="D35" s="96"/>
      <c r="E35" s="96"/>
      <c r="F35" s="96"/>
      <c r="G35" s="96"/>
      <c r="H35" s="96"/>
    </row>
    <row r="36" spans="3:8" ht="15.75" customHeight="1">
      <c r="C36" s="96"/>
      <c r="D36" s="96"/>
      <c r="E36" s="96"/>
      <c r="F36" s="96"/>
      <c r="G36" s="96"/>
      <c r="H36" s="96"/>
    </row>
    <row r="37" spans="3:8" ht="15.75" customHeight="1">
      <c r="C37" s="96"/>
      <c r="D37" s="96"/>
      <c r="E37" s="96"/>
      <c r="F37" s="96"/>
      <c r="G37" s="96"/>
      <c r="H37" s="96"/>
    </row>
    <row r="38" spans="3:8" ht="15.75" customHeight="1">
      <c r="C38" s="96"/>
      <c r="D38" s="96"/>
      <c r="E38" s="96"/>
      <c r="F38" s="96"/>
      <c r="G38" s="96"/>
      <c r="H38" s="96"/>
    </row>
    <row r="39" spans="3:8" ht="15.75" customHeight="1">
      <c r="C39" s="96"/>
      <c r="D39" s="96"/>
      <c r="E39" s="96"/>
      <c r="F39" s="96"/>
      <c r="G39" s="96"/>
      <c r="H39" s="96"/>
    </row>
    <row r="40" spans="3:8" ht="15.75" customHeight="1">
      <c r="C40" s="96"/>
      <c r="D40" s="96"/>
      <c r="E40" s="96"/>
      <c r="F40" s="96"/>
      <c r="G40" s="96"/>
      <c r="H40" s="96"/>
    </row>
    <row r="41" spans="3:8" ht="15.75" customHeight="1">
      <c r="C41" s="96"/>
      <c r="D41" s="96"/>
      <c r="E41" s="96"/>
      <c r="F41" s="96"/>
      <c r="G41" s="96"/>
      <c r="H41" s="96"/>
    </row>
    <row r="42" spans="3:8" ht="15.75" customHeight="1"/>
    <row r="43" spans="3:8" ht="15.75" customHeight="1"/>
    <row r="44" spans="3:8" ht="15.75" customHeight="1"/>
    <row r="45" spans="3:8" ht="15.75" customHeight="1"/>
    <row r="46" spans="3:8" ht="15.75" customHeight="1"/>
    <row r="47" spans="3:8" ht="15.75" customHeight="1"/>
    <row r="48" spans="3: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M1000"/>
  <sheetViews>
    <sheetView workbookViewId="0">
      <selection activeCell="A25" sqref="A25"/>
    </sheetView>
  </sheetViews>
  <sheetFormatPr baseColWidth="10" defaultColWidth="14.42578125" defaultRowHeight="15" customHeight="1"/>
  <cols>
    <col min="1" max="1" width="14.42578125" customWidth="1"/>
    <col min="2" max="2" width="10.42578125" customWidth="1"/>
    <col min="3" max="3" width="34.7109375" customWidth="1"/>
    <col min="4" max="4" width="12.5703125" customWidth="1"/>
    <col min="5" max="5" width="14.42578125" customWidth="1"/>
    <col min="6" max="6" width="16.5703125" customWidth="1"/>
    <col min="8" max="8" width="12.28515625" customWidth="1"/>
  </cols>
  <sheetData>
    <row r="3" spans="3:13" ht="15.75">
      <c r="C3" s="304" t="s">
        <v>63</v>
      </c>
      <c r="D3" s="303">
        <v>2013</v>
      </c>
      <c r="E3" s="291"/>
      <c r="F3" s="303">
        <v>2014</v>
      </c>
      <c r="G3" s="291"/>
      <c r="H3" s="303">
        <v>2015</v>
      </c>
      <c r="I3" s="291"/>
      <c r="J3" s="303">
        <v>2016</v>
      </c>
      <c r="K3" s="291"/>
      <c r="L3" s="303">
        <v>2017</v>
      </c>
      <c r="M3" s="291"/>
    </row>
    <row r="4" spans="3:13" ht="15.75">
      <c r="C4" s="288"/>
      <c r="D4" s="44" t="s">
        <v>68</v>
      </c>
      <c r="E4" s="44" t="s">
        <v>69</v>
      </c>
      <c r="F4" s="44" t="s">
        <v>68</v>
      </c>
      <c r="G4" s="44" t="s">
        <v>69</v>
      </c>
      <c r="H4" s="44" t="s">
        <v>68</v>
      </c>
      <c r="I4" s="44" t="s">
        <v>69</v>
      </c>
      <c r="J4" s="44" t="s">
        <v>68</v>
      </c>
      <c r="K4" s="44" t="s">
        <v>69</v>
      </c>
      <c r="L4" s="44" t="s">
        <v>68</v>
      </c>
      <c r="M4" s="44" t="s">
        <v>69</v>
      </c>
    </row>
    <row r="5" spans="3:13" ht="15.75">
      <c r="C5" s="99" t="s">
        <v>137</v>
      </c>
      <c r="D5" s="49">
        <v>100</v>
      </c>
      <c r="E5" s="49">
        <f>'EE. RR.'!D7</f>
        <v>841466</v>
      </c>
      <c r="F5" s="49">
        <v>100</v>
      </c>
      <c r="G5" s="49">
        <f>'EE. RR.'!E7</f>
        <v>90768</v>
      </c>
      <c r="H5" s="49">
        <v>100</v>
      </c>
      <c r="I5" s="49">
        <f>'EE. RR.'!F7</f>
        <v>94991</v>
      </c>
      <c r="J5" s="49">
        <f>(K5/K5)*100</f>
        <v>100</v>
      </c>
      <c r="K5" s="49">
        <f>'EE. RR.'!G7</f>
        <v>90703</v>
      </c>
      <c r="L5" s="100">
        <f>(M5/M5)*100</f>
        <v>100</v>
      </c>
      <c r="M5" s="49">
        <f>'EE. RR.'!H7</f>
        <v>75383</v>
      </c>
    </row>
    <row r="6" spans="3:13" ht="15.75">
      <c r="C6" s="99" t="s">
        <v>138</v>
      </c>
      <c r="D6" s="49">
        <f>(E6/E5)*100</f>
        <v>-98.155599869751114</v>
      </c>
      <c r="E6" s="49">
        <f>'EE. RR.'!D8</f>
        <v>-825946</v>
      </c>
      <c r="F6" s="49">
        <f>(G6/G5)*100</f>
        <v>-77.933853340384275</v>
      </c>
      <c r="G6" s="49">
        <f>'EE. RR.'!E8</f>
        <v>-70739</v>
      </c>
      <c r="H6" s="49">
        <f>(I6/I5)*100</f>
        <v>-75.220810392563507</v>
      </c>
      <c r="I6" s="49">
        <f>'EE. RR.'!F8</f>
        <v>-71453</v>
      </c>
      <c r="J6" s="49">
        <f>(K6/K5)*100</f>
        <v>-69.081507778133016</v>
      </c>
      <c r="K6" s="49">
        <f>'EE. RR.'!G8</f>
        <v>-62659</v>
      </c>
      <c r="L6" s="100">
        <f>(M6/M5)*100</f>
        <v>-58.469416181367151</v>
      </c>
      <c r="M6" s="49">
        <f>'EE. RR.'!H8</f>
        <v>-44076</v>
      </c>
    </row>
    <row r="7" spans="3:13" ht="15.75">
      <c r="C7" s="33" t="s">
        <v>139</v>
      </c>
      <c r="D7" s="101">
        <f>(E7/E5)*100</f>
        <v>1.8444001302488751</v>
      </c>
      <c r="E7" s="101">
        <f>E5+E6</f>
        <v>15520</v>
      </c>
      <c r="F7" s="101">
        <f>(G7/G5)*100</f>
        <v>22.066146659615722</v>
      </c>
      <c r="G7" s="101">
        <f>G6+G5</f>
        <v>20029</v>
      </c>
      <c r="H7" s="101">
        <f>(I7/I5)*100</f>
        <v>24.779189607436493</v>
      </c>
      <c r="I7" s="101">
        <f>I6+I5</f>
        <v>23538</v>
      </c>
      <c r="J7" s="101">
        <f>(K7/K5)*100</f>
        <v>30.918492221866973</v>
      </c>
      <c r="K7" s="101">
        <f>K6+K5</f>
        <v>28044</v>
      </c>
      <c r="L7" s="104">
        <f>(M7/M5)*100</f>
        <v>41.530583818632849</v>
      </c>
      <c r="M7" s="101">
        <f>M6+M5</f>
        <v>31307</v>
      </c>
    </row>
    <row r="8" spans="3:13" ht="15.75">
      <c r="C8" s="99" t="s">
        <v>141</v>
      </c>
      <c r="D8" s="49">
        <f>(E8/E5)*100</f>
        <v>-2.8314869525328414</v>
      </c>
      <c r="E8" s="49">
        <f>'EE. RR.'!D10+'EE. RR.'!D11+'EE. RR.'!D12</f>
        <v>-23826</v>
      </c>
      <c r="F8" s="49">
        <f>(G8/G5)*100</f>
        <v>-5.5647364710029965</v>
      </c>
      <c r="G8" s="49">
        <f>'EE. RR.'!E10+'EE. RR.'!E11+'EE. RR.'!E12</f>
        <v>-5051</v>
      </c>
      <c r="H8" s="49">
        <f>(I8/I5)*100</f>
        <v>-6.722742154519902</v>
      </c>
      <c r="I8" s="49">
        <f>'EE. RR.'!F10+'EE. RR.'!F11+'EE. RR.'!F12</f>
        <v>-6386</v>
      </c>
      <c r="J8" s="49">
        <f>(K8/K5)*100</f>
        <v>-7.2643683229882141</v>
      </c>
      <c r="K8" s="49">
        <f>'EE. RR.'!G10+'EE. RR.'!G11+'EE. RR.'!G12</f>
        <v>-6589</v>
      </c>
      <c r="L8" s="100">
        <f>(M8/M5)*100</f>
        <v>-4.9799026305665732</v>
      </c>
      <c r="M8" s="49">
        <f>'EE. RR.'!H10+'EE. RR.'!H11+'EE. RR.'!H12</f>
        <v>-3754</v>
      </c>
    </row>
    <row r="9" spans="3:13" ht="15.75">
      <c r="C9" s="33" t="s">
        <v>120</v>
      </c>
      <c r="D9" s="101">
        <f>(E9/E5)*100</f>
        <v>-0.98708682228396627</v>
      </c>
      <c r="E9" s="101">
        <f>E8+E7</f>
        <v>-8306</v>
      </c>
      <c r="F9" s="101">
        <f>(G9/G5)*100</f>
        <v>16.501410188612727</v>
      </c>
      <c r="G9" s="101">
        <f>G7+G8</f>
        <v>14978</v>
      </c>
      <c r="H9" s="101">
        <f>(I9/I5)*100</f>
        <v>18.05644745291659</v>
      </c>
      <c r="I9" s="101">
        <f>I7+I8</f>
        <v>17152</v>
      </c>
      <c r="J9" s="101">
        <f>(K9/K5)*100</f>
        <v>23.654123898878758</v>
      </c>
      <c r="K9" s="101">
        <f>K7+K8</f>
        <v>21455</v>
      </c>
      <c r="L9" s="104">
        <f>(M9/M5)*100</f>
        <v>36.550681188066278</v>
      </c>
      <c r="M9" s="101">
        <f>M7+M8</f>
        <v>27553</v>
      </c>
    </row>
    <row r="10" spans="3:13" ht="15.75">
      <c r="C10" s="99" t="s">
        <v>122</v>
      </c>
      <c r="D10" s="49">
        <f>(E10/E5)*100</f>
        <v>-0.57970256671095444</v>
      </c>
      <c r="E10" s="49">
        <f>'EE. RR.'!D14+'EE. RR.'!D16+'EE. RR.'!D17</f>
        <v>-4878</v>
      </c>
      <c r="F10" s="49">
        <f>(G10/G5)*100</f>
        <v>-1.0400141018861273</v>
      </c>
      <c r="G10" s="49">
        <f>'EE. RR.'!E14+'EE. RR.'!E16+'EE. RR.'!E17</f>
        <v>-944</v>
      </c>
      <c r="H10" s="49">
        <f>(I10/I5)*100</f>
        <v>-0.46320177701045362</v>
      </c>
      <c r="I10" s="49">
        <f>'EE. RR.'!F14+'EE. RR.'!F16+'EE. RR.'!F17</f>
        <v>-440</v>
      </c>
      <c r="J10" s="49">
        <f>(K10/K5)*100</f>
        <v>-0.60968214943276411</v>
      </c>
      <c r="K10" s="49">
        <f>'EE. RR.'!G14+'EE. RR.'!G16+'EE. RR.'!G17</f>
        <v>-553</v>
      </c>
      <c r="L10" s="100">
        <f>(M10/M5)*100</f>
        <v>-0.44439727790085298</v>
      </c>
      <c r="M10" s="49">
        <f>'EE. RR.'!H14+'EE. RR.'!H16+'EE. RR.'!H17</f>
        <v>-335</v>
      </c>
    </row>
    <row r="11" spans="3:13" ht="15.75">
      <c r="C11" s="99" t="s">
        <v>142</v>
      </c>
      <c r="D11" s="49">
        <f>(E11/E5)*100</f>
        <v>0</v>
      </c>
      <c r="E11" s="49">
        <v>0</v>
      </c>
      <c r="F11" s="49">
        <f>(G11/G5)*100</f>
        <v>0</v>
      </c>
      <c r="G11" s="49">
        <v>0</v>
      </c>
      <c r="H11" s="49">
        <f>(I11/I5)*100</f>
        <v>0</v>
      </c>
      <c r="I11" s="49">
        <v>0</v>
      </c>
      <c r="J11" s="49">
        <f>(K11/K5)*100</f>
        <v>0</v>
      </c>
      <c r="K11" s="49">
        <v>0</v>
      </c>
      <c r="L11" s="100">
        <f>(M11/M5)*100</f>
        <v>0</v>
      </c>
      <c r="M11" s="49">
        <v>0</v>
      </c>
    </row>
    <row r="12" spans="3:13" ht="15.75">
      <c r="C12" s="99" t="s">
        <v>143</v>
      </c>
      <c r="D12" s="49">
        <f>(E12/E5)*100</f>
        <v>-0.2235384436210138</v>
      </c>
      <c r="E12" s="49">
        <f>'EE. RR.'!D15</f>
        <v>-1881</v>
      </c>
      <c r="F12" s="49">
        <f>(G12/G5)*100</f>
        <v>-2.0029085140137495</v>
      </c>
      <c r="G12" s="49">
        <f>'EE. RR.'!E15</f>
        <v>-1818</v>
      </c>
      <c r="H12" s="49">
        <f>(I12/I5)*100</f>
        <v>-5.6910654693602547</v>
      </c>
      <c r="I12" s="49">
        <f>'EE. RR.'!F15</f>
        <v>-5406</v>
      </c>
      <c r="J12" s="49">
        <f>(K12/K5)*100</f>
        <v>-11.979758111639086</v>
      </c>
      <c r="K12" s="49">
        <f>'EE. RR.'!G15</f>
        <v>-10866</v>
      </c>
      <c r="L12" s="100">
        <f>(M12/M5)*100</f>
        <v>-15.738296432882745</v>
      </c>
      <c r="M12" s="49">
        <f>'EE. RR.'!H15</f>
        <v>-11864</v>
      </c>
    </row>
    <row r="13" spans="3:13" ht="15.75">
      <c r="C13" s="33" t="s">
        <v>128</v>
      </c>
      <c r="D13" s="101">
        <f>(E13/E5)*100</f>
        <v>-1.7903278326159344</v>
      </c>
      <c r="E13" s="101">
        <f>E9+E10+E11+E12</f>
        <v>-15065</v>
      </c>
      <c r="F13" s="101">
        <f>(G13/G5)*100</f>
        <v>13.458487572712851</v>
      </c>
      <c r="G13" s="101">
        <f>G12+G11+G10+G9</f>
        <v>12216</v>
      </c>
      <c r="H13" s="101">
        <f>(I13/I5)*100</f>
        <v>11.902180206545882</v>
      </c>
      <c r="I13" s="101">
        <f>I12+I11+I10+I9</f>
        <v>11306</v>
      </c>
      <c r="J13" s="101">
        <f>(K13/K5)*100</f>
        <v>11.064683637806908</v>
      </c>
      <c r="K13" s="101">
        <f>K12+K11+K10+K9</f>
        <v>10036</v>
      </c>
      <c r="L13" s="109">
        <f>(M13/M5)*100</f>
        <v>20.367987477282675</v>
      </c>
      <c r="M13" s="101">
        <f>M12+M11+M10+M9</f>
        <v>15354</v>
      </c>
    </row>
    <row r="14" spans="3:13" ht="15.75">
      <c r="C14" s="99" t="s">
        <v>130</v>
      </c>
      <c r="D14" s="49">
        <f>(E14/E5)*100</f>
        <v>1.8096987875921309</v>
      </c>
      <c r="E14" s="49">
        <f>'EE. RR.'!D19</f>
        <v>15228</v>
      </c>
      <c r="F14" s="49">
        <f>(G14/G5)*100</f>
        <v>-2.7366472765732417</v>
      </c>
      <c r="G14" s="49">
        <f>'EE. RR.'!E19</f>
        <v>-2484</v>
      </c>
      <c r="H14" s="49">
        <f>(I14/I5)*100</f>
        <v>-2.6391973976481982</v>
      </c>
      <c r="I14" s="49">
        <f>'EE. RR.'!F19</f>
        <v>-2507</v>
      </c>
      <c r="J14" s="49">
        <f>(K14/K5)*100</f>
        <v>-1.8698389248426182</v>
      </c>
      <c r="K14" s="49">
        <f>'EE. RR.'!G19</f>
        <v>-1696</v>
      </c>
      <c r="L14" s="100">
        <f>(M14/M5)*100</f>
        <v>-2.5416871177851768</v>
      </c>
      <c r="M14" s="49">
        <f>'EE. RR.'!H19</f>
        <v>-1916</v>
      </c>
    </row>
    <row r="15" spans="3:13" ht="15.75">
      <c r="C15" s="110" t="s">
        <v>144</v>
      </c>
      <c r="D15" s="101">
        <v>0</v>
      </c>
      <c r="E15" s="101">
        <v>0</v>
      </c>
      <c r="F15" s="101">
        <f t="shared" ref="F15:F16" si="0">(G15/G5)*100</f>
        <v>-38.184161819143306</v>
      </c>
      <c r="G15" s="101">
        <f>('EE. RR.'!E21)</f>
        <v>-34659</v>
      </c>
      <c r="H15" s="101">
        <f t="shared" ref="H15:H16" si="1">(I15/I5)*100</f>
        <v>75.799812613826575</v>
      </c>
      <c r="I15" s="101">
        <f>('EE. RR.'!F21)</f>
        <v>72003</v>
      </c>
      <c r="J15" s="101">
        <f t="shared" ref="J15:J16" si="2">(K15/K5)*100</f>
        <v>9.7019944213532078E-2</v>
      </c>
      <c r="K15" s="101">
        <v>88</v>
      </c>
      <c r="L15" s="104">
        <f t="shared" ref="L15:L16" si="3">(M15/M5)*100</f>
        <v>0</v>
      </c>
      <c r="M15" s="101">
        <v>0</v>
      </c>
    </row>
    <row r="16" spans="3:13" ht="15.75">
      <c r="C16" s="33" t="s">
        <v>135</v>
      </c>
      <c r="D16" s="101">
        <f>(E16/E6)*100</f>
        <v>-1.9734946352424978E-2</v>
      </c>
      <c r="E16" s="101">
        <f>E14+E13+'EE. RR.'!D21+E15</f>
        <v>163</v>
      </c>
      <c r="F16" s="101">
        <f t="shared" si="0"/>
        <v>35.23798753163036</v>
      </c>
      <c r="G16" s="101">
        <f>G13+G14+G15</f>
        <v>-24927</v>
      </c>
      <c r="H16" s="101">
        <f t="shared" si="1"/>
        <v>-113.08412522917162</v>
      </c>
      <c r="I16" s="101">
        <f>I14+I15+I13</f>
        <v>80802</v>
      </c>
      <c r="J16" s="101">
        <f t="shared" si="2"/>
        <v>-13.450581720104054</v>
      </c>
      <c r="K16" s="101">
        <f>K14+K13+K15</f>
        <v>8428</v>
      </c>
      <c r="L16" s="104">
        <f t="shared" si="3"/>
        <v>-30.488247572374988</v>
      </c>
      <c r="M16" s="101">
        <f>M13+M14</f>
        <v>13438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L3:M3"/>
    <mergeCell ref="C3:C4"/>
    <mergeCell ref="D3:E3"/>
    <mergeCell ref="F3:G3"/>
    <mergeCell ref="H3:I3"/>
    <mergeCell ref="J3:K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3:M1000"/>
  <sheetViews>
    <sheetView topLeftCell="C1" workbookViewId="0">
      <selection activeCell="G8" sqref="G8"/>
    </sheetView>
  </sheetViews>
  <sheetFormatPr baseColWidth="10" defaultColWidth="14.42578125" defaultRowHeight="15" customHeight="1"/>
  <cols>
    <col min="1" max="2" width="14.42578125" customWidth="1"/>
    <col min="3" max="3" width="28.28515625" customWidth="1"/>
    <col min="4" max="6" width="14.42578125" customWidth="1"/>
    <col min="7" max="7" width="22.28515625" customWidth="1"/>
  </cols>
  <sheetData>
    <row r="3" spans="3:13" ht="15.75">
      <c r="C3" s="102"/>
      <c r="D3" s="102"/>
      <c r="E3" s="103">
        <v>2013</v>
      </c>
      <c r="F3" s="102"/>
      <c r="G3" s="103">
        <v>2014</v>
      </c>
      <c r="H3" s="103"/>
      <c r="I3" s="103">
        <v>2015</v>
      </c>
      <c r="J3" s="103"/>
      <c r="K3" s="103">
        <v>2016</v>
      </c>
      <c r="L3" s="103"/>
      <c r="M3" s="103">
        <v>2017</v>
      </c>
    </row>
    <row r="4" spans="3:13" ht="15.75">
      <c r="C4" s="102" t="s">
        <v>140</v>
      </c>
      <c r="D4" s="103" t="s">
        <v>68</v>
      </c>
      <c r="E4" s="103" t="s">
        <v>69</v>
      </c>
      <c r="F4" s="103" t="s">
        <v>68</v>
      </c>
      <c r="G4" s="103" t="s">
        <v>69</v>
      </c>
      <c r="H4" s="103" t="s">
        <v>68</v>
      </c>
      <c r="I4" s="103" t="s">
        <v>69</v>
      </c>
      <c r="J4" s="103" t="s">
        <v>68</v>
      </c>
      <c r="K4" s="103" t="s">
        <v>69</v>
      </c>
      <c r="L4" s="103" t="s">
        <v>68</v>
      </c>
      <c r="M4" s="103" t="s">
        <v>69</v>
      </c>
    </row>
    <row r="5" spans="3:13">
      <c r="C5" s="105" t="str">
        <f>'EE.RR CLASIFICADO'!C5</f>
        <v>VENTAS (VTA)</v>
      </c>
      <c r="D5" s="106">
        <f>(E5/E5)*100</f>
        <v>100</v>
      </c>
      <c r="E5" s="106">
        <f>'EE.RR CLASIFICADO'!E5*H19</f>
        <v>965416.75810592121</v>
      </c>
      <c r="F5" s="106">
        <f>(G5/G5)*100</f>
        <v>100</v>
      </c>
      <c r="G5" s="106">
        <f>'EE.RR CLASIFICADO'!G5*H20</f>
        <v>99558.728672831974</v>
      </c>
      <c r="H5" s="106">
        <f>(I5/I5)*100</f>
        <v>100</v>
      </c>
      <c r="I5" s="106">
        <f>'EE.RR CLASIFICADO'!I5*H21</f>
        <v>99799.539410999976</v>
      </c>
      <c r="J5" s="106">
        <f>(K5/K5)*100</f>
        <v>100</v>
      </c>
      <c r="K5" s="106">
        <f>'EE.RR CLASIFICADO'!K5*H22</f>
        <v>92789.168999999994</v>
      </c>
      <c r="L5" s="106">
        <f>(M5/M5)*100</f>
        <v>100</v>
      </c>
      <c r="M5" s="106">
        <f>'EE.RR CLASIFICADO'!M5*H23</f>
        <v>75383</v>
      </c>
    </row>
    <row r="6" spans="3:13">
      <c r="C6" s="105" t="str">
        <f>'EE.RR CLASIFICADO'!C6</f>
        <v>COSTO DE VENTAS (CV)</v>
      </c>
      <c r="D6" s="106">
        <f>(E6/E5)*100</f>
        <v>-98.155599869751128</v>
      </c>
      <c r="E6" s="106">
        <f>'EE.RR CLASIFICADO'!E6*H19</f>
        <v>-947610.61016197118</v>
      </c>
      <c r="F6" s="106">
        <f>(G6/G5)*100</f>
        <v>-77.933853340384289</v>
      </c>
      <c r="G6" s="106">
        <f>'EE.RR CLASIFICADO'!G6*H20</f>
        <v>-77589.953591435988</v>
      </c>
      <c r="H6" s="106">
        <f>(I6/I5)*100</f>
        <v>-75.220810392563507</v>
      </c>
      <c r="I6" s="106">
        <f>'EE.RR CLASIFICADO'!I6*H21</f>
        <v>-75070.022312999979</v>
      </c>
      <c r="J6" s="106">
        <f>(K6/K5)*100</f>
        <v>-69.081507778133016</v>
      </c>
      <c r="K6" s="106">
        <f>'EE.RR CLASIFICADO'!K6*H22</f>
        <v>-64100.156999999992</v>
      </c>
      <c r="L6" s="106">
        <f>(M6/M5)*100</f>
        <v>-58.469416181367151</v>
      </c>
      <c r="M6" s="106">
        <f>'EE.RR CLASIFICADO'!M6*H23</f>
        <v>-44076</v>
      </c>
    </row>
    <row r="7" spans="3:13">
      <c r="C7" s="107" t="str">
        <f>'EE.RR CLASIFICADO'!C7</f>
        <v>UTILIDAD BRUTA</v>
      </c>
      <c r="D7" s="108">
        <f>D5+D6</f>
        <v>1.8444001302488715</v>
      </c>
      <c r="E7" s="108">
        <f>E6+E5</f>
        <v>17806.147943950025</v>
      </c>
      <c r="F7" s="108">
        <f t="shared" ref="F7:M7" si="0">SUM(F5:F6)</f>
        <v>22.066146659615711</v>
      </c>
      <c r="G7" s="108">
        <f t="shared" si="0"/>
        <v>21968.775081395986</v>
      </c>
      <c r="H7" s="108">
        <f t="shared" si="0"/>
        <v>24.779189607436493</v>
      </c>
      <c r="I7" s="108">
        <f t="shared" si="0"/>
        <v>24729.517097999997</v>
      </c>
      <c r="J7" s="108">
        <f t="shared" si="0"/>
        <v>30.918492221866984</v>
      </c>
      <c r="K7" s="108">
        <f t="shared" si="0"/>
        <v>28689.012000000002</v>
      </c>
      <c r="L7" s="108">
        <f t="shared" si="0"/>
        <v>41.530583818632849</v>
      </c>
      <c r="M7" s="108">
        <f t="shared" si="0"/>
        <v>31307</v>
      </c>
    </row>
    <row r="8" spans="3:13">
      <c r="C8" s="105" t="str">
        <f>'EE.RR CLASIFICADO'!C8</f>
        <v>COSTOS FIJOS</v>
      </c>
      <c r="D8" s="106">
        <f>(E8/E5)*100</f>
        <v>-2.831486952532841</v>
      </c>
      <c r="E8" s="106">
        <f>'EE.RR CLASIFICADO'!E8*H19</f>
        <v>-27335.649543334701</v>
      </c>
      <c r="F8" s="106">
        <f>(G8/G5)*100</f>
        <v>-5.5647364710029965</v>
      </c>
      <c r="G8" s="106">
        <f>'EE.RR CLASIFICADO'!G8*H20</f>
        <v>-5540.1808845239984</v>
      </c>
      <c r="H8" s="106">
        <f>(I8/I5)*100</f>
        <v>-6.722742154519902</v>
      </c>
      <c r="I8" s="106">
        <f>'EE.RR CLASIFICADO'!I8*H21</f>
        <v>-6709.2657059999983</v>
      </c>
      <c r="J8" s="106">
        <f>(K8/K5)*100</f>
        <v>-7.2643683229882141</v>
      </c>
      <c r="K8" s="106">
        <f>'EE.RR CLASIFICADO'!K8*H22</f>
        <v>-6740.5469999999996</v>
      </c>
      <c r="L8" s="106">
        <f>(M8/M5)*100</f>
        <v>-4.9799026305665732</v>
      </c>
      <c r="M8" s="106">
        <f>'EE.RR CLASIFICADO'!M8*H23</f>
        <v>-3754</v>
      </c>
    </row>
    <row r="9" spans="3:13">
      <c r="C9" s="107" t="str">
        <f>'EE.RR CLASIFICADO'!C9</f>
        <v>BAIT</v>
      </c>
      <c r="D9" s="108">
        <f t="shared" ref="D9:M9" si="1">D7+D8</f>
        <v>-0.98708682228396949</v>
      </c>
      <c r="E9" s="108">
        <f t="shared" si="1"/>
        <v>-9529.5015993846755</v>
      </c>
      <c r="F9" s="108">
        <f t="shared" si="1"/>
        <v>16.501410188612716</v>
      </c>
      <c r="G9" s="108">
        <f t="shared" si="1"/>
        <v>16428.594196871989</v>
      </c>
      <c r="H9" s="108">
        <f t="shared" si="1"/>
        <v>18.05644745291659</v>
      </c>
      <c r="I9" s="108">
        <f t="shared" si="1"/>
        <v>18020.251391999998</v>
      </c>
      <c r="J9" s="108">
        <f t="shared" si="1"/>
        <v>23.654123898878769</v>
      </c>
      <c r="K9" s="108">
        <f t="shared" si="1"/>
        <v>21948.465000000004</v>
      </c>
      <c r="L9" s="108">
        <f t="shared" si="1"/>
        <v>36.550681188066278</v>
      </c>
      <c r="M9" s="108">
        <f t="shared" si="1"/>
        <v>27553</v>
      </c>
    </row>
    <row r="10" spans="3:13">
      <c r="C10" s="105" t="str">
        <f>'EE.RR CLASIFICADO'!C10</f>
        <v>INO</v>
      </c>
      <c r="D10" s="106">
        <f>(E10/E5)*100</f>
        <v>-0.57970256671095444</v>
      </c>
      <c r="E10" s="106">
        <f>'EE.RR CLASIFICADO'!E10*H19</f>
        <v>-5596.5457261977117</v>
      </c>
      <c r="F10" s="106">
        <f>(G10/G5)*100</f>
        <v>-1.0400141018861271</v>
      </c>
      <c r="G10" s="106">
        <f>'EE.RR CLASIFICADO'!G10*H20</f>
        <v>-1035.4248178559997</v>
      </c>
      <c r="H10" s="106">
        <f>(I10/I5)*100</f>
        <v>-0.46320177701045367</v>
      </c>
      <c r="I10" s="106">
        <f>'EE.RR CLASIFICADO'!I10*H21</f>
        <v>-462.27323999999993</v>
      </c>
      <c r="J10" s="106">
        <f>(K10/K5)*100</f>
        <v>-0.609682149432764</v>
      </c>
      <c r="K10" s="106">
        <f>'EE.RR CLASIFICADO'!K10*H22</f>
        <v>-565.71899999999994</v>
      </c>
      <c r="L10" s="106">
        <f>(M10/M5)*100</f>
        <v>-0.44439727790085298</v>
      </c>
      <c r="M10" s="106">
        <f>'EE.RR CLASIFICADO'!M10*H23</f>
        <v>-335</v>
      </c>
    </row>
    <row r="11" spans="3:13">
      <c r="C11" s="105" t="str">
        <f>'EE.RR CLASIFICADO'!C11</f>
        <v>ENO</v>
      </c>
      <c r="D11" s="106">
        <f>(E11/E5)*100</f>
        <v>0</v>
      </c>
      <c r="E11" s="106">
        <f>'EE.RR CLASIFICADO'!E11*H19</f>
        <v>0</v>
      </c>
      <c r="F11" s="106">
        <f>(G11/G5)*100</f>
        <v>0</v>
      </c>
      <c r="G11" s="106">
        <f>'EE.RR CLASIFICADO'!G11*H20</f>
        <v>0</v>
      </c>
      <c r="H11" s="106">
        <f>(I11/I5)*100</f>
        <v>0</v>
      </c>
      <c r="I11" s="106">
        <f>'EE.RR CLASIFICADO'!I11*H21</f>
        <v>0</v>
      </c>
      <c r="J11" s="106">
        <f>(K11/K5)*100</f>
        <v>0</v>
      </c>
      <c r="K11" s="106">
        <f>'EE.RR CLASIFICADO'!K11*H22</f>
        <v>0</v>
      </c>
      <c r="L11" s="106">
        <f>(M11/M5)*100</f>
        <v>0</v>
      </c>
      <c r="M11" s="106">
        <f>'EE.RR CLASIFICADO'!M11*H23</f>
        <v>0</v>
      </c>
    </row>
    <row r="12" spans="3:13">
      <c r="C12" s="105" t="str">
        <f>'EE.RR CLASIFICADO'!C12</f>
        <v>GASTOS FINANCIEROS</v>
      </c>
      <c r="D12" s="106">
        <f>(E12/E5)*100</f>
        <v>-0.2235384436210138</v>
      </c>
      <c r="E12" s="106">
        <f>'EE.RR CLASIFICADO'!E12*H19</f>
        <v>-2158.0775955264239</v>
      </c>
      <c r="F12" s="106">
        <f>(G12/G5)*100</f>
        <v>-2.0029085140137495</v>
      </c>
      <c r="G12" s="106">
        <f>'EE.RR CLASIFICADO'!G12*H20</f>
        <v>-1994.0702530319995</v>
      </c>
      <c r="H12" s="106">
        <f>(I12/I5)*100</f>
        <v>-5.6910654693602556</v>
      </c>
      <c r="I12" s="106">
        <f>'EE.RR CLASIFICADO'!I12*H21</f>
        <v>-5679.6571259999992</v>
      </c>
      <c r="J12" s="106">
        <f>(K12/K5)*100</f>
        <v>-11.979758111639086</v>
      </c>
      <c r="K12" s="106">
        <f>'EE.RR CLASIFICADO'!K12*H22</f>
        <v>-11115.918</v>
      </c>
      <c r="L12" s="106">
        <f>(M12/M5)*100</f>
        <v>-15.738296432882745</v>
      </c>
      <c r="M12" s="106">
        <f>'EE.RR CLASIFICADO'!M12*H23</f>
        <v>-11864</v>
      </c>
    </row>
    <row r="13" spans="3:13">
      <c r="C13" s="107" t="str">
        <f>'EE.RR CLASIFICADO'!C13</f>
        <v>BAT</v>
      </c>
      <c r="D13" s="108">
        <f t="shared" ref="D13:G13" si="2">D9+D10+D11+D12</f>
        <v>-1.7903278326159375</v>
      </c>
      <c r="E13" s="108">
        <f t="shared" si="2"/>
        <v>-17284.124921108811</v>
      </c>
      <c r="F13" s="108">
        <f t="shared" si="2"/>
        <v>13.458487572712841</v>
      </c>
      <c r="G13" s="108">
        <f t="shared" si="2"/>
        <v>13399.09912598399</v>
      </c>
      <c r="H13" s="108">
        <f>H9+H10+H12+H11</f>
        <v>11.90218020654588</v>
      </c>
      <c r="I13" s="108">
        <f>I9+I10+I11+I12</f>
        <v>11878.321026000001</v>
      </c>
      <c r="J13" s="108">
        <f t="shared" ref="J13:M13" si="3">SUM(J9:J12)</f>
        <v>11.064683637806919</v>
      </c>
      <c r="K13" s="108">
        <f t="shared" si="3"/>
        <v>10266.828000000003</v>
      </c>
      <c r="L13" s="108">
        <f t="shared" si="3"/>
        <v>20.367987477282679</v>
      </c>
      <c r="M13" s="108">
        <f t="shared" si="3"/>
        <v>15354</v>
      </c>
    </row>
    <row r="14" spans="3:13">
      <c r="C14" s="105" t="str">
        <f>'EE.RR CLASIFICADO'!C14</f>
        <v>IMPUESTO</v>
      </c>
      <c r="D14" s="106">
        <f>(E14/E5)*100</f>
        <v>1.8096987875921309</v>
      </c>
      <c r="E14" s="106">
        <f>'EE.RR CLASIFICADO'!E14*H19</f>
        <v>17471.135366654111</v>
      </c>
      <c r="F14" s="106">
        <f>(G14/G5)*100</f>
        <v>-2.7366472765732417</v>
      </c>
      <c r="G14" s="106">
        <f>'EE.RR CLASIFICADO'!G14*H20</f>
        <v>-2724.5712368159993</v>
      </c>
      <c r="H14" s="113">
        <f>(I14/I5)*100</f>
        <v>-2.6391973976481982</v>
      </c>
      <c r="I14" s="106">
        <f>'EE.RR CLASIFICADO'!I14*H21</f>
        <v>-2633.9068469999993</v>
      </c>
      <c r="J14" s="106">
        <f>(K14/K5)*100</f>
        <v>-1.8698389248426182</v>
      </c>
      <c r="K14" s="106">
        <f>'EE.RR CLASIFICADO'!K14*H22</f>
        <v>-1735.0079999999998</v>
      </c>
      <c r="L14" s="106">
        <f>(M14/M5)*100</f>
        <v>-2.5416871177851768</v>
      </c>
      <c r="M14" s="106">
        <f>'EE.RR CLASIFICADO'!M14*H23</f>
        <v>-1916</v>
      </c>
    </row>
    <row r="15" spans="3:13">
      <c r="C15" s="107" t="str">
        <f>'EE.RR CLASIFICADO'!C15</f>
        <v>OTROS GASTOS E INGRESOS</v>
      </c>
      <c r="D15" s="108"/>
      <c r="E15" s="108">
        <f>('EE.RR CLASIFICADO'!E15*H19)</f>
        <v>0</v>
      </c>
      <c r="F15" s="108"/>
      <c r="G15" s="108">
        <f>('EE.RR CLASIFICADO'!F15*H20)</f>
        <v>-41.882233894672119</v>
      </c>
      <c r="H15" s="108">
        <f>('EE.RR CLASIFICADO'!H15*I21)</f>
        <v>0</v>
      </c>
      <c r="I15" s="108">
        <f>('EE.RR CLASIFICADO'!I15*H21)</f>
        <v>75647.863862999991</v>
      </c>
      <c r="J15" s="108">
        <f>('EE.RR CLASIFICADO'!I15*K20)</f>
        <v>0</v>
      </c>
      <c r="K15" s="108">
        <f>('EE.RR CLASIFICADO'!K15*H22)</f>
        <v>90.023999999999987</v>
      </c>
      <c r="L15" s="108"/>
      <c r="M15" s="108">
        <f>('EE.RR CLASIFICADO'!M15*H23)</f>
        <v>0</v>
      </c>
    </row>
    <row r="16" spans="3:13">
      <c r="C16" s="107" t="s">
        <v>135</v>
      </c>
      <c r="D16" s="108">
        <f>(E16*100/E5)</f>
        <v>1.9370954976190936E-2</v>
      </c>
      <c r="E16" s="108">
        <f>(E13+E14+E15)</f>
        <v>187.01044554530017</v>
      </c>
      <c r="F16" s="108">
        <f>(G16*100/G5)</f>
        <v>10.679772428808448</v>
      </c>
      <c r="G16" s="108">
        <f>(G13+G14+G15)</f>
        <v>10632.64565527332</v>
      </c>
      <c r="H16" s="108">
        <f>(I16*100/I5)</f>
        <v>85.062795422724264</v>
      </c>
      <c r="I16" s="108">
        <f>(I13+I14+I15)</f>
        <v>84892.278041999991</v>
      </c>
      <c r="J16" s="108">
        <f>(K16*100/K5)</f>
        <v>9.2918646571778254</v>
      </c>
      <c r="K16" s="108">
        <f>(K13+K14+K15)</f>
        <v>8621.8440000000028</v>
      </c>
      <c r="L16" s="108">
        <f>(M16*100/M5)</f>
        <v>17.826300359497498</v>
      </c>
      <c r="M16" s="108">
        <f>(M13+M14+M15)</f>
        <v>13438</v>
      </c>
    </row>
    <row r="18" spans="3:8" ht="15.75">
      <c r="C18" s="132" t="s">
        <v>158</v>
      </c>
      <c r="D18" s="133" t="s">
        <v>159</v>
      </c>
      <c r="E18" s="133" t="s">
        <v>160</v>
      </c>
      <c r="F18" s="312" t="s">
        <v>161</v>
      </c>
      <c r="G18" s="313"/>
      <c r="H18" s="132" t="s">
        <v>162</v>
      </c>
    </row>
    <row r="19" spans="3:8" ht="15.75">
      <c r="C19" s="135">
        <v>2013</v>
      </c>
      <c r="D19" s="137">
        <v>3</v>
      </c>
      <c r="E19" s="139">
        <v>0.03</v>
      </c>
      <c r="F19" s="314" t="s">
        <v>163</v>
      </c>
      <c r="G19" s="315"/>
      <c r="H19" s="144">
        <f>(1+E20)*(1+E21)*(1+E22)*(1+E23)</f>
        <v>1.1473033469039999</v>
      </c>
    </row>
    <row r="20" spans="3:8" ht="15.75">
      <c r="C20" s="135">
        <v>2014</v>
      </c>
      <c r="D20" s="145" t="s">
        <v>164</v>
      </c>
      <c r="E20" s="146">
        <v>4.5999999999999999E-2</v>
      </c>
      <c r="F20" s="316" t="s">
        <v>165</v>
      </c>
      <c r="G20" s="317"/>
      <c r="H20" s="148">
        <f>(1+E21)*(1+E22)*(1+E23)</f>
        <v>1.0968483239999998</v>
      </c>
    </row>
    <row r="21" spans="3:8" ht="15.75" customHeight="1">
      <c r="C21" s="135">
        <v>2015</v>
      </c>
      <c r="D21" s="137" t="s">
        <v>167</v>
      </c>
      <c r="E21" s="149">
        <v>4.3999999999999997E-2</v>
      </c>
      <c r="F21" s="318" t="s">
        <v>168</v>
      </c>
      <c r="G21" s="317"/>
      <c r="H21" s="150">
        <f>(1+E22)*(1+E23)</f>
        <v>1.0506209999999998</v>
      </c>
    </row>
    <row r="22" spans="3:8" ht="15.75" customHeight="1">
      <c r="C22" s="135">
        <v>2016</v>
      </c>
      <c r="D22" s="145" t="s">
        <v>170</v>
      </c>
      <c r="E22" s="146">
        <v>2.7E-2</v>
      </c>
      <c r="F22" s="316" t="s">
        <v>171</v>
      </c>
      <c r="G22" s="317"/>
      <c r="H22" s="151">
        <f>(1+E23)</f>
        <v>1.0229999999999999</v>
      </c>
    </row>
    <row r="23" spans="3:8" ht="15.75" customHeight="1">
      <c r="C23" s="152">
        <v>2017</v>
      </c>
      <c r="D23" s="153" t="s">
        <v>172</v>
      </c>
      <c r="E23" s="154">
        <v>2.3E-2</v>
      </c>
      <c r="F23" s="310">
        <v>1</v>
      </c>
      <c r="G23" s="311"/>
      <c r="H23" s="155">
        <v>1</v>
      </c>
    </row>
    <row r="24" spans="3:8" ht="15.75" customHeight="1"/>
    <row r="25" spans="3:8" ht="15.75" customHeight="1"/>
    <row r="26" spans="3:8" ht="15.75" customHeight="1"/>
    <row r="27" spans="3:8" ht="15.75" customHeight="1"/>
    <row r="28" spans="3:8" ht="15.75" customHeight="1"/>
    <row r="29" spans="3:8" ht="15.75" customHeight="1"/>
    <row r="30" spans="3:8" ht="15.75" customHeight="1"/>
    <row r="31" spans="3:8" ht="15.75" customHeight="1"/>
    <row r="32" spans="3: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F23:G23"/>
    <mergeCell ref="F18:G18"/>
    <mergeCell ref="F19:G19"/>
    <mergeCell ref="F20:G20"/>
    <mergeCell ref="F21:G21"/>
    <mergeCell ref="F22:G2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Integrantes</vt:lpstr>
      <vt:lpstr>Empresa</vt:lpstr>
      <vt:lpstr>BG</vt:lpstr>
      <vt:lpstr>BG CLASIFICADO</vt:lpstr>
      <vt:lpstr>BG CLASIFICADO AJUSTADO</vt:lpstr>
      <vt:lpstr>EE. RR.</vt:lpstr>
      <vt:lpstr>EE.RR CLASIFICADO</vt:lpstr>
      <vt:lpstr>EE. RR. CLASIFICADO AJUSTADO</vt:lpstr>
      <vt:lpstr>Hoja1</vt:lpstr>
      <vt:lpstr>Hoja2</vt:lpstr>
      <vt:lpstr>ESTADO DE FUENTES Y USOS</vt:lpstr>
      <vt:lpstr>CAPACIDAD DE PAGO </vt:lpstr>
      <vt:lpstr>PUNTUALIDAD DE PAGO </vt:lpstr>
      <vt:lpstr>TP</vt:lpstr>
      <vt:lpstr>ANALISIS ECONOMICO </vt:lpstr>
      <vt:lpstr>Preguntas Directrices</vt:lpstr>
      <vt:lpstr>Conclusiones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Gutiérrez López</dc:creator>
  <cp:lastModifiedBy>Diego Gutiérrez López</cp:lastModifiedBy>
  <dcterms:created xsi:type="dcterms:W3CDTF">2019-01-04T07:37:15Z</dcterms:created>
  <dcterms:modified xsi:type="dcterms:W3CDTF">2019-01-04T07:37:15Z</dcterms:modified>
</cp:coreProperties>
</file>