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cc8b4a03ef0bc5d9/Escritorio/TP 2 SIM TERMINADO/"/>
    </mc:Choice>
  </mc:AlternateContent>
  <xr:revisionPtr revIDLastSave="0" documentId="8_{B74E2B79-FAF3-4879-9927-0C1425BF3E1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periencia 1 (Pagos)" sheetId="1" r:id="rId1"/>
    <sheet name="Experiencia 2 (Ingresos)" sheetId="2" r:id="rId2"/>
  </sheets>
  <externalReferences>
    <externalReference r:id="rId3"/>
  </externalReferences>
  <definedNames>
    <definedName name="_alfa">'Experiencia 1 (Pagos)'!$Y$7</definedName>
    <definedName name="_alfa2" localSheetId="1">'Experiencia 2 (Ingresos)'!$Y$7</definedName>
    <definedName name="_DistNormU2" localSheetId="1">'Experiencia 2 (Ingresos)'!$H$23</definedName>
    <definedName name="_DistrExpLambda">'Experiencia 1 (Pagos)'!$H$20</definedName>
    <definedName name="_DistrExpLambda2" localSheetId="1">'Experiencia 2 (Ingresos)'!$H$20</definedName>
    <definedName name="_DistrNomrS">'Experiencia 1 (Pagos)'!$H$24</definedName>
    <definedName name="_DistrNomrS2">'Experiencia 2 (Ingresos)'!$H$24</definedName>
    <definedName name="_DistrNormU">'Experiencia 1 (Pagos)'!$H$23</definedName>
    <definedName name="_DistrUnifA">'Experiencia 1 (Pagos)'!$H$17</definedName>
    <definedName name="_DistrUnifA2" localSheetId="1">'Experiencia 2 (Ingresos)'!$H$17</definedName>
    <definedName name="_DistrUnifB">'Experiencia 1 (Pagos)'!$H$18</definedName>
    <definedName name="_DistrUnifB2" localSheetId="1">'Experiencia 2 (Ingresos)'!$H$18</definedName>
    <definedName name="_gradoDeLibertad">'Experiencia 1 (Pagos)'!$Y$8</definedName>
    <definedName name="_gradoDeLibertad2" localSheetId="1">'Experiencia 2 (Ingresos)'!$Y$8</definedName>
    <definedName name="_intervalos">'Experiencia 1 (Pagos)'!$O$7</definedName>
    <definedName name="_intervalos2" localSheetId="1">'Experiencia 2 (Ingresos)'!$O$7</definedName>
    <definedName name="_lambda2">'Experiencia 1 (Pagos)'!$H$21</definedName>
    <definedName name="_limInf">'Experiencia 1 (Pagos)'!$O$12:$O$23</definedName>
    <definedName name="_limSup">'Experiencia 1 (Pagos)'!$P$12:$P$23</definedName>
    <definedName name="_limSup2" localSheetId="1">'Experiencia 2 (Ingresos)'!$P$12:$P$23</definedName>
    <definedName name="_media">'Experiencia 1 (Pagos)'!$G$9</definedName>
    <definedName name="_media2" localSheetId="1">'Experiencia 2 (Ingresos)'!$G$9</definedName>
    <definedName name="_muestra">'Experiencia 1 (Pagos)'!$C$8:$C$207</definedName>
    <definedName name="_muestra2" localSheetId="1">'Experiencia 2 (Ingresos)'!$C$8:$C$207</definedName>
    <definedName name="_pasos">'Experiencia 1 (Pagos)'!$O$8</definedName>
    <definedName name="_pasos2" localSheetId="1">'Experiencia 2 (Ingresos)'!$O$8</definedName>
    <definedName name="_tamañoMuestra">'Experiencia 1 (Pagos)'!$G$6</definedName>
    <definedName name="_tamañoMuestra2" localSheetId="1">'Experiencia 2 (Ingresos)'!$G$6</definedName>
    <definedName name="_Valor_Max">'Experiencia 1 (Pagos)'!$G$7</definedName>
    <definedName name="_Valor_Max2" localSheetId="1">'Experiencia 2 (Ingresos)'!$G$7</definedName>
    <definedName name="_Valor_Min">'Experiencia 1 (Pagos)'!$G$8</definedName>
    <definedName name="_Valor_Min2" localSheetId="1">'Experiencia 2 (Ingresos)'!$G$8</definedName>
    <definedName name="_varianza">'Experiencia 1 (Pagos)'!$G$10</definedName>
    <definedName name="_varianza2" localSheetId="1">'Experiencia 2 (Ingresos)'!$G$10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5" i="2" l="1"/>
  <c r="J36" i="2"/>
  <c r="J37" i="2"/>
  <c r="J38" i="2"/>
  <c r="J34" i="2"/>
  <c r="Y8" i="2"/>
  <c r="I46" i="2"/>
  <c r="I34" i="2" a="1"/>
  <c r="I34" i="2" s="1"/>
  <c r="H38" i="2"/>
  <c r="H37" i="2"/>
  <c r="Y8" i="1"/>
  <c r="H39" i="1"/>
  <c r="M50" i="2"/>
  <c r="F55" i="1"/>
  <c r="N34" i="2" l="1"/>
  <c r="M49" i="2"/>
  <c r="M51" i="2"/>
  <c r="F54" i="1"/>
  <c r="F56" i="1"/>
  <c r="C17" i="1"/>
  <c r="C207" i="2" l="1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6" i="1"/>
  <c r="C15" i="1"/>
  <c r="C14" i="1"/>
  <c r="C13" i="1"/>
  <c r="C12" i="1"/>
  <c r="C11" i="1"/>
  <c r="C10" i="1"/>
  <c r="C9" i="1"/>
  <c r="C8" i="1"/>
  <c r="G6" i="1" l="1"/>
  <c r="G7" i="1"/>
  <c r="G10" i="1"/>
  <c r="G8" i="1"/>
  <c r="H18" i="1"/>
  <c r="G9" i="1"/>
  <c r="H17" i="1"/>
  <c r="G10" i="2"/>
  <c r="H17" i="2"/>
  <c r="G9" i="2"/>
  <c r="H23" i="2" s="1"/>
  <c r="H18" i="2"/>
  <c r="G7" i="2"/>
  <c r="G8" i="2"/>
  <c r="G34" i="2" s="1"/>
  <c r="G6" i="2"/>
  <c r="J37" i="1" l="1"/>
  <c r="J38" i="1"/>
  <c r="J35" i="1"/>
  <c r="J39" i="1"/>
  <c r="J36" i="1"/>
  <c r="J34" i="1"/>
  <c r="O12" i="1"/>
  <c r="G34" i="1"/>
  <c r="H21" i="1"/>
  <c r="H24" i="1"/>
  <c r="O8" i="1"/>
  <c r="H20" i="1"/>
  <c r="H23" i="1"/>
  <c r="O12" i="2"/>
  <c r="R12" i="2"/>
  <c r="AD44" i="1"/>
  <c r="AD40" i="1"/>
  <c r="R17" i="1"/>
  <c r="AJ29" i="2"/>
  <c r="AN49" i="2" s="1"/>
  <c r="AD45" i="1"/>
  <c r="R14" i="1"/>
  <c r="R13" i="1"/>
  <c r="R18" i="1"/>
  <c r="R22" i="1"/>
  <c r="R19" i="1"/>
  <c r="AD38" i="1"/>
  <c r="AD43" i="1"/>
  <c r="AD39" i="1"/>
  <c r="R16" i="1"/>
  <c r="AD42" i="1"/>
  <c r="R12" i="1"/>
  <c r="AJ29" i="1"/>
  <c r="AN49" i="1" s="1"/>
  <c r="R21" i="1"/>
  <c r="AD37" i="1"/>
  <c r="AD34" i="1"/>
  <c r="R20" i="1"/>
  <c r="R15" i="1"/>
  <c r="AD36" i="1"/>
  <c r="AD35" i="1"/>
  <c r="AD41" i="1"/>
  <c r="R23" i="1"/>
  <c r="O8" i="2"/>
  <c r="H34" i="2" s="1"/>
  <c r="H20" i="2"/>
  <c r="AD34" i="2"/>
  <c r="AD35" i="2"/>
  <c r="AD36" i="2"/>
  <c r="AD44" i="2"/>
  <c r="AD37" i="2"/>
  <c r="AD38" i="2"/>
  <c r="AD39" i="2"/>
  <c r="AD40" i="2"/>
  <c r="AD41" i="2"/>
  <c r="AD42" i="2"/>
  <c r="AD43" i="2"/>
  <c r="AD45" i="2"/>
  <c r="AA34" i="2"/>
  <c r="AA34" i="1"/>
  <c r="H24" i="2"/>
  <c r="H21" i="2"/>
  <c r="R21" i="2"/>
  <c r="R22" i="2"/>
  <c r="R23" i="2"/>
  <c r="R13" i="2"/>
  <c r="R14" i="2"/>
  <c r="R15" i="2"/>
  <c r="R16" i="2"/>
  <c r="R17" i="2"/>
  <c r="R18" i="2"/>
  <c r="R19" i="2"/>
  <c r="R20" i="2"/>
  <c r="G35" i="2" l="1"/>
  <c r="H35" i="2" s="1"/>
  <c r="E34" i="2"/>
  <c r="K34" i="2"/>
  <c r="L34" i="2"/>
  <c r="J46" i="2"/>
  <c r="J46" i="1"/>
  <c r="H34" i="1"/>
  <c r="P12" i="1"/>
  <c r="S12" i="1" s="1"/>
  <c r="R24" i="1"/>
  <c r="AB34" i="1"/>
  <c r="AF34" i="1" s="1"/>
  <c r="AD46" i="1"/>
  <c r="AB34" i="2"/>
  <c r="AA35" i="2" s="1"/>
  <c r="AB35" i="2" s="1"/>
  <c r="AF35" i="2" s="1"/>
  <c r="P12" i="2"/>
  <c r="AD46" i="2"/>
  <c r="R24" i="2"/>
  <c r="T12" i="1"/>
  <c r="T12" i="2" l="1"/>
  <c r="E35" i="2"/>
  <c r="L35" i="2"/>
  <c r="G36" i="2"/>
  <c r="H36" i="2" s="1"/>
  <c r="K35" i="2"/>
  <c r="G35" i="1"/>
  <c r="H35" i="1" s="1"/>
  <c r="E34" i="1"/>
  <c r="K34" i="1"/>
  <c r="L34" i="1"/>
  <c r="M12" i="1"/>
  <c r="O13" i="1"/>
  <c r="P13" i="1" s="1"/>
  <c r="AA36" i="2"/>
  <c r="AB36" i="2" s="1"/>
  <c r="AA37" i="2" s="1"/>
  <c r="AB37" i="2" s="1"/>
  <c r="AF37" i="2" s="1"/>
  <c r="AE35" i="2"/>
  <c r="S12" i="2"/>
  <c r="AE34" i="2"/>
  <c r="AE34" i="1"/>
  <c r="AA35" i="1"/>
  <c r="AB35" i="1" s="1"/>
  <c r="AF35" i="1" s="1"/>
  <c r="O13" i="2"/>
  <c r="P13" i="2" s="1"/>
  <c r="S13" i="2" s="1"/>
  <c r="M12" i="2"/>
  <c r="AF34" i="2"/>
  <c r="E36" i="2" l="1"/>
  <c r="G37" i="2"/>
  <c r="L36" i="2"/>
  <c r="K36" i="2"/>
  <c r="K35" i="1"/>
  <c r="L35" i="1"/>
  <c r="E35" i="1"/>
  <c r="G36" i="1"/>
  <c r="H36" i="1" s="1"/>
  <c r="O14" i="1"/>
  <c r="P14" i="1" s="1"/>
  <c r="M13" i="1"/>
  <c r="AE36" i="2"/>
  <c r="AE37" i="2"/>
  <c r="AA38" i="2"/>
  <c r="AB38" i="2" s="1"/>
  <c r="AF38" i="2" s="1"/>
  <c r="AF36" i="2"/>
  <c r="O14" i="2"/>
  <c r="P14" i="2" s="1"/>
  <c r="T13" i="2"/>
  <c r="M13" i="2"/>
  <c r="S13" i="1"/>
  <c r="T13" i="1"/>
  <c r="AE35" i="1"/>
  <c r="AA36" i="1"/>
  <c r="AB36" i="1" s="1"/>
  <c r="AF36" i="1" s="1"/>
  <c r="AE38" i="2"/>
  <c r="S14" i="2"/>
  <c r="T14" i="2" l="1"/>
  <c r="L37" i="2"/>
  <c r="K37" i="2"/>
  <c r="E37" i="2"/>
  <c r="G38" i="2"/>
  <c r="E36" i="1"/>
  <c r="G37" i="1"/>
  <c r="H37" i="1" s="1"/>
  <c r="L36" i="1"/>
  <c r="K36" i="1"/>
  <c r="M14" i="1"/>
  <c r="O15" i="1"/>
  <c r="P15" i="1" s="1"/>
  <c r="S15" i="1" s="1"/>
  <c r="S14" i="1"/>
  <c r="T14" i="1"/>
  <c r="M14" i="2"/>
  <c r="AA39" i="2"/>
  <c r="AB39" i="2" s="1"/>
  <c r="AE39" i="2" s="1"/>
  <c r="O15" i="2"/>
  <c r="P15" i="2" s="1"/>
  <c r="M15" i="2" s="1"/>
  <c r="AE36" i="1"/>
  <c r="AA37" i="1"/>
  <c r="AB37" i="1" s="1"/>
  <c r="AF39" i="2"/>
  <c r="O16" i="2" l="1"/>
  <c r="P16" i="2" s="1"/>
  <c r="E38" i="2"/>
  <c r="L38" i="2"/>
  <c r="K38" i="2"/>
  <c r="T15" i="2"/>
  <c r="T15" i="1"/>
  <c r="G38" i="1"/>
  <c r="H38" i="1" s="1"/>
  <c r="I34" i="1" s="1" a="1"/>
  <c r="K37" i="1"/>
  <c r="E37" i="1"/>
  <c r="L37" i="1"/>
  <c r="O16" i="1"/>
  <c r="P16" i="1" s="1"/>
  <c r="M15" i="1"/>
  <c r="S15" i="2"/>
  <c r="AA40" i="2"/>
  <c r="AB40" i="2" s="1"/>
  <c r="AA41" i="2" s="1"/>
  <c r="AB41" i="2" s="1"/>
  <c r="AF37" i="1"/>
  <c r="AA38" i="1"/>
  <c r="AB38" i="1" s="1"/>
  <c r="AE37" i="1"/>
  <c r="AF40" i="2"/>
  <c r="AE40" i="2"/>
  <c r="O17" i="2"/>
  <c r="P17" i="2" s="1"/>
  <c r="M16" i="2" l="1"/>
  <c r="S16" i="2"/>
  <c r="T16" i="2"/>
  <c r="I34" i="1"/>
  <c r="I36" i="1"/>
  <c r="I38" i="1"/>
  <c r="M38" i="1" s="1"/>
  <c r="I37" i="1"/>
  <c r="M37" i="1" s="1"/>
  <c r="I39" i="1"/>
  <c r="M39" i="1" s="1"/>
  <c r="I35" i="1"/>
  <c r="K38" i="1"/>
  <c r="N38" i="1" s="1"/>
  <c r="E38" i="1"/>
  <c r="L38" i="1"/>
  <c r="O38" i="1" s="1"/>
  <c r="G39" i="1"/>
  <c r="M16" i="1"/>
  <c r="O17" i="1"/>
  <c r="P17" i="1" s="1"/>
  <c r="T17" i="1" s="1"/>
  <c r="S17" i="1"/>
  <c r="AF38" i="1"/>
  <c r="AE38" i="1"/>
  <c r="AA39" i="1"/>
  <c r="AB39" i="1" s="1"/>
  <c r="AF41" i="2"/>
  <c r="AE41" i="2"/>
  <c r="O18" i="2"/>
  <c r="P18" i="2" s="1"/>
  <c r="S17" i="2"/>
  <c r="T17" i="2"/>
  <c r="M17" i="2"/>
  <c r="AA42" i="2"/>
  <c r="AB42" i="2" s="1"/>
  <c r="N37" i="1" l="1"/>
  <c r="O37" i="1"/>
  <c r="M35" i="1"/>
  <c r="O35" i="1"/>
  <c r="N35" i="1"/>
  <c r="M36" i="1"/>
  <c r="N36" i="1"/>
  <c r="O36" i="1"/>
  <c r="I46" i="1"/>
  <c r="M34" i="1"/>
  <c r="N34" i="1"/>
  <c r="O34" i="1"/>
  <c r="K39" i="1"/>
  <c r="N39" i="1" s="1"/>
  <c r="E39" i="1"/>
  <c r="L39" i="1"/>
  <c r="O39" i="1" s="1"/>
  <c r="M17" i="1"/>
  <c r="O18" i="1"/>
  <c r="P18" i="1" s="1"/>
  <c r="AF39" i="1"/>
  <c r="AA40" i="1"/>
  <c r="AB40" i="1" s="1"/>
  <c r="AE39" i="1"/>
  <c r="AE42" i="2"/>
  <c r="AF42" i="2"/>
  <c r="S18" i="2"/>
  <c r="O19" i="2"/>
  <c r="P19" i="2" s="1"/>
  <c r="T18" i="2"/>
  <c r="M18" i="2"/>
  <c r="AA43" i="2"/>
  <c r="AB43" i="2" s="1"/>
  <c r="M46" i="1" l="1"/>
  <c r="O19" i="1"/>
  <c r="P19" i="1" s="1"/>
  <c r="M18" i="1"/>
  <c r="AF40" i="1"/>
  <c r="AA41" i="1"/>
  <c r="AB41" i="1" s="1"/>
  <c r="AE40" i="1"/>
  <c r="AF43" i="2"/>
  <c r="AE43" i="2"/>
  <c r="O20" i="2"/>
  <c r="P20" i="2" s="1"/>
  <c r="T19" i="2"/>
  <c r="S19" i="2"/>
  <c r="M19" i="2"/>
  <c r="AA44" i="2"/>
  <c r="AB44" i="2" s="1"/>
  <c r="M19" i="1" l="1"/>
  <c r="O20" i="1"/>
  <c r="P20" i="1" s="1"/>
  <c r="AF41" i="1"/>
  <c r="AA42" i="1"/>
  <c r="AB42" i="1" s="1"/>
  <c r="AE41" i="1"/>
  <c r="AF44" i="2"/>
  <c r="AE44" i="2"/>
  <c r="T20" i="2"/>
  <c r="O21" i="2"/>
  <c r="P21" i="2" s="1"/>
  <c r="S20" i="2"/>
  <c r="M20" i="2"/>
  <c r="AA45" i="2"/>
  <c r="AB45" i="2" s="1"/>
  <c r="M20" i="1" l="1"/>
  <c r="O21" i="1"/>
  <c r="P21" i="1" s="1"/>
  <c r="AF42" i="1"/>
  <c r="AA43" i="1"/>
  <c r="AB43" i="1" s="1"/>
  <c r="AE42" i="1"/>
  <c r="AF45" i="2"/>
  <c r="AE45" i="2"/>
  <c r="O22" i="2"/>
  <c r="P22" i="2" s="1"/>
  <c r="S21" i="2"/>
  <c r="T21" i="2"/>
  <c r="M21" i="2"/>
  <c r="O22" i="1" l="1"/>
  <c r="P22" i="1" s="1"/>
  <c r="M21" i="1"/>
  <c r="AF43" i="1"/>
  <c r="AA44" i="1"/>
  <c r="AB44" i="1" s="1"/>
  <c r="AE43" i="1"/>
  <c r="O23" i="2"/>
  <c r="P23" i="2" s="1"/>
  <c r="S22" i="2"/>
  <c r="T22" i="2"/>
  <c r="M22" i="2"/>
  <c r="AE46" i="2"/>
  <c r="AF46" i="2"/>
  <c r="AC34" i="2" l="1" a="1"/>
  <c r="AC35" i="2" s="1"/>
  <c r="M22" i="1"/>
  <c r="O23" i="1"/>
  <c r="P23" i="1" s="1"/>
  <c r="AF44" i="1"/>
  <c r="AA45" i="1"/>
  <c r="AB45" i="1" s="1"/>
  <c r="AE44" i="1"/>
  <c r="S23" i="2"/>
  <c r="S24" i="2" s="1"/>
  <c r="T23" i="2"/>
  <c r="M23" i="2"/>
  <c r="Q12" i="2" a="1"/>
  <c r="AC41" i="2" l="1"/>
  <c r="AC39" i="2"/>
  <c r="AC38" i="2"/>
  <c r="AC40" i="2"/>
  <c r="AC36" i="2"/>
  <c r="AC34" i="2"/>
  <c r="AC44" i="2"/>
  <c r="AC42" i="2"/>
  <c r="AC43" i="2"/>
  <c r="AC37" i="2"/>
  <c r="AC45" i="2"/>
  <c r="L46" i="2"/>
  <c r="K46" i="2"/>
  <c r="O46" i="1"/>
  <c r="M23" i="1"/>
  <c r="Q12" i="1" a="1"/>
  <c r="AF45" i="1"/>
  <c r="AF46" i="1" s="1"/>
  <c r="AE45" i="1"/>
  <c r="AE46" i="1" s="1"/>
  <c r="Q17" i="2"/>
  <c r="Q14" i="2"/>
  <c r="Q19" i="2"/>
  <c r="Q20" i="2"/>
  <c r="Q15" i="2"/>
  <c r="Q16" i="2"/>
  <c r="Q21" i="2"/>
  <c r="Q18" i="2"/>
  <c r="Q23" i="2"/>
  <c r="U23" i="2" s="1"/>
  <c r="Q13" i="2"/>
  <c r="Q22" i="2"/>
  <c r="Q12" i="2"/>
  <c r="T24" i="2"/>
  <c r="AC46" i="2" l="1"/>
  <c r="AH36" i="2" s="1"/>
  <c r="M34" i="2"/>
  <c r="O34" i="2"/>
  <c r="M36" i="2"/>
  <c r="N36" i="2"/>
  <c r="O36" i="2"/>
  <c r="M38" i="2"/>
  <c r="N38" i="2"/>
  <c r="O38" i="2"/>
  <c r="M35" i="2"/>
  <c r="N35" i="2"/>
  <c r="O35" i="2"/>
  <c r="M37" i="2"/>
  <c r="O37" i="2"/>
  <c r="N37" i="2"/>
  <c r="L46" i="1"/>
  <c r="N46" i="1"/>
  <c r="K46" i="1"/>
  <c r="Q15" i="1"/>
  <c r="Q20" i="1"/>
  <c r="Q22" i="1"/>
  <c r="Q19" i="1"/>
  <c r="Q14" i="1"/>
  <c r="Q18" i="1"/>
  <c r="Q13" i="1"/>
  <c r="Q16" i="1"/>
  <c r="Q12" i="1"/>
  <c r="Q23" i="1"/>
  <c r="Q17" i="1"/>
  <c r="Q21" i="1"/>
  <c r="AJ43" i="2"/>
  <c r="AI39" i="2"/>
  <c r="AG42" i="2"/>
  <c r="AJ37" i="2"/>
  <c r="AJ44" i="2"/>
  <c r="AI36" i="2"/>
  <c r="AG34" i="2"/>
  <c r="AG35" i="2"/>
  <c r="AJ42" i="2"/>
  <c r="AI38" i="2"/>
  <c r="AJ34" i="2"/>
  <c r="AN34" i="2" s="1"/>
  <c r="AH39" i="2"/>
  <c r="AG37" i="2"/>
  <c r="AJ38" i="2"/>
  <c r="AG45" i="2"/>
  <c r="AJ45" i="2"/>
  <c r="AI41" i="2"/>
  <c r="AI37" i="2"/>
  <c r="AH41" i="2"/>
  <c r="V12" i="2"/>
  <c r="U12" i="2"/>
  <c r="AG44" i="2"/>
  <c r="AH35" i="2"/>
  <c r="AH38" i="2"/>
  <c r="AI34" i="2"/>
  <c r="AH40" i="2"/>
  <c r="W12" i="2"/>
  <c r="Q24" i="2"/>
  <c r="U22" i="2"/>
  <c r="W22" i="2"/>
  <c r="V22" i="2"/>
  <c r="V16" i="2"/>
  <c r="U16" i="2"/>
  <c r="W16" i="2"/>
  <c r="U18" i="2"/>
  <c r="V18" i="2"/>
  <c r="W18" i="2"/>
  <c r="U15" i="2"/>
  <c r="V15" i="2"/>
  <c r="W15" i="2"/>
  <c r="U13" i="2"/>
  <c r="V13" i="2"/>
  <c r="W13" i="2"/>
  <c r="W21" i="2"/>
  <c r="V21" i="2"/>
  <c r="U21" i="2"/>
  <c r="V20" i="2"/>
  <c r="U20" i="2"/>
  <c r="W20" i="2"/>
  <c r="V23" i="2"/>
  <c r="V19" i="2"/>
  <c r="U19" i="2"/>
  <c r="W19" i="2"/>
  <c r="W23" i="2"/>
  <c r="V14" i="2"/>
  <c r="W14" i="2"/>
  <c r="U14" i="2"/>
  <c r="U17" i="2"/>
  <c r="V17" i="2"/>
  <c r="W17" i="2"/>
  <c r="AG41" i="2" l="1"/>
  <c r="AH34" i="2"/>
  <c r="AH45" i="2"/>
  <c r="AJ39" i="2"/>
  <c r="AG39" i="2"/>
  <c r="AI42" i="2"/>
  <c r="AH44" i="2"/>
  <c r="AJ40" i="2"/>
  <c r="AG38" i="2"/>
  <c r="AK42" i="2" s="1"/>
  <c r="AI40" i="2"/>
  <c r="AI45" i="2"/>
  <c r="AJ41" i="2"/>
  <c r="O46" i="2"/>
  <c r="AG40" i="2"/>
  <c r="AJ35" i="2"/>
  <c r="AN37" i="2" s="1"/>
  <c r="AQ37" i="2" s="1"/>
  <c r="AI35" i="2"/>
  <c r="AI43" i="2"/>
  <c r="AM44" i="2" s="1"/>
  <c r="AH43" i="2"/>
  <c r="AH42" i="2"/>
  <c r="AH46" i="2" s="1"/>
  <c r="AJ36" i="2"/>
  <c r="AI44" i="2"/>
  <c r="AH37" i="2"/>
  <c r="AG43" i="2"/>
  <c r="AG36" i="2"/>
  <c r="AK35" i="2"/>
  <c r="N46" i="2"/>
  <c r="M46" i="2"/>
  <c r="W17" i="1"/>
  <c r="V17" i="1"/>
  <c r="U17" i="1"/>
  <c r="Q24" i="1"/>
  <c r="AK34" i="2"/>
  <c r="AQ34" i="2" s="1"/>
  <c r="AK37" i="2"/>
  <c r="AM41" i="2"/>
  <c r="AK36" i="2"/>
  <c r="AI46" i="2"/>
  <c r="AK39" i="2"/>
  <c r="AM42" i="2"/>
  <c r="AL36" i="2"/>
  <c r="AL35" i="2"/>
  <c r="AO35" i="2" s="1"/>
  <c r="AL38" i="2"/>
  <c r="AK41" i="2"/>
  <c r="AP41" i="2" s="1"/>
  <c r="AL39" i="2"/>
  <c r="AL37" i="2"/>
  <c r="AK44" i="2"/>
  <c r="AL34" i="2"/>
  <c r="AJ46" i="2"/>
  <c r="AN38" i="2"/>
  <c r="AN36" i="2"/>
  <c r="AM39" i="2"/>
  <c r="AM40" i="2"/>
  <c r="AM38" i="2"/>
  <c r="AM36" i="2"/>
  <c r="AN45" i="2"/>
  <c r="AN41" i="2"/>
  <c r="AN39" i="2"/>
  <c r="AM34" i="2"/>
  <c r="AK43" i="2"/>
  <c r="AM37" i="2"/>
  <c r="AL41" i="2"/>
  <c r="AL42" i="2"/>
  <c r="AM35" i="2"/>
  <c r="AM43" i="2"/>
  <c r="AO39" i="2"/>
  <c r="AM45" i="2"/>
  <c r="AL40" i="2"/>
  <c r="AL44" i="2"/>
  <c r="AO44" i="2" s="1"/>
  <c r="V24" i="2"/>
  <c r="W24" i="2"/>
  <c r="U24" i="2"/>
  <c r="AL45" i="2" l="1"/>
  <c r="AO45" i="2" s="1"/>
  <c r="AP35" i="2"/>
  <c r="AL43" i="2"/>
  <c r="AO43" i="2" s="1"/>
  <c r="AN40" i="2"/>
  <c r="AN42" i="2"/>
  <c r="AQ42" i="2" s="1"/>
  <c r="AN44" i="2"/>
  <c r="AN35" i="2"/>
  <c r="AQ35" i="2" s="1"/>
  <c r="AK38" i="2"/>
  <c r="AQ38" i="2" s="1"/>
  <c r="AO42" i="2"/>
  <c r="AK45" i="2"/>
  <c r="AK40" i="2"/>
  <c r="AG46" i="2"/>
  <c r="AN43" i="2"/>
  <c r="AP38" i="2"/>
  <c r="AO36" i="2"/>
  <c r="AQ44" i="2"/>
  <c r="AQ41" i="2"/>
  <c r="AP34" i="2"/>
  <c r="AO34" i="2"/>
  <c r="AP37" i="2"/>
  <c r="AP39" i="2"/>
  <c r="AO37" i="2"/>
  <c r="AP36" i="2"/>
  <c r="AQ36" i="2"/>
  <c r="AQ39" i="2"/>
  <c r="AP42" i="2"/>
  <c r="AP44" i="2"/>
  <c r="AP40" i="2"/>
  <c r="AO41" i="2"/>
  <c r="AQ43" i="2"/>
  <c r="AP43" i="2"/>
  <c r="AQ45" i="2"/>
  <c r="AO40" i="2"/>
  <c r="AQ40" i="2"/>
  <c r="AP45" i="2"/>
  <c r="S16" i="1"/>
  <c r="T16" i="1"/>
  <c r="AO38" i="2" l="1"/>
  <c r="AO46" i="2" s="1"/>
  <c r="AP46" i="2"/>
  <c r="AQ46" i="2"/>
  <c r="S18" i="1" l="1"/>
  <c r="T18" i="1"/>
  <c r="T19" i="1" l="1"/>
  <c r="S19" i="1"/>
  <c r="T20" i="1" l="1"/>
  <c r="S20" i="1"/>
  <c r="S21" i="1" l="1"/>
  <c r="T21" i="1"/>
  <c r="T22" i="1" l="1"/>
  <c r="S22" i="1"/>
  <c r="T23" i="1" l="1"/>
  <c r="S23" i="1"/>
  <c r="AC34" i="1" a="1"/>
  <c r="AC44" i="1" l="1"/>
  <c r="AC36" i="1"/>
  <c r="AC42" i="1"/>
  <c r="AC41" i="1"/>
  <c r="AC43" i="1"/>
  <c r="AC34" i="1"/>
  <c r="AC38" i="1"/>
  <c r="AC45" i="1"/>
  <c r="AC40" i="1"/>
  <c r="AC37" i="1"/>
  <c r="AC39" i="1"/>
  <c r="AC35" i="1"/>
  <c r="U23" i="1"/>
  <c r="S24" i="1"/>
  <c r="T24" i="1"/>
  <c r="W23" i="1" l="1"/>
  <c r="U16" i="1"/>
  <c r="V16" i="1"/>
  <c r="W16" i="1"/>
  <c r="U19" i="1"/>
  <c r="W19" i="1"/>
  <c r="V19" i="1"/>
  <c r="V12" i="1"/>
  <c r="W12" i="1"/>
  <c r="U12" i="1"/>
  <c r="U18" i="1"/>
  <c r="V18" i="1"/>
  <c r="W18" i="1"/>
  <c r="AC46" i="1"/>
  <c r="AG42" i="1" s="1"/>
  <c r="U21" i="1"/>
  <c r="V21" i="1"/>
  <c r="W21" i="1"/>
  <c r="U20" i="1"/>
  <c r="V20" i="1"/>
  <c r="W20" i="1"/>
  <c r="W13" i="1"/>
  <c r="V13" i="1"/>
  <c r="U13" i="1"/>
  <c r="V23" i="1"/>
  <c r="V14" i="1"/>
  <c r="U14" i="1"/>
  <c r="W14" i="1"/>
  <c r="U22" i="1"/>
  <c r="V22" i="1"/>
  <c r="W22" i="1"/>
  <c r="U15" i="1"/>
  <c r="W15" i="1"/>
  <c r="V15" i="1"/>
  <c r="AG44" i="1"/>
  <c r="AG41" i="1" l="1"/>
  <c r="AG43" i="1"/>
  <c r="AG37" i="1"/>
  <c r="AG38" i="1"/>
  <c r="AG35" i="1"/>
  <c r="U24" i="1"/>
  <c r="AG45" i="1"/>
  <c r="AG40" i="1"/>
  <c r="AG36" i="1"/>
  <c r="W24" i="1"/>
  <c r="AI34" i="1"/>
  <c r="AJ34" i="1"/>
  <c r="AJ42" i="1"/>
  <c r="AI40" i="1"/>
  <c r="AI41" i="1"/>
  <c r="AJ35" i="1"/>
  <c r="AH45" i="1"/>
  <c r="AH39" i="1"/>
  <c r="AJ45" i="1"/>
  <c r="AJ37" i="1"/>
  <c r="AI38" i="1"/>
  <c r="AI36" i="1"/>
  <c r="AI37" i="1"/>
  <c r="AJ44" i="1"/>
  <c r="AH41" i="1"/>
  <c r="AH35" i="1"/>
  <c r="AJ43" i="1"/>
  <c r="AH44" i="1"/>
  <c r="AH36" i="1"/>
  <c r="AH38" i="1"/>
  <c r="AI35" i="1"/>
  <c r="AI42" i="1"/>
  <c r="AJ41" i="1"/>
  <c r="AH34" i="1"/>
  <c r="AJ36" i="1"/>
  <c r="AH42" i="1"/>
  <c r="AI44" i="1"/>
  <c r="AH37" i="1"/>
  <c r="AJ38" i="1"/>
  <c r="AI39" i="1"/>
  <c r="AH40" i="1"/>
  <c r="AJ40" i="1"/>
  <c r="AI43" i="1"/>
  <c r="AH43" i="1"/>
  <c r="AI45" i="1"/>
  <c r="AJ39" i="1"/>
  <c r="AG34" i="1"/>
  <c r="V24" i="1"/>
  <c r="AG39" i="1"/>
  <c r="AM39" i="1" l="1"/>
  <c r="AM40" i="1"/>
  <c r="AM44" i="1"/>
  <c r="AM36" i="1"/>
  <c r="AM41" i="1"/>
  <c r="AM42" i="1"/>
  <c r="AI46" i="1"/>
  <c r="AM35" i="1"/>
  <c r="AM43" i="1"/>
  <c r="AM38" i="1"/>
  <c r="AM37" i="1"/>
  <c r="AM45" i="1"/>
  <c r="AM34" i="1"/>
  <c r="AN35" i="1"/>
  <c r="AN45" i="1"/>
  <c r="AN40" i="1"/>
  <c r="AN37" i="1"/>
  <c r="AN34" i="1"/>
  <c r="AN39" i="1"/>
  <c r="AN43" i="1"/>
  <c r="AN44" i="1"/>
  <c r="AN42" i="1"/>
  <c r="AN41" i="1"/>
  <c r="AN38" i="1"/>
  <c r="AJ46" i="1"/>
  <c r="AN36" i="1"/>
  <c r="AG46" i="1"/>
  <c r="AK34" i="1"/>
  <c r="AK40" i="1"/>
  <c r="AK38" i="1"/>
  <c r="AK45" i="1"/>
  <c r="AQ45" i="1" s="1"/>
  <c r="AK43" i="1"/>
  <c r="AQ43" i="1" s="1"/>
  <c r="AK37" i="1"/>
  <c r="AQ37" i="1" s="1"/>
  <c r="AK36" i="1"/>
  <c r="AQ36" i="1" s="1"/>
  <c r="AK41" i="1"/>
  <c r="AQ41" i="1" s="1"/>
  <c r="AK44" i="1"/>
  <c r="AK39" i="1"/>
  <c r="AK35" i="1"/>
  <c r="AQ35" i="1" s="1"/>
  <c r="AK42" i="1"/>
  <c r="AL34" i="1"/>
  <c r="AO34" i="1" s="1"/>
  <c r="AL36" i="1"/>
  <c r="AL38" i="1"/>
  <c r="AO38" i="1" s="1"/>
  <c r="AL44" i="1"/>
  <c r="AL43" i="1"/>
  <c r="AO43" i="1" s="1"/>
  <c r="AL35" i="1"/>
  <c r="AL39" i="1"/>
  <c r="AL40" i="1"/>
  <c r="AO40" i="1" s="1"/>
  <c r="AL41" i="1"/>
  <c r="AL42" i="1"/>
  <c r="AL45" i="1"/>
  <c r="AL37" i="1"/>
  <c r="AO37" i="1" s="1"/>
  <c r="AH46" i="1"/>
  <c r="AQ34" i="1" l="1"/>
  <c r="AQ42" i="1"/>
  <c r="AO36" i="1"/>
  <c r="AO42" i="1"/>
  <c r="AQ39" i="1"/>
  <c r="AO41" i="1"/>
  <c r="AQ44" i="1"/>
  <c r="AP45" i="1"/>
  <c r="AP35" i="1"/>
  <c r="AP36" i="1"/>
  <c r="AO45" i="1"/>
  <c r="AO39" i="1"/>
  <c r="AO35" i="1"/>
  <c r="AO44" i="1"/>
  <c r="AP37" i="1"/>
  <c r="AP44" i="1"/>
  <c r="AQ38" i="1"/>
  <c r="AP38" i="1"/>
  <c r="AP42" i="1"/>
  <c r="AP40" i="1"/>
  <c r="AQ40" i="1"/>
  <c r="AP34" i="1"/>
  <c r="AP43" i="1"/>
  <c r="AP41" i="1"/>
  <c r="AP39" i="1"/>
  <c r="AO46" i="1" l="1"/>
  <c r="AQ46" i="1"/>
  <c r="AP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<sst xmlns="http://schemas.openxmlformats.org/spreadsheetml/2006/main" count="221" uniqueCount="83">
  <si>
    <t>a)</t>
  </si>
  <si>
    <t>DATOS</t>
  </si>
  <si>
    <t>X</t>
  </si>
  <si>
    <t>T</t>
  </si>
  <si>
    <t>Tamaño</t>
  </si>
  <si>
    <t>Valor Máximo</t>
  </si>
  <si>
    <t>Valor Minimo</t>
  </si>
  <si>
    <t>Media</t>
  </si>
  <si>
    <t>Varianza</t>
  </si>
  <si>
    <t>1.Parámetros de la muestra.</t>
  </si>
  <si>
    <t>2. Determinamos las constantes de las distribuciones candidatas.</t>
  </si>
  <si>
    <t>Distribucion:</t>
  </si>
  <si>
    <t>Uniforme:</t>
  </si>
  <si>
    <t>a</t>
  </si>
  <si>
    <t>b</t>
  </si>
  <si>
    <t>Exponencial Negativa</t>
  </si>
  <si>
    <t>lambda1</t>
  </si>
  <si>
    <t>lambda2</t>
  </si>
  <si>
    <t>u</t>
  </si>
  <si>
    <t>s</t>
  </si>
  <si>
    <t>D. Normal</t>
  </si>
  <si>
    <t>D.Exp Neg</t>
  </si>
  <si>
    <t>D. Uniforme</t>
  </si>
  <si>
    <t>Observadas</t>
  </si>
  <si>
    <t>Lim Sup</t>
  </si>
  <si>
    <t>Lim Inf</t>
  </si>
  <si>
    <t>n</t>
  </si>
  <si>
    <t>Val Med Int</t>
  </si>
  <si>
    <t>Chi cuadrado</t>
  </si>
  <si>
    <t>Frecuencias Esperadas</t>
  </si>
  <si>
    <t>Frecuencias</t>
  </si>
  <si>
    <t>Intervalos</t>
  </si>
  <si>
    <t>Grados de libertad</t>
  </si>
  <si>
    <t>pasos</t>
  </si>
  <si>
    <t>alfa</t>
  </si>
  <si>
    <t>chi = sum(fe-fo)^2 / fe</t>
  </si>
  <si>
    <t>intervalos</t>
  </si>
  <si>
    <t>4.Determinamos la bondad del ajuste usando Chi Cuadrado</t>
  </si>
  <si>
    <t>3. Determinaremos las Frecuencias Observadas y Esperadas</t>
  </si>
  <si>
    <t>Se elije el valor de alfa</t>
  </si>
  <si>
    <t>Alfa es el grado de confiabilidad</t>
  </si>
  <si>
    <t>Respuesta:</t>
  </si>
  <si>
    <t>Como ya se anticipó luego de observar el gráfico donde la Frecuencia Observada se parece a la Exponencial Negativa,</t>
  </si>
  <si>
    <t>vemos que, al sacar el Chi de las distribuciones el valor más cercano al Valor teórico es la Distribucion Exponencial Negativa</t>
  </si>
  <si>
    <t>de la D. Exp Neg.</t>
  </si>
  <si>
    <t>Luego de haber obtenido los datos de la tabla, procedemos a graficar</t>
  </si>
  <si>
    <t>Probabilidad</t>
  </si>
  <si>
    <t>PE: Problabilidades Esperadas</t>
  </si>
  <si>
    <t>Prob. Observada</t>
  </si>
  <si>
    <t>PEA: Probabilidades Esperadas Acumuladas</t>
  </si>
  <si>
    <t>abs(PEA-POA)</t>
  </si>
  <si>
    <t>Observada</t>
  </si>
  <si>
    <t>Acumulada(POA)</t>
  </si>
  <si>
    <t>Max diferencias</t>
  </si>
  <si>
    <t>Luego de analizar el gráfico podemos ver que a lo que más se parece la Frecuencia Observada es a la Exponencial Negativa</t>
  </si>
  <si>
    <t>A continuación realizaremos las Pruebas de Bondad(paso 4) para demostrar con datos lo mencionado recién</t>
  </si>
  <si>
    <t>Grados de libertad uniforme</t>
  </si>
  <si>
    <t>La hipótesis nula es rechazada, ya que el valor teórico es menor al valor calculado</t>
  </si>
  <si>
    <t>En este caso no se rechaza la hipotesis nula para la distribucion exponencial negativa ya que el valor calculado se encuentra debajo del valor teorico 0,09617</t>
  </si>
  <si>
    <t>T: Tiempo entre pagos realizados por los socios del gimnasio</t>
  </si>
  <si>
    <t>X:</t>
  </si>
  <si>
    <t xml:space="preserve">T: </t>
  </si>
  <si>
    <t>X: Horario de pagos efectuados (en minutos) de los socios de un gimnasio el día 07/02/2022</t>
  </si>
  <si>
    <t>Horario de ingreso (en minutos) de los socios de un gimnasio el dia 07/02/2022</t>
  </si>
  <si>
    <t>Tiempo entre los ingresos de los socios del gimnasio</t>
  </si>
  <si>
    <t>Se puede afirmar el rechazo de la hipótesis con una confianza del 95%</t>
  </si>
  <si>
    <t>En este caso se rechaza la hipotesis nula para la distribucion exponencial negativa ya que el valor calculado se encuentra por encima del valor teorico 0,09617</t>
  </si>
  <si>
    <t>La hipótesis nula es rechazada, ya que el valor teórico es menor al valor calculado de la D. Exp Neg.</t>
  </si>
  <si>
    <t>Normal</t>
  </si>
  <si>
    <t>teórico:</t>
  </si>
  <si>
    <t xml:space="preserve">Valor </t>
  </si>
  <si>
    <t xml:space="preserve"> teórico:</t>
  </si>
  <si>
    <t>Valor</t>
  </si>
  <si>
    <t>5. Determinamos la bondad de ajuste usando K-S. Kolmogorov-Smirnov</t>
  </si>
  <si>
    <t>Frecuencia</t>
  </si>
  <si>
    <t>V.T uniforme</t>
  </si>
  <si>
    <t xml:space="preserve">V.T exp </t>
  </si>
  <si>
    <t xml:space="preserve">V.T normal </t>
  </si>
  <si>
    <t>V.T exp</t>
  </si>
  <si>
    <t>V.T normal</t>
  </si>
  <si>
    <t>Hay intervalos con frecuencia menor a 5 por lo que necesitamos modificar los intervalos para poder calcular chi cuadrado correctamente</t>
  </si>
  <si>
    <t>Grafico correspondiente a los 6 intervalos</t>
  </si>
  <si>
    <t>Grafico correspondiente a los 12 intervalos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</si>
</sst>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#,##0.00000"/>
    <numFmt numFmtId="167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/>
    <xf numFmtId="164" fontId="0" fillId="0" borderId="10" xfId="0" applyNumberForma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NumberFormat="1"/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34" borderId="0" xfId="0" applyFont="1" applyFill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15" fillId="34" borderId="11" xfId="0" applyFont="1" applyFill="1" applyBorder="1" applyAlignment="1">
      <alignment horizontal="left" vertical="center"/>
    </xf>
    <xf numFmtId="0" fontId="15" fillId="34" borderId="11" xfId="0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15" fillId="35" borderId="25" xfId="0" applyFont="1" applyFill="1" applyBorder="1" applyAlignment="1">
      <alignment horizontal="center" vertical="center"/>
    </xf>
    <xf numFmtId="0" fontId="15" fillId="35" borderId="0" xfId="0" applyFont="1" applyFill="1" applyBorder="1" applyAlignment="1">
      <alignment horizontal="center" vertical="center"/>
    </xf>
    <xf numFmtId="164" fontId="0" fillId="35" borderId="25" xfId="0" applyNumberFormat="1" applyFill="1" applyBorder="1" applyAlignment="1">
      <alignment horizontal="center" vertical="center"/>
    </xf>
    <xf numFmtId="0" fontId="15" fillId="33" borderId="22" xfId="0" applyFont="1" applyFill="1" applyBorder="1" applyAlignment="1">
      <alignment horizontal="center" vertical="center"/>
    </xf>
    <xf numFmtId="0" fontId="15" fillId="33" borderId="23" xfId="0" applyFont="1" applyFill="1" applyBorder="1" applyAlignment="1">
      <alignment horizontal="center" vertical="center"/>
    </xf>
    <xf numFmtId="0" fontId="15" fillId="33" borderId="24" xfId="0" applyFont="1" applyFill="1" applyBorder="1" applyAlignment="1">
      <alignment horizontal="center" vertical="center"/>
    </xf>
    <xf numFmtId="0" fontId="15" fillId="33" borderId="25" xfId="0" applyFont="1" applyFill="1" applyBorder="1" applyAlignment="1">
      <alignment horizontal="center" vertical="center"/>
    </xf>
    <xf numFmtId="0" fontId="15" fillId="36" borderId="25" xfId="0" applyFont="1" applyFill="1" applyBorder="1" applyAlignment="1">
      <alignment horizontal="center" vertical="center"/>
    </xf>
    <xf numFmtId="0" fontId="15" fillId="37" borderId="20" xfId="0" applyFont="1" applyFill="1" applyBorder="1" applyAlignment="1">
      <alignment horizontal="center" vertical="center"/>
    </xf>
    <xf numFmtId="164" fontId="0" fillId="33" borderId="25" xfId="0" applyNumberFormat="1" applyFill="1" applyBorder="1" applyAlignment="1">
      <alignment horizontal="center" vertical="center"/>
    </xf>
    <xf numFmtId="164" fontId="0" fillId="33" borderId="15" xfId="0" applyNumberFormat="1" applyFill="1" applyBorder="1" applyAlignment="1">
      <alignment horizontal="center" vertical="center"/>
    </xf>
    <xf numFmtId="0" fontId="0" fillId="37" borderId="25" xfId="0" applyFill="1" applyBorder="1" applyAlignment="1">
      <alignment horizontal="center" vertical="center"/>
    </xf>
    <xf numFmtId="0" fontId="0" fillId="37" borderId="20" xfId="0" applyFill="1" applyBorder="1" applyAlignment="1">
      <alignment horizontal="center" vertical="center"/>
    </xf>
    <xf numFmtId="0" fontId="0" fillId="36" borderId="25" xfId="0" applyFill="1" applyBorder="1" applyAlignment="1">
      <alignment horizontal="center" vertical="center"/>
    </xf>
    <xf numFmtId="164" fontId="0" fillId="36" borderId="25" xfId="0" applyNumberFormat="1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36" borderId="20" xfId="0" applyNumberFormat="1" applyFill="1" applyBorder="1" applyAlignment="1">
      <alignment horizontal="center" vertical="center"/>
    </xf>
    <xf numFmtId="0" fontId="15" fillId="38" borderId="11" xfId="0" applyFont="1" applyFill="1" applyBorder="1" applyAlignment="1">
      <alignment horizontal="left" vertical="center"/>
    </xf>
    <xf numFmtId="0" fontId="0" fillId="38" borderId="12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15" fillId="36" borderId="22" xfId="0" applyFont="1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15" fillId="37" borderId="21" xfId="0" applyFont="1" applyFill="1" applyBorder="1" applyAlignment="1">
      <alignment horizontal="center" vertical="center"/>
    </xf>
    <xf numFmtId="0" fontId="15" fillId="37" borderId="19" xfId="0" applyFont="1" applyFill="1" applyBorder="1" applyAlignment="1">
      <alignment horizontal="center" vertical="center"/>
    </xf>
    <xf numFmtId="0" fontId="15" fillId="36" borderId="23" xfId="0" applyFont="1" applyFill="1" applyBorder="1" applyAlignment="1">
      <alignment horizontal="center" vertical="center"/>
    </xf>
    <xf numFmtId="164" fontId="0" fillId="37" borderId="25" xfId="0" applyNumberFormat="1" applyFill="1" applyBorder="1" applyAlignment="1">
      <alignment horizontal="center" vertical="center"/>
    </xf>
    <xf numFmtId="164" fontId="0" fillId="33" borderId="14" xfId="0" applyNumberFormat="1" applyFill="1" applyBorder="1" applyAlignment="1">
      <alignment horizontal="center" vertical="center"/>
    </xf>
    <xf numFmtId="165" fontId="0" fillId="33" borderId="25" xfId="0" applyNumberFormat="1" applyFill="1" applyBorder="1" applyAlignment="1">
      <alignment horizontal="center" vertical="center"/>
    </xf>
    <xf numFmtId="0" fontId="15" fillId="35" borderId="22" xfId="0" applyFont="1" applyFill="1" applyBorder="1" applyAlignment="1">
      <alignment horizontal="center" vertical="center"/>
    </xf>
    <xf numFmtId="0" fontId="15" fillId="35" borderId="23" xfId="0" applyFont="1" applyFill="1" applyBorder="1" applyAlignment="1">
      <alignment horizontal="center" vertical="center"/>
    </xf>
    <xf numFmtId="0" fontId="15" fillId="35" borderId="24" xfId="0" applyFont="1" applyFill="1" applyBorder="1" applyAlignment="1">
      <alignment horizontal="center" vertical="center"/>
    </xf>
    <xf numFmtId="165" fontId="0" fillId="35" borderId="25" xfId="0" applyNumberFormat="1" applyFont="1" applyFill="1" applyBorder="1" applyAlignment="1">
      <alignment horizontal="center" vertical="center"/>
    </xf>
    <xf numFmtId="167" fontId="18" fillId="35" borderId="25" xfId="0" applyNumberFormat="1" applyFont="1" applyFill="1" applyBorder="1" applyAlignment="1">
      <alignment horizontal="center" vertical="center"/>
    </xf>
    <xf numFmtId="164" fontId="18" fillId="35" borderId="25" xfId="0" applyNumberFormat="1" applyFont="1" applyFill="1" applyBorder="1" applyAlignment="1">
      <alignment horizontal="center" vertical="center"/>
    </xf>
    <xf numFmtId="0" fontId="15" fillId="38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66" fontId="0" fillId="0" borderId="24" xfId="0" applyNumberForma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0" fillId="0" borderId="22" xfId="0" applyBorder="1" applyAlignment="1">
      <alignment horizontal="right" vertical="center"/>
    </xf>
    <xf numFmtId="0" fontId="0" fillId="38" borderId="11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15" fillId="38" borderId="0" xfId="0" applyFont="1" applyFill="1" applyAlignment="1">
      <alignment horizontal="left" vertical="center"/>
    </xf>
    <xf numFmtId="0" fontId="15" fillId="38" borderId="11" xfId="0" applyFont="1" applyFill="1" applyBorder="1" applyAlignment="1">
      <alignment horizontal="center" vertical="center"/>
    </xf>
    <xf numFmtId="0" fontId="15" fillId="36" borderId="0" xfId="0" applyFont="1" applyFill="1" applyBorder="1" applyAlignment="1">
      <alignment horizontal="center" vertical="center"/>
    </xf>
    <xf numFmtId="164" fontId="0" fillId="36" borderId="18" xfId="0" applyNumberFormat="1" applyFill="1" applyBorder="1" applyAlignment="1">
      <alignment horizontal="center" vertical="center"/>
    </xf>
    <xf numFmtId="0" fontId="15" fillId="33" borderId="11" xfId="0" applyFont="1" applyFill="1" applyBorder="1" applyAlignment="1">
      <alignment horizontal="center" vertical="center"/>
    </xf>
    <xf numFmtId="0" fontId="15" fillId="33" borderId="12" xfId="0" applyFont="1" applyFill="1" applyBorder="1" applyAlignment="1">
      <alignment horizontal="center" vertical="center"/>
    </xf>
    <xf numFmtId="0" fontId="15" fillId="33" borderId="13" xfId="0" applyFont="1" applyFill="1" applyBorder="1" applyAlignment="1">
      <alignment horizontal="center" vertical="center"/>
    </xf>
    <xf numFmtId="164" fontId="0" fillId="36" borderId="15" xfId="0" applyNumberFormat="1" applyFill="1" applyBorder="1" applyAlignment="1">
      <alignment horizontal="center" vertical="center"/>
    </xf>
    <xf numFmtId="164" fontId="0" fillId="37" borderId="19" xfId="0" applyNumberFormat="1" applyFill="1" applyBorder="1" applyAlignment="1">
      <alignment horizontal="center" vertical="center"/>
    </xf>
    <xf numFmtId="0" fontId="15" fillId="33" borderId="0" xfId="0" applyFont="1" applyFill="1" applyBorder="1" applyAlignment="1">
      <alignment horizontal="center" vertical="center"/>
    </xf>
    <xf numFmtId="0" fontId="15" fillId="33" borderId="15" xfId="0" applyFont="1" applyFill="1" applyBorder="1" applyAlignment="1">
      <alignment horizontal="center" vertical="center"/>
    </xf>
    <xf numFmtId="0" fontId="15" fillId="35" borderId="12" xfId="0" applyFont="1" applyFill="1" applyBorder="1" applyAlignment="1">
      <alignment horizontal="center" vertical="center"/>
    </xf>
    <xf numFmtId="165" fontId="0" fillId="35" borderId="16" xfId="0" applyNumberFormat="1" applyFont="1" applyFill="1" applyBorder="1" applyAlignment="1">
      <alignment horizontal="center" vertical="center"/>
    </xf>
    <xf numFmtId="0" fontId="15" fillId="36" borderId="22" xfId="0" applyFont="1" applyFill="1" applyBorder="1" applyAlignment="1">
      <alignment horizontal="center" vertical="center"/>
    </xf>
    <xf numFmtId="0" fontId="15" fillId="33" borderId="23" xfId="0" applyFont="1" applyFill="1" applyBorder="1" applyAlignment="1">
      <alignment horizontal="center" vertical="center"/>
    </xf>
    <xf numFmtId="0" fontId="15" fillId="33" borderId="24" xfId="0" applyFont="1" applyFill="1" applyBorder="1" applyAlignment="1">
      <alignment horizontal="center" vertical="center"/>
    </xf>
    <xf numFmtId="0" fontId="15" fillId="33" borderId="12" xfId="0" applyFont="1" applyFill="1" applyBorder="1" applyAlignment="1">
      <alignment horizontal="center" vertical="center"/>
    </xf>
    <xf numFmtId="0" fontId="15" fillId="33" borderId="13" xfId="0" applyFont="1" applyFill="1" applyBorder="1" applyAlignment="1">
      <alignment horizontal="center" vertical="center"/>
    </xf>
    <xf numFmtId="164" fontId="0" fillId="37" borderId="18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22" xfId="0" applyFont="1" applyBorder="1" applyAlignment="1">
      <alignment horizontal="left" vertical="center"/>
    </xf>
    <xf numFmtId="0" fontId="15" fillId="35" borderId="22" xfId="0" applyFont="1" applyFill="1" applyBorder="1" applyAlignment="1">
      <alignment horizontal="center" vertical="center"/>
    </xf>
    <xf numFmtId="0" fontId="15" fillId="35" borderId="23" xfId="0" applyFont="1" applyFill="1" applyBorder="1" applyAlignment="1">
      <alignment horizontal="center" vertical="center"/>
    </xf>
    <xf numFmtId="0" fontId="15" fillId="35" borderId="24" xfId="0" applyFont="1" applyFill="1" applyBorder="1" applyAlignment="1">
      <alignment horizontal="center" vertical="center"/>
    </xf>
    <xf numFmtId="0" fontId="15" fillId="36" borderId="22" xfId="0" applyFont="1" applyFill="1" applyBorder="1" applyAlignment="1">
      <alignment horizontal="center" vertical="center"/>
    </xf>
    <xf numFmtId="0" fontId="15" fillId="36" borderId="23" xfId="0" applyFont="1" applyFill="1" applyBorder="1" applyAlignment="1">
      <alignment horizontal="center" vertical="center"/>
    </xf>
    <xf numFmtId="0" fontId="15" fillId="35" borderId="11" xfId="0" applyFont="1" applyFill="1" applyBorder="1" applyAlignment="1">
      <alignment horizontal="center" vertical="center"/>
    </xf>
    <xf numFmtId="0" fontId="15" fillId="35" borderId="12" xfId="0" applyFont="1" applyFill="1" applyBorder="1" applyAlignment="1">
      <alignment horizontal="center" vertical="center"/>
    </xf>
    <xf numFmtId="0" fontId="15" fillId="35" borderId="13" xfId="0" applyFont="1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15" fillId="36" borderId="24" xfId="0" applyFont="1" applyFill="1" applyBorder="1" applyAlignment="1">
      <alignment horizontal="center" vertical="center"/>
    </xf>
    <xf numFmtId="0" fontId="15" fillId="33" borderId="22" xfId="0" applyFont="1" applyFill="1" applyBorder="1" applyAlignment="1">
      <alignment horizontal="center" vertical="center"/>
    </xf>
    <xf numFmtId="0" fontId="15" fillId="33" borderId="23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5" fillId="33" borderId="24" xfId="0" applyFont="1" applyFill="1" applyBorder="1" applyAlignment="1">
      <alignment horizontal="center" vertical="center"/>
    </xf>
    <xf numFmtId="0" fontId="15" fillId="33" borderId="11" xfId="0" applyFont="1" applyFill="1" applyBorder="1" applyAlignment="1">
      <alignment horizontal="center" vertical="center"/>
    </xf>
    <xf numFmtId="0" fontId="15" fillId="33" borderId="12" xfId="0" applyFont="1" applyFill="1" applyBorder="1" applyAlignment="1">
      <alignment horizontal="center" vertical="center"/>
    </xf>
    <xf numFmtId="0" fontId="15" fillId="33" borderId="1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5" fillId="38" borderId="22" xfId="0" applyFont="1" applyFill="1" applyBorder="1" applyAlignment="1">
      <alignment horizontal="left" vertical="center"/>
    </xf>
    <xf numFmtId="0" fontId="15" fillId="38" borderId="23" xfId="0" applyFont="1" applyFill="1" applyBorder="1" applyAlignment="1">
      <alignment horizontal="center" vertical="center"/>
    </xf>
    <xf numFmtId="0" fontId="15" fillId="38" borderId="24" xfId="0" applyFont="1" applyFill="1" applyBorder="1" applyAlignment="1">
      <alignment horizontal="center" vertical="center"/>
    </xf>
    <xf numFmtId="0" fontId="0" fillId="38" borderId="22" xfId="0" applyFill="1" applyBorder="1" applyAlignment="1">
      <alignment horizontal="left" vertical="center"/>
    </xf>
    <xf numFmtId="0" fontId="0" fillId="38" borderId="23" xfId="0" applyFill="1" applyBorder="1" applyAlignment="1">
      <alignment horizontal="center" vertical="center"/>
    </xf>
    <xf numFmtId="0" fontId="0" fillId="38" borderId="24" xfId="0" applyFill="1" applyBorder="1" applyAlignment="1">
      <alignment horizontal="center" vertical="center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00000000-0005-0000-0000-00000C000000}"/>
    <cellStyle name="60% - Énfasis2 2" xfId="37" xr:uid="{00000000-0005-0000-0000-00000D000000}"/>
    <cellStyle name="60% - Énfasis3 2" xfId="38" xr:uid="{00000000-0005-0000-0000-00000E000000}"/>
    <cellStyle name="60% - Énfasis4 2" xfId="39" xr:uid="{00000000-0005-0000-0000-00000F000000}"/>
    <cellStyle name="60% - Énfasis5 2" xfId="40" xr:uid="{00000000-0005-0000-0000-000010000000}"/>
    <cellStyle name="60% - Énfasis6 2" xfId="41" xr:uid="{00000000-0005-0000-0000-000011000000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00000000-0005-0000-0000-000020000000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[1]Hoja1!$Q$11</c:f>
              <c:strCache>
                <c:ptCount val="1"/>
                <c:pt idx="0">
                  <c:v>Observadas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'Experiencia 1 (Pagos)'!$O$12:$P$23</c:f>
              <c:multiLvlStrCache>
                <c:ptCount val="12"/>
                <c:lvl>
                  <c:pt idx="0">
                    <c:v>2,101</c:v>
                  </c:pt>
                  <c:pt idx="1">
                    <c:v>4,168</c:v>
                  </c:pt>
                  <c:pt idx="2">
                    <c:v>6,235</c:v>
                  </c:pt>
                  <c:pt idx="3">
                    <c:v>8,302</c:v>
                  </c:pt>
                  <c:pt idx="4">
                    <c:v>10,369</c:v>
                  </c:pt>
                  <c:pt idx="5">
                    <c:v>12,437</c:v>
                  </c:pt>
                  <c:pt idx="6">
                    <c:v>14,504</c:v>
                  </c:pt>
                  <c:pt idx="7">
                    <c:v>16,571</c:v>
                  </c:pt>
                  <c:pt idx="8">
                    <c:v>18,638</c:v>
                  </c:pt>
                  <c:pt idx="9">
                    <c:v>20,706</c:v>
                  </c:pt>
                  <c:pt idx="10">
                    <c:v>22,773</c:v>
                  </c:pt>
                  <c:pt idx="11">
                    <c:v>24,840</c:v>
                  </c:pt>
                </c:lvl>
                <c:lvl>
                  <c:pt idx="0">
                    <c:v>0,033</c:v>
                  </c:pt>
                  <c:pt idx="1">
                    <c:v>2,101</c:v>
                  </c:pt>
                  <c:pt idx="2">
                    <c:v>4,168</c:v>
                  </c:pt>
                  <c:pt idx="3">
                    <c:v>6,235</c:v>
                  </c:pt>
                  <c:pt idx="4">
                    <c:v>8,302</c:v>
                  </c:pt>
                  <c:pt idx="5">
                    <c:v>10,369</c:v>
                  </c:pt>
                  <c:pt idx="6">
                    <c:v>12,437</c:v>
                  </c:pt>
                  <c:pt idx="7">
                    <c:v>14,504</c:v>
                  </c:pt>
                  <c:pt idx="8">
                    <c:v>16,571</c:v>
                  </c:pt>
                  <c:pt idx="9">
                    <c:v>18,638</c:v>
                  </c:pt>
                  <c:pt idx="10">
                    <c:v>20,706</c:v>
                  </c:pt>
                  <c:pt idx="11">
                    <c:v>22,773</c:v>
                  </c:pt>
                </c:lvl>
              </c:multiLvlStrCache>
            </c:multiLvlStrRef>
          </c:cat>
          <c:val>
            <c:numRef>
              <c:f>[1]Hoja1!$Q$12:$Q$23</c:f>
              <c:numCache>
                <c:formatCode>General</c:formatCode>
                <c:ptCount val="12"/>
                <c:pt idx="0">
                  <c:v>52</c:v>
                </c:pt>
                <c:pt idx="1">
                  <c:v>59</c:v>
                </c:pt>
                <c:pt idx="2">
                  <c:v>43</c:v>
                </c:pt>
                <c:pt idx="3">
                  <c:v>17</c:v>
                </c:pt>
                <c:pt idx="4">
                  <c:v>11</c:v>
                </c:pt>
                <c:pt idx="5">
                  <c:v>9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07-49BE-B678-BE1BDB2AED4C}"/>
            </c:ext>
          </c:extLst>
        </c:ser>
        <c:ser>
          <c:idx val="1"/>
          <c:order val="1"/>
          <c:tx>
            <c:strRef>
              <c:f>[1]Hoja1!$R$11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'Experiencia 1 (Pagos)'!$O$12:$P$23</c:f>
              <c:multiLvlStrCache>
                <c:ptCount val="12"/>
                <c:lvl>
                  <c:pt idx="0">
                    <c:v>2,101</c:v>
                  </c:pt>
                  <c:pt idx="1">
                    <c:v>4,168</c:v>
                  </c:pt>
                  <c:pt idx="2">
                    <c:v>6,235</c:v>
                  </c:pt>
                  <c:pt idx="3">
                    <c:v>8,302</c:v>
                  </c:pt>
                  <c:pt idx="4">
                    <c:v>10,369</c:v>
                  </c:pt>
                  <c:pt idx="5">
                    <c:v>12,437</c:v>
                  </c:pt>
                  <c:pt idx="6">
                    <c:v>14,504</c:v>
                  </c:pt>
                  <c:pt idx="7">
                    <c:v>16,571</c:v>
                  </c:pt>
                  <c:pt idx="8">
                    <c:v>18,638</c:v>
                  </c:pt>
                  <c:pt idx="9">
                    <c:v>20,706</c:v>
                  </c:pt>
                  <c:pt idx="10">
                    <c:v>22,773</c:v>
                  </c:pt>
                  <c:pt idx="11">
                    <c:v>24,840</c:v>
                  </c:pt>
                </c:lvl>
                <c:lvl>
                  <c:pt idx="0">
                    <c:v>0,033</c:v>
                  </c:pt>
                  <c:pt idx="1">
                    <c:v>2,101</c:v>
                  </c:pt>
                  <c:pt idx="2">
                    <c:v>4,168</c:v>
                  </c:pt>
                  <c:pt idx="3">
                    <c:v>6,235</c:v>
                  </c:pt>
                  <c:pt idx="4">
                    <c:v>8,302</c:v>
                  </c:pt>
                  <c:pt idx="5">
                    <c:v>10,369</c:v>
                  </c:pt>
                  <c:pt idx="6">
                    <c:v>12,437</c:v>
                  </c:pt>
                  <c:pt idx="7">
                    <c:v>14,504</c:v>
                  </c:pt>
                  <c:pt idx="8">
                    <c:v>16,571</c:v>
                  </c:pt>
                  <c:pt idx="9">
                    <c:v>18,638</c:v>
                  </c:pt>
                  <c:pt idx="10">
                    <c:v>20,706</c:v>
                  </c:pt>
                  <c:pt idx="11">
                    <c:v>22,773</c:v>
                  </c:pt>
                </c:lvl>
              </c:multiLvlStrCache>
            </c:multiLvlStrRef>
          </c:cat>
          <c:val>
            <c:numRef>
              <c:f>[1]Hoja1!$R$12:$R$23</c:f>
              <c:numCache>
                <c:formatCode>General</c:formatCode>
                <c:ptCount val="12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  <c:pt idx="6">
                  <c:v>16.666666666666668</c:v>
                </c:pt>
                <c:pt idx="7">
                  <c:v>16.666666666666668</c:v>
                </c:pt>
                <c:pt idx="8">
                  <c:v>16.666666666666668</c:v>
                </c:pt>
                <c:pt idx="9">
                  <c:v>16.666666666666668</c:v>
                </c:pt>
                <c:pt idx="10">
                  <c:v>16.666666666666668</c:v>
                </c:pt>
                <c:pt idx="11">
                  <c:v>16.666666666666668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A07-49BE-B678-BE1BDB2AED4C}"/>
            </c:ext>
          </c:extLst>
        </c:ser>
        <c:ser>
          <c:idx val="2"/>
          <c:order val="2"/>
          <c:tx>
            <c:strRef>
              <c:f>[1]Hoja1!$S$11</c:f>
              <c:strCache>
                <c:ptCount val="1"/>
                <c:pt idx="0">
                  <c:v>D.Exp Neg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'Experiencia 1 (Pagos)'!$O$12:$P$23</c:f>
              <c:multiLvlStrCache>
                <c:ptCount val="12"/>
                <c:lvl>
                  <c:pt idx="0">
                    <c:v>2,101</c:v>
                  </c:pt>
                  <c:pt idx="1">
                    <c:v>4,168</c:v>
                  </c:pt>
                  <c:pt idx="2">
                    <c:v>6,235</c:v>
                  </c:pt>
                  <c:pt idx="3">
                    <c:v>8,302</c:v>
                  </c:pt>
                  <c:pt idx="4">
                    <c:v>10,369</c:v>
                  </c:pt>
                  <c:pt idx="5">
                    <c:v>12,437</c:v>
                  </c:pt>
                  <c:pt idx="6">
                    <c:v>14,504</c:v>
                  </c:pt>
                  <c:pt idx="7">
                    <c:v>16,571</c:v>
                  </c:pt>
                  <c:pt idx="8">
                    <c:v>18,638</c:v>
                  </c:pt>
                  <c:pt idx="9">
                    <c:v>20,706</c:v>
                  </c:pt>
                  <c:pt idx="10">
                    <c:v>22,773</c:v>
                  </c:pt>
                  <c:pt idx="11">
                    <c:v>24,840</c:v>
                  </c:pt>
                </c:lvl>
                <c:lvl>
                  <c:pt idx="0">
                    <c:v>0,033</c:v>
                  </c:pt>
                  <c:pt idx="1">
                    <c:v>2,101</c:v>
                  </c:pt>
                  <c:pt idx="2">
                    <c:v>4,168</c:v>
                  </c:pt>
                  <c:pt idx="3">
                    <c:v>6,235</c:v>
                  </c:pt>
                  <c:pt idx="4">
                    <c:v>8,302</c:v>
                  </c:pt>
                  <c:pt idx="5">
                    <c:v>10,369</c:v>
                  </c:pt>
                  <c:pt idx="6">
                    <c:v>12,437</c:v>
                  </c:pt>
                  <c:pt idx="7">
                    <c:v>14,504</c:v>
                  </c:pt>
                  <c:pt idx="8">
                    <c:v>16,571</c:v>
                  </c:pt>
                  <c:pt idx="9">
                    <c:v>18,638</c:v>
                  </c:pt>
                  <c:pt idx="10">
                    <c:v>20,706</c:v>
                  </c:pt>
                  <c:pt idx="11">
                    <c:v>22,773</c:v>
                  </c:pt>
                </c:lvl>
              </c:multiLvlStrCache>
            </c:multiLvlStrRef>
          </c:cat>
          <c:val>
            <c:numRef>
              <c:f>[1]Hoja1!$S$12:$S$23</c:f>
              <c:numCache>
                <c:formatCode>General</c:formatCode>
                <c:ptCount val="12"/>
                <c:pt idx="0">
                  <c:v>70.839975522838927</c:v>
                </c:pt>
                <c:pt idx="1">
                  <c:v>45.56755421425197</c:v>
                </c:pt>
                <c:pt idx="2">
                  <c:v>29.311161978018418</c:v>
                </c:pt>
                <c:pt idx="3">
                  <c:v>18.854297346354464</c:v>
                </c:pt>
                <c:pt idx="4">
                  <c:v>12.127957557306669</c:v>
                </c:pt>
                <c:pt idx="5">
                  <c:v>7.8012641791857407</c:v>
                </c:pt>
                <c:pt idx="6">
                  <c:v>5.0181345462229743</c:v>
                </c:pt>
                <c:pt idx="7">
                  <c:v>3.227896626188187</c:v>
                </c:pt>
                <c:pt idx="8">
                  <c:v>2.0763326557673878</c:v>
                </c:pt>
                <c:pt idx="9">
                  <c:v>1.3355933589784597</c:v>
                </c:pt>
                <c:pt idx="10">
                  <c:v>0.85911552543980196</c:v>
                </c:pt>
                <c:pt idx="11">
                  <c:v>0.5526229080805356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A07-49BE-B678-BE1BDB2AED4C}"/>
            </c:ext>
          </c:extLst>
        </c:ser>
        <c:ser>
          <c:idx val="3"/>
          <c:order val="3"/>
          <c:tx>
            <c:strRef>
              <c:f>[1]Hoja1!$T$11</c:f>
              <c:strCache>
                <c:ptCount val="1"/>
                <c:pt idx="0">
                  <c:v>D. 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'Experiencia 1 (Pagos)'!$O$12:$P$23</c:f>
              <c:multiLvlStrCache>
                <c:ptCount val="12"/>
                <c:lvl>
                  <c:pt idx="0">
                    <c:v>2,101</c:v>
                  </c:pt>
                  <c:pt idx="1">
                    <c:v>4,168</c:v>
                  </c:pt>
                  <c:pt idx="2">
                    <c:v>6,235</c:v>
                  </c:pt>
                  <c:pt idx="3">
                    <c:v>8,302</c:v>
                  </c:pt>
                  <c:pt idx="4">
                    <c:v>10,369</c:v>
                  </c:pt>
                  <c:pt idx="5">
                    <c:v>12,437</c:v>
                  </c:pt>
                  <c:pt idx="6">
                    <c:v>14,504</c:v>
                  </c:pt>
                  <c:pt idx="7">
                    <c:v>16,571</c:v>
                  </c:pt>
                  <c:pt idx="8">
                    <c:v>18,638</c:v>
                  </c:pt>
                  <c:pt idx="9">
                    <c:v>20,706</c:v>
                  </c:pt>
                  <c:pt idx="10">
                    <c:v>22,773</c:v>
                  </c:pt>
                  <c:pt idx="11">
                    <c:v>24,840</c:v>
                  </c:pt>
                </c:lvl>
                <c:lvl>
                  <c:pt idx="0">
                    <c:v>0,033</c:v>
                  </c:pt>
                  <c:pt idx="1">
                    <c:v>2,101</c:v>
                  </c:pt>
                  <c:pt idx="2">
                    <c:v>4,168</c:v>
                  </c:pt>
                  <c:pt idx="3">
                    <c:v>6,235</c:v>
                  </c:pt>
                  <c:pt idx="4">
                    <c:v>8,302</c:v>
                  </c:pt>
                  <c:pt idx="5">
                    <c:v>10,369</c:v>
                  </c:pt>
                  <c:pt idx="6">
                    <c:v>12,437</c:v>
                  </c:pt>
                  <c:pt idx="7">
                    <c:v>14,504</c:v>
                  </c:pt>
                  <c:pt idx="8">
                    <c:v>16,571</c:v>
                  </c:pt>
                  <c:pt idx="9">
                    <c:v>18,638</c:v>
                  </c:pt>
                  <c:pt idx="10">
                    <c:v>20,706</c:v>
                  </c:pt>
                  <c:pt idx="11">
                    <c:v>22,773</c:v>
                  </c:pt>
                </c:lvl>
              </c:multiLvlStrCache>
            </c:multiLvlStrRef>
          </c:cat>
          <c:val>
            <c:numRef>
              <c:f>[1]Hoja1!$T$12:$T$23</c:f>
              <c:numCache>
                <c:formatCode>General</c:formatCode>
                <c:ptCount val="12"/>
                <c:pt idx="0">
                  <c:v>27.526450954416358</c:v>
                </c:pt>
                <c:pt idx="1">
                  <c:v>39.26621470526387</c:v>
                </c:pt>
                <c:pt idx="2">
                  <c:v>42.158318674791694</c:v>
                </c:pt>
                <c:pt idx="3">
                  <c:v>34.068204595331238</c:v>
                </c:pt>
                <c:pt idx="4">
                  <c:v>20.72039995346897</c:v>
                </c:pt>
                <c:pt idx="5">
                  <c:v>9.4838962856007125</c:v>
                </c:pt>
                <c:pt idx="6">
                  <c:v>3.2662496971044952</c:v>
                </c:pt>
                <c:pt idx="7">
                  <c:v>0.84625212921911608</c:v>
                </c:pt>
                <c:pt idx="8">
                  <c:v>0.16490529643222729</c:v>
                </c:pt>
                <c:pt idx="9">
                  <c:v>2.4162209535427692E-2</c:v>
                </c:pt>
                <c:pt idx="10">
                  <c:v>2.6612050812335752E-3</c:v>
                </c:pt>
                <c:pt idx="11">
                  <c:v>2.2025474888387464E-4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07-49BE-B678-BE1BDB2AE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671520"/>
        <c:axId val="291670400"/>
      </c:barChart>
      <c:catAx>
        <c:axId val="29167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91670400"/>
        <c:crosses val="autoZero"/>
        <c:auto val="1"/>
        <c:lblAlgn val="ctr"/>
        <c:lblOffset val="100"/>
        <c:noMultiLvlLbl val="0"/>
      </c:catAx>
      <c:valAx>
        <c:axId val="2916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9167152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'Experiencia 1 (Pagos)'!$I$33</c:f>
              <c:strCache>
                <c:ptCount val="1"/>
                <c:pt idx="0">
                  <c:v>Observada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'Experiencia 1 (Pagos)'!$G$34:$H$39</c:f>
              <c:multiLvlStrCache>
                <c:ptCount val="6"/>
                <c:lvl>
                  <c:pt idx="0">
                    <c:v>2,101</c:v>
                  </c:pt>
                  <c:pt idx="1">
                    <c:v>4,168</c:v>
                  </c:pt>
                  <c:pt idx="2">
                    <c:v>6,235</c:v>
                  </c:pt>
                  <c:pt idx="3">
                    <c:v>8,302</c:v>
                  </c:pt>
                  <c:pt idx="4">
                    <c:v>10,369</c:v>
                  </c:pt>
                  <c:pt idx="5">
                    <c:v>24,840</c:v>
                  </c:pt>
                </c:lvl>
                <c:lvl>
                  <c:pt idx="0">
                    <c:v>0,033</c:v>
                  </c:pt>
                  <c:pt idx="1">
                    <c:v>2,101</c:v>
                  </c:pt>
                  <c:pt idx="2">
                    <c:v>4,168</c:v>
                  </c:pt>
                  <c:pt idx="3">
                    <c:v>6,235</c:v>
                  </c:pt>
                  <c:pt idx="4">
                    <c:v>8,302</c:v>
                  </c:pt>
                  <c:pt idx="5">
                    <c:v>10,369</c:v>
                  </c:pt>
                </c:lvl>
              </c:multiLvlStrCache>
            </c:multiLvlStrRef>
          </c:cat>
          <c:val>
            <c:numRef>
              <c:f>'Experiencia 1 (Pagos)'!$I$34:$I$39</c:f>
              <c:numCache>
                <c:formatCode>0.000</c:formatCode>
                <c:ptCount val="6"/>
                <c:pt idx="0">
                  <c:v>53</c:v>
                </c:pt>
                <c:pt idx="1">
                  <c:v>60</c:v>
                </c:pt>
                <c:pt idx="2">
                  <c:v>42</c:v>
                </c:pt>
                <c:pt idx="3">
                  <c:v>18</c:v>
                </c:pt>
                <c:pt idx="4">
                  <c:v>9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0-4332-A929-D7975F23ACE2}"/>
            </c:ext>
          </c:extLst>
        </c:ser>
        <c:ser>
          <c:idx val="1"/>
          <c:order val="1"/>
          <c:tx>
            <c:strRef>
              <c:f>'Experiencia 1 (Pagos)'!$J$33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'Experiencia 1 (Pagos)'!$G$34:$H$39</c:f>
              <c:multiLvlStrCache>
                <c:ptCount val="6"/>
                <c:lvl>
                  <c:pt idx="0">
                    <c:v>2,101</c:v>
                  </c:pt>
                  <c:pt idx="1">
                    <c:v>4,168</c:v>
                  </c:pt>
                  <c:pt idx="2">
                    <c:v>6,235</c:v>
                  </c:pt>
                  <c:pt idx="3">
                    <c:v>8,302</c:v>
                  </c:pt>
                  <c:pt idx="4">
                    <c:v>10,369</c:v>
                  </c:pt>
                  <c:pt idx="5">
                    <c:v>24,840</c:v>
                  </c:pt>
                </c:lvl>
                <c:lvl>
                  <c:pt idx="0">
                    <c:v>0,033</c:v>
                  </c:pt>
                  <c:pt idx="1">
                    <c:v>2,101</c:v>
                  </c:pt>
                  <c:pt idx="2">
                    <c:v>4,168</c:v>
                  </c:pt>
                  <c:pt idx="3">
                    <c:v>6,235</c:v>
                  </c:pt>
                  <c:pt idx="4">
                    <c:v>8,302</c:v>
                  </c:pt>
                  <c:pt idx="5">
                    <c:v>10,369</c:v>
                  </c:pt>
                </c:lvl>
              </c:multiLvlStrCache>
            </c:multiLvlStrRef>
          </c:cat>
          <c:val>
            <c:numRef>
              <c:f>'Experiencia 1 (Pagos)'!$J$34:$J$39</c:f>
              <c:numCache>
                <c:formatCode>0.000</c:formatCode>
                <c:ptCount val="6"/>
                <c:pt idx="0">
                  <c:v>33.333333333333336</c:v>
                </c:pt>
                <c:pt idx="1">
                  <c:v>33.333333333333336</c:v>
                </c:pt>
                <c:pt idx="2">
                  <c:v>33.333333333333336</c:v>
                </c:pt>
                <c:pt idx="3">
                  <c:v>33.333333333333336</c:v>
                </c:pt>
                <c:pt idx="4">
                  <c:v>33.333333333333336</c:v>
                </c:pt>
                <c:pt idx="5">
                  <c:v>33.333333333333336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F0-4332-A929-D7975F23ACE2}"/>
            </c:ext>
          </c:extLst>
        </c:ser>
        <c:ser>
          <c:idx val="2"/>
          <c:order val="2"/>
          <c:tx>
            <c:strRef>
              <c:f>'Experiencia 1 (Pagos)'!$K$33</c:f>
              <c:strCache>
                <c:ptCount val="1"/>
                <c:pt idx="0">
                  <c:v>D.Exp Neg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'Experiencia 1 (Pagos)'!$G$34:$H$39</c:f>
              <c:multiLvlStrCache>
                <c:ptCount val="6"/>
                <c:lvl>
                  <c:pt idx="0">
                    <c:v>2,101</c:v>
                  </c:pt>
                  <c:pt idx="1">
                    <c:v>4,168</c:v>
                  </c:pt>
                  <c:pt idx="2">
                    <c:v>6,235</c:v>
                  </c:pt>
                  <c:pt idx="3">
                    <c:v>8,302</c:v>
                  </c:pt>
                  <c:pt idx="4">
                    <c:v>10,369</c:v>
                  </c:pt>
                  <c:pt idx="5">
                    <c:v>24,840</c:v>
                  </c:pt>
                </c:lvl>
                <c:lvl>
                  <c:pt idx="0">
                    <c:v>0,033</c:v>
                  </c:pt>
                  <c:pt idx="1">
                    <c:v>2,101</c:v>
                  </c:pt>
                  <c:pt idx="2">
                    <c:v>4,168</c:v>
                  </c:pt>
                  <c:pt idx="3">
                    <c:v>6,235</c:v>
                  </c:pt>
                  <c:pt idx="4">
                    <c:v>8,302</c:v>
                  </c:pt>
                  <c:pt idx="5">
                    <c:v>10,369</c:v>
                  </c:pt>
                </c:lvl>
              </c:multiLvlStrCache>
            </c:multiLvlStrRef>
          </c:cat>
          <c:val>
            <c:numRef>
              <c:f>'Experiencia 1 (Pagos)'!$K$34:$K$39</c:f>
              <c:numCache>
                <c:formatCode>0.000</c:formatCode>
                <c:ptCount val="6"/>
                <c:pt idx="0">
                  <c:v>71.389363570294165</c:v>
                </c:pt>
                <c:pt idx="1">
                  <c:v>45.723429839381922</c:v>
                </c:pt>
                <c:pt idx="2">
                  <c:v>29.284923295587628</c:v>
                </c:pt>
                <c:pt idx="3">
                  <c:v>18.756395472541488</c:v>
                </c:pt>
                <c:pt idx="4">
                  <c:v>12.013088358519974</c:v>
                </c:pt>
                <c:pt idx="5">
                  <c:v>20.454935846535371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0-4332-A929-D7975F23ACE2}"/>
            </c:ext>
          </c:extLst>
        </c:ser>
        <c:ser>
          <c:idx val="3"/>
          <c:order val="3"/>
          <c:tx>
            <c:strRef>
              <c:f>'Experiencia 1 (Pagos)'!$L$33</c:f>
              <c:strCache>
                <c:ptCount val="1"/>
                <c:pt idx="0">
                  <c:v>D. 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'Experiencia 1 (Pagos)'!$G$34:$H$39</c:f>
              <c:multiLvlStrCache>
                <c:ptCount val="6"/>
                <c:lvl>
                  <c:pt idx="0">
                    <c:v>2,101</c:v>
                  </c:pt>
                  <c:pt idx="1">
                    <c:v>4,168</c:v>
                  </c:pt>
                  <c:pt idx="2">
                    <c:v>6,235</c:v>
                  </c:pt>
                  <c:pt idx="3">
                    <c:v>8,302</c:v>
                  </c:pt>
                  <c:pt idx="4">
                    <c:v>10,369</c:v>
                  </c:pt>
                  <c:pt idx="5">
                    <c:v>24,840</c:v>
                  </c:pt>
                </c:lvl>
                <c:lvl>
                  <c:pt idx="0">
                    <c:v>0,033</c:v>
                  </c:pt>
                  <c:pt idx="1">
                    <c:v>2,101</c:v>
                  </c:pt>
                  <c:pt idx="2">
                    <c:v>4,168</c:v>
                  </c:pt>
                  <c:pt idx="3">
                    <c:v>6,235</c:v>
                  </c:pt>
                  <c:pt idx="4">
                    <c:v>8,302</c:v>
                  </c:pt>
                  <c:pt idx="5">
                    <c:v>10,369</c:v>
                  </c:pt>
                </c:lvl>
              </c:multiLvlStrCache>
            </c:multiLvlStrRef>
          </c:cat>
          <c:val>
            <c:numRef>
              <c:f>'Experiencia 1 (Pagos)'!$L$34:$L$39</c:f>
              <c:numCache>
                <c:formatCode>0.000</c:formatCode>
                <c:ptCount val="6"/>
                <c:pt idx="0">
                  <c:v>27.86204816807507</c:v>
                </c:pt>
                <c:pt idx="1">
                  <c:v>39.764719583736451</c:v>
                </c:pt>
                <c:pt idx="2">
                  <c:v>42.483020768404408</c:v>
                </c:pt>
                <c:pt idx="3">
                  <c:v>33.975952303954756</c:v>
                </c:pt>
                <c:pt idx="4">
                  <c:v>20.339758259225516</c:v>
                </c:pt>
                <c:pt idx="5">
                  <c:v>13.102441076492987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F0-4332-A929-D7975F23A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289056"/>
        <c:axId val="1418279904"/>
      </c:barChart>
      <c:catAx>
        <c:axId val="14182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18279904"/>
        <c:crosses val="autoZero"/>
        <c:auto val="1"/>
        <c:lblAlgn val="ctr"/>
        <c:lblOffset val="100"/>
        <c:noMultiLvlLbl val="0"/>
      </c:catAx>
      <c:valAx>
        <c:axId val="14182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182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'Experiencia 2 (Ingresos)'!$Q$11</c:f>
              <c:strCache>
                <c:ptCount val="1"/>
                <c:pt idx="0">
                  <c:v>Observadas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'Experiencia 2 (Ingresos)'!$O$12:$P$23</c:f>
              <c:multiLvlStrCache>
                <c:ptCount val="12"/>
                <c:lvl>
                  <c:pt idx="0">
                    <c:v>0,981</c:v>
                  </c:pt>
                  <c:pt idx="1">
                    <c:v>1,946</c:v>
                  </c:pt>
                  <c:pt idx="2">
                    <c:v>2,910</c:v>
                  </c:pt>
                  <c:pt idx="3">
                    <c:v>3,874</c:v>
                  </c:pt>
                  <c:pt idx="4">
                    <c:v>4,839</c:v>
                  </c:pt>
                  <c:pt idx="5">
                    <c:v>5,803</c:v>
                  </c:pt>
                  <c:pt idx="6">
                    <c:v>6,768</c:v>
                  </c:pt>
                  <c:pt idx="7">
                    <c:v>7,732</c:v>
                  </c:pt>
                  <c:pt idx="8">
                    <c:v>8,697</c:v>
                  </c:pt>
                  <c:pt idx="9">
                    <c:v>9,661</c:v>
                  </c:pt>
                  <c:pt idx="10">
                    <c:v>10,626</c:v>
                  </c:pt>
                  <c:pt idx="11">
                    <c:v>11,590</c:v>
                  </c:pt>
                </c:lvl>
                <c:lvl>
                  <c:pt idx="0">
                    <c:v>0,017</c:v>
                  </c:pt>
                  <c:pt idx="1">
                    <c:v>0,981</c:v>
                  </c:pt>
                  <c:pt idx="2">
                    <c:v>1,946</c:v>
                  </c:pt>
                  <c:pt idx="3">
                    <c:v>2,910</c:v>
                  </c:pt>
                  <c:pt idx="4">
                    <c:v>3,874</c:v>
                  </c:pt>
                  <c:pt idx="5">
                    <c:v>4,839</c:v>
                  </c:pt>
                  <c:pt idx="6">
                    <c:v>5,803</c:v>
                  </c:pt>
                  <c:pt idx="7">
                    <c:v>6,768</c:v>
                  </c:pt>
                  <c:pt idx="8">
                    <c:v>7,732</c:v>
                  </c:pt>
                  <c:pt idx="9">
                    <c:v>8,697</c:v>
                  </c:pt>
                  <c:pt idx="10">
                    <c:v>9,661</c:v>
                  </c:pt>
                  <c:pt idx="11">
                    <c:v>10,626</c:v>
                  </c:pt>
                </c:lvl>
              </c:multiLvlStrCache>
            </c:multiLvlStrRef>
          </c:cat>
          <c:val>
            <c:numRef>
              <c:f>'Experiencia 2 (Ingresos)'!$Q$12:$Q$23</c:f>
              <c:numCache>
                <c:formatCode>General</c:formatCode>
                <c:ptCount val="12"/>
                <c:pt idx="0">
                  <c:v>114</c:v>
                </c:pt>
                <c:pt idx="1">
                  <c:v>25</c:v>
                </c:pt>
                <c:pt idx="2">
                  <c:v>23</c:v>
                </c:pt>
                <c:pt idx="3">
                  <c:v>16</c:v>
                </c:pt>
                <c:pt idx="4">
                  <c:v>4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7-499D-8BDC-47CB8D26636A}"/>
            </c:ext>
          </c:extLst>
        </c:ser>
        <c:ser>
          <c:idx val="1"/>
          <c:order val="1"/>
          <c:tx>
            <c:strRef>
              <c:f>'Experiencia 2 (Ingresos)'!$R$11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'Experiencia 2 (Ingresos)'!$O$12:$P$23</c:f>
              <c:multiLvlStrCache>
                <c:ptCount val="12"/>
                <c:lvl>
                  <c:pt idx="0">
                    <c:v>0,981</c:v>
                  </c:pt>
                  <c:pt idx="1">
                    <c:v>1,946</c:v>
                  </c:pt>
                  <c:pt idx="2">
                    <c:v>2,910</c:v>
                  </c:pt>
                  <c:pt idx="3">
                    <c:v>3,874</c:v>
                  </c:pt>
                  <c:pt idx="4">
                    <c:v>4,839</c:v>
                  </c:pt>
                  <c:pt idx="5">
                    <c:v>5,803</c:v>
                  </c:pt>
                  <c:pt idx="6">
                    <c:v>6,768</c:v>
                  </c:pt>
                  <c:pt idx="7">
                    <c:v>7,732</c:v>
                  </c:pt>
                  <c:pt idx="8">
                    <c:v>8,697</c:v>
                  </c:pt>
                  <c:pt idx="9">
                    <c:v>9,661</c:v>
                  </c:pt>
                  <c:pt idx="10">
                    <c:v>10,626</c:v>
                  </c:pt>
                  <c:pt idx="11">
                    <c:v>11,590</c:v>
                  </c:pt>
                </c:lvl>
                <c:lvl>
                  <c:pt idx="0">
                    <c:v>0,017</c:v>
                  </c:pt>
                  <c:pt idx="1">
                    <c:v>0,981</c:v>
                  </c:pt>
                  <c:pt idx="2">
                    <c:v>1,946</c:v>
                  </c:pt>
                  <c:pt idx="3">
                    <c:v>2,910</c:v>
                  </c:pt>
                  <c:pt idx="4">
                    <c:v>3,874</c:v>
                  </c:pt>
                  <c:pt idx="5">
                    <c:v>4,839</c:v>
                  </c:pt>
                  <c:pt idx="6">
                    <c:v>5,803</c:v>
                  </c:pt>
                  <c:pt idx="7">
                    <c:v>6,768</c:v>
                  </c:pt>
                  <c:pt idx="8">
                    <c:v>7,732</c:v>
                  </c:pt>
                  <c:pt idx="9">
                    <c:v>8,697</c:v>
                  </c:pt>
                  <c:pt idx="10">
                    <c:v>9,661</c:v>
                  </c:pt>
                  <c:pt idx="11">
                    <c:v>10,626</c:v>
                  </c:pt>
                </c:lvl>
              </c:multiLvlStrCache>
            </c:multiLvlStrRef>
          </c:cat>
          <c:val>
            <c:numRef>
              <c:f>'Experiencia 2 (Ingresos)'!$R$12:$R$23</c:f>
              <c:numCache>
                <c:formatCode>0.000</c:formatCode>
                <c:ptCount val="12"/>
                <c:pt idx="0">
                  <c:v>16.666666666666668</c:v>
                </c:pt>
                <c:pt idx="1">
                  <c:v>16.666666666666668</c:v>
                </c:pt>
                <c:pt idx="2">
                  <c:v>16.666666666666668</c:v>
                </c:pt>
                <c:pt idx="3">
                  <c:v>16.666666666666668</c:v>
                </c:pt>
                <c:pt idx="4">
                  <c:v>16.666666666666668</c:v>
                </c:pt>
                <c:pt idx="5">
                  <c:v>16.666666666666668</c:v>
                </c:pt>
                <c:pt idx="6">
                  <c:v>16.666666666666668</c:v>
                </c:pt>
                <c:pt idx="7">
                  <c:v>16.666666666666668</c:v>
                </c:pt>
                <c:pt idx="8">
                  <c:v>16.666666666666668</c:v>
                </c:pt>
                <c:pt idx="9">
                  <c:v>16.666666666666668</c:v>
                </c:pt>
                <c:pt idx="10">
                  <c:v>16.666666666666668</c:v>
                </c:pt>
                <c:pt idx="11">
                  <c:v>16.666666666666668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7-499D-8BDC-47CB8D26636A}"/>
            </c:ext>
          </c:extLst>
        </c:ser>
        <c:ser>
          <c:idx val="2"/>
          <c:order val="2"/>
          <c:tx>
            <c:strRef>
              <c:f>'Experiencia 2 (Ingresos)'!$S$11</c:f>
              <c:strCache>
                <c:ptCount val="1"/>
                <c:pt idx="0">
                  <c:v>D.Exp Neg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'Experiencia 2 (Ingresos)'!$O$12:$P$23</c:f>
              <c:multiLvlStrCache>
                <c:ptCount val="12"/>
                <c:lvl>
                  <c:pt idx="0">
                    <c:v>0,981</c:v>
                  </c:pt>
                  <c:pt idx="1">
                    <c:v>1,946</c:v>
                  </c:pt>
                  <c:pt idx="2">
                    <c:v>2,910</c:v>
                  </c:pt>
                  <c:pt idx="3">
                    <c:v>3,874</c:v>
                  </c:pt>
                  <c:pt idx="4">
                    <c:v>4,839</c:v>
                  </c:pt>
                  <c:pt idx="5">
                    <c:v>5,803</c:v>
                  </c:pt>
                  <c:pt idx="6">
                    <c:v>6,768</c:v>
                  </c:pt>
                  <c:pt idx="7">
                    <c:v>7,732</c:v>
                  </c:pt>
                  <c:pt idx="8">
                    <c:v>8,697</c:v>
                  </c:pt>
                  <c:pt idx="9">
                    <c:v>9,661</c:v>
                  </c:pt>
                  <c:pt idx="10">
                    <c:v>10,626</c:v>
                  </c:pt>
                  <c:pt idx="11">
                    <c:v>11,590</c:v>
                  </c:pt>
                </c:lvl>
                <c:lvl>
                  <c:pt idx="0">
                    <c:v>0,017</c:v>
                  </c:pt>
                  <c:pt idx="1">
                    <c:v>0,981</c:v>
                  </c:pt>
                  <c:pt idx="2">
                    <c:v>1,946</c:v>
                  </c:pt>
                  <c:pt idx="3">
                    <c:v>2,910</c:v>
                  </c:pt>
                  <c:pt idx="4">
                    <c:v>3,874</c:v>
                  </c:pt>
                  <c:pt idx="5">
                    <c:v>4,839</c:v>
                  </c:pt>
                  <c:pt idx="6">
                    <c:v>5,803</c:v>
                  </c:pt>
                  <c:pt idx="7">
                    <c:v>6,768</c:v>
                  </c:pt>
                  <c:pt idx="8">
                    <c:v>7,732</c:v>
                  </c:pt>
                  <c:pt idx="9">
                    <c:v>8,697</c:v>
                  </c:pt>
                  <c:pt idx="10">
                    <c:v>9,661</c:v>
                  </c:pt>
                  <c:pt idx="11">
                    <c:v>10,626</c:v>
                  </c:pt>
                </c:lvl>
              </c:multiLvlStrCache>
            </c:multiLvlStrRef>
          </c:cat>
          <c:val>
            <c:numRef>
              <c:f>'Experiencia 2 (Ingresos)'!$S$12:$S$23</c:f>
              <c:numCache>
                <c:formatCode>0.000</c:formatCode>
                <c:ptCount val="12"/>
                <c:pt idx="0">
                  <c:v>89.738171012421674</c:v>
                </c:pt>
                <c:pt idx="1">
                  <c:v>49.050973498465957</c:v>
                </c:pt>
                <c:pt idx="2">
                  <c:v>26.811310883683692</c:v>
                </c:pt>
                <c:pt idx="3">
                  <c:v>14.655089186436188</c:v>
                </c:pt>
                <c:pt idx="4">
                  <c:v>8.0104863202753904</c:v>
                </c:pt>
                <c:pt idx="5">
                  <c:v>4.3785397871688669</c:v>
                </c:pt>
                <c:pt idx="6">
                  <c:v>2.3933142010735819</c:v>
                </c:pt>
                <c:pt idx="7">
                  <c:v>1.3081879218834525</c:v>
                </c:pt>
                <c:pt idx="8">
                  <c:v>0.71505681878045735</c:v>
                </c:pt>
                <c:pt idx="9">
                  <c:v>0.39085076809781683</c:v>
                </c:pt>
                <c:pt idx="10">
                  <c:v>0.21363941844956269</c:v>
                </c:pt>
                <c:pt idx="11">
                  <c:v>0.11677551853765955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7-499D-8BDC-47CB8D26636A}"/>
            </c:ext>
          </c:extLst>
        </c:ser>
        <c:ser>
          <c:idx val="3"/>
          <c:order val="3"/>
          <c:tx>
            <c:strRef>
              <c:f>'Experiencia 2 (Ingresos)'!$T$11</c:f>
              <c:strCache>
                <c:ptCount val="1"/>
                <c:pt idx="0">
                  <c:v>D. 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'Experiencia 2 (Ingresos)'!$O$12:$P$23</c:f>
              <c:multiLvlStrCache>
                <c:ptCount val="12"/>
                <c:lvl>
                  <c:pt idx="0">
                    <c:v>0,981</c:v>
                  </c:pt>
                  <c:pt idx="1">
                    <c:v>1,946</c:v>
                  </c:pt>
                  <c:pt idx="2">
                    <c:v>2,910</c:v>
                  </c:pt>
                  <c:pt idx="3">
                    <c:v>3,874</c:v>
                  </c:pt>
                  <c:pt idx="4">
                    <c:v>4,839</c:v>
                  </c:pt>
                  <c:pt idx="5">
                    <c:v>5,803</c:v>
                  </c:pt>
                  <c:pt idx="6">
                    <c:v>6,768</c:v>
                  </c:pt>
                  <c:pt idx="7">
                    <c:v>7,732</c:v>
                  </c:pt>
                  <c:pt idx="8">
                    <c:v>8,697</c:v>
                  </c:pt>
                  <c:pt idx="9">
                    <c:v>9,661</c:v>
                  </c:pt>
                  <c:pt idx="10">
                    <c:v>10,626</c:v>
                  </c:pt>
                  <c:pt idx="11">
                    <c:v>11,590</c:v>
                  </c:pt>
                </c:lvl>
                <c:lvl>
                  <c:pt idx="0">
                    <c:v>0,017</c:v>
                  </c:pt>
                  <c:pt idx="1">
                    <c:v>0,981</c:v>
                  </c:pt>
                  <c:pt idx="2">
                    <c:v>1,946</c:v>
                  </c:pt>
                  <c:pt idx="3">
                    <c:v>2,910</c:v>
                  </c:pt>
                  <c:pt idx="4">
                    <c:v>3,874</c:v>
                  </c:pt>
                  <c:pt idx="5">
                    <c:v>4,839</c:v>
                  </c:pt>
                  <c:pt idx="6">
                    <c:v>5,803</c:v>
                  </c:pt>
                  <c:pt idx="7">
                    <c:v>6,768</c:v>
                  </c:pt>
                  <c:pt idx="8">
                    <c:v>7,732</c:v>
                  </c:pt>
                  <c:pt idx="9">
                    <c:v>8,697</c:v>
                  </c:pt>
                  <c:pt idx="10">
                    <c:v>9,661</c:v>
                  </c:pt>
                  <c:pt idx="11">
                    <c:v>10,626</c:v>
                  </c:pt>
                </c:lvl>
              </c:multiLvlStrCache>
            </c:multiLvlStrRef>
          </c:cat>
          <c:val>
            <c:numRef>
              <c:f>'Experiencia 2 (Ingresos)'!$T$12:$T$23</c:f>
              <c:numCache>
                <c:formatCode>0.000</c:formatCode>
                <c:ptCount val="12"/>
                <c:pt idx="0">
                  <c:v>32.122002567005218</c:v>
                </c:pt>
                <c:pt idx="1">
                  <c:v>36.818103231409637</c:v>
                </c:pt>
                <c:pt idx="2">
                  <c:v>34.078025747534269</c:v>
                </c:pt>
                <c:pt idx="3">
                  <c:v>25.47057728946438</c:v>
                </c:pt>
                <c:pt idx="4">
                  <c:v>15.372473643225671</c:v>
                </c:pt>
                <c:pt idx="5">
                  <c:v>7.4915375741748225</c:v>
                </c:pt>
                <c:pt idx="6">
                  <c:v>2.9477781612318177</c:v>
                </c:pt>
                <c:pt idx="7">
                  <c:v>0.93644647538220216</c:v>
                </c:pt>
                <c:pt idx="8">
                  <c:v>0.24015802708921008</c:v>
                </c:pt>
                <c:pt idx="9">
                  <c:v>4.9715705355857231E-2</c:v>
                </c:pt>
                <c:pt idx="10">
                  <c:v>8.3066197845038658E-3</c:v>
                </c:pt>
                <c:pt idx="11">
                  <c:v>1.1200502629815645E-3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7-499D-8BDC-47CB8D266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1697920"/>
        <c:axId val="371697360"/>
      </c:barChart>
      <c:catAx>
        <c:axId val="37169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71697360"/>
        <c:crosses val="autoZero"/>
        <c:auto val="1"/>
        <c:lblAlgn val="ctr"/>
        <c:lblOffset val="100"/>
        <c:noMultiLvlLbl val="0"/>
      </c:catAx>
      <c:valAx>
        <c:axId val="3716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7169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'Experiencia 2 (Ingresos)'!$I$33</c:f>
              <c:strCache>
                <c:ptCount val="1"/>
                <c:pt idx="0">
                  <c:v>Observada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'Experiencia 2 (Ingresos)'!$G$34:$H$38</c:f>
              <c:multiLvlStrCache>
                <c:ptCount val="5"/>
                <c:lvl>
                  <c:pt idx="0">
                    <c:v>0,981</c:v>
                  </c:pt>
                  <c:pt idx="1">
                    <c:v>1,946</c:v>
                  </c:pt>
                  <c:pt idx="2">
                    <c:v>2,910</c:v>
                  </c:pt>
                  <c:pt idx="3">
                    <c:v>4,839</c:v>
                  </c:pt>
                  <c:pt idx="4">
                    <c:v>11,590</c:v>
                  </c:pt>
                </c:lvl>
                <c:lvl>
                  <c:pt idx="0">
                    <c:v>0,017</c:v>
                  </c:pt>
                  <c:pt idx="1">
                    <c:v>0,981</c:v>
                  </c:pt>
                  <c:pt idx="2">
                    <c:v>1,946</c:v>
                  </c:pt>
                  <c:pt idx="3">
                    <c:v>2,910</c:v>
                  </c:pt>
                  <c:pt idx="4">
                    <c:v>4,839</c:v>
                  </c:pt>
                </c:lvl>
              </c:multiLvlStrCache>
            </c:multiLvlStrRef>
          </c:cat>
          <c:val>
            <c:numRef>
              <c:f>'Experiencia 2 (Ingresos)'!$I$34:$I$38</c:f>
              <c:numCache>
                <c:formatCode>General</c:formatCode>
                <c:ptCount val="5"/>
                <c:pt idx="0">
                  <c:v>114</c:v>
                </c:pt>
                <c:pt idx="1">
                  <c:v>25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2-4AA7-B37B-32BAEEE810C2}"/>
            </c:ext>
          </c:extLst>
        </c:ser>
        <c:ser>
          <c:idx val="1"/>
          <c:order val="1"/>
          <c:tx>
            <c:strRef>
              <c:f>'Experiencia 2 (Ingresos)'!$J$33</c:f>
              <c:strCache>
                <c:ptCount val="1"/>
                <c:pt idx="0">
                  <c:v>D. Uniforme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'Experiencia 2 (Ingresos)'!$G$34:$H$38</c:f>
              <c:multiLvlStrCache>
                <c:ptCount val="5"/>
                <c:lvl>
                  <c:pt idx="0">
                    <c:v>0,981</c:v>
                  </c:pt>
                  <c:pt idx="1">
                    <c:v>1,946</c:v>
                  </c:pt>
                  <c:pt idx="2">
                    <c:v>2,910</c:v>
                  </c:pt>
                  <c:pt idx="3">
                    <c:v>4,839</c:v>
                  </c:pt>
                  <c:pt idx="4">
                    <c:v>11,590</c:v>
                  </c:pt>
                </c:lvl>
                <c:lvl>
                  <c:pt idx="0">
                    <c:v>0,017</c:v>
                  </c:pt>
                  <c:pt idx="1">
                    <c:v>0,981</c:v>
                  </c:pt>
                  <c:pt idx="2">
                    <c:v>1,946</c:v>
                  </c:pt>
                  <c:pt idx="3">
                    <c:v>2,910</c:v>
                  </c:pt>
                  <c:pt idx="4">
                    <c:v>4,839</c:v>
                  </c:pt>
                </c:lvl>
              </c:multiLvlStrCache>
            </c:multiLvlStrRef>
          </c:cat>
          <c:val>
            <c:numRef>
              <c:f>'Experiencia 2 (Ingresos)'!$J$34:$J$38</c:f>
              <c:numCache>
                <c:formatCode>0.000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2-4AA7-B37B-32BAEEE810C2}"/>
            </c:ext>
          </c:extLst>
        </c:ser>
        <c:ser>
          <c:idx val="2"/>
          <c:order val="2"/>
          <c:tx>
            <c:strRef>
              <c:f>'Experiencia 2 (Ingresos)'!$K$33</c:f>
              <c:strCache>
                <c:ptCount val="1"/>
                <c:pt idx="0">
                  <c:v>D.Exp Neg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'Experiencia 2 (Ingresos)'!$G$34:$H$38</c:f>
              <c:multiLvlStrCache>
                <c:ptCount val="5"/>
                <c:lvl>
                  <c:pt idx="0">
                    <c:v>0,981</c:v>
                  </c:pt>
                  <c:pt idx="1">
                    <c:v>1,946</c:v>
                  </c:pt>
                  <c:pt idx="2">
                    <c:v>2,910</c:v>
                  </c:pt>
                  <c:pt idx="3">
                    <c:v>4,839</c:v>
                  </c:pt>
                  <c:pt idx="4">
                    <c:v>11,590</c:v>
                  </c:pt>
                </c:lvl>
                <c:lvl>
                  <c:pt idx="0">
                    <c:v>0,017</c:v>
                  </c:pt>
                  <c:pt idx="1">
                    <c:v>0,981</c:v>
                  </c:pt>
                  <c:pt idx="2">
                    <c:v>1,946</c:v>
                  </c:pt>
                  <c:pt idx="3">
                    <c:v>2,910</c:v>
                  </c:pt>
                  <c:pt idx="4">
                    <c:v>4,839</c:v>
                  </c:pt>
                </c:lvl>
              </c:multiLvlStrCache>
            </c:multiLvlStrRef>
          </c:cat>
          <c:val>
            <c:numRef>
              <c:f>'Experiencia 2 (Ingresos)'!$K$34:$K$38</c:f>
              <c:numCache>
                <c:formatCode>0.000</c:formatCode>
                <c:ptCount val="5"/>
                <c:pt idx="0">
                  <c:v>89.738171012421674</c:v>
                </c:pt>
                <c:pt idx="1">
                  <c:v>49.050973498465957</c:v>
                </c:pt>
                <c:pt idx="2">
                  <c:v>26.811310883683692</c:v>
                </c:pt>
                <c:pt idx="3">
                  <c:v>22.666247518447857</c:v>
                </c:pt>
                <c:pt idx="4">
                  <c:v>9.5156924222551176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22-4AA7-B37B-32BAEEE810C2}"/>
            </c:ext>
          </c:extLst>
        </c:ser>
        <c:ser>
          <c:idx val="3"/>
          <c:order val="3"/>
          <c:tx>
            <c:strRef>
              <c:f>'Experiencia 2 (Ingresos)'!$L$33</c:f>
              <c:strCache>
                <c:ptCount val="1"/>
                <c:pt idx="0">
                  <c:v>D. 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'Experiencia 2 (Ingresos)'!$G$34:$H$38</c:f>
              <c:multiLvlStrCache>
                <c:ptCount val="5"/>
                <c:lvl>
                  <c:pt idx="0">
                    <c:v>0,981</c:v>
                  </c:pt>
                  <c:pt idx="1">
                    <c:v>1,946</c:v>
                  </c:pt>
                  <c:pt idx="2">
                    <c:v>2,910</c:v>
                  </c:pt>
                  <c:pt idx="3">
                    <c:v>4,839</c:v>
                  </c:pt>
                  <c:pt idx="4">
                    <c:v>11,590</c:v>
                  </c:pt>
                </c:lvl>
                <c:lvl>
                  <c:pt idx="0">
                    <c:v>0,017</c:v>
                  </c:pt>
                  <c:pt idx="1">
                    <c:v>0,981</c:v>
                  </c:pt>
                  <c:pt idx="2">
                    <c:v>1,946</c:v>
                  </c:pt>
                  <c:pt idx="3">
                    <c:v>2,910</c:v>
                  </c:pt>
                  <c:pt idx="4">
                    <c:v>4,839</c:v>
                  </c:pt>
                </c:lvl>
              </c:multiLvlStrCache>
            </c:multiLvlStrRef>
          </c:cat>
          <c:val>
            <c:numRef>
              <c:f>'Experiencia 2 (Ingresos)'!$L$34:$L$38</c:f>
              <c:numCache>
                <c:formatCode>0.000</c:formatCode>
                <c:ptCount val="5"/>
                <c:pt idx="0">
                  <c:v>32.122002567005218</c:v>
                </c:pt>
                <c:pt idx="1">
                  <c:v>36.818103231409637</c:v>
                </c:pt>
                <c:pt idx="2">
                  <c:v>34.078025747534269</c:v>
                </c:pt>
                <c:pt idx="3">
                  <c:v>40.844304291165344</c:v>
                </c:pt>
                <c:pt idx="4">
                  <c:v>11.6738092548061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22-4AA7-B37B-32BAEEE81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283648"/>
        <c:axId val="1418275328"/>
      </c:barChart>
      <c:catAx>
        <c:axId val="141828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18275328"/>
        <c:crosses val="autoZero"/>
        <c:auto val="1"/>
        <c:lblAlgn val="ctr"/>
        <c:lblOffset val="100"/>
        <c:noMultiLvlLbl val="0"/>
      </c:catAx>
      <c:valAx>
        <c:axId val="14182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1828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217714</xdr:colOff>
      <xdr:row>28</xdr:row>
      <xdr:rowOff>128586</xdr:rowOff>
    </xdr:from>
    <xdr:to>
      <xdr:col>24</xdr:col>
      <xdr:colOff>828675</xdr:colOff>
      <xdr:row>45</xdr:row>
      <xdr:rowOff>110217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B9C2E-386A-4C90-94EB-E8F865FF7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352985</xdr:colOff>
      <xdr:row>54</xdr:row>
      <xdr:rowOff>107576</xdr:rowOff>
    </xdr:from>
    <xdr:to>
      <xdr:col>19</xdr:col>
      <xdr:colOff>319367</xdr:colOff>
      <xdr:row>68</xdr:row>
      <xdr:rowOff>150159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F5B8D6F-752B-4663-BAD7-EAB2FDC81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453278</xdr:colOff>
      <xdr:row>28</xdr:row>
      <xdr:rowOff>112338</xdr:rowOff>
    </xdr:from>
    <xdr:to>
      <xdr:col>24</xdr:col>
      <xdr:colOff>581586</xdr:colOff>
      <xdr:row>45</xdr:row>
      <xdr:rowOff>58270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711572</xdr:colOff>
      <xdr:row>51</xdr:row>
      <xdr:rowOff>17929</xdr:rowOff>
    </xdr:from>
    <xdr:to>
      <xdr:col>9</xdr:col>
      <xdr:colOff>162484</xdr:colOff>
      <xdr:row>65</xdr:row>
      <xdr:rowOff>71717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5C23355-5EDC-4DA3-A8DD-4BDAED6AA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P2%20(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Experiencia 2 - Punto f"/>
    </sheetNames>
    <sheetDataSet>
      <sheetData sheetId="0">
        <row r="6">
          <cell r="G6">
            <v>200</v>
          </cell>
        </row>
        <row r="11">
          <cell r="Q11" t="str">
            <v>Observadas</v>
          </cell>
          <cell r="R11" t="str">
            <v>D. Uniforme</v>
          </cell>
          <cell r="S11" t="str">
            <v>D.Exp Neg</v>
          </cell>
          <cell r="T11" t="str">
            <v>D. Normal</v>
          </cell>
        </row>
        <row r="12">
          <cell r="Q12">
            <v>52</v>
          </cell>
          <cell r="R12">
            <v>16.666666666666668</v>
          </cell>
          <cell r="S12">
            <v>70.839975522838927</v>
          </cell>
          <cell r="T12">
            <v>27.526450954416358</v>
          </cell>
        </row>
        <row r="13">
          <cell r="Q13">
            <v>59</v>
          </cell>
          <cell r="R13">
            <v>16.666666666666668</v>
          </cell>
          <cell r="S13">
            <v>45.56755421425197</v>
          </cell>
          <cell r="T13">
            <v>39.26621470526387</v>
          </cell>
        </row>
        <row r="14">
          <cell r="Q14">
            <v>43</v>
          </cell>
          <cell r="R14">
            <v>16.666666666666668</v>
          </cell>
          <cell r="S14">
            <v>29.311161978018418</v>
          </cell>
          <cell r="T14">
            <v>42.158318674791694</v>
          </cell>
        </row>
        <row r="15">
          <cell r="Q15">
            <v>17</v>
          </cell>
          <cell r="R15">
            <v>16.666666666666668</v>
          </cell>
          <cell r="S15">
            <v>18.854297346354464</v>
          </cell>
          <cell r="T15">
            <v>34.068204595331238</v>
          </cell>
        </row>
        <row r="16">
          <cell r="Q16">
            <v>11</v>
          </cell>
          <cell r="R16">
            <v>16.666666666666668</v>
          </cell>
          <cell r="S16">
            <v>12.127957557306669</v>
          </cell>
          <cell r="T16">
            <v>20.72039995346897</v>
          </cell>
        </row>
        <row r="17">
          <cell r="Q17">
            <v>9</v>
          </cell>
          <cell r="R17">
            <v>16.666666666666668</v>
          </cell>
          <cell r="S17">
            <v>7.8012641791857407</v>
          </cell>
          <cell r="T17">
            <v>9.4838962856007125</v>
          </cell>
        </row>
        <row r="18">
          <cell r="Q18">
            <v>4</v>
          </cell>
          <cell r="R18">
            <v>16.666666666666668</v>
          </cell>
          <cell r="S18">
            <v>5.0181345462229743</v>
          </cell>
          <cell r="T18">
            <v>3.2662496971044952</v>
          </cell>
        </row>
        <row r="19">
          <cell r="Q19">
            <v>3</v>
          </cell>
          <cell r="R19">
            <v>16.666666666666668</v>
          </cell>
          <cell r="S19">
            <v>3.227896626188187</v>
          </cell>
          <cell r="T19">
            <v>0.84625212921911608</v>
          </cell>
        </row>
        <row r="20">
          <cell r="Q20">
            <v>1</v>
          </cell>
          <cell r="R20">
            <v>16.666666666666668</v>
          </cell>
          <cell r="S20">
            <v>2.0763326557673878</v>
          </cell>
          <cell r="T20">
            <v>0.16490529643222729</v>
          </cell>
        </row>
        <row r="21">
          <cell r="Q21">
            <v>0</v>
          </cell>
          <cell r="R21">
            <v>16.666666666666668</v>
          </cell>
          <cell r="S21">
            <v>1.3355933589784597</v>
          </cell>
          <cell r="T21">
            <v>2.4162209535427692E-2</v>
          </cell>
        </row>
        <row r="22">
          <cell r="Q22">
            <v>0</v>
          </cell>
          <cell r="R22">
            <v>16.666666666666668</v>
          </cell>
          <cell r="S22">
            <v>0.85911552543980196</v>
          </cell>
          <cell r="T22">
            <v>2.6612050812335752E-3</v>
          </cell>
        </row>
        <row r="23">
          <cell r="Q23">
            <v>0</v>
          </cell>
          <cell r="R23">
            <v>16.666666666666668</v>
          </cell>
          <cell r="S23">
            <v>0.5526229080805356</v>
          </cell>
          <cell r="T23">
            <v>2.2025474888387464E-4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09"/>
  <sheetViews>
    <sheetView topLeftCell="A37" zoomScale="85" zoomScaleNormal="85" workbookViewId="0">
      <selection activeCell="O54" sqref="O54:R54"/>
    </sheetView>
  </sheetViews>
  <sheetFormatPr baseColWidth="10" defaultColWidth="11.42578125" defaultRowHeight="15" x14ac:dyDescent="0.25"/>
  <cols>
    <col min="1" max="5" width="11.42578125" style="1"/>
    <col min="6" max="6" width="13.85546875" style="1" customWidth="1"/>
    <col min="7" max="7" width="15.140625" style="1" customWidth="1"/>
    <col min="8" max="11" width="11.42578125" style="1"/>
    <col min="12" max="12" width="15.140625" style="1" customWidth="1"/>
    <col min="13" max="15" width="11.42578125" style="1"/>
    <col min="16" max="16" width="11.85546875" style="1" bestFit="1" customWidth="1"/>
    <col min="17" max="21" width="11.42578125" style="1"/>
    <col min="22" max="22" width="11.42578125" style="1" bestFit="1" customWidth="1"/>
    <col min="23" max="23" width="12.42578125" style="1" bestFit="1" customWidth="1"/>
    <col min="24" max="24" width="13.7109375" style="1" customWidth="1"/>
    <col min="25" max="25" width="26.42578125" style="1" customWidth="1"/>
    <col min="26" max="26" width="11.85546875" style="1" bestFit="1" customWidth="1"/>
    <col min="27" max="31" width="11.42578125" style="1"/>
    <col min="32" max="32" width="11.42578125" style="1" customWidth="1"/>
    <col min="33" max="35" width="11.42578125" style="1"/>
    <col min="36" max="36" width="14.140625" style="1" customWidth="1"/>
    <col min="37" max="37" width="18.5703125" style="1" customWidth="1"/>
    <col min="38" max="40" width="11.42578125" style="1"/>
    <col min="41" max="41" width="12.7109375" style="1" bestFit="1" customWidth="1"/>
    <col min="42" max="42" width="13.5703125" style="1" bestFit="1" customWidth="1"/>
    <col min="43" max="16384" width="11.42578125" style="1"/>
  </cols>
  <sheetData>
    <row r="2" spans="1:28" x14ac:dyDescent="0.25">
      <c r="F2" s="5" t="s">
        <v>62</v>
      </c>
    </row>
    <row r="3" spans="1:28" x14ac:dyDescent="0.25">
      <c r="F3" s="5" t="s">
        <v>59</v>
      </c>
    </row>
    <row r="5" spans="1:28" ht="15.75" thickBot="1" x14ac:dyDescent="0.3">
      <c r="A5" s="1" t="s">
        <v>0</v>
      </c>
      <c r="B5" s="5" t="s">
        <v>2</v>
      </c>
      <c r="C5" s="5" t="s">
        <v>3</v>
      </c>
      <c r="F5" s="91" t="s">
        <v>9</v>
      </c>
      <c r="G5" s="83"/>
    </row>
    <row r="6" spans="1:28" x14ac:dyDescent="0.25">
      <c r="A6" s="127" t="s">
        <v>1</v>
      </c>
      <c r="B6" s="127"/>
      <c r="C6" s="127"/>
      <c r="F6" s="21" t="s">
        <v>4</v>
      </c>
      <c r="G6" s="2">
        <f>COUNT(C8:C207)</f>
        <v>200</v>
      </c>
      <c r="N6" s="65" t="s">
        <v>38</v>
      </c>
      <c r="O6" s="66"/>
      <c r="P6" s="66"/>
      <c r="Q6" s="66"/>
      <c r="R6" s="67"/>
      <c r="U6" s="65" t="s">
        <v>37</v>
      </c>
      <c r="V6" s="66"/>
      <c r="W6" s="66"/>
      <c r="X6" s="66"/>
      <c r="Y6" s="67"/>
    </row>
    <row r="7" spans="1:28" x14ac:dyDescent="0.25">
      <c r="A7" s="2">
        <v>1</v>
      </c>
      <c r="B7" s="3">
        <v>423.03333333333336</v>
      </c>
      <c r="C7" s="2"/>
      <c r="F7" s="21" t="s">
        <v>5</v>
      </c>
      <c r="G7" s="4">
        <f>MAX(C8:C207)</f>
        <v>24.599999999999966</v>
      </c>
      <c r="N7" s="7" t="s">
        <v>36</v>
      </c>
      <c r="O7" s="8">
        <v>12</v>
      </c>
      <c r="P7" s="8"/>
      <c r="Q7" s="8"/>
      <c r="R7" s="9"/>
      <c r="U7" s="10" t="s">
        <v>35</v>
      </c>
      <c r="V7" s="8"/>
      <c r="W7" s="8" t="s">
        <v>34</v>
      </c>
      <c r="X7" s="8"/>
      <c r="Y7" s="9">
        <v>0.05</v>
      </c>
      <c r="Z7" s="19" t="s">
        <v>39</v>
      </c>
      <c r="AB7" s="19" t="s">
        <v>40</v>
      </c>
    </row>
    <row r="8" spans="1:28" ht="15.75" thickBot="1" x14ac:dyDescent="0.3">
      <c r="A8" s="2">
        <v>2</v>
      </c>
      <c r="B8" s="3">
        <v>423.75</v>
      </c>
      <c r="C8" s="4">
        <f>B8-B7</f>
        <v>0.71666666666664014</v>
      </c>
      <c r="F8" s="21" t="s">
        <v>6</v>
      </c>
      <c r="G8" s="4">
        <f>MIN(C8:C207)</f>
        <v>3.3333333333303017E-2</v>
      </c>
      <c r="N8" s="16" t="s">
        <v>33</v>
      </c>
      <c r="O8" s="22">
        <f>((_Valor_Max-_Valor_Min)/_intervalos)+0.02</f>
        <v>2.0672222222222221</v>
      </c>
      <c r="P8" s="13"/>
      <c r="Q8" s="13"/>
      <c r="R8" s="14"/>
      <c r="U8" s="16"/>
      <c r="V8" s="13"/>
      <c r="W8" s="90" t="s">
        <v>56</v>
      </c>
      <c r="X8" s="13"/>
      <c r="Y8" s="14">
        <f>6-1</f>
        <v>5</v>
      </c>
    </row>
    <row r="9" spans="1:28" ht="15.75" thickBot="1" x14ac:dyDescent="0.3">
      <c r="A9" s="2">
        <v>3</v>
      </c>
      <c r="B9" s="3">
        <v>425.51666666666665</v>
      </c>
      <c r="C9" s="4">
        <f t="shared" ref="C9:C72" si="0">B9-B8</f>
        <v>1.7666666666666515</v>
      </c>
      <c r="F9" s="21" t="s">
        <v>7</v>
      </c>
      <c r="G9" s="4">
        <f>AVERAGE(_muestra)</f>
        <v>4.6398333333333328</v>
      </c>
    </row>
    <row r="10" spans="1:28" ht="15.75" thickBot="1" x14ac:dyDescent="0.3">
      <c r="A10" s="2">
        <v>4</v>
      </c>
      <c r="B10" s="3">
        <v>427.31666666666666</v>
      </c>
      <c r="C10" s="4">
        <f t="shared" si="0"/>
        <v>1.8000000000000114</v>
      </c>
      <c r="F10" s="21" t="s">
        <v>8</v>
      </c>
      <c r="G10" s="4">
        <f>_xlfn.VAR.S(C8:C207)</f>
        <v>14.396395281965395</v>
      </c>
      <c r="N10" s="117" t="s">
        <v>31</v>
      </c>
      <c r="O10" s="118"/>
      <c r="P10" s="124"/>
      <c r="Q10" s="70" t="s">
        <v>30</v>
      </c>
      <c r="R10" s="95"/>
      <c r="S10" s="96" t="s">
        <v>29</v>
      </c>
      <c r="T10" s="97"/>
      <c r="U10" s="119" t="s">
        <v>28</v>
      </c>
      <c r="V10" s="120"/>
      <c r="W10" s="121"/>
    </row>
    <row r="11" spans="1:28" ht="15.75" thickBot="1" x14ac:dyDescent="0.3">
      <c r="A11" s="2">
        <v>5</v>
      </c>
      <c r="B11" s="3">
        <v>431.03333333333336</v>
      </c>
      <c r="C11" s="4">
        <f t="shared" si="0"/>
        <v>3.716666666666697</v>
      </c>
      <c r="M11" s="56" t="s">
        <v>27</v>
      </c>
      <c r="N11" s="50" t="s">
        <v>26</v>
      </c>
      <c r="O11" s="93" t="s">
        <v>25</v>
      </c>
      <c r="P11" s="50" t="s">
        <v>24</v>
      </c>
      <c r="Q11" s="51" t="s">
        <v>23</v>
      </c>
      <c r="R11" s="49" t="s">
        <v>22</v>
      </c>
      <c r="S11" s="49" t="s">
        <v>21</v>
      </c>
      <c r="T11" s="49" t="s">
        <v>20</v>
      </c>
      <c r="U11" s="43" t="s">
        <v>22</v>
      </c>
      <c r="V11" s="43" t="s">
        <v>21</v>
      </c>
      <c r="W11" s="43" t="s">
        <v>20</v>
      </c>
    </row>
    <row r="12" spans="1:28" ht="15.75" thickBot="1" x14ac:dyDescent="0.3">
      <c r="A12" s="2">
        <v>6</v>
      </c>
      <c r="B12" s="3">
        <v>432.21666666666664</v>
      </c>
      <c r="C12" s="4">
        <f t="shared" si="0"/>
        <v>1.1833333333332803</v>
      </c>
      <c r="M12" s="57">
        <f t="shared" ref="M12:M23" si="1">(P12+O12)/2</f>
        <v>1.0669444444444141</v>
      </c>
      <c r="N12" s="56">
        <v>1</v>
      </c>
      <c r="O12" s="57">
        <f>_Valor_Min</f>
        <v>3.3333333333303017E-2</v>
      </c>
      <c r="P12" s="57">
        <f>O12+_pasos</f>
        <v>2.1005555555555251</v>
      </c>
      <c r="Q12" s="54">
        <f t="array" ref="Q12:Q23">FREQUENCY(_muestra,_limSup)</f>
        <v>53</v>
      </c>
      <c r="R12" s="52">
        <f t="shared" ref="R12:R23" si="2">_tamañoMuestra/_intervalos</f>
        <v>16.666666666666668</v>
      </c>
      <c r="S12" s="52">
        <f>(_xlfn.EXPON.DIST(P12,_DistrExpLambda,1)-_xlfn.EXPON.DIST(O12,_DistrExpLambda,1))*_tamañoMuestra</f>
        <v>71.389363570294165</v>
      </c>
      <c r="T12" s="52">
        <f>(_xlfn.NORM.DIST(P12,_DistrNormU,_DistrNomrS,1)-_xlfn.NORM.DIST(O12,_DistrNormU,_DistrNomrS,1))*_tamañoMuestra</f>
        <v>27.86204816807507</v>
      </c>
      <c r="U12" s="45">
        <f t="shared" ref="U12:U23" si="3">(R12-Q12)^2/R12</f>
        <v>79.206666666666649</v>
      </c>
      <c r="V12" s="45">
        <f t="shared" ref="V12:V23" si="4">(S12-Q12)^2/S12</f>
        <v>4.7369618610968764</v>
      </c>
      <c r="W12" s="45">
        <f t="shared" ref="W12:W23" si="5">(T12-Q12)^2/T12</f>
        <v>22.680192729988942</v>
      </c>
    </row>
    <row r="13" spans="1:28" ht="15.75" thickBot="1" x14ac:dyDescent="0.3">
      <c r="A13" s="2">
        <v>7</v>
      </c>
      <c r="B13" s="3">
        <v>437.95</v>
      </c>
      <c r="C13" s="4">
        <f t="shared" si="0"/>
        <v>5.7333333333333485</v>
      </c>
      <c r="M13" s="57">
        <f t="shared" si="1"/>
        <v>3.1341666666666361</v>
      </c>
      <c r="N13" s="56">
        <v>2</v>
      </c>
      <c r="O13" s="57">
        <f>P12</f>
        <v>2.1005555555555251</v>
      </c>
      <c r="P13" s="57">
        <f>O13+_pasos</f>
        <v>4.1677777777777472</v>
      </c>
      <c r="Q13" s="54">
        <v>60</v>
      </c>
      <c r="R13" s="52">
        <f t="shared" si="2"/>
        <v>16.666666666666668</v>
      </c>
      <c r="S13" s="52">
        <f>(_xlfn.EXPON.DIST(P13,_DistrExpLambda,1)-_xlfn.EXPON.DIST(O13,_DistrExpLambda,1))*_tamañoMuestra</f>
        <v>45.723429839381922</v>
      </c>
      <c r="T13" s="52">
        <f>(_xlfn.NORM.DIST(P13,_DistrNormU,_DistrNomrS,1)-_xlfn.NORM.DIST(O13,_DistrNormU,_DistrNomrS,1))*_tamañoMuestra</f>
        <v>39.764719583736451</v>
      </c>
      <c r="U13" s="45">
        <f t="shared" si="3"/>
        <v>112.66666666666663</v>
      </c>
      <c r="V13" s="45">
        <f t="shared" si="4"/>
        <v>4.4576808053777821</v>
      </c>
      <c r="W13" s="45">
        <f t="shared" si="5"/>
        <v>10.297232768423411</v>
      </c>
    </row>
    <row r="14" spans="1:28" ht="15.75" thickBot="1" x14ac:dyDescent="0.3">
      <c r="A14" s="2">
        <v>8</v>
      </c>
      <c r="B14" s="3">
        <v>438.76666666666665</v>
      </c>
      <c r="C14" s="4">
        <f t="shared" si="0"/>
        <v>0.81666666666666288</v>
      </c>
      <c r="F14" s="65" t="s">
        <v>10</v>
      </c>
      <c r="G14" s="66"/>
      <c r="H14" s="66"/>
      <c r="I14" s="66"/>
      <c r="J14" s="67"/>
      <c r="K14" s="8"/>
      <c r="L14" s="8"/>
      <c r="M14" s="57">
        <f t="shared" si="1"/>
        <v>5.2013888888888582</v>
      </c>
      <c r="N14" s="56">
        <v>3</v>
      </c>
      <c r="O14" s="57">
        <f t="shared" ref="O14:O23" si="6">P13</f>
        <v>4.1677777777777472</v>
      </c>
      <c r="P14" s="57">
        <f>O14+_pasos</f>
        <v>6.2349999999999692</v>
      </c>
      <c r="Q14" s="54">
        <v>42</v>
      </c>
      <c r="R14" s="52">
        <f t="shared" si="2"/>
        <v>16.666666666666668</v>
      </c>
      <c r="S14" s="52">
        <f>(_xlfn.EXPON.DIST(P14,_DistrExpLambda,1)-_xlfn.EXPON.DIST(O14,_DistrExpLambda,1))*_tamañoMuestra</f>
        <v>29.284923295587628</v>
      </c>
      <c r="T14" s="52">
        <f>(_xlfn.NORM.DIST(P14,_DistrNormU,_DistrNomrS,1)-_xlfn.NORM.DIST(O14,_DistrNormU,_DistrNomrS,1))*_tamañoMuestra</f>
        <v>42.483020768404408</v>
      </c>
      <c r="U14" s="45">
        <f t="shared" si="3"/>
        <v>38.506666666666661</v>
      </c>
      <c r="V14" s="45">
        <f t="shared" si="4"/>
        <v>5.5206965702877406</v>
      </c>
      <c r="W14" s="45">
        <f t="shared" si="5"/>
        <v>5.4918190488822847E-3</v>
      </c>
    </row>
    <row r="15" spans="1:28" ht="15.75" thickBot="1" x14ac:dyDescent="0.3">
      <c r="A15" s="2">
        <v>9</v>
      </c>
      <c r="B15" s="3">
        <v>442.85</v>
      </c>
      <c r="C15" s="4">
        <f t="shared" si="0"/>
        <v>4.0833333333333712</v>
      </c>
      <c r="F15" s="7" t="s">
        <v>11</v>
      </c>
      <c r="G15" s="8"/>
      <c r="H15" s="8"/>
      <c r="I15" s="8"/>
      <c r="J15" s="9"/>
      <c r="K15" s="8"/>
      <c r="L15" s="8"/>
      <c r="M15" s="57">
        <f t="shared" si="1"/>
        <v>7.2686111111110803</v>
      </c>
      <c r="N15" s="56">
        <v>4</v>
      </c>
      <c r="O15" s="57">
        <f t="shared" si="6"/>
        <v>6.2349999999999692</v>
      </c>
      <c r="P15" s="57">
        <f>O15+_pasos</f>
        <v>8.3022222222221913</v>
      </c>
      <c r="Q15" s="54">
        <v>18</v>
      </c>
      <c r="R15" s="52">
        <f t="shared" si="2"/>
        <v>16.666666666666668</v>
      </c>
      <c r="S15" s="52">
        <f>(_xlfn.EXPON.DIST(P15,_DistrExpLambda,1)-_xlfn.EXPON.DIST(O15,_DistrExpLambda,1))*_tamañoMuestra</f>
        <v>18.756395472541488</v>
      </c>
      <c r="T15" s="52">
        <f>(_xlfn.NORM.DIST(P15,_DistrNormU,_DistrNomrS,1)-_xlfn.NORM.DIST(O15,_DistrNormU,_DistrNomrS,1))*_tamañoMuestra</f>
        <v>33.975952303954756</v>
      </c>
      <c r="U15" s="45">
        <f t="shared" si="3"/>
        <v>0.10666666666666647</v>
      </c>
      <c r="V15" s="45">
        <f t="shared" si="4"/>
        <v>3.0503414780245996E-2</v>
      </c>
      <c r="W15" s="45">
        <f t="shared" si="5"/>
        <v>7.5121088508394429</v>
      </c>
    </row>
    <row r="16" spans="1:28" ht="15.75" thickBot="1" x14ac:dyDescent="0.3">
      <c r="A16" s="2">
        <v>10</v>
      </c>
      <c r="B16" s="3">
        <v>445.96666666666664</v>
      </c>
      <c r="C16" s="4">
        <f t="shared" si="0"/>
        <v>3.1166666666666174</v>
      </c>
      <c r="F16" s="10" t="s">
        <v>12</v>
      </c>
      <c r="G16" s="8"/>
      <c r="H16" s="8"/>
      <c r="I16" s="8"/>
      <c r="J16" s="9"/>
      <c r="K16" s="8"/>
      <c r="L16" s="8"/>
      <c r="M16" s="57">
        <f t="shared" si="1"/>
        <v>9.3358333333333015</v>
      </c>
      <c r="N16" s="56">
        <v>5</v>
      </c>
      <c r="O16" s="57">
        <f t="shared" si="6"/>
        <v>8.3022222222221913</v>
      </c>
      <c r="P16" s="57">
        <f>O16+_pasos</f>
        <v>10.369444444444413</v>
      </c>
      <c r="Q16" s="54">
        <v>9</v>
      </c>
      <c r="R16" s="52">
        <f t="shared" si="2"/>
        <v>16.666666666666668</v>
      </c>
      <c r="S16" s="52">
        <f>(_xlfn.EXPON.DIST(P16,_DistrExpLambda,1)-_xlfn.EXPON.DIST(O16,_DistrExpLambda,1))*_tamañoMuestra</f>
        <v>12.013088358519974</v>
      </c>
      <c r="T16" s="52">
        <f>(_xlfn.NORM.DIST(P16,_DistrNormU,_DistrNomrS,1)-_xlfn.NORM.DIST(O16,_DistrNormU,_DistrNomrS,1))*_tamañoMuestra</f>
        <v>20.339758259225516</v>
      </c>
      <c r="U16" s="45">
        <f t="shared" si="3"/>
        <v>3.5266666666666673</v>
      </c>
      <c r="V16" s="45">
        <f t="shared" si="4"/>
        <v>0.75573417803172638</v>
      </c>
      <c r="W16" s="45">
        <f t="shared" si="5"/>
        <v>6.3221064743652304</v>
      </c>
    </row>
    <row r="17" spans="1:43" ht="15.75" thickBot="1" x14ac:dyDescent="0.3">
      <c r="A17" s="2">
        <v>11</v>
      </c>
      <c r="B17" s="3">
        <v>451.36666666666667</v>
      </c>
      <c r="C17" s="4">
        <f t="shared" si="0"/>
        <v>5.4000000000000341</v>
      </c>
      <c r="F17" s="7"/>
      <c r="G17" s="8" t="s">
        <v>13</v>
      </c>
      <c r="H17" s="11">
        <f xml:space="preserve"> MIN(_muestra)</f>
        <v>3.3333333333303017E-2</v>
      </c>
      <c r="I17" s="11"/>
      <c r="J17" s="9"/>
      <c r="K17" s="8"/>
      <c r="L17" s="8"/>
      <c r="M17" s="57">
        <f t="shared" si="1"/>
        <v>11.403055555555525</v>
      </c>
      <c r="N17" s="56">
        <v>6</v>
      </c>
      <c r="O17" s="57">
        <f t="shared" si="6"/>
        <v>10.369444444444413</v>
      </c>
      <c r="P17" s="57">
        <f>O17+_pasos</f>
        <v>12.436666666666635</v>
      </c>
      <c r="Q17" s="54">
        <v>9</v>
      </c>
      <c r="R17" s="52">
        <f t="shared" si="2"/>
        <v>16.666666666666668</v>
      </c>
      <c r="S17" s="52">
        <f>(_xlfn.EXPON.DIST(P17,_DistrExpLambda,1)-_xlfn.EXPON.DIST(O17,_DistrExpLambda,1))*_tamañoMuestra</f>
        <v>7.6941378273281735</v>
      </c>
      <c r="T17" s="52">
        <f>(_xlfn.NORM.DIST(P17,_DistrNormU,_DistrNomrS,1)-_xlfn.NORM.DIST(O17,_DistrNormU,_DistrNomrS,1))*_tamañoMuestra</f>
        <v>9.113615747567172</v>
      </c>
      <c r="U17" s="45">
        <f t="shared" si="3"/>
        <v>3.5266666666666673</v>
      </c>
      <c r="V17" s="45">
        <f t="shared" si="4"/>
        <v>0.22163315140500262</v>
      </c>
      <c r="W17" s="45">
        <f t="shared" si="5"/>
        <v>1.4164013990488028E-3</v>
      </c>
    </row>
    <row r="18" spans="1:43" ht="15.75" thickBot="1" x14ac:dyDescent="0.3">
      <c r="A18" s="2">
        <v>12</v>
      </c>
      <c r="B18" s="3">
        <v>475.96666666666664</v>
      </c>
      <c r="C18" s="4">
        <f>B18-B17</f>
        <v>24.599999999999966</v>
      </c>
      <c r="F18" s="7"/>
      <c r="G18" s="8" t="s">
        <v>14</v>
      </c>
      <c r="H18" s="11">
        <f xml:space="preserve"> MAX(_muestra)</f>
        <v>24.599999999999966</v>
      </c>
      <c r="I18" s="11"/>
      <c r="J18" s="9"/>
      <c r="K18" s="8"/>
      <c r="L18" s="8"/>
      <c r="M18" s="57">
        <f t="shared" si="1"/>
        <v>13.470277777777746</v>
      </c>
      <c r="N18" s="56">
        <v>7</v>
      </c>
      <c r="O18" s="57">
        <f t="shared" si="6"/>
        <v>12.436666666666635</v>
      </c>
      <c r="P18" s="57">
        <f>O18+_pasos</f>
        <v>14.503888888888858</v>
      </c>
      <c r="Q18" s="54">
        <v>4</v>
      </c>
      <c r="R18" s="52">
        <f t="shared" si="2"/>
        <v>16.666666666666668</v>
      </c>
      <c r="S18" s="52">
        <f>(_xlfn.EXPON.DIST(P18,_DistrExpLambda,1)-_xlfn.EXPON.DIST(O18,_DistrExpLambda,1))*_tamañoMuestra</f>
        <v>4.9279381903435615</v>
      </c>
      <c r="T18" s="52">
        <f>(_xlfn.NORM.DIST(P18,_DistrNormU,_DistrNomrS,1)-_xlfn.NORM.DIST(O18,_DistrNormU,_DistrNomrS,1))*_tamañoMuestra</f>
        <v>3.05587036849162</v>
      </c>
      <c r="U18" s="45">
        <f t="shared" si="3"/>
        <v>9.6266666666666687</v>
      </c>
      <c r="V18" s="45">
        <f t="shared" si="4"/>
        <v>0.17473216015277426</v>
      </c>
      <c r="W18" s="45">
        <f t="shared" si="5"/>
        <v>0.2916945595215597</v>
      </c>
    </row>
    <row r="19" spans="1:43" ht="15.75" thickBot="1" x14ac:dyDescent="0.3">
      <c r="A19" s="2">
        <v>13</v>
      </c>
      <c r="B19" s="3">
        <v>478.88333333333333</v>
      </c>
      <c r="C19" s="4">
        <f t="shared" si="0"/>
        <v>2.9166666666666856</v>
      </c>
      <c r="F19" s="10" t="s">
        <v>15</v>
      </c>
      <c r="G19" s="8"/>
      <c r="H19" s="8"/>
      <c r="I19" s="8"/>
      <c r="J19" s="9"/>
      <c r="K19" s="8"/>
      <c r="L19" s="8"/>
      <c r="M19" s="57">
        <f t="shared" si="1"/>
        <v>15.537499999999969</v>
      </c>
      <c r="N19" s="56">
        <v>8</v>
      </c>
      <c r="O19" s="57">
        <f t="shared" si="6"/>
        <v>14.503888888888858</v>
      </c>
      <c r="P19" s="57">
        <f>O19+_pasos</f>
        <v>16.57111111111108</v>
      </c>
      <c r="Q19" s="54">
        <v>3</v>
      </c>
      <c r="R19" s="52">
        <f t="shared" si="2"/>
        <v>16.666666666666668</v>
      </c>
      <c r="S19" s="52">
        <f>(_xlfn.EXPON.DIST(P19,_DistrExpLambda,1)-_xlfn.EXPON.DIST(O19,_DistrExpLambda,1))*_tamañoMuestra</f>
        <v>3.156243799219749</v>
      </c>
      <c r="T19" s="52">
        <f>(_xlfn.NORM.DIST(P19,_DistrNormU,_DistrNomrS,1)-_xlfn.NORM.DIST(O19,_DistrNormU,_DistrNomrS,1))*_tamañoMuestra</f>
        <v>0.76662910163753928</v>
      </c>
      <c r="U19" s="45">
        <f t="shared" si="3"/>
        <v>11.206666666666667</v>
      </c>
      <c r="V19" s="45">
        <f t="shared" si="4"/>
        <v>7.7345497837195323E-3</v>
      </c>
      <c r="W19" s="45">
        <f t="shared" si="5"/>
        <v>6.5063347569221754</v>
      </c>
    </row>
    <row r="20" spans="1:43" ht="15.75" thickBot="1" x14ac:dyDescent="0.3">
      <c r="A20" s="2">
        <v>14</v>
      </c>
      <c r="B20" s="3">
        <v>496.16666666666669</v>
      </c>
      <c r="C20" s="4">
        <f t="shared" si="0"/>
        <v>17.28333333333336</v>
      </c>
      <c r="F20" s="7"/>
      <c r="G20" s="8" t="s">
        <v>16</v>
      </c>
      <c r="H20" s="11">
        <f>1/_media</f>
        <v>0.21552498293760555</v>
      </c>
      <c r="I20" s="11"/>
      <c r="J20" s="9"/>
      <c r="K20" s="8"/>
      <c r="L20" s="8"/>
      <c r="M20" s="57">
        <f t="shared" si="1"/>
        <v>17.60472222222219</v>
      </c>
      <c r="N20" s="56">
        <v>9</v>
      </c>
      <c r="O20" s="57">
        <f t="shared" si="6"/>
        <v>16.57111111111108</v>
      </c>
      <c r="P20" s="57">
        <f>O20+_pasos</f>
        <v>18.6383333333333</v>
      </c>
      <c r="Q20" s="54">
        <v>1</v>
      </c>
      <c r="R20" s="52">
        <f t="shared" si="2"/>
        <v>16.666666666666668</v>
      </c>
      <c r="S20" s="52">
        <f>(_xlfn.EXPON.DIST(P20,_DistrExpLambda,1)-_xlfn.EXPON.DIST(O20,_DistrExpLambda,1))*_tamañoMuestra</f>
        <v>2.0215097136635496</v>
      </c>
      <c r="T20" s="52">
        <f>(_xlfn.NORM.DIST(P20,_DistrNormU,_DistrNomrS,1)-_xlfn.NORM.DIST(O20,_DistrNormU,_DistrNomrS,1))*_tamañoMuestra</f>
        <v>0.14385681755915147</v>
      </c>
      <c r="U20" s="45">
        <f t="shared" si="3"/>
        <v>14.726666666666668</v>
      </c>
      <c r="V20" s="45">
        <f t="shared" si="4"/>
        <v>0.5161895033479218</v>
      </c>
      <c r="W20" s="45">
        <f t="shared" si="5"/>
        <v>5.0952131520534625</v>
      </c>
    </row>
    <row r="21" spans="1:43" ht="15.75" thickBot="1" x14ac:dyDescent="0.3">
      <c r="A21" s="2">
        <v>15</v>
      </c>
      <c r="B21" s="3">
        <v>499.65</v>
      </c>
      <c r="C21" s="4">
        <f t="shared" si="0"/>
        <v>3.4833333333332916</v>
      </c>
      <c r="F21" s="7"/>
      <c r="G21" s="8" t="s">
        <v>17</v>
      </c>
      <c r="H21" s="11">
        <f>1/_varianza^0.5</f>
        <v>0.26355612810400431</v>
      </c>
      <c r="I21" s="11"/>
      <c r="J21" s="9"/>
      <c r="K21" s="8"/>
      <c r="L21" s="8"/>
      <c r="M21" s="57">
        <f t="shared" si="1"/>
        <v>19.67194444444441</v>
      </c>
      <c r="N21" s="56">
        <v>10</v>
      </c>
      <c r="O21" s="57">
        <f t="shared" si="6"/>
        <v>18.6383333333333</v>
      </c>
      <c r="P21" s="57">
        <f>O21+_pasos</f>
        <v>20.70555555555552</v>
      </c>
      <c r="Q21" s="54">
        <v>0</v>
      </c>
      <c r="R21" s="52">
        <f t="shared" si="2"/>
        <v>16.666666666666668</v>
      </c>
      <c r="S21" s="52">
        <f>(_xlfn.EXPON.DIST(P21,_DistrExpLambda,1)-_xlfn.EXPON.DIST(O21,_DistrExpLambda,1))*_tamañoMuestra</f>
        <v>1.2947356992657699</v>
      </c>
      <c r="T21" s="52">
        <f>(_xlfn.NORM.DIST(P21,_DistrNormU,_DistrNomrS,1)-_xlfn.NORM.DIST(O21,_DistrNormU,_DistrNomrS,1))*_tamañoMuestra</f>
        <v>2.0185731000554874E-2</v>
      </c>
      <c r="U21" s="45">
        <f t="shared" si="3"/>
        <v>16.666666666666668</v>
      </c>
      <c r="V21" s="45">
        <f t="shared" si="4"/>
        <v>1.2947356992657699</v>
      </c>
      <c r="W21" s="45">
        <f t="shared" si="5"/>
        <v>2.0185731000554874E-2</v>
      </c>
    </row>
    <row r="22" spans="1:43" ht="15.75" thickBot="1" x14ac:dyDescent="0.3">
      <c r="A22" s="2">
        <v>16</v>
      </c>
      <c r="B22" s="3">
        <v>503.83333333333331</v>
      </c>
      <c r="C22" s="4">
        <f t="shared" si="0"/>
        <v>4.1833333333333371</v>
      </c>
      <c r="F22" s="10" t="s">
        <v>68</v>
      </c>
      <c r="G22" s="8"/>
      <c r="H22" s="8"/>
      <c r="I22" s="8"/>
      <c r="J22" s="9"/>
      <c r="K22" s="8"/>
      <c r="L22" s="8"/>
      <c r="M22" s="57">
        <f t="shared" si="1"/>
        <v>21.73916666666663</v>
      </c>
      <c r="N22" s="56">
        <v>11</v>
      </c>
      <c r="O22" s="57">
        <f t="shared" si="6"/>
        <v>20.70555555555552</v>
      </c>
      <c r="P22" s="57">
        <f>O22+_pasos</f>
        <v>22.77277777777774</v>
      </c>
      <c r="Q22" s="54">
        <v>0</v>
      </c>
      <c r="R22" s="52">
        <f t="shared" si="2"/>
        <v>16.666666666666668</v>
      </c>
      <c r="S22" s="52">
        <f>(_xlfn.EXPON.DIST(P22,_DistrExpLambda,1)-_xlfn.EXPON.DIST(O22,_DistrExpLambda,1))*_tamañoMuestra</f>
        <v>0.82925178129136246</v>
      </c>
      <c r="T22" s="52">
        <f>(_xlfn.NORM.DIST(P22,_DistrNormU,_DistrNomrS,1)-_xlfn.NORM.DIST(O22,_DistrNormU,_DistrNomrS,1))*_tamañoMuestra</f>
        <v>2.1173414615827113E-3</v>
      </c>
      <c r="U22" s="45">
        <f t="shared" si="3"/>
        <v>16.666666666666668</v>
      </c>
      <c r="V22" s="45">
        <f t="shared" si="4"/>
        <v>0.82925178129136246</v>
      </c>
      <c r="W22" s="45">
        <f t="shared" si="5"/>
        <v>2.1173414615827113E-3</v>
      </c>
    </row>
    <row r="23" spans="1:43" ht="15.75" thickBot="1" x14ac:dyDescent="0.3">
      <c r="A23" s="2">
        <v>17</v>
      </c>
      <c r="B23" s="3">
        <v>519.4</v>
      </c>
      <c r="C23" s="4">
        <f t="shared" si="0"/>
        <v>15.566666666666663</v>
      </c>
      <c r="F23" s="7"/>
      <c r="G23" s="8" t="s">
        <v>18</v>
      </c>
      <c r="H23" s="11">
        <f>_media</f>
        <v>4.6398333333333328</v>
      </c>
      <c r="I23" s="11"/>
      <c r="J23" s="9"/>
      <c r="K23" s="8"/>
      <c r="L23" s="8"/>
      <c r="M23" s="57">
        <f t="shared" si="1"/>
        <v>23.806388888888851</v>
      </c>
      <c r="N23" s="56">
        <v>12</v>
      </c>
      <c r="O23" s="57">
        <f t="shared" si="6"/>
        <v>22.77277777777774</v>
      </c>
      <c r="P23" s="94">
        <f>O23+_pasos</f>
        <v>24.839999999999961</v>
      </c>
      <c r="Q23" s="54">
        <v>1</v>
      </c>
      <c r="R23" s="52">
        <f t="shared" si="2"/>
        <v>16.666666666666668</v>
      </c>
      <c r="S23" s="52">
        <f>(_xlfn.EXPON.DIST(P23,_DistrExpLambda,1)-_xlfn.EXPON.DIST(O23,_DistrExpLambda,1))*_tamañoMuestra</f>
        <v>0.53111883542318328</v>
      </c>
      <c r="T23" s="52">
        <f>(_xlfn.NORM.DIST(P23,_DistrNormU,_DistrNomrS,1)-_xlfn.NORM.DIST(O23,_DistrNormU,_DistrNomrS,1))*_tamañoMuestra</f>
        <v>1.6596877536745325E-4</v>
      </c>
      <c r="U23" s="45">
        <f t="shared" si="3"/>
        <v>14.726666666666668</v>
      </c>
      <c r="V23" s="45">
        <f t="shared" si="4"/>
        <v>0.41393664060085694</v>
      </c>
      <c r="W23" s="45">
        <f t="shared" si="5"/>
        <v>6023.2298984049512</v>
      </c>
    </row>
    <row r="24" spans="1:43" ht="15.75" thickBot="1" x14ac:dyDescent="0.3">
      <c r="A24" s="2">
        <v>18</v>
      </c>
      <c r="B24" s="3">
        <v>522.75</v>
      </c>
      <c r="C24" s="4">
        <f t="shared" si="0"/>
        <v>3.3500000000000227</v>
      </c>
      <c r="F24" s="16"/>
      <c r="G24" s="13" t="s">
        <v>19</v>
      </c>
      <c r="H24" s="15">
        <f>_varianza^0.5</f>
        <v>3.7942581991695552</v>
      </c>
      <c r="I24" s="15"/>
      <c r="J24" s="14"/>
      <c r="K24" s="8"/>
      <c r="L24" s="8"/>
      <c r="Q24" s="54">
        <f t="shared" ref="Q24" si="7">SUM(Q12:Q23)</f>
        <v>200</v>
      </c>
      <c r="R24" s="52">
        <f t="shared" ref="R24:W24" si="8">SUM(R12:R23)</f>
        <v>199.99999999999997</v>
      </c>
      <c r="S24" s="52">
        <f t="shared" si="8"/>
        <v>197.62213638286053</v>
      </c>
      <c r="T24" s="52">
        <f t="shared" si="8"/>
        <v>177.52794015988914</v>
      </c>
      <c r="U24" s="45">
        <f t="shared" si="8"/>
        <v>321.16000000000003</v>
      </c>
      <c r="V24" s="81">
        <f t="shared" si="8"/>
        <v>18.959790315421774</v>
      </c>
      <c r="W24" s="45">
        <f t="shared" si="8"/>
        <v>6081.9639929899758</v>
      </c>
    </row>
    <row r="25" spans="1:43" ht="15.75" thickBot="1" x14ac:dyDescent="0.3">
      <c r="A25" s="2">
        <v>19</v>
      </c>
      <c r="B25" s="3">
        <v>523.26666666666665</v>
      </c>
      <c r="C25" s="4">
        <f t="shared" si="0"/>
        <v>0.51666666666665151</v>
      </c>
      <c r="F25" s="8"/>
      <c r="G25" s="8"/>
      <c r="H25" s="8"/>
      <c r="I25" s="8"/>
      <c r="J25" s="8"/>
      <c r="K25" s="8"/>
      <c r="L25" s="8"/>
    </row>
    <row r="26" spans="1:43" ht="15.75" thickBot="1" x14ac:dyDescent="0.3">
      <c r="A26" s="2">
        <v>20</v>
      </c>
      <c r="B26" s="3">
        <v>524.06666666666672</v>
      </c>
      <c r="C26" s="4">
        <f t="shared" si="0"/>
        <v>0.80000000000006821</v>
      </c>
      <c r="F26" s="8"/>
      <c r="G26" s="8"/>
      <c r="H26" s="8"/>
      <c r="I26" s="8"/>
      <c r="J26" s="8"/>
      <c r="K26" s="8"/>
      <c r="L26" s="8"/>
      <c r="N26" s="61" t="s">
        <v>45</v>
      </c>
      <c r="O26" s="60"/>
      <c r="P26" s="60"/>
      <c r="Q26" s="60"/>
      <c r="R26" s="60"/>
      <c r="S26" s="62"/>
    </row>
    <row r="27" spans="1:43" ht="15.75" thickBot="1" x14ac:dyDescent="0.3">
      <c r="A27" s="2">
        <v>21</v>
      </c>
      <c r="B27" s="3">
        <v>524.83333333333337</v>
      </c>
      <c r="C27" s="4">
        <f t="shared" si="0"/>
        <v>0.76666666666665151</v>
      </c>
      <c r="F27" s="63"/>
      <c r="G27" s="8"/>
      <c r="H27" s="8"/>
      <c r="I27" s="8"/>
      <c r="K27" s="8"/>
      <c r="L27" s="8"/>
    </row>
    <row r="28" spans="1:43" ht="15.75" thickBot="1" x14ac:dyDescent="0.3">
      <c r="A28" s="2">
        <v>22</v>
      </c>
      <c r="B28" s="3">
        <v>527.65</v>
      </c>
      <c r="C28" s="4">
        <f t="shared" si="0"/>
        <v>2.816666666666606</v>
      </c>
      <c r="F28" s="63"/>
      <c r="G28" s="8"/>
      <c r="H28" s="8"/>
      <c r="I28" s="8"/>
      <c r="J28" s="8"/>
      <c r="K28" s="8"/>
      <c r="L28" s="8"/>
      <c r="R28" s="139" t="s">
        <v>82</v>
      </c>
      <c r="S28" s="140"/>
      <c r="T28" s="140"/>
      <c r="U28" s="141"/>
      <c r="AH28" s="31" t="s">
        <v>34</v>
      </c>
      <c r="AI28" s="27"/>
      <c r="AJ28" s="6">
        <v>0.05</v>
      </c>
    </row>
    <row r="29" spans="1:43" ht="15.75" thickBot="1" x14ac:dyDescent="0.3">
      <c r="A29" s="2">
        <v>23</v>
      </c>
      <c r="B29" s="3">
        <v>529.31666666666672</v>
      </c>
      <c r="C29" s="4">
        <f t="shared" si="0"/>
        <v>1.6666666666667425</v>
      </c>
      <c r="F29" s="113" t="s">
        <v>80</v>
      </c>
      <c r="G29" s="60"/>
      <c r="H29" s="60"/>
      <c r="I29" s="60"/>
      <c r="J29" s="60"/>
      <c r="K29" s="60"/>
      <c r="L29" s="60"/>
      <c r="M29" s="62"/>
      <c r="N29" s="135"/>
      <c r="O29" s="62"/>
      <c r="Z29" s="82"/>
      <c r="AA29" s="82"/>
      <c r="AB29" s="83"/>
      <c r="AC29" s="82" t="s">
        <v>73</v>
      </c>
      <c r="AD29" s="82"/>
      <c r="AE29" s="83"/>
      <c r="AF29" s="83"/>
      <c r="AH29" s="12" t="s">
        <v>32</v>
      </c>
      <c r="AI29" s="13"/>
      <c r="AJ29" s="14">
        <f>_tamañoMuestra</f>
        <v>200</v>
      </c>
    </row>
    <row r="30" spans="1:43" x14ac:dyDescent="0.25">
      <c r="A30" s="2">
        <v>24</v>
      </c>
      <c r="B30" s="3">
        <v>532.85</v>
      </c>
      <c r="C30" s="4">
        <f t="shared" si="0"/>
        <v>3.533333333333303</v>
      </c>
      <c r="M30" s="8"/>
    </row>
    <row r="31" spans="1:43" ht="15.75" thickBot="1" x14ac:dyDescent="0.3">
      <c r="A31" s="2">
        <v>25</v>
      </c>
      <c r="B31" s="3">
        <v>537.2833333333333</v>
      </c>
      <c r="C31" s="4">
        <f t="shared" si="0"/>
        <v>4.4333333333332803</v>
      </c>
    </row>
    <row r="32" spans="1:43" ht="15.75" thickBot="1" x14ac:dyDescent="0.3">
      <c r="A32" s="2">
        <v>26</v>
      </c>
      <c r="B32" s="3">
        <v>539.65</v>
      </c>
      <c r="C32" s="4">
        <f t="shared" si="0"/>
        <v>2.3666666666666742</v>
      </c>
      <c r="F32" s="117" t="s">
        <v>31</v>
      </c>
      <c r="G32" s="118"/>
      <c r="H32" s="118"/>
      <c r="I32" s="70" t="s">
        <v>74</v>
      </c>
      <c r="J32" s="107"/>
      <c r="K32" s="107" t="s">
        <v>29</v>
      </c>
      <c r="L32" s="108"/>
      <c r="M32" s="119" t="s">
        <v>28</v>
      </c>
      <c r="N32" s="120"/>
      <c r="O32" s="121"/>
      <c r="Z32" s="117" t="s">
        <v>31</v>
      </c>
      <c r="AA32" s="118"/>
      <c r="AB32" s="124"/>
      <c r="AC32" s="70" t="s">
        <v>30</v>
      </c>
      <c r="AD32" s="125" t="s">
        <v>29</v>
      </c>
      <c r="AE32" s="126"/>
      <c r="AF32" s="126"/>
      <c r="AG32" s="70" t="s">
        <v>46</v>
      </c>
      <c r="AH32" s="126" t="s">
        <v>47</v>
      </c>
      <c r="AI32" s="126"/>
      <c r="AJ32" s="128"/>
      <c r="AK32" s="70" t="s">
        <v>48</v>
      </c>
      <c r="AL32" s="129" t="s">
        <v>49</v>
      </c>
      <c r="AM32" s="130"/>
      <c r="AN32" s="131"/>
      <c r="AO32" s="114" t="s">
        <v>50</v>
      </c>
      <c r="AP32" s="115"/>
      <c r="AQ32" s="116"/>
    </row>
    <row r="33" spans="1:43" ht="15.75" thickBot="1" x14ac:dyDescent="0.3">
      <c r="A33" s="2">
        <v>27</v>
      </c>
      <c r="B33" s="3">
        <v>547.9666666666667</v>
      </c>
      <c r="C33" s="4">
        <f t="shared" si="0"/>
        <v>8.3166666666667197</v>
      </c>
      <c r="E33" s="56" t="s">
        <v>27</v>
      </c>
      <c r="F33" s="50" t="s">
        <v>26</v>
      </c>
      <c r="G33" s="93" t="s">
        <v>25</v>
      </c>
      <c r="H33" s="104" t="s">
        <v>24</v>
      </c>
      <c r="I33" s="71" t="s">
        <v>51</v>
      </c>
      <c r="J33" s="106" t="s">
        <v>22</v>
      </c>
      <c r="K33" s="49" t="s">
        <v>21</v>
      </c>
      <c r="L33" s="49" t="s">
        <v>20</v>
      </c>
      <c r="M33" s="43" t="s">
        <v>22</v>
      </c>
      <c r="N33" s="43" t="s">
        <v>21</v>
      </c>
      <c r="O33" s="43" t="s">
        <v>20</v>
      </c>
      <c r="Z33" s="50" t="s">
        <v>26</v>
      </c>
      <c r="AA33" s="50" t="s">
        <v>25</v>
      </c>
      <c r="AB33" s="50" t="s">
        <v>24</v>
      </c>
      <c r="AC33" s="51" t="s">
        <v>23</v>
      </c>
      <c r="AD33" s="49" t="s">
        <v>22</v>
      </c>
      <c r="AE33" s="49" t="s">
        <v>21</v>
      </c>
      <c r="AF33" s="46" t="s">
        <v>20</v>
      </c>
      <c r="AG33" s="71" t="s">
        <v>51</v>
      </c>
      <c r="AH33" s="100" t="s">
        <v>22</v>
      </c>
      <c r="AI33" s="100" t="s">
        <v>21</v>
      </c>
      <c r="AJ33" s="101" t="s">
        <v>20</v>
      </c>
      <c r="AK33" s="51" t="s">
        <v>52</v>
      </c>
      <c r="AL33" s="49" t="s">
        <v>22</v>
      </c>
      <c r="AM33" s="49" t="s">
        <v>21</v>
      </c>
      <c r="AN33" s="49" t="s">
        <v>20</v>
      </c>
      <c r="AO33" s="43" t="s">
        <v>22</v>
      </c>
      <c r="AP33" s="102" t="s">
        <v>21</v>
      </c>
      <c r="AQ33" s="43" t="s">
        <v>20</v>
      </c>
    </row>
    <row r="34" spans="1:43" ht="15.75" thickBot="1" x14ac:dyDescent="0.3">
      <c r="A34" s="2">
        <v>28</v>
      </c>
      <c r="B34" s="3">
        <v>551.4666666666667</v>
      </c>
      <c r="C34" s="4">
        <f t="shared" si="0"/>
        <v>3.5</v>
      </c>
      <c r="E34" s="57">
        <f t="shared" ref="E34:E39" si="9">(H34+G34)/2</f>
        <v>1.0669444444444141</v>
      </c>
      <c r="F34" s="56">
        <v>1</v>
      </c>
      <c r="G34" s="57">
        <f>_Valor_Min</f>
        <v>3.3333333333303017E-2</v>
      </c>
      <c r="H34" s="57">
        <f>G34+_pasos</f>
        <v>2.1005555555555251</v>
      </c>
      <c r="I34" s="99">
        <f t="array" ref="I34:I39">FREQUENCY(_muestra, H34:H39)</f>
        <v>53</v>
      </c>
      <c r="J34" s="52">
        <f>_tamañoMuestra/6</f>
        <v>33.333333333333336</v>
      </c>
      <c r="K34" s="52">
        <f>(_xlfn.EXPON.DIST(H34,_DistrExpLambda,1)-_xlfn.EXPON.DIST(G34,_DistrExpLambda,1))*_tamañoMuestra</f>
        <v>71.389363570294165</v>
      </c>
      <c r="L34" s="52">
        <f>(_xlfn.NORM.DIST(H34,_DistrNormU,_DistrNomrS,1)-_xlfn.NORM.DIST(G34,_DistrNormU,_DistrNomrS,1))*_tamañoMuestra</f>
        <v>27.86204816807507</v>
      </c>
      <c r="M34" s="45">
        <f>(J34-I34)^2/J34</f>
        <v>11.603333333333328</v>
      </c>
      <c r="N34" s="45">
        <f>(K34-I34)^2/K34</f>
        <v>4.7369618610968764</v>
      </c>
      <c r="O34" s="45">
        <f>(L34-I34)^2/L34</f>
        <v>22.680192729988942</v>
      </c>
      <c r="Z34" s="56">
        <v>1</v>
      </c>
      <c r="AA34" s="57">
        <f>_Valor_Min</f>
        <v>3.3333333333303017E-2</v>
      </c>
      <c r="AB34" s="57">
        <f t="shared" ref="AB34" si="10">AA34+_pasos</f>
        <v>2.1005555555555251</v>
      </c>
      <c r="AC34" s="54">
        <f t="array" ref="AC34:AC45">FREQUENCY(_muestra,_limSup)</f>
        <v>53</v>
      </c>
      <c r="AD34" s="52">
        <f>_tamañoMuestra/_intervalos</f>
        <v>16.666666666666668</v>
      </c>
      <c r="AE34" s="52">
        <f>(_xlfn.EXPON.DIST(AB34,_DistrExpLambda,1)-_xlfn.EXPON.DIST(AA34,_DistrExpLambda,1))*_tamañoMuestra</f>
        <v>71.389363570294165</v>
      </c>
      <c r="AF34" s="52">
        <f t="shared" ref="AF34:AF45" si="11">(_xlfn.NORM.DIST(AB34,_DistrNormU,_DistrNomrS,1)-_xlfn.NORM.DIST(AA34,_DistrNormU,_DistrNomrS,1))*_tamañoMuestra</f>
        <v>27.86204816807507</v>
      </c>
      <c r="AG34" s="99">
        <f>AC34/$AC$46</f>
        <v>0.26500000000000001</v>
      </c>
      <c r="AH34" s="52">
        <f>AD34/$AC$46</f>
        <v>8.3333333333333343E-2</v>
      </c>
      <c r="AI34" s="75">
        <f>AE34/$AC$46</f>
        <v>0.35694681785147081</v>
      </c>
      <c r="AJ34" s="75">
        <f>AF34/$AC$46</f>
        <v>0.13931024084037535</v>
      </c>
      <c r="AK34" s="73">
        <f>SUM(AG$34:AG34)</f>
        <v>0.26500000000000001</v>
      </c>
      <c r="AL34" s="52">
        <f>SUM($AH$34:AH34)</f>
        <v>8.3333333333333343E-2</v>
      </c>
      <c r="AM34" s="75">
        <f>SUM($AI$34:AI34)</f>
        <v>0.35694681785147081</v>
      </c>
      <c r="AN34" s="75">
        <f>SUM($AJ$34:AJ34)</f>
        <v>0.13931024084037535</v>
      </c>
      <c r="AO34" s="79">
        <f>+ABS(AL34-AK34)</f>
        <v>0.18166666666666667</v>
      </c>
      <c r="AP34" s="79">
        <f>+ABS(AM34-AK34)</f>
        <v>9.1946817851470797E-2</v>
      </c>
      <c r="AQ34" s="79">
        <f>+ABS(AK34-AN34)</f>
        <v>0.12568975915962466</v>
      </c>
    </row>
    <row r="35" spans="1:43" ht="15.75" thickBot="1" x14ac:dyDescent="0.3">
      <c r="A35" s="2">
        <v>29</v>
      </c>
      <c r="B35" s="3">
        <v>560.33333333333337</v>
      </c>
      <c r="C35" s="4">
        <f t="shared" si="0"/>
        <v>8.8666666666666742</v>
      </c>
      <c r="E35" s="57">
        <f t="shared" si="9"/>
        <v>3.1341666666666361</v>
      </c>
      <c r="F35" s="56">
        <v>2</v>
      </c>
      <c r="G35" s="57">
        <f>H34</f>
        <v>2.1005555555555251</v>
      </c>
      <c r="H35" s="57">
        <f>G35+_pasos</f>
        <v>4.1677777777777472</v>
      </c>
      <c r="I35" s="73">
        <v>60</v>
      </c>
      <c r="J35" s="52">
        <f>_tamañoMuestra/6</f>
        <v>33.333333333333336</v>
      </c>
      <c r="K35" s="52">
        <f>(_xlfn.EXPON.DIST(H35,_DistrExpLambda,1)-_xlfn.EXPON.DIST(G35,_DistrExpLambda,1))*_tamañoMuestra</f>
        <v>45.723429839381922</v>
      </c>
      <c r="L35" s="52">
        <f>(_xlfn.NORM.DIST(H35,_DistrNormU,_DistrNomrS,1)-_xlfn.NORM.DIST(G35,_DistrNormU,_DistrNomrS,1))*_tamañoMuestra</f>
        <v>39.764719583736451</v>
      </c>
      <c r="M35" s="45">
        <f t="shared" ref="M35:M39" si="12">(J35-I35)^2/J35</f>
        <v>21.333333333333329</v>
      </c>
      <c r="N35" s="45">
        <f t="shared" ref="N35:N39" si="13">(K35-I35)^2/K35</f>
        <v>4.4576808053777821</v>
      </c>
      <c r="O35" s="45">
        <f t="shared" ref="O35:O39" si="14">(L35-I35)^2/L35</f>
        <v>10.297232768423411</v>
      </c>
      <c r="Z35" s="56">
        <v>2</v>
      </c>
      <c r="AA35" s="57">
        <f>AB34</f>
        <v>2.1005555555555251</v>
      </c>
      <c r="AB35" s="57">
        <f t="shared" ref="AB35:AB45" si="15">AA35+_pasos</f>
        <v>4.1677777777777472</v>
      </c>
      <c r="AC35" s="54">
        <v>60</v>
      </c>
      <c r="AD35" s="52">
        <f t="shared" ref="AD35:AD45" si="16">_tamañoMuestra/_intervalos</f>
        <v>16.666666666666668</v>
      </c>
      <c r="AE35" s="52">
        <f t="shared" ref="AE35:AE45" si="17">(_xlfn.EXPON.DIST(AB35,_DistrExpLambda,1)-_xlfn.EXPON.DIST(AA35,_DistrExpLambda,1))*_tamañoMuestra</f>
        <v>45.723429839381922</v>
      </c>
      <c r="AF35" s="52">
        <f t="shared" si="11"/>
        <v>39.764719583736451</v>
      </c>
      <c r="AG35" s="73">
        <f t="shared" ref="AG35:AJ45" si="18">AC35/$AC$46</f>
        <v>0.3</v>
      </c>
      <c r="AH35" s="52">
        <f t="shared" si="18"/>
        <v>8.3333333333333343E-2</v>
      </c>
      <c r="AI35" s="75">
        <f t="shared" si="18"/>
        <v>0.22861714919690962</v>
      </c>
      <c r="AJ35" s="75">
        <f t="shared" si="18"/>
        <v>0.19882359791868226</v>
      </c>
      <c r="AK35" s="73">
        <f>SUM(AG$34:AG35)</f>
        <v>0.56499999999999995</v>
      </c>
      <c r="AL35" s="52">
        <f>SUM($AH$34:AH35)</f>
        <v>0.16666666666666669</v>
      </c>
      <c r="AM35" s="75">
        <f>SUM($AI$34:AI35)</f>
        <v>0.58556396704838043</v>
      </c>
      <c r="AN35" s="75">
        <f>SUM($AJ$34:AJ35)</f>
        <v>0.33813383875905761</v>
      </c>
      <c r="AO35" s="79">
        <f t="shared" ref="AO35:AO45" si="19">+ABS(AL35-AK35)</f>
        <v>0.39833333333333326</v>
      </c>
      <c r="AP35" s="79">
        <f t="shared" ref="AP35:AP45" si="20">+ABS(AM35-AK35)</f>
        <v>2.0563967048380483E-2</v>
      </c>
      <c r="AQ35" s="79">
        <f>+ABS(AK35-AN35)</f>
        <v>0.22686616124094233</v>
      </c>
    </row>
    <row r="36" spans="1:43" ht="15.75" thickBot="1" x14ac:dyDescent="0.3">
      <c r="A36" s="2">
        <v>30</v>
      </c>
      <c r="B36" s="3">
        <v>565.5333333333333</v>
      </c>
      <c r="C36" s="4">
        <f t="shared" si="0"/>
        <v>5.1999999999999318</v>
      </c>
      <c r="E36" s="57">
        <f t="shared" si="9"/>
        <v>5.2013888888888582</v>
      </c>
      <c r="F36" s="56">
        <v>3</v>
      </c>
      <c r="G36" s="57">
        <f t="shared" ref="G36:G39" si="21">H35</f>
        <v>4.1677777777777472</v>
      </c>
      <c r="H36" s="57">
        <f>G36+_pasos</f>
        <v>6.2349999999999692</v>
      </c>
      <c r="I36" s="73">
        <v>42</v>
      </c>
      <c r="J36" s="52">
        <f>_tamañoMuestra/6</f>
        <v>33.333333333333336</v>
      </c>
      <c r="K36" s="52">
        <f>(_xlfn.EXPON.DIST(H36,_DistrExpLambda,1)-_xlfn.EXPON.DIST(G36,_DistrExpLambda,1))*_tamañoMuestra</f>
        <v>29.284923295587628</v>
      </c>
      <c r="L36" s="52">
        <f>(_xlfn.NORM.DIST(H36,_DistrNormU,_DistrNomrS,1)-_xlfn.NORM.DIST(G36,_DistrNormU,_DistrNomrS,1))*_tamañoMuestra</f>
        <v>42.483020768404408</v>
      </c>
      <c r="M36" s="45">
        <f t="shared" si="12"/>
        <v>2.2533333333333321</v>
      </c>
      <c r="N36" s="45">
        <f t="shared" si="13"/>
        <v>5.5206965702877406</v>
      </c>
      <c r="O36" s="45">
        <f t="shared" si="14"/>
        <v>5.4918190488822847E-3</v>
      </c>
      <c r="Z36" s="56">
        <v>3</v>
      </c>
      <c r="AA36" s="57">
        <f t="shared" ref="AA36:AA45" si="22">AB35</f>
        <v>4.1677777777777472</v>
      </c>
      <c r="AB36" s="57">
        <f t="shared" si="15"/>
        <v>6.2349999999999692</v>
      </c>
      <c r="AC36" s="54">
        <v>42</v>
      </c>
      <c r="AD36" s="52">
        <f t="shared" si="16"/>
        <v>16.666666666666668</v>
      </c>
      <c r="AE36" s="52">
        <f t="shared" si="17"/>
        <v>29.284923295587628</v>
      </c>
      <c r="AF36" s="52">
        <f t="shared" si="11"/>
        <v>42.483020768404408</v>
      </c>
      <c r="AG36" s="73">
        <f t="shared" si="18"/>
        <v>0.21</v>
      </c>
      <c r="AH36" s="52">
        <f t="shared" si="18"/>
        <v>8.3333333333333343E-2</v>
      </c>
      <c r="AI36" s="75">
        <f t="shared" si="18"/>
        <v>0.14642461647793814</v>
      </c>
      <c r="AJ36" s="75">
        <f t="shared" si="18"/>
        <v>0.21241510384202203</v>
      </c>
      <c r="AK36" s="73">
        <f>SUM(AG$34:AG36)</f>
        <v>0.77499999999999991</v>
      </c>
      <c r="AL36" s="52">
        <f>SUM($AH$34:AH36)</f>
        <v>0.25</v>
      </c>
      <c r="AM36" s="75">
        <f>SUM($AI$34:AI36)</f>
        <v>0.73198858352631857</v>
      </c>
      <c r="AN36" s="75">
        <f>SUM($AJ$34:AJ36)</f>
        <v>0.55054894260107967</v>
      </c>
      <c r="AO36" s="79">
        <f t="shared" si="19"/>
        <v>0.52499999999999991</v>
      </c>
      <c r="AP36" s="79">
        <f t="shared" si="20"/>
        <v>4.3011416473681341E-2</v>
      </c>
      <c r="AQ36" s="79">
        <f t="shared" ref="AQ36:AQ45" si="23">+ABS(AK36-AN36)</f>
        <v>0.22445105739892024</v>
      </c>
    </row>
    <row r="37" spans="1:43" ht="15.75" thickBot="1" x14ac:dyDescent="0.3">
      <c r="A37" s="2">
        <v>31</v>
      </c>
      <c r="B37" s="3">
        <v>566.76666666666665</v>
      </c>
      <c r="C37" s="4">
        <f t="shared" si="0"/>
        <v>1.2333333333333485</v>
      </c>
      <c r="E37" s="57">
        <f t="shared" si="9"/>
        <v>7.2686111111110803</v>
      </c>
      <c r="F37" s="56">
        <v>4</v>
      </c>
      <c r="G37" s="57">
        <f t="shared" si="21"/>
        <v>6.2349999999999692</v>
      </c>
      <c r="H37" s="57">
        <f>G37+_pasos</f>
        <v>8.3022222222221913</v>
      </c>
      <c r="I37" s="73">
        <v>18</v>
      </c>
      <c r="J37" s="52">
        <f>_tamañoMuestra/6</f>
        <v>33.333333333333336</v>
      </c>
      <c r="K37" s="52">
        <f>(_xlfn.EXPON.DIST(H37,_DistrExpLambda,1)-_xlfn.EXPON.DIST(G37,_DistrExpLambda,1))*_tamañoMuestra</f>
        <v>18.756395472541488</v>
      </c>
      <c r="L37" s="52">
        <f>(_xlfn.NORM.DIST(H37,_DistrNormU,_DistrNomrS,1)-_xlfn.NORM.DIST(G37,_DistrNormU,_DistrNomrS,1))*_tamañoMuestra</f>
        <v>33.975952303954756</v>
      </c>
      <c r="M37" s="45">
        <f t="shared" si="12"/>
        <v>7.0533333333333346</v>
      </c>
      <c r="N37" s="45">
        <f t="shared" si="13"/>
        <v>3.0503414780245996E-2</v>
      </c>
      <c r="O37" s="45">
        <f t="shared" si="14"/>
        <v>7.5121088508394429</v>
      </c>
      <c r="Z37" s="56">
        <v>4</v>
      </c>
      <c r="AA37" s="57">
        <f t="shared" si="22"/>
        <v>6.2349999999999692</v>
      </c>
      <c r="AB37" s="57">
        <f t="shared" si="15"/>
        <v>8.3022222222221913</v>
      </c>
      <c r="AC37" s="54">
        <v>18</v>
      </c>
      <c r="AD37" s="52">
        <f t="shared" si="16"/>
        <v>16.666666666666668</v>
      </c>
      <c r="AE37" s="52">
        <f t="shared" si="17"/>
        <v>18.756395472541488</v>
      </c>
      <c r="AF37" s="52">
        <f t="shared" si="11"/>
        <v>33.975952303954756</v>
      </c>
      <c r="AG37" s="73">
        <f t="shared" si="18"/>
        <v>0.09</v>
      </c>
      <c r="AH37" s="52">
        <f t="shared" si="18"/>
        <v>8.3333333333333343E-2</v>
      </c>
      <c r="AI37" s="75">
        <f t="shared" si="18"/>
        <v>9.3781977362707436E-2</v>
      </c>
      <c r="AJ37" s="75">
        <f>AF37/$AC$46</f>
        <v>0.16987976151977377</v>
      </c>
      <c r="AK37" s="73">
        <f>SUM(AG$34:AG37)</f>
        <v>0.86499999999999988</v>
      </c>
      <c r="AL37" s="52">
        <f>SUM($AH$34:AH37)</f>
        <v>0.33333333333333337</v>
      </c>
      <c r="AM37" s="75">
        <f>SUM($AI$34:AI37)</f>
        <v>0.82577056088902601</v>
      </c>
      <c r="AN37" s="75">
        <f>SUM($AJ$34:AJ37)</f>
        <v>0.72042870412085347</v>
      </c>
      <c r="AO37" s="79">
        <f t="shared" si="19"/>
        <v>0.53166666666666651</v>
      </c>
      <c r="AP37" s="79">
        <f t="shared" si="20"/>
        <v>3.9229439110973874E-2</v>
      </c>
      <c r="AQ37" s="79">
        <f t="shared" si="23"/>
        <v>0.14457129587914641</v>
      </c>
    </row>
    <row r="38" spans="1:43" ht="15.75" thickBot="1" x14ac:dyDescent="0.3">
      <c r="A38" s="2">
        <v>32</v>
      </c>
      <c r="B38" s="3">
        <v>570.18333333333328</v>
      </c>
      <c r="C38" s="4">
        <f t="shared" si="0"/>
        <v>3.4166666666666288</v>
      </c>
      <c r="E38" s="57">
        <f t="shared" si="9"/>
        <v>9.3358333333333015</v>
      </c>
      <c r="F38" s="56">
        <v>5</v>
      </c>
      <c r="G38" s="57">
        <f t="shared" si="21"/>
        <v>8.3022222222221913</v>
      </c>
      <c r="H38" s="57">
        <f>G38+_pasos</f>
        <v>10.369444444444413</v>
      </c>
      <c r="I38" s="73">
        <v>9</v>
      </c>
      <c r="J38" s="52">
        <f>_tamañoMuestra/6</f>
        <v>33.333333333333336</v>
      </c>
      <c r="K38" s="52">
        <f>(_xlfn.EXPON.DIST(H38,_DistrExpLambda,1)-_xlfn.EXPON.DIST(G38,_DistrExpLambda,1))*_tamañoMuestra</f>
        <v>12.013088358519974</v>
      </c>
      <c r="L38" s="52">
        <f>(_xlfn.NORM.DIST(H38,_DistrNormU,_DistrNomrS,1)-_xlfn.NORM.DIST(G38,_DistrNormU,_DistrNomrS,1))*_tamañoMuestra</f>
        <v>20.339758259225516</v>
      </c>
      <c r="M38" s="45">
        <f t="shared" si="12"/>
        <v>17.763333333333335</v>
      </c>
      <c r="N38" s="45">
        <f t="shared" si="13"/>
        <v>0.75573417803172638</v>
      </c>
      <c r="O38" s="45">
        <f t="shared" si="14"/>
        <v>6.3221064743652304</v>
      </c>
      <c r="Z38" s="56">
        <v>5</v>
      </c>
      <c r="AA38" s="57">
        <f t="shared" si="22"/>
        <v>8.3022222222221913</v>
      </c>
      <c r="AB38" s="57">
        <f t="shared" si="15"/>
        <v>10.369444444444413</v>
      </c>
      <c r="AC38" s="54">
        <v>9</v>
      </c>
      <c r="AD38" s="52">
        <f t="shared" si="16"/>
        <v>16.666666666666668</v>
      </c>
      <c r="AE38" s="52">
        <f t="shared" si="17"/>
        <v>12.013088358519974</v>
      </c>
      <c r="AF38" s="52">
        <f t="shared" si="11"/>
        <v>20.339758259225516</v>
      </c>
      <c r="AG38" s="73">
        <f t="shared" si="18"/>
        <v>4.4999999999999998E-2</v>
      </c>
      <c r="AH38" s="52">
        <f t="shared" si="18"/>
        <v>8.3333333333333343E-2</v>
      </c>
      <c r="AI38" s="75">
        <f t="shared" si="18"/>
        <v>6.0065441792599872E-2</v>
      </c>
      <c r="AJ38" s="75">
        <f t="shared" si="18"/>
        <v>0.10169879129612758</v>
      </c>
      <c r="AK38" s="73">
        <f>SUM(AG$34:AG38)</f>
        <v>0.90999999999999992</v>
      </c>
      <c r="AL38" s="52">
        <f>SUM($AH$34:AH38)</f>
        <v>0.41666666666666674</v>
      </c>
      <c r="AM38" s="75">
        <f>SUM($AI$34:AI38)</f>
        <v>0.88583600268162588</v>
      </c>
      <c r="AN38" s="75">
        <f>SUM($AJ$34:AJ38)</f>
        <v>0.82212749541698105</v>
      </c>
      <c r="AO38" s="79">
        <f t="shared" si="19"/>
        <v>0.49333333333333318</v>
      </c>
      <c r="AP38" s="79">
        <f t="shared" si="20"/>
        <v>2.4163997318374042E-2</v>
      </c>
      <c r="AQ38" s="79">
        <f t="shared" si="23"/>
        <v>8.7872504583018873E-2</v>
      </c>
    </row>
    <row r="39" spans="1:43" ht="15.75" thickBot="1" x14ac:dyDescent="0.3">
      <c r="A39" s="2">
        <v>33</v>
      </c>
      <c r="B39" s="3">
        <v>576.1</v>
      </c>
      <c r="C39" s="4">
        <f t="shared" si="0"/>
        <v>5.9166666666667425</v>
      </c>
      <c r="E39" s="57">
        <f t="shared" si="9"/>
        <v>17.604722222222208</v>
      </c>
      <c r="F39" s="56">
        <v>6</v>
      </c>
      <c r="G39" s="57">
        <f t="shared" si="21"/>
        <v>10.369444444444413</v>
      </c>
      <c r="H39" s="57">
        <f>24.84</f>
        <v>24.84</v>
      </c>
      <c r="I39" s="73">
        <v>18</v>
      </c>
      <c r="J39" s="52">
        <f>_tamañoMuestra/6</f>
        <v>33.333333333333336</v>
      </c>
      <c r="K39" s="52">
        <f>(_xlfn.EXPON.DIST(H39,_DistrExpLambda,1)-_xlfn.EXPON.DIST(G39,_DistrExpLambda,1))*_tamañoMuestra</f>
        <v>20.454935846535371</v>
      </c>
      <c r="L39" s="52">
        <f>(_xlfn.NORM.DIST(H39,_DistrNormU,_DistrNomrS,1)-_xlfn.NORM.DIST(G39,_DistrNormU,_DistrNomrS,1))*_tamañoMuestra</f>
        <v>13.102441076492987</v>
      </c>
      <c r="M39" s="45">
        <f t="shared" si="12"/>
        <v>7.0533333333333346</v>
      </c>
      <c r="N39" s="45">
        <f t="shared" si="13"/>
        <v>0.29463353274828935</v>
      </c>
      <c r="O39" s="45">
        <f t="shared" si="14"/>
        <v>1.830657605646971</v>
      </c>
      <c r="Z39" s="56">
        <v>6</v>
      </c>
      <c r="AA39" s="57">
        <f t="shared" si="22"/>
        <v>10.369444444444413</v>
      </c>
      <c r="AB39" s="57">
        <f t="shared" si="15"/>
        <v>12.436666666666635</v>
      </c>
      <c r="AC39" s="54">
        <v>9</v>
      </c>
      <c r="AD39" s="52">
        <f t="shared" si="16"/>
        <v>16.666666666666668</v>
      </c>
      <c r="AE39" s="52">
        <f t="shared" si="17"/>
        <v>7.6941378273281735</v>
      </c>
      <c r="AF39" s="52">
        <f t="shared" si="11"/>
        <v>9.113615747567172</v>
      </c>
      <c r="AG39" s="73">
        <f t="shared" si="18"/>
        <v>4.4999999999999998E-2</v>
      </c>
      <c r="AH39" s="52">
        <f t="shared" si="18"/>
        <v>8.3333333333333343E-2</v>
      </c>
      <c r="AI39" s="75">
        <f t="shared" si="18"/>
        <v>3.8470689136640868E-2</v>
      </c>
      <c r="AJ39" s="75">
        <f t="shared" si="18"/>
        <v>4.556807873783586E-2</v>
      </c>
      <c r="AK39" s="73">
        <f>SUM(AG$34:AG39)</f>
        <v>0.95499999999999996</v>
      </c>
      <c r="AL39" s="52">
        <f>SUM($AH$34:AH39)</f>
        <v>0.50000000000000011</v>
      </c>
      <c r="AM39" s="75">
        <f>SUM($AI$34:AI39)</f>
        <v>0.92430669181826675</v>
      </c>
      <c r="AN39" s="75">
        <f>SUM($AJ$34:AJ39)</f>
        <v>0.86769557415481691</v>
      </c>
      <c r="AO39" s="79">
        <f t="shared" si="19"/>
        <v>0.45499999999999985</v>
      </c>
      <c r="AP39" s="79">
        <f t="shared" si="20"/>
        <v>3.0693308181733214E-2</v>
      </c>
      <c r="AQ39" s="79">
        <f t="shared" si="23"/>
        <v>8.7304425845183053E-2</v>
      </c>
    </row>
    <row r="40" spans="1:43" ht="15.75" thickBot="1" x14ac:dyDescent="0.3">
      <c r="A40" s="2">
        <v>34</v>
      </c>
      <c r="B40" s="3">
        <v>587.85</v>
      </c>
      <c r="C40" s="4">
        <f t="shared" si="0"/>
        <v>11.75</v>
      </c>
      <c r="E40" s="57"/>
      <c r="F40" s="56"/>
      <c r="G40" s="57"/>
      <c r="H40" s="57"/>
      <c r="I40" s="73"/>
      <c r="J40" s="52"/>
      <c r="K40" s="52"/>
      <c r="L40" s="52"/>
      <c r="M40" s="45"/>
      <c r="N40" s="45"/>
      <c r="O40" s="45"/>
      <c r="Z40" s="56">
        <v>7</v>
      </c>
      <c r="AA40" s="57">
        <f t="shared" si="22"/>
        <v>12.436666666666635</v>
      </c>
      <c r="AB40" s="98">
        <f t="shared" si="15"/>
        <v>14.503888888888858</v>
      </c>
      <c r="AC40" s="54">
        <v>4</v>
      </c>
      <c r="AD40" s="52">
        <f t="shared" si="16"/>
        <v>16.666666666666668</v>
      </c>
      <c r="AE40" s="52">
        <f t="shared" si="17"/>
        <v>4.9279381903435615</v>
      </c>
      <c r="AF40" s="52">
        <f t="shared" si="11"/>
        <v>3.05587036849162</v>
      </c>
      <c r="AG40" s="73">
        <f t="shared" si="18"/>
        <v>0.02</v>
      </c>
      <c r="AH40" s="52">
        <f t="shared" si="18"/>
        <v>8.3333333333333343E-2</v>
      </c>
      <c r="AI40" s="75">
        <f t="shared" si="18"/>
        <v>2.4639690951717808E-2</v>
      </c>
      <c r="AJ40" s="75">
        <f t="shared" si="18"/>
        <v>1.52793518424581E-2</v>
      </c>
      <c r="AK40" s="73">
        <f>SUM(AG$34:AG40)</f>
        <v>0.97499999999999998</v>
      </c>
      <c r="AL40" s="52">
        <f>SUM($AH$34:AH40)</f>
        <v>0.58333333333333348</v>
      </c>
      <c r="AM40" s="75">
        <f>SUM($AI$34:AI40)</f>
        <v>0.94894638276998455</v>
      </c>
      <c r="AN40" s="75">
        <f>SUM($AJ$34:AJ40)</f>
        <v>0.88297492599727501</v>
      </c>
      <c r="AO40" s="79">
        <f t="shared" si="19"/>
        <v>0.3916666666666665</v>
      </c>
      <c r="AP40" s="79">
        <f t="shared" si="20"/>
        <v>2.6053617230015425E-2</v>
      </c>
      <c r="AQ40" s="79">
        <f t="shared" si="23"/>
        <v>9.2025074002724971E-2</v>
      </c>
    </row>
    <row r="41" spans="1:43" ht="15.75" thickBot="1" x14ac:dyDescent="0.3">
      <c r="A41" s="2">
        <v>35</v>
      </c>
      <c r="B41" s="3">
        <v>589.36666666666667</v>
      </c>
      <c r="C41" s="4">
        <f t="shared" si="0"/>
        <v>1.5166666666666515</v>
      </c>
      <c r="E41" s="57"/>
      <c r="F41" s="56"/>
      <c r="G41" s="57"/>
      <c r="H41" s="57"/>
      <c r="I41" s="73"/>
      <c r="J41" s="52"/>
      <c r="K41" s="52"/>
      <c r="L41" s="52"/>
      <c r="M41" s="45"/>
      <c r="N41" s="45"/>
      <c r="O41" s="45"/>
      <c r="Z41" s="56">
        <v>8</v>
      </c>
      <c r="AA41" s="57">
        <f t="shared" si="22"/>
        <v>14.503888888888858</v>
      </c>
      <c r="AB41" s="57">
        <f t="shared" si="15"/>
        <v>16.57111111111108</v>
      </c>
      <c r="AC41" s="54">
        <v>3</v>
      </c>
      <c r="AD41" s="52">
        <f t="shared" si="16"/>
        <v>16.666666666666668</v>
      </c>
      <c r="AE41" s="52">
        <f t="shared" si="17"/>
        <v>3.156243799219749</v>
      </c>
      <c r="AF41" s="52">
        <f t="shared" si="11"/>
        <v>0.76662910163753928</v>
      </c>
      <c r="AG41" s="73">
        <f t="shared" si="18"/>
        <v>1.4999999999999999E-2</v>
      </c>
      <c r="AH41" s="52">
        <f t="shared" si="18"/>
        <v>8.3333333333333343E-2</v>
      </c>
      <c r="AI41" s="75">
        <f t="shared" si="18"/>
        <v>1.5781218996098745E-2</v>
      </c>
      <c r="AJ41" s="75">
        <f t="shared" si="18"/>
        <v>3.8331455081876964E-3</v>
      </c>
      <c r="AK41" s="73">
        <f>SUM(AG$34:AG41)</f>
        <v>0.99</v>
      </c>
      <c r="AL41" s="52">
        <f>SUM($AH$34:AH41)</f>
        <v>0.66666666666666685</v>
      </c>
      <c r="AM41" s="75">
        <f>SUM($AI$34:AI41)</f>
        <v>0.9647276017660833</v>
      </c>
      <c r="AN41" s="75">
        <f>SUM($AJ$34:AJ41)</f>
        <v>0.8868080715054627</v>
      </c>
      <c r="AO41" s="79">
        <f t="shared" si="19"/>
        <v>0.32333333333333314</v>
      </c>
      <c r="AP41" s="79">
        <f t="shared" si="20"/>
        <v>2.5272398233916693E-2</v>
      </c>
      <c r="AQ41" s="79">
        <f t="shared" si="23"/>
        <v>0.10319192849453729</v>
      </c>
    </row>
    <row r="42" spans="1:43" ht="15.75" thickBot="1" x14ac:dyDescent="0.3">
      <c r="A42" s="2">
        <v>36</v>
      </c>
      <c r="B42" s="3">
        <v>592.16666666666663</v>
      </c>
      <c r="C42" s="4">
        <f t="shared" si="0"/>
        <v>2.7999999999999545</v>
      </c>
      <c r="E42" s="57"/>
      <c r="F42" s="56"/>
      <c r="G42" s="57"/>
      <c r="H42" s="57"/>
      <c r="I42" s="73"/>
      <c r="J42" s="52"/>
      <c r="K42" s="52"/>
      <c r="L42" s="52"/>
      <c r="M42" s="45"/>
      <c r="N42" s="45"/>
      <c r="O42" s="45"/>
      <c r="Z42" s="56">
        <v>9</v>
      </c>
      <c r="AA42" s="57">
        <f t="shared" si="22"/>
        <v>16.57111111111108</v>
      </c>
      <c r="AB42" s="57">
        <f t="shared" si="15"/>
        <v>18.6383333333333</v>
      </c>
      <c r="AC42" s="54">
        <v>1</v>
      </c>
      <c r="AD42" s="52">
        <f t="shared" si="16"/>
        <v>16.666666666666668</v>
      </c>
      <c r="AE42" s="52">
        <f t="shared" si="17"/>
        <v>2.0215097136635496</v>
      </c>
      <c r="AF42" s="52">
        <f t="shared" si="11"/>
        <v>0.14385681755915147</v>
      </c>
      <c r="AG42" s="73">
        <f t="shared" si="18"/>
        <v>5.0000000000000001E-3</v>
      </c>
      <c r="AH42" s="52">
        <f t="shared" si="18"/>
        <v>8.3333333333333343E-2</v>
      </c>
      <c r="AI42" s="75">
        <f t="shared" si="18"/>
        <v>1.0107548568317748E-2</v>
      </c>
      <c r="AJ42" s="75">
        <f t="shared" si="18"/>
        <v>7.1928408779575737E-4</v>
      </c>
      <c r="AK42" s="73">
        <f>SUM(AG$34:AG42)</f>
        <v>0.995</v>
      </c>
      <c r="AL42" s="52">
        <f>SUM($AH$34:AH42)</f>
        <v>0.75000000000000022</v>
      </c>
      <c r="AM42" s="75">
        <f>SUM($AI$34:AI42)</f>
        <v>0.97483515033440105</v>
      </c>
      <c r="AN42" s="75">
        <f>SUM($AJ$34:AJ42)</f>
        <v>0.88752735559325846</v>
      </c>
      <c r="AO42" s="79">
        <f t="shared" si="19"/>
        <v>0.24499999999999977</v>
      </c>
      <c r="AP42" s="79">
        <f t="shared" si="20"/>
        <v>2.016484966559895E-2</v>
      </c>
      <c r="AQ42" s="79">
        <f t="shared" si="23"/>
        <v>0.10747264440674154</v>
      </c>
    </row>
    <row r="43" spans="1:43" ht="15.75" thickBot="1" x14ac:dyDescent="0.3">
      <c r="A43" s="2">
        <v>37</v>
      </c>
      <c r="B43" s="3">
        <v>601.70000000000005</v>
      </c>
      <c r="C43" s="4">
        <f t="shared" si="0"/>
        <v>9.5333333333334167</v>
      </c>
      <c r="E43" s="57"/>
      <c r="F43" s="56"/>
      <c r="G43" s="57"/>
      <c r="H43" s="57"/>
      <c r="I43" s="73"/>
      <c r="J43" s="52"/>
      <c r="K43" s="52"/>
      <c r="L43" s="52"/>
      <c r="M43" s="45"/>
      <c r="N43" s="45"/>
      <c r="O43" s="45"/>
      <c r="Z43" s="56">
        <v>10</v>
      </c>
      <c r="AA43" s="57">
        <f t="shared" si="22"/>
        <v>18.6383333333333</v>
      </c>
      <c r="AB43" s="57">
        <f t="shared" si="15"/>
        <v>20.70555555555552</v>
      </c>
      <c r="AC43" s="54">
        <v>0</v>
      </c>
      <c r="AD43" s="52">
        <f t="shared" si="16"/>
        <v>16.666666666666668</v>
      </c>
      <c r="AE43" s="52">
        <f t="shared" si="17"/>
        <v>1.2947356992657699</v>
      </c>
      <c r="AF43" s="52">
        <f t="shared" si="11"/>
        <v>2.0185731000554874E-2</v>
      </c>
      <c r="AG43" s="73">
        <f t="shared" si="18"/>
        <v>0</v>
      </c>
      <c r="AH43" s="52">
        <f t="shared" si="18"/>
        <v>8.3333333333333343E-2</v>
      </c>
      <c r="AI43" s="75">
        <f t="shared" si="18"/>
        <v>6.4736784963288496E-3</v>
      </c>
      <c r="AJ43" s="75">
        <f t="shared" si="18"/>
        <v>1.0092865500277437E-4</v>
      </c>
      <c r="AK43" s="73">
        <f>SUM(AG$34:AG43)</f>
        <v>0.995</v>
      </c>
      <c r="AL43" s="52">
        <f>SUM($AH$34:AH43)</f>
        <v>0.83333333333333359</v>
      </c>
      <c r="AM43" s="75">
        <f>SUM($AI$34:AI43)</f>
        <v>0.9813088288307299</v>
      </c>
      <c r="AN43" s="75">
        <f>SUM($AJ$34:AJ43)</f>
        <v>0.88762828424826123</v>
      </c>
      <c r="AO43" s="79">
        <f t="shared" si="19"/>
        <v>0.1616666666666664</v>
      </c>
      <c r="AP43" s="79">
        <f t="shared" si="20"/>
        <v>1.36911711692701E-2</v>
      </c>
      <c r="AQ43" s="79">
        <f t="shared" si="23"/>
        <v>0.10737171575173876</v>
      </c>
    </row>
    <row r="44" spans="1:43" ht="15.75" thickBot="1" x14ac:dyDescent="0.3">
      <c r="A44" s="2">
        <v>38</v>
      </c>
      <c r="B44" s="3">
        <v>603.15</v>
      </c>
      <c r="C44" s="4">
        <f t="shared" si="0"/>
        <v>1.4499999999999318</v>
      </c>
      <c r="E44" s="57"/>
      <c r="F44" s="56"/>
      <c r="G44" s="57"/>
      <c r="H44" s="57"/>
      <c r="I44" s="73"/>
      <c r="J44" s="52"/>
      <c r="K44" s="52"/>
      <c r="L44" s="52"/>
      <c r="M44" s="45"/>
      <c r="N44" s="45"/>
      <c r="O44" s="45"/>
      <c r="Z44" s="56">
        <v>11</v>
      </c>
      <c r="AA44" s="57">
        <f t="shared" si="22"/>
        <v>20.70555555555552</v>
      </c>
      <c r="AB44" s="57">
        <f t="shared" si="15"/>
        <v>22.77277777777774</v>
      </c>
      <c r="AC44" s="54">
        <v>0</v>
      </c>
      <c r="AD44" s="52">
        <f t="shared" si="16"/>
        <v>16.666666666666668</v>
      </c>
      <c r="AE44" s="52">
        <f t="shared" si="17"/>
        <v>0.82925178129136246</v>
      </c>
      <c r="AF44" s="52">
        <f t="shared" si="11"/>
        <v>2.1173414615827113E-3</v>
      </c>
      <c r="AG44" s="73">
        <f t="shared" si="18"/>
        <v>0</v>
      </c>
      <c r="AH44" s="52">
        <f t="shared" si="18"/>
        <v>8.3333333333333343E-2</v>
      </c>
      <c r="AI44" s="75">
        <f t="shared" si="18"/>
        <v>4.1462589064568123E-3</v>
      </c>
      <c r="AJ44" s="75">
        <f t="shared" si="18"/>
        <v>1.0586707307913557E-5</v>
      </c>
      <c r="AK44" s="73">
        <f>SUM(AG$34:AG44)</f>
        <v>0.995</v>
      </c>
      <c r="AL44" s="52">
        <f>SUM($AH$34:AH44)</f>
        <v>0.91666666666666696</v>
      </c>
      <c r="AM44" s="75">
        <f>SUM($AI$34:AI44)</f>
        <v>0.98545508773718671</v>
      </c>
      <c r="AN44" s="75">
        <f>SUM($AJ$34:AJ44)</f>
        <v>0.88763887095556915</v>
      </c>
      <c r="AO44" s="79">
        <f t="shared" si="19"/>
        <v>7.8333333333333033E-2</v>
      </c>
      <c r="AP44" s="79">
        <f t="shared" si="20"/>
        <v>9.5449122628132876E-3</v>
      </c>
      <c r="AQ44" s="79">
        <f t="shared" si="23"/>
        <v>0.10736112904443085</v>
      </c>
    </row>
    <row r="45" spans="1:43" ht="15.75" thickBot="1" x14ac:dyDescent="0.3">
      <c r="A45" s="2">
        <v>39</v>
      </c>
      <c r="B45" s="3">
        <v>604.35</v>
      </c>
      <c r="C45" s="4">
        <f t="shared" si="0"/>
        <v>1.2000000000000455</v>
      </c>
      <c r="E45" s="57"/>
      <c r="F45" s="56"/>
      <c r="G45" s="57"/>
      <c r="H45" s="94"/>
      <c r="I45" s="109"/>
      <c r="J45" s="52"/>
      <c r="K45" s="52"/>
      <c r="L45" s="52"/>
      <c r="M45" s="45"/>
      <c r="N45" s="45"/>
      <c r="O45" s="45"/>
      <c r="Z45" s="56">
        <v>12</v>
      </c>
      <c r="AA45" s="57">
        <f t="shared" si="22"/>
        <v>22.77277777777774</v>
      </c>
      <c r="AB45" s="57">
        <f t="shared" si="15"/>
        <v>24.839999999999961</v>
      </c>
      <c r="AC45" s="54">
        <v>1</v>
      </c>
      <c r="AD45" s="52">
        <f t="shared" si="16"/>
        <v>16.666666666666668</v>
      </c>
      <c r="AE45" s="52">
        <f t="shared" si="17"/>
        <v>0.53111883542318328</v>
      </c>
      <c r="AF45" s="52">
        <f t="shared" si="11"/>
        <v>1.6596877536745325E-4</v>
      </c>
      <c r="AG45" s="73">
        <f t="shared" si="18"/>
        <v>5.0000000000000001E-3</v>
      </c>
      <c r="AH45" s="52">
        <f t="shared" si="18"/>
        <v>8.3333333333333343E-2</v>
      </c>
      <c r="AI45" s="75">
        <f t="shared" si="18"/>
        <v>2.6555941771159164E-3</v>
      </c>
      <c r="AJ45" s="75">
        <f t="shared" si="18"/>
        <v>8.2984387683726624E-7</v>
      </c>
      <c r="AK45" s="73">
        <f>SUM(AG$34:AG45)</f>
        <v>1</v>
      </c>
      <c r="AL45" s="52">
        <f>SUM($AH$34:AH45)</f>
        <v>1.0000000000000002</v>
      </c>
      <c r="AM45" s="75">
        <f>SUM($AI$34:AI45)</f>
        <v>0.98811068191430262</v>
      </c>
      <c r="AN45" s="75">
        <f>SUM($AJ$34:AJ45)</f>
        <v>0.88763970079944599</v>
      </c>
      <c r="AO45" s="103">
        <f t="shared" si="19"/>
        <v>2.2204460492503131E-16</v>
      </c>
      <c r="AP45" s="79">
        <f t="shared" si="20"/>
        <v>1.1889318085697376E-2</v>
      </c>
      <c r="AQ45" s="79">
        <f t="shared" si="23"/>
        <v>0.11236029920055401</v>
      </c>
    </row>
    <row r="46" spans="1:43" ht="15.75" thickBot="1" x14ac:dyDescent="0.3">
      <c r="A46" s="2">
        <v>40</v>
      </c>
      <c r="B46" s="3">
        <v>620.56666666666672</v>
      </c>
      <c r="C46" s="4">
        <f t="shared" si="0"/>
        <v>16.216666666666697</v>
      </c>
      <c r="I46" s="73">
        <f xml:space="preserve"> SUM(I34:I39)</f>
        <v>200</v>
      </c>
      <c r="J46" s="52">
        <f t="shared" ref="J46" si="24">SUM(J34:J45)</f>
        <v>200.00000000000003</v>
      </c>
      <c r="K46" s="52">
        <f t="shared" ref="K46" si="25">SUM(K34:K45)</f>
        <v>197.62213638286056</v>
      </c>
      <c r="L46" s="52">
        <f t="shared" ref="L46" si="26">SUM(L34:L45)</f>
        <v>177.52794015988917</v>
      </c>
      <c r="M46" s="45">
        <f t="shared" ref="M46" si="27">SUM(M34:M45)</f>
        <v>67.059999999999988</v>
      </c>
      <c r="N46" s="81">
        <f t="shared" ref="N46" si="28">SUM(N34:N45)</f>
        <v>15.796210362322661</v>
      </c>
      <c r="O46" s="45">
        <f t="shared" ref="O46" si="29">SUM(O34:O45)</f>
        <v>48.64779024831288</v>
      </c>
      <c r="AC46" s="54">
        <f t="shared" ref="AC46:AF46" si="30">SUM(AC34:AC45)</f>
        <v>200</v>
      </c>
      <c r="AD46" s="52">
        <f t="shared" si="30"/>
        <v>199.99999999999997</v>
      </c>
      <c r="AE46" s="52">
        <f t="shared" si="30"/>
        <v>197.62213638286053</v>
      </c>
      <c r="AF46" s="52">
        <f t="shared" si="30"/>
        <v>177.52794015988914</v>
      </c>
      <c r="AG46" s="73">
        <f>SUM(AG34:AG45)</f>
        <v>1</v>
      </c>
      <c r="AH46" s="52">
        <f>SUM(AH34:AH45)</f>
        <v>1.0000000000000002</v>
      </c>
      <c r="AI46" s="75">
        <f>SUM(AI34:AI45)</f>
        <v>0.98811068191430262</v>
      </c>
      <c r="AJ46" s="75">
        <f>SUM(AJ34:AJ45)</f>
        <v>0.88763970079944599</v>
      </c>
      <c r="AM46" s="122" t="s">
        <v>53</v>
      </c>
      <c r="AN46" s="123"/>
      <c r="AO46" s="79">
        <f>+MAX(AO34:AO45)</f>
        <v>0.53166666666666651</v>
      </c>
      <c r="AP46" s="80">
        <f>+MAX(AP34:AP45)</f>
        <v>9.1946817851470797E-2</v>
      </c>
      <c r="AQ46" s="79">
        <f>+MAX(AQ34:AQ45)</f>
        <v>0.22686616124094233</v>
      </c>
    </row>
    <row r="47" spans="1:43" x14ac:dyDescent="0.25">
      <c r="A47" s="2">
        <v>41</v>
      </c>
      <c r="B47" s="3">
        <v>623.81666666666672</v>
      </c>
      <c r="C47" s="4">
        <f t="shared" si="0"/>
        <v>3.25</v>
      </c>
      <c r="AI47" s="20"/>
      <c r="AJ47" s="20"/>
    </row>
    <row r="48" spans="1:43" ht="15.75" thickBot="1" x14ac:dyDescent="0.3">
      <c r="A48" s="2">
        <v>42</v>
      </c>
      <c r="B48" s="3">
        <v>627.76666666666665</v>
      </c>
      <c r="C48" s="4">
        <f t="shared" si="0"/>
        <v>3.9499999999999318</v>
      </c>
    </row>
    <row r="49" spans="1:45" ht="15.75" thickBot="1" x14ac:dyDescent="0.3">
      <c r="A49" s="2">
        <v>43</v>
      </c>
      <c r="B49" s="3">
        <v>633.23333333333335</v>
      </c>
      <c r="C49" s="4">
        <f t="shared" si="0"/>
        <v>5.466666666666697</v>
      </c>
      <c r="AL49" s="87" t="s">
        <v>72</v>
      </c>
      <c r="AM49" s="59" t="s">
        <v>71</v>
      </c>
      <c r="AN49" s="84">
        <f>1.36/SQRT(AJ29)</f>
        <v>9.616652224137047E-2</v>
      </c>
    </row>
    <row r="50" spans="1:45" ht="15.75" thickBot="1" x14ac:dyDescent="0.3">
      <c r="A50" s="2">
        <v>44</v>
      </c>
      <c r="B50" s="3">
        <v>639.41666666666663</v>
      </c>
      <c r="C50" s="4">
        <f t="shared" si="0"/>
        <v>6.1833333333332803</v>
      </c>
    </row>
    <row r="51" spans="1:45" x14ac:dyDescent="0.25">
      <c r="A51" s="2">
        <v>45</v>
      </c>
      <c r="B51" s="3">
        <v>642.1</v>
      </c>
      <c r="C51" s="4">
        <f t="shared" si="0"/>
        <v>2.683333333333394</v>
      </c>
      <c r="N51" s="28" t="s">
        <v>54</v>
      </c>
      <c r="O51" s="27"/>
      <c r="P51" s="27"/>
      <c r="Q51" s="27"/>
      <c r="R51" s="27"/>
      <c r="S51" s="27"/>
      <c r="T51" s="27"/>
      <c r="U51" s="27"/>
      <c r="V51" s="27"/>
      <c r="W51" s="6"/>
      <c r="AG51" s="5"/>
      <c r="AH51" s="92" t="s">
        <v>41</v>
      </c>
      <c r="AI51" s="25"/>
      <c r="AJ51" s="25"/>
      <c r="AK51" s="25"/>
      <c r="AL51" s="25"/>
      <c r="AM51" s="27"/>
      <c r="AN51" s="25"/>
      <c r="AO51" s="25"/>
      <c r="AP51" s="25"/>
      <c r="AQ51" s="25"/>
      <c r="AR51" s="26"/>
      <c r="AS51" s="17"/>
    </row>
    <row r="52" spans="1:45" ht="15.75" thickBot="1" x14ac:dyDescent="0.3">
      <c r="A52" s="2">
        <v>46</v>
      </c>
      <c r="B52" s="3">
        <v>644.18333333333328</v>
      </c>
      <c r="C52" s="4">
        <f t="shared" si="0"/>
        <v>2.0833333333332575</v>
      </c>
      <c r="N52" s="12" t="s">
        <v>55</v>
      </c>
      <c r="O52" s="13"/>
      <c r="P52" s="13"/>
      <c r="Q52" s="13"/>
      <c r="R52" s="13"/>
      <c r="S52" s="13"/>
      <c r="T52" s="13"/>
      <c r="U52" s="13"/>
      <c r="V52" s="13"/>
      <c r="W52" s="14"/>
      <c r="AH52" s="37" t="s">
        <v>58</v>
      </c>
      <c r="AI52" s="13"/>
      <c r="AJ52" s="13"/>
      <c r="AK52" s="13"/>
      <c r="AL52" s="13"/>
      <c r="AM52" s="85"/>
      <c r="AN52" s="13"/>
      <c r="AO52" s="13"/>
      <c r="AP52" s="13"/>
      <c r="AQ52" s="13"/>
      <c r="AR52" s="14"/>
      <c r="AS52" s="8"/>
    </row>
    <row r="53" spans="1:45" ht="15.75" thickBot="1" x14ac:dyDescent="0.3">
      <c r="A53" s="2">
        <v>47</v>
      </c>
      <c r="B53" s="3">
        <v>651.13333333333333</v>
      </c>
      <c r="C53" s="4">
        <f t="shared" si="0"/>
        <v>6.9500000000000455</v>
      </c>
    </row>
    <row r="54" spans="1:45" ht="15.75" thickBot="1" x14ac:dyDescent="0.3">
      <c r="A54" s="2">
        <v>48</v>
      </c>
      <c r="B54" s="3">
        <v>654.91666666666663</v>
      </c>
      <c r="C54" s="4">
        <f t="shared" si="0"/>
        <v>3.783333333333303</v>
      </c>
      <c r="E54" s="28" t="s">
        <v>75</v>
      </c>
      <c r="F54" s="32">
        <f>_xlfn.CHISQ.INV.RT(_alfa,_gradoDeLibertad)</f>
        <v>11.070497693516353</v>
      </c>
      <c r="O54" s="136" t="s">
        <v>81</v>
      </c>
      <c r="P54" s="137"/>
      <c r="Q54" s="137"/>
      <c r="R54" s="138"/>
      <c r="AJ54" s="8"/>
    </row>
    <row r="55" spans="1:45" x14ac:dyDescent="0.25">
      <c r="A55" s="2">
        <v>49</v>
      </c>
      <c r="B55" s="3">
        <v>658.05</v>
      </c>
      <c r="C55" s="4">
        <f t="shared" si="0"/>
        <v>3.1333333333333258</v>
      </c>
      <c r="E55" s="7" t="s">
        <v>78</v>
      </c>
      <c r="F55" s="29">
        <f>_xlfn.CHISQ.INV.RT(_alfa,_gradoDeLibertad-1)</f>
        <v>9.4877290367811575</v>
      </c>
    </row>
    <row r="56" spans="1:45" ht="15.75" thickBot="1" x14ac:dyDescent="0.3">
      <c r="A56" s="2">
        <v>50</v>
      </c>
      <c r="B56" s="3">
        <v>665.9</v>
      </c>
      <c r="C56" s="4">
        <f t="shared" si="0"/>
        <v>7.8500000000000227</v>
      </c>
      <c r="E56" s="16" t="s">
        <v>79</v>
      </c>
      <c r="F56" s="14">
        <f>_xlfn.CHISQ.INV.RT(_alfa,_gradoDeLibertad-2)</f>
        <v>7.8147279032511792</v>
      </c>
    </row>
    <row r="57" spans="1:45" ht="15.75" thickBot="1" x14ac:dyDescent="0.3">
      <c r="A57" s="2">
        <v>51</v>
      </c>
      <c r="B57" s="3">
        <v>669.9666666666667</v>
      </c>
      <c r="C57" s="4">
        <f t="shared" si="0"/>
        <v>4.0666666666667197</v>
      </c>
    </row>
    <row r="58" spans="1:45" x14ac:dyDescent="0.25">
      <c r="A58" s="2">
        <v>52</v>
      </c>
      <c r="B58" s="3">
        <v>671.2166666666667</v>
      </c>
      <c r="C58" s="4">
        <f t="shared" si="0"/>
        <v>1.25</v>
      </c>
      <c r="E58" s="92" t="s">
        <v>41</v>
      </c>
      <c r="F58" s="27"/>
      <c r="G58" s="27"/>
      <c r="H58" s="27"/>
      <c r="I58" s="27"/>
      <c r="J58" s="27"/>
      <c r="K58" s="27"/>
      <c r="L58" s="27"/>
      <c r="M58" s="6"/>
    </row>
    <row r="59" spans="1:45" x14ac:dyDescent="0.25">
      <c r="A59" s="2">
        <v>53</v>
      </c>
      <c r="B59" s="3">
        <v>687.51666666666665</v>
      </c>
      <c r="C59" s="4">
        <f t="shared" si="0"/>
        <v>16.299999999999955</v>
      </c>
      <c r="E59" s="30" t="s">
        <v>42</v>
      </c>
      <c r="F59" s="8"/>
      <c r="G59" s="8"/>
      <c r="H59" s="8"/>
      <c r="I59" s="8"/>
      <c r="J59" s="8"/>
      <c r="K59" s="8"/>
      <c r="L59" s="8"/>
      <c r="M59" s="9"/>
    </row>
    <row r="60" spans="1:45" x14ac:dyDescent="0.25">
      <c r="A60" s="2">
        <v>54</v>
      </c>
      <c r="B60" s="3">
        <v>691.26666666666665</v>
      </c>
      <c r="C60" s="4">
        <f t="shared" si="0"/>
        <v>3.75</v>
      </c>
      <c r="E60" s="30" t="s">
        <v>43</v>
      </c>
      <c r="F60" s="8"/>
      <c r="G60" s="8"/>
      <c r="H60" s="8"/>
      <c r="I60" s="8"/>
      <c r="J60" s="8"/>
      <c r="K60" s="8"/>
      <c r="L60" s="8"/>
      <c r="M60" s="9"/>
    </row>
    <row r="61" spans="1:45" x14ac:dyDescent="0.25">
      <c r="A61" s="2">
        <v>55</v>
      </c>
      <c r="B61" s="3">
        <v>691.4666666666667</v>
      </c>
      <c r="C61" s="4">
        <f t="shared" si="0"/>
        <v>0.20000000000004547</v>
      </c>
      <c r="E61" s="18"/>
      <c r="F61" s="8"/>
      <c r="G61" s="8"/>
      <c r="H61" s="8"/>
      <c r="I61" s="8"/>
      <c r="J61" s="8"/>
      <c r="K61" s="8"/>
      <c r="L61" s="8"/>
      <c r="M61" s="9"/>
    </row>
    <row r="62" spans="1:45" x14ac:dyDescent="0.25">
      <c r="A62" s="2">
        <v>56</v>
      </c>
      <c r="B62" s="3">
        <v>697.05</v>
      </c>
      <c r="C62" s="4">
        <f t="shared" si="0"/>
        <v>5.5833333333332575</v>
      </c>
      <c r="E62" s="30" t="s">
        <v>57</v>
      </c>
      <c r="F62" s="8"/>
      <c r="G62" s="8"/>
      <c r="H62" s="8"/>
      <c r="I62" s="8"/>
      <c r="J62" s="8"/>
      <c r="K62" s="8"/>
      <c r="L62" s="8"/>
      <c r="M62" s="9"/>
    </row>
    <row r="63" spans="1:45" x14ac:dyDescent="0.25">
      <c r="A63" s="2">
        <v>57</v>
      </c>
      <c r="B63" s="3">
        <v>704.05</v>
      </c>
      <c r="C63" s="4">
        <f t="shared" si="0"/>
        <v>7</v>
      </c>
      <c r="E63" s="30" t="s">
        <v>44</v>
      </c>
      <c r="F63" s="8"/>
      <c r="G63" s="8"/>
      <c r="H63" s="8"/>
      <c r="I63" s="8"/>
      <c r="J63" s="8"/>
      <c r="K63" s="8"/>
      <c r="L63" s="8"/>
      <c r="M63" s="9"/>
    </row>
    <row r="64" spans="1:45" ht="15.75" thickBot="1" x14ac:dyDescent="0.3">
      <c r="A64" s="2">
        <v>58</v>
      </c>
      <c r="B64" s="3">
        <v>707.86666666666667</v>
      </c>
      <c r="C64" s="4">
        <f t="shared" si="0"/>
        <v>3.8166666666667197</v>
      </c>
      <c r="E64" s="37" t="s">
        <v>65</v>
      </c>
      <c r="F64" s="13"/>
      <c r="G64" s="13"/>
      <c r="H64" s="13"/>
      <c r="I64" s="13"/>
      <c r="J64" s="13"/>
      <c r="K64" s="13"/>
      <c r="L64" s="13"/>
      <c r="M64" s="14"/>
    </row>
    <row r="65" spans="1:3" x14ac:dyDescent="0.25">
      <c r="A65" s="2">
        <v>59</v>
      </c>
      <c r="B65" s="3">
        <v>714.16666666666663</v>
      </c>
      <c r="C65" s="4">
        <f t="shared" si="0"/>
        <v>6.2999999999999545</v>
      </c>
    </row>
    <row r="66" spans="1:3" x14ac:dyDescent="0.25">
      <c r="A66" s="2">
        <v>60</v>
      </c>
      <c r="B66" s="3">
        <v>717.7</v>
      </c>
      <c r="C66" s="4">
        <f t="shared" si="0"/>
        <v>3.5333333333334167</v>
      </c>
    </row>
    <row r="67" spans="1:3" x14ac:dyDescent="0.25">
      <c r="A67" s="2">
        <v>61</v>
      </c>
      <c r="B67" s="3">
        <v>720.7833333333333</v>
      </c>
      <c r="C67" s="4">
        <f t="shared" si="0"/>
        <v>3.0833333333332575</v>
      </c>
    </row>
    <row r="68" spans="1:3" x14ac:dyDescent="0.25">
      <c r="A68" s="2">
        <v>62</v>
      </c>
      <c r="B68" s="3">
        <v>721.58333333333337</v>
      </c>
      <c r="C68" s="4">
        <f t="shared" si="0"/>
        <v>0.80000000000006821</v>
      </c>
    </row>
    <row r="69" spans="1:3" x14ac:dyDescent="0.25">
      <c r="A69" s="2">
        <v>63</v>
      </c>
      <c r="B69" s="3">
        <v>735.4666666666667</v>
      </c>
      <c r="C69" s="4">
        <f t="shared" si="0"/>
        <v>13.883333333333326</v>
      </c>
    </row>
    <row r="70" spans="1:3" x14ac:dyDescent="0.25">
      <c r="A70" s="2">
        <v>64</v>
      </c>
      <c r="B70" s="3">
        <v>739.98333333333335</v>
      </c>
      <c r="C70" s="4">
        <f t="shared" si="0"/>
        <v>4.5166666666666515</v>
      </c>
    </row>
    <row r="71" spans="1:3" x14ac:dyDescent="0.25">
      <c r="A71" s="2">
        <v>65</v>
      </c>
      <c r="B71" s="3">
        <v>753.93333333333328</v>
      </c>
      <c r="C71" s="4">
        <f t="shared" si="0"/>
        <v>13.949999999999932</v>
      </c>
    </row>
    <row r="72" spans="1:3" x14ac:dyDescent="0.25">
      <c r="A72" s="2">
        <v>66</v>
      </c>
      <c r="B72" s="3">
        <v>760.05</v>
      </c>
      <c r="C72" s="4">
        <f t="shared" si="0"/>
        <v>6.1166666666666742</v>
      </c>
    </row>
    <row r="73" spans="1:3" x14ac:dyDescent="0.25">
      <c r="A73" s="2">
        <v>67</v>
      </c>
      <c r="B73" s="3">
        <v>765.73333333333335</v>
      </c>
      <c r="C73" s="4">
        <f t="shared" ref="C73:C136" si="31">B73-B72</f>
        <v>5.683333333333394</v>
      </c>
    </row>
    <row r="74" spans="1:3" x14ac:dyDescent="0.25">
      <c r="A74" s="2">
        <v>68</v>
      </c>
      <c r="B74" s="3">
        <v>766.85</v>
      </c>
      <c r="C74" s="4">
        <f t="shared" si="31"/>
        <v>1.1166666666666742</v>
      </c>
    </row>
    <row r="75" spans="1:3" x14ac:dyDescent="0.25">
      <c r="A75" s="2">
        <v>69</v>
      </c>
      <c r="B75" s="3">
        <v>777.23333333333335</v>
      </c>
      <c r="C75" s="4">
        <f t="shared" si="31"/>
        <v>10.383333333333326</v>
      </c>
    </row>
    <row r="76" spans="1:3" x14ac:dyDescent="0.25">
      <c r="A76" s="2">
        <v>70</v>
      </c>
      <c r="B76" s="3">
        <v>779.93333333333328</v>
      </c>
      <c r="C76" s="4">
        <f t="shared" si="31"/>
        <v>2.6999999999999318</v>
      </c>
    </row>
    <row r="77" spans="1:3" x14ac:dyDescent="0.25">
      <c r="A77" s="2">
        <v>71</v>
      </c>
      <c r="B77" s="3">
        <v>781.18333333333328</v>
      </c>
      <c r="C77" s="4">
        <f t="shared" si="31"/>
        <v>1.25</v>
      </c>
    </row>
    <row r="78" spans="1:3" x14ac:dyDescent="0.25">
      <c r="A78" s="2">
        <v>72</v>
      </c>
      <c r="B78" s="3">
        <v>792.55</v>
      </c>
      <c r="C78" s="4">
        <f t="shared" si="31"/>
        <v>11.366666666666674</v>
      </c>
    </row>
    <row r="79" spans="1:3" x14ac:dyDescent="0.25">
      <c r="A79" s="2">
        <v>73</v>
      </c>
      <c r="B79" s="3">
        <v>796.68333333333328</v>
      </c>
      <c r="C79" s="4">
        <f t="shared" si="31"/>
        <v>4.1333333333333258</v>
      </c>
    </row>
    <row r="80" spans="1:3" x14ac:dyDescent="0.25">
      <c r="A80" s="2">
        <v>74</v>
      </c>
      <c r="B80" s="3">
        <v>802.11666666666667</v>
      </c>
      <c r="C80" s="4">
        <f t="shared" si="31"/>
        <v>5.433333333333394</v>
      </c>
    </row>
    <row r="81" spans="1:3" x14ac:dyDescent="0.25">
      <c r="A81" s="2">
        <v>75</v>
      </c>
      <c r="B81" s="3">
        <v>810.36666666666667</v>
      </c>
      <c r="C81" s="4">
        <f t="shared" si="31"/>
        <v>8.25</v>
      </c>
    </row>
    <row r="82" spans="1:3" x14ac:dyDescent="0.25">
      <c r="A82" s="2">
        <v>76</v>
      </c>
      <c r="B82" s="3">
        <v>819.6</v>
      </c>
      <c r="C82" s="4">
        <f t="shared" si="31"/>
        <v>9.2333333333333485</v>
      </c>
    </row>
    <row r="83" spans="1:3" x14ac:dyDescent="0.25">
      <c r="A83" s="2">
        <v>77</v>
      </c>
      <c r="B83" s="3">
        <v>829.38333333333333</v>
      </c>
      <c r="C83" s="4">
        <f t="shared" si="31"/>
        <v>9.783333333333303</v>
      </c>
    </row>
    <row r="84" spans="1:3" x14ac:dyDescent="0.25">
      <c r="A84" s="2">
        <v>78</v>
      </c>
      <c r="B84" s="3">
        <v>837.63333333333333</v>
      </c>
      <c r="C84" s="4">
        <f t="shared" si="31"/>
        <v>8.25</v>
      </c>
    </row>
    <row r="85" spans="1:3" x14ac:dyDescent="0.25">
      <c r="A85" s="2">
        <v>79</v>
      </c>
      <c r="B85" s="3">
        <v>848.51666666666665</v>
      </c>
      <c r="C85" s="4">
        <f t="shared" si="31"/>
        <v>10.883333333333326</v>
      </c>
    </row>
    <row r="86" spans="1:3" x14ac:dyDescent="0.25">
      <c r="A86" s="2">
        <v>80</v>
      </c>
      <c r="B86" s="3">
        <v>855.26666666666665</v>
      </c>
      <c r="C86" s="4">
        <f t="shared" si="31"/>
        <v>6.75</v>
      </c>
    </row>
    <row r="87" spans="1:3" x14ac:dyDescent="0.25">
      <c r="A87" s="2">
        <v>81</v>
      </c>
      <c r="B87" s="3">
        <v>862.2833333333333</v>
      </c>
      <c r="C87" s="4">
        <f t="shared" si="31"/>
        <v>7.0166666666666515</v>
      </c>
    </row>
    <row r="88" spans="1:3" x14ac:dyDescent="0.25">
      <c r="A88" s="2">
        <v>82</v>
      </c>
      <c r="B88" s="3">
        <v>870.13333333333333</v>
      </c>
      <c r="C88" s="4">
        <f t="shared" si="31"/>
        <v>7.8500000000000227</v>
      </c>
    </row>
    <row r="89" spans="1:3" x14ac:dyDescent="0.25">
      <c r="A89" s="2">
        <v>83</v>
      </c>
      <c r="B89" s="3">
        <v>875.01666666666665</v>
      </c>
      <c r="C89" s="4">
        <f t="shared" si="31"/>
        <v>4.8833333333333258</v>
      </c>
    </row>
    <row r="90" spans="1:3" x14ac:dyDescent="0.25">
      <c r="A90" s="2">
        <v>84</v>
      </c>
      <c r="B90" s="3">
        <v>881.7833333333333</v>
      </c>
      <c r="C90" s="4">
        <f t="shared" si="31"/>
        <v>6.7666666666666515</v>
      </c>
    </row>
    <row r="91" spans="1:3" x14ac:dyDescent="0.25">
      <c r="A91" s="2">
        <v>85</v>
      </c>
      <c r="B91" s="3">
        <v>890.13333333333333</v>
      </c>
      <c r="C91" s="4">
        <f t="shared" si="31"/>
        <v>8.3500000000000227</v>
      </c>
    </row>
    <row r="92" spans="1:3" x14ac:dyDescent="0.25">
      <c r="A92" s="2">
        <v>86</v>
      </c>
      <c r="B92" s="3">
        <v>894.95</v>
      </c>
      <c r="C92" s="4">
        <f t="shared" si="31"/>
        <v>4.8166666666667197</v>
      </c>
    </row>
    <row r="93" spans="1:3" x14ac:dyDescent="0.25">
      <c r="A93" s="2">
        <v>87</v>
      </c>
      <c r="B93" s="3">
        <v>899.86666666666667</v>
      </c>
      <c r="C93" s="4">
        <f t="shared" si="31"/>
        <v>4.9166666666666288</v>
      </c>
    </row>
    <row r="94" spans="1:3" x14ac:dyDescent="0.25">
      <c r="A94" s="2">
        <v>88</v>
      </c>
      <c r="B94" s="3">
        <v>904.23333333333335</v>
      </c>
      <c r="C94" s="4">
        <f t="shared" si="31"/>
        <v>4.3666666666666742</v>
      </c>
    </row>
    <row r="95" spans="1:3" x14ac:dyDescent="0.25">
      <c r="A95" s="2">
        <v>89</v>
      </c>
      <c r="B95" s="3">
        <v>907.83333333333337</v>
      </c>
      <c r="C95" s="4">
        <f t="shared" si="31"/>
        <v>3.6000000000000227</v>
      </c>
    </row>
    <row r="96" spans="1:3" x14ac:dyDescent="0.25">
      <c r="A96" s="2">
        <v>90</v>
      </c>
      <c r="B96" s="3">
        <v>913.86666666666667</v>
      </c>
      <c r="C96" s="4">
        <f t="shared" si="31"/>
        <v>6.033333333333303</v>
      </c>
    </row>
    <row r="97" spans="1:3" x14ac:dyDescent="0.25">
      <c r="A97" s="2">
        <v>91</v>
      </c>
      <c r="B97" s="3">
        <v>925.86666666666667</v>
      </c>
      <c r="C97" s="4">
        <f t="shared" si="31"/>
        <v>12</v>
      </c>
    </row>
    <row r="98" spans="1:3" x14ac:dyDescent="0.25">
      <c r="A98" s="2">
        <v>92</v>
      </c>
      <c r="B98" s="3">
        <v>930.06666666666672</v>
      </c>
      <c r="C98" s="4">
        <f t="shared" si="31"/>
        <v>4.2000000000000455</v>
      </c>
    </row>
    <row r="99" spans="1:3" x14ac:dyDescent="0.25">
      <c r="A99" s="2">
        <v>93</v>
      </c>
      <c r="B99" s="3">
        <v>942.1</v>
      </c>
      <c r="C99" s="4">
        <f t="shared" si="31"/>
        <v>12.033333333333303</v>
      </c>
    </row>
    <row r="100" spans="1:3" x14ac:dyDescent="0.25">
      <c r="A100" s="2">
        <v>94</v>
      </c>
      <c r="B100" s="3">
        <v>947.56666666666672</v>
      </c>
      <c r="C100" s="4">
        <f t="shared" si="31"/>
        <v>5.466666666666697</v>
      </c>
    </row>
    <row r="101" spans="1:3" x14ac:dyDescent="0.25">
      <c r="A101" s="2">
        <v>95</v>
      </c>
      <c r="B101" s="3">
        <v>951.91666666666663</v>
      </c>
      <c r="C101" s="4">
        <f t="shared" si="31"/>
        <v>4.3499999999999091</v>
      </c>
    </row>
    <row r="102" spans="1:3" x14ac:dyDescent="0.25">
      <c r="A102" s="2">
        <v>96</v>
      </c>
      <c r="B102" s="3">
        <v>959.8</v>
      </c>
      <c r="C102" s="4">
        <f t="shared" si="31"/>
        <v>7.8833333333333258</v>
      </c>
    </row>
    <row r="103" spans="1:3" x14ac:dyDescent="0.25">
      <c r="A103" s="2">
        <v>97</v>
      </c>
      <c r="B103" s="3">
        <v>965.8</v>
      </c>
      <c r="C103" s="4">
        <f t="shared" si="31"/>
        <v>6</v>
      </c>
    </row>
    <row r="104" spans="1:3" x14ac:dyDescent="0.25">
      <c r="A104" s="2">
        <v>98</v>
      </c>
      <c r="B104" s="3">
        <v>971.18333333333328</v>
      </c>
      <c r="C104" s="4">
        <f t="shared" si="31"/>
        <v>5.3833333333333258</v>
      </c>
    </row>
    <row r="105" spans="1:3" x14ac:dyDescent="0.25">
      <c r="A105" s="2">
        <v>99</v>
      </c>
      <c r="B105" s="3">
        <v>979.51666666666665</v>
      </c>
      <c r="C105" s="4">
        <f t="shared" si="31"/>
        <v>8.3333333333333712</v>
      </c>
    </row>
    <row r="106" spans="1:3" x14ac:dyDescent="0.25">
      <c r="A106" s="2">
        <v>100</v>
      </c>
      <c r="B106" s="3">
        <v>982.7</v>
      </c>
      <c r="C106" s="4">
        <f t="shared" si="31"/>
        <v>3.183333333333394</v>
      </c>
    </row>
    <row r="107" spans="1:3" x14ac:dyDescent="0.25">
      <c r="A107" s="2">
        <v>101</v>
      </c>
      <c r="B107" s="3">
        <v>995.7</v>
      </c>
      <c r="C107" s="4">
        <f t="shared" si="31"/>
        <v>13</v>
      </c>
    </row>
    <row r="108" spans="1:3" x14ac:dyDescent="0.25">
      <c r="A108" s="2">
        <v>102</v>
      </c>
      <c r="B108" s="3">
        <v>996.88333333333333</v>
      </c>
      <c r="C108" s="4">
        <f t="shared" si="31"/>
        <v>1.1833333333332803</v>
      </c>
    </row>
    <row r="109" spans="1:3" x14ac:dyDescent="0.25">
      <c r="A109" s="2">
        <v>103</v>
      </c>
      <c r="B109" s="3">
        <v>1000.7166666666667</v>
      </c>
      <c r="C109" s="4">
        <f t="shared" si="31"/>
        <v>3.8333333333333712</v>
      </c>
    </row>
    <row r="110" spans="1:3" x14ac:dyDescent="0.25">
      <c r="A110" s="2">
        <v>104</v>
      </c>
      <c r="B110" s="3">
        <v>1002.35</v>
      </c>
      <c r="C110" s="4">
        <f t="shared" si="31"/>
        <v>1.6333333333333258</v>
      </c>
    </row>
    <row r="111" spans="1:3" x14ac:dyDescent="0.25">
      <c r="A111" s="2">
        <v>105</v>
      </c>
      <c r="B111" s="3">
        <v>1004.4666666666667</v>
      </c>
      <c r="C111" s="4">
        <f t="shared" si="31"/>
        <v>2.1166666666666742</v>
      </c>
    </row>
    <row r="112" spans="1:3" x14ac:dyDescent="0.25">
      <c r="A112" s="2">
        <v>106</v>
      </c>
      <c r="B112" s="3">
        <v>1013.6166666666667</v>
      </c>
      <c r="C112" s="4">
        <f t="shared" si="31"/>
        <v>9.1499999999999773</v>
      </c>
    </row>
    <row r="113" spans="1:3" x14ac:dyDescent="0.25">
      <c r="A113" s="2">
        <v>107</v>
      </c>
      <c r="B113" s="3">
        <v>1019.9666666666667</v>
      </c>
      <c r="C113" s="4">
        <f t="shared" si="31"/>
        <v>6.3500000000000227</v>
      </c>
    </row>
    <row r="114" spans="1:3" x14ac:dyDescent="0.25">
      <c r="A114" s="2">
        <v>108</v>
      </c>
      <c r="B114" s="3">
        <v>1027.45</v>
      </c>
      <c r="C114" s="4">
        <f t="shared" si="31"/>
        <v>7.4833333333333485</v>
      </c>
    </row>
    <row r="115" spans="1:3" x14ac:dyDescent="0.25">
      <c r="A115" s="2">
        <v>109</v>
      </c>
      <c r="B115" s="3">
        <v>1027.6500000000001</v>
      </c>
      <c r="C115" s="4">
        <f t="shared" si="31"/>
        <v>0.20000000000004547</v>
      </c>
    </row>
    <row r="116" spans="1:3" x14ac:dyDescent="0.25">
      <c r="A116" s="2">
        <v>110</v>
      </c>
      <c r="B116" s="3">
        <v>1030.0333333333333</v>
      </c>
      <c r="C116" s="4">
        <f t="shared" si="31"/>
        <v>2.3833333333332121</v>
      </c>
    </row>
    <row r="117" spans="1:3" x14ac:dyDescent="0.25">
      <c r="A117" s="2">
        <v>111</v>
      </c>
      <c r="B117" s="3">
        <v>1035.9666666666667</v>
      </c>
      <c r="C117" s="4">
        <f t="shared" si="31"/>
        <v>5.933333333333394</v>
      </c>
    </row>
    <row r="118" spans="1:3" x14ac:dyDescent="0.25">
      <c r="A118" s="2">
        <v>112</v>
      </c>
      <c r="B118" s="3">
        <v>1038.3</v>
      </c>
      <c r="C118" s="4">
        <f t="shared" si="31"/>
        <v>2.3333333333332575</v>
      </c>
    </row>
    <row r="119" spans="1:3" x14ac:dyDescent="0.25">
      <c r="A119" s="2">
        <v>113</v>
      </c>
      <c r="B119" s="3">
        <v>1038.55</v>
      </c>
      <c r="C119" s="4">
        <f t="shared" si="31"/>
        <v>0.25</v>
      </c>
    </row>
    <row r="120" spans="1:3" x14ac:dyDescent="0.25">
      <c r="A120" s="2">
        <v>114</v>
      </c>
      <c r="B120" s="3">
        <v>1043.9666666666667</v>
      </c>
      <c r="C120" s="4">
        <f t="shared" si="31"/>
        <v>5.4166666666667425</v>
      </c>
    </row>
    <row r="121" spans="1:3" x14ac:dyDescent="0.25">
      <c r="A121" s="2">
        <v>115</v>
      </c>
      <c r="B121" s="3">
        <v>1047.9166666666667</v>
      </c>
      <c r="C121" s="4">
        <f t="shared" si="31"/>
        <v>3.9500000000000455</v>
      </c>
    </row>
    <row r="122" spans="1:3" x14ac:dyDescent="0.25">
      <c r="A122" s="2">
        <v>116</v>
      </c>
      <c r="B122" s="3">
        <v>1050.05</v>
      </c>
      <c r="C122" s="4">
        <f t="shared" si="31"/>
        <v>2.1333333333332121</v>
      </c>
    </row>
    <row r="123" spans="1:3" x14ac:dyDescent="0.25">
      <c r="A123" s="2">
        <v>117</v>
      </c>
      <c r="B123" s="3">
        <v>1050.95</v>
      </c>
      <c r="C123" s="4">
        <f t="shared" si="31"/>
        <v>0.90000000000009095</v>
      </c>
    </row>
    <row r="124" spans="1:3" x14ac:dyDescent="0.25">
      <c r="A124" s="2">
        <v>118</v>
      </c>
      <c r="B124" s="3">
        <v>1056.7333333333333</v>
      </c>
      <c r="C124" s="4">
        <f t="shared" si="31"/>
        <v>5.783333333333303</v>
      </c>
    </row>
    <row r="125" spans="1:3" x14ac:dyDescent="0.25">
      <c r="A125" s="2">
        <v>119</v>
      </c>
      <c r="B125" s="3">
        <v>1059.1500000000001</v>
      </c>
      <c r="C125" s="4">
        <f t="shared" si="31"/>
        <v>2.4166666666667425</v>
      </c>
    </row>
    <row r="126" spans="1:3" x14ac:dyDescent="0.25">
      <c r="A126" s="2">
        <v>120</v>
      </c>
      <c r="B126" s="3">
        <v>1062.4833333333333</v>
      </c>
      <c r="C126" s="4">
        <f t="shared" si="31"/>
        <v>3.3333333333332575</v>
      </c>
    </row>
    <row r="127" spans="1:3" x14ac:dyDescent="0.25">
      <c r="A127" s="2">
        <v>121</v>
      </c>
      <c r="B127" s="3">
        <v>1065.8</v>
      </c>
      <c r="C127" s="4">
        <f t="shared" si="31"/>
        <v>3.316666666666606</v>
      </c>
    </row>
    <row r="128" spans="1:3" x14ac:dyDescent="0.25">
      <c r="A128" s="2">
        <v>122</v>
      </c>
      <c r="B128" s="3">
        <v>1069.2833333333333</v>
      </c>
      <c r="C128" s="4">
        <f t="shared" si="31"/>
        <v>3.4833333333333485</v>
      </c>
    </row>
    <row r="129" spans="1:3" x14ac:dyDescent="0.25">
      <c r="A129" s="2">
        <v>123</v>
      </c>
      <c r="B129" s="3">
        <v>1073.0166666666667</v>
      </c>
      <c r="C129" s="4">
        <f t="shared" si="31"/>
        <v>3.7333333333333485</v>
      </c>
    </row>
    <row r="130" spans="1:3" x14ac:dyDescent="0.25">
      <c r="A130" s="2">
        <v>124</v>
      </c>
      <c r="B130" s="3">
        <v>1079.0666666666666</v>
      </c>
      <c r="C130" s="4">
        <f t="shared" si="31"/>
        <v>6.0499999999999545</v>
      </c>
    </row>
    <row r="131" spans="1:3" x14ac:dyDescent="0.25">
      <c r="A131" s="2">
        <v>125</v>
      </c>
      <c r="B131" s="3">
        <v>1085.9333333333334</v>
      </c>
      <c r="C131" s="4">
        <f t="shared" si="31"/>
        <v>6.8666666666667879</v>
      </c>
    </row>
    <row r="132" spans="1:3" x14ac:dyDescent="0.25">
      <c r="A132" s="2">
        <v>126</v>
      </c>
      <c r="B132" s="3">
        <v>1093.1500000000001</v>
      </c>
      <c r="C132" s="4">
        <f t="shared" si="31"/>
        <v>7.216666666666697</v>
      </c>
    </row>
    <row r="133" spans="1:3" x14ac:dyDescent="0.25">
      <c r="A133" s="2">
        <v>127</v>
      </c>
      <c r="B133" s="3">
        <v>1099.95</v>
      </c>
      <c r="C133" s="4">
        <f t="shared" si="31"/>
        <v>6.7999999999999545</v>
      </c>
    </row>
    <row r="134" spans="1:3" x14ac:dyDescent="0.25">
      <c r="A134" s="2">
        <v>128</v>
      </c>
      <c r="B134" s="3">
        <v>1102.3333333333333</v>
      </c>
      <c r="C134" s="4">
        <f t="shared" si="31"/>
        <v>2.3833333333332121</v>
      </c>
    </row>
    <row r="135" spans="1:3" x14ac:dyDescent="0.25">
      <c r="A135" s="2">
        <v>129</v>
      </c>
      <c r="B135" s="3">
        <v>1105.3666666666666</v>
      </c>
      <c r="C135" s="4">
        <f t="shared" si="31"/>
        <v>3.033333333333303</v>
      </c>
    </row>
    <row r="136" spans="1:3" x14ac:dyDescent="0.25">
      <c r="A136" s="2">
        <v>130</v>
      </c>
      <c r="B136" s="3">
        <v>1109.9833333333333</v>
      </c>
      <c r="C136" s="4">
        <f t="shared" si="31"/>
        <v>4.6166666666667879</v>
      </c>
    </row>
    <row r="137" spans="1:3" x14ac:dyDescent="0.25">
      <c r="A137" s="2">
        <v>131</v>
      </c>
      <c r="B137" s="3">
        <v>1113.8833333333334</v>
      </c>
      <c r="C137" s="4">
        <f t="shared" ref="C137:C200" si="32">B137-B136</f>
        <v>3.9000000000000909</v>
      </c>
    </row>
    <row r="138" spans="1:3" x14ac:dyDescent="0.25">
      <c r="A138" s="2">
        <v>132</v>
      </c>
      <c r="B138" s="3">
        <v>1116.4666666666667</v>
      </c>
      <c r="C138" s="4">
        <f t="shared" si="32"/>
        <v>2.5833333333332575</v>
      </c>
    </row>
    <row r="139" spans="1:3" x14ac:dyDescent="0.25">
      <c r="A139" s="2">
        <v>133</v>
      </c>
      <c r="B139" s="3">
        <v>1118.2833333333333</v>
      </c>
      <c r="C139" s="4">
        <f t="shared" si="32"/>
        <v>1.816666666666606</v>
      </c>
    </row>
    <row r="140" spans="1:3" x14ac:dyDescent="0.25">
      <c r="A140" s="2">
        <v>134</v>
      </c>
      <c r="B140" s="3">
        <v>1123.1166666666666</v>
      </c>
      <c r="C140" s="4">
        <f t="shared" si="32"/>
        <v>4.8333333333332575</v>
      </c>
    </row>
    <row r="141" spans="1:3" x14ac:dyDescent="0.25">
      <c r="A141" s="2">
        <v>135</v>
      </c>
      <c r="B141" s="3">
        <v>1129.2666666666667</v>
      </c>
      <c r="C141" s="4">
        <f t="shared" si="32"/>
        <v>6.1500000000000909</v>
      </c>
    </row>
    <row r="142" spans="1:3" x14ac:dyDescent="0.25">
      <c r="A142" s="2">
        <v>136</v>
      </c>
      <c r="B142" s="3">
        <v>1132.3</v>
      </c>
      <c r="C142" s="4">
        <f t="shared" si="32"/>
        <v>3.033333333333303</v>
      </c>
    </row>
    <row r="143" spans="1:3" x14ac:dyDescent="0.25">
      <c r="A143" s="2">
        <v>137</v>
      </c>
      <c r="B143" s="3">
        <v>1133.6666666666667</v>
      </c>
      <c r="C143" s="4">
        <f t="shared" si="32"/>
        <v>1.3666666666667879</v>
      </c>
    </row>
    <row r="144" spans="1:3" x14ac:dyDescent="0.25">
      <c r="A144" s="2">
        <v>138</v>
      </c>
      <c r="B144" s="3">
        <v>1135.6833333333334</v>
      </c>
      <c r="C144" s="4">
        <f t="shared" si="32"/>
        <v>2.0166666666666515</v>
      </c>
    </row>
    <row r="145" spans="1:3" x14ac:dyDescent="0.25">
      <c r="A145" s="2">
        <v>139</v>
      </c>
      <c r="B145" s="3">
        <v>1137.2333333333333</v>
      </c>
      <c r="C145" s="4">
        <f t="shared" si="32"/>
        <v>1.5499999999999545</v>
      </c>
    </row>
    <row r="146" spans="1:3" x14ac:dyDescent="0.25">
      <c r="A146" s="2">
        <v>140</v>
      </c>
      <c r="B146" s="3">
        <v>1138.2333333333333</v>
      </c>
      <c r="C146" s="4">
        <f t="shared" si="32"/>
        <v>1</v>
      </c>
    </row>
    <row r="147" spans="1:3" x14ac:dyDescent="0.25">
      <c r="A147" s="2">
        <v>141</v>
      </c>
      <c r="B147" s="3">
        <v>1140.0999999999999</v>
      </c>
      <c r="C147" s="4">
        <f t="shared" si="32"/>
        <v>1.8666666666665606</v>
      </c>
    </row>
    <row r="148" spans="1:3" x14ac:dyDescent="0.25">
      <c r="A148" s="2">
        <v>142</v>
      </c>
      <c r="B148" s="3">
        <v>1144.2333333333333</v>
      </c>
      <c r="C148" s="4">
        <f t="shared" si="32"/>
        <v>4.1333333333334394</v>
      </c>
    </row>
    <row r="149" spans="1:3" x14ac:dyDescent="0.25">
      <c r="A149" s="2">
        <v>143</v>
      </c>
      <c r="B149" s="3">
        <v>1144.95</v>
      </c>
      <c r="C149" s="4">
        <f t="shared" si="32"/>
        <v>0.71666666666669698</v>
      </c>
    </row>
    <row r="150" spans="1:3" x14ac:dyDescent="0.25">
      <c r="A150" s="2">
        <v>144</v>
      </c>
      <c r="B150" s="3">
        <v>1145.5999999999999</v>
      </c>
      <c r="C150" s="4">
        <f t="shared" si="32"/>
        <v>0.64999999999986358</v>
      </c>
    </row>
    <row r="151" spans="1:3" x14ac:dyDescent="0.25">
      <c r="A151" s="2">
        <v>145</v>
      </c>
      <c r="B151" s="3">
        <v>1145.9666666666667</v>
      </c>
      <c r="C151" s="4">
        <f t="shared" si="32"/>
        <v>0.36666666666678793</v>
      </c>
    </row>
    <row r="152" spans="1:3" x14ac:dyDescent="0.25">
      <c r="A152" s="2">
        <v>146</v>
      </c>
      <c r="B152" s="3">
        <v>1151.7833333333333</v>
      </c>
      <c r="C152" s="4">
        <f t="shared" si="32"/>
        <v>5.816666666666606</v>
      </c>
    </row>
    <row r="153" spans="1:3" x14ac:dyDescent="0.25">
      <c r="A153" s="2">
        <v>147</v>
      </c>
      <c r="B153" s="3">
        <v>1159.2833333333333</v>
      </c>
      <c r="C153" s="4">
        <f t="shared" si="32"/>
        <v>7.5</v>
      </c>
    </row>
    <row r="154" spans="1:3" x14ac:dyDescent="0.25">
      <c r="A154" s="2">
        <v>148</v>
      </c>
      <c r="B154" s="3">
        <v>1159.5666666666666</v>
      </c>
      <c r="C154" s="4">
        <f t="shared" si="32"/>
        <v>0.28333333333330302</v>
      </c>
    </row>
    <row r="155" spans="1:3" x14ac:dyDescent="0.25">
      <c r="A155" s="2">
        <v>149</v>
      </c>
      <c r="B155" s="3">
        <v>1161.9166666666667</v>
      </c>
      <c r="C155" s="4">
        <f t="shared" si="32"/>
        <v>2.3500000000001364</v>
      </c>
    </row>
    <row r="156" spans="1:3" x14ac:dyDescent="0.25">
      <c r="A156" s="2">
        <v>150</v>
      </c>
      <c r="B156" s="3">
        <v>1164.5</v>
      </c>
      <c r="C156" s="4">
        <f t="shared" si="32"/>
        <v>2.5833333333332575</v>
      </c>
    </row>
    <row r="157" spans="1:3" x14ac:dyDescent="0.25">
      <c r="A157" s="2">
        <v>151</v>
      </c>
      <c r="B157" s="3">
        <v>1169.8</v>
      </c>
      <c r="C157" s="4">
        <f t="shared" si="32"/>
        <v>5.2999999999999545</v>
      </c>
    </row>
    <row r="158" spans="1:3" x14ac:dyDescent="0.25">
      <c r="A158" s="2">
        <v>152</v>
      </c>
      <c r="B158" s="3">
        <v>1172.75</v>
      </c>
      <c r="C158" s="4">
        <f t="shared" si="32"/>
        <v>2.9500000000000455</v>
      </c>
    </row>
    <row r="159" spans="1:3" x14ac:dyDescent="0.25">
      <c r="A159" s="2">
        <v>153</v>
      </c>
      <c r="B159" s="3">
        <v>1174.4166666666667</v>
      </c>
      <c r="C159" s="4">
        <f t="shared" si="32"/>
        <v>1.6666666666667425</v>
      </c>
    </row>
    <row r="160" spans="1:3" x14ac:dyDescent="0.25">
      <c r="A160" s="2">
        <v>154</v>
      </c>
      <c r="B160" s="3">
        <v>1178.7333333333333</v>
      </c>
      <c r="C160" s="4">
        <f t="shared" si="32"/>
        <v>4.316666666666606</v>
      </c>
    </row>
    <row r="161" spans="1:3" x14ac:dyDescent="0.25">
      <c r="A161" s="2">
        <v>155</v>
      </c>
      <c r="B161" s="3">
        <v>1180</v>
      </c>
      <c r="C161" s="4">
        <f t="shared" si="32"/>
        <v>1.2666666666666515</v>
      </c>
    </row>
    <row r="162" spans="1:3" x14ac:dyDescent="0.25">
      <c r="A162" s="2">
        <v>156</v>
      </c>
      <c r="B162" s="3">
        <v>1181.6833333333334</v>
      </c>
      <c r="C162" s="4">
        <f t="shared" si="32"/>
        <v>1.683333333333394</v>
      </c>
    </row>
    <row r="163" spans="1:3" x14ac:dyDescent="0.25">
      <c r="A163" s="2">
        <v>157</v>
      </c>
      <c r="B163" s="3">
        <v>1185.1666666666667</v>
      </c>
      <c r="C163" s="4">
        <f t="shared" si="32"/>
        <v>3.4833333333333485</v>
      </c>
    </row>
    <row r="164" spans="1:3" x14ac:dyDescent="0.25">
      <c r="A164" s="2">
        <v>158</v>
      </c>
      <c r="B164" s="3">
        <v>1189.0833333333333</v>
      </c>
      <c r="C164" s="4">
        <f t="shared" si="32"/>
        <v>3.9166666666665151</v>
      </c>
    </row>
    <row r="165" spans="1:3" x14ac:dyDescent="0.25">
      <c r="A165" s="2">
        <v>159</v>
      </c>
      <c r="B165" s="3">
        <v>1191.5166666666667</v>
      </c>
      <c r="C165" s="4">
        <f t="shared" si="32"/>
        <v>2.433333333333394</v>
      </c>
    </row>
    <row r="166" spans="1:3" x14ac:dyDescent="0.25">
      <c r="A166" s="2">
        <v>160</v>
      </c>
      <c r="B166" s="3">
        <v>1194.9000000000001</v>
      </c>
      <c r="C166" s="4">
        <f t="shared" si="32"/>
        <v>3.3833333333334394</v>
      </c>
    </row>
    <row r="167" spans="1:3" x14ac:dyDescent="0.25">
      <c r="A167" s="2">
        <v>161</v>
      </c>
      <c r="B167" s="3">
        <v>1199.8666666666666</v>
      </c>
      <c r="C167" s="4">
        <f t="shared" si="32"/>
        <v>4.9666666666664696</v>
      </c>
    </row>
    <row r="168" spans="1:3" x14ac:dyDescent="0.25">
      <c r="A168" s="2">
        <v>162</v>
      </c>
      <c r="B168" s="3">
        <v>1201.05</v>
      </c>
      <c r="C168" s="4">
        <f t="shared" si="32"/>
        <v>1.183333333333394</v>
      </c>
    </row>
    <row r="169" spans="1:3" x14ac:dyDescent="0.25">
      <c r="A169" s="2">
        <v>163</v>
      </c>
      <c r="B169" s="3">
        <v>1206.4666666666667</v>
      </c>
      <c r="C169" s="4">
        <f t="shared" si="32"/>
        <v>5.4166666666667425</v>
      </c>
    </row>
    <row r="170" spans="1:3" x14ac:dyDescent="0.25">
      <c r="A170" s="2">
        <v>164</v>
      </c>
      <c r="B170" s="3">
        <v>1208.3333333333333</v>
      </c>
      <c r="C170" s="4">
        <f t="shared" si="32"/>
        <v>1.8666666666665606</v>
      </c>
    </row>
    <row r="171" spans="1:3" x14ac:dyDescent="0.25">
      <c r="A171" s="2">
        <v>165</v>
      </c>
      <c r="B171" s="3">
        <v>1211.3</v>
      </c>
      <c r="C171" s="4">
        <f t="shared" si="32"/>
        <v>2.966666666666697</v>
      </c>
    </row>
    <row r="172" spans="1:3" x14ac:dyDescent="0.25">
      <c r="A172" s="2">
        <v>166</v>
      </c>
      <c r="B172" s="3">
        <v>1211.3333333333333</v>
      </c>
      <c r="C172" s="4">
        <f t="shared" si="32"/>
        <v>3.3333333333303017E-2</v>
      </c>
    </row>
    <row r="173" spans="1:3" x14ac:dyDescent="0.25">
      <c r="A173" s="2">
        <v>167</v>
      </c>
      <c r="B173" s="3">
        <v>1216.5666666666666</v>
      </c>
      <c r="C173" s="4">
        <f t="shared" si="32"/>
        <v>5.2333333333333485</v>
      </c>
    </row>
    <row r="174" spans="1:3" x14ac:dyDescent="0.25">
      <c r="A174" s="2">
        <v>168</v>
      </c>
      <c r="B174" s="3">
        <v>1219.1166666666666</v>
      </c>
      <c r="C174" s="4">
        <f t="shared" si="32"/>
        <v>2.5499999999999545</v>
      </c>
    </row>
    <row r="175" spans="1:3" x14ac:dyDescent="0.25">
      <c r="A175" s="2">
        <v>169</v>
      </c>
      <c r="B175" s="3">
        <v>1221.45</v>
      </c>
      <c r="C175" s="4">
        <f t="shared" si="32"/>
        <v>2.3333333333334849</v>
      </c>
    </row>
    <row r="176" spans="1:3" x14ac:dyDescent="0.25">
      <c r="A176" s="2">
        <v>170</v>
      </c>
      <c r="B176" s="3">
        <v>1221.7</v>
      </c>
      <c r="C176" s="4">
        <f t="shared" si="32"/>
        <v>0.25</v>
      </c>
    </row>
    <row r="177" spans="1:3" x14ac:dyDescent="0.25">
      <c r="A177" s="2">
        <v>171</v>
      </c>
      <c r="B177" s="3">
        <v>1224.9666666666667</v>
      </c>
      <c r="C177" s="4">
        <f t="shared" si="32"/>
        <v>3.2666666666666515</v>
      </c>
    </row>
    <row r="178" spans="1:3" x14ac:dyDescent="0.25">
      <c r="A178" s="2">
        <v>172</v>
      </c>
      <c r="B178" s="3">
        <v>1226.5</v>
      </c>
      <c r="C178" s="4">
        <f t="shared" si="32"/>
        <v>1.533333333333303</v>
      </c>
    </row>
    <row r="179" spans="1:3" x14ac:dyDescent="0.25">
      <c r="A179" s="2">
        <v>173</v>
      </c>
      <c r="B179" s="3">
        <v>1231.5333333333333</v>
      </c>
      <c r="C179" s="4">
        <f t="shared" si="32"/>
        <v>5.033333333333303</v>
      </c>
    </row>
    <row r="180" spans="1:3" x14ac:dyDescent="0.25">
      <c r="A180" s="2">
        <v>174</v>
      </c>
      <c r="B180" s="3">
        <v>1236.95</v>
      </c>
      <c r="C180" s="4">
        <f t="shared" si="32"/>
        <v>5.4166666666667425</v>
      </c>
    </row>
    <row r="181" spans="1:3" x14ac:dyDescent="0.25">
      <c r="A181" s="2">
        <v>175</v>
      </c>
      <c r="B181" s="3">
        <v>1238.2166666666667</v>
      </c>
      <c r="C181" s="4">
        <f t="shared" si="32"/>
        <v>1.2666666666666515</v>
      </c>
    </row>
    <row r="182" spans="1:3" x14ac:dyDescent="0.25">
      <c r="A182" s="2">
        <v>176</v>
      </c>
      <c r="B182" s="3">
        <v>1240.3499999999999</v>
      </c>
      <c r="C182" s="4">
        <f t="shared" si="32"/>
        <v>2.1333333333332121</v>
      </c>
    </row>
    <row r="183" spans="1:3" x14ac:dyDescent="0.25">
      <c r="A183" s="2">
        <v>177</v>
      </c>
      <c r="B183" s="3">
        <v>1241</v>
      </c>
      <c r="C183" s="4">
        <f t="shared" si="32"/>
        <v>0.65000000000009095</v>
      </c>
    </row>
    <row r="184" spans="1:3" x14ac:dyDescent="0.25">
      <c r="A184" s="2">
        <v>178</v>
      </c>
      <c r="B184" s="3">
        <v>1246.3166666666666</v>
      </c>
      <c r="C184" s="4">
        <f t="shared" si="32"/>
        <v>5.316666666666606</v>
      </c>
    </row>
    <row r="185" spans="1:3" x14ac:dyDescent="0.25">
      <c r="A185" s="2">
        <v>179</v>
      </c>
      <c r="B185" s="3">
        <v>1248.05</v>
      </c>
      <c r="C185" s="4">
        <f t="shared" si="32"/>
        <v>1.7333333333333485</v>
      </c>
    </row>
    <row r="186" spans="1:3" x14ac:dyDescent="0.25">
      <c r="A186" s="2">
        <v>180</v>
      </c>
      <c r="B186" s="3">
        <v>1251.4000000000001</v>
      </c>
      <c r="C186" s="4">
        <f t="shared" si="32"/>
        <v>3.3500000000001364</v>
      </c>
    </row>
    <row r="187" spans="1:3" x14ac:dyDescent="0.25">
      <c r="A187" s="2">
        <v>181</v>
      </c>
      <c r="B187" s="3">
        <v>1252.3666666666666</v>
      </c>
      <c r="C187" s="4">
        <f t="shared" si="32"/>
        <v>0.96666666666646961</v>
      </c>
    </row>
    <row r="188" spans="1:3" x14ac:dyDescent="0.25">
      <c r="A188" s="2">
        <v>182</v>
      </c>
      <c r="B188" s="3">
        <v>1253.9000000000001</v>
      </c>
      <c r="C188" s="4">
        <f t="shared" si="32"/>
        <v>1.5333333333335304</v>
      </c>
    </row>
    <row r="189" spans="1:3" x14ac:dyDescent="0.25">
      <c r="A189" s="2">
        <v>183</v>
      </c>
      <c r="B189" s="3">
        <v>1254.5166666666667</v>
      </c>
      <c r="C189" s="4">
        <f t="shared" si="32"/>
        <v>0.61666666666656056</v>
      </c>
    </row>
    <row r="190" spans="1:3" x14ac:dyDescent="0.25">
      <c r="A190" s="2">
        <v>184</v>
      </c>
      <c r="B190" s="3">
        <v>1262.3333333333333</v>
      </c>
      <c r="C190" s="4">
        <f t="shared" si="32"/>
        <v>7.816666666666606</v>
      </c>
    </row>
    <row r="191" spans="1:3" x14ac:dyDescent="0.25">
      <c r="A191" s="2">
        <v>185</v>
      </c>
      <c r="B191" s="3">
        <v>1264.5</v>
      </c>
      <c r="C191" s="4">
        <f t="shared" si="32"/>
        <v>2.1666666666667425</v>
      </c>
    </row>
    <row r="192" spans="1:3" x14ac:dyDescent="0.25">
      <c r="A192" s="2">
        <v>186</v>
      </c>
      <c r="B192" s="3">
        <v>1266.5166666666667</v>
      </c>
      <c r="C192" s="4">
        <f t="shared" si="32"/>
        <v>2.0166666666666515</v>
      </c>
    </row>
    <row r="193" spans="1:3" x14ac:dyDescent="0.25">
      <c r="A193" s="2">
        <v>187</v>
      </c>
      <c r="B193" s="3">
        <v>1269.8833333333334</v>
      </c>
      <c r="C193" s="4">
        <f t="shared" si="32"/>
        <v>3.3666666666667879</v>
      </c>
    </row>
    <row r="194" spans="1:3" x14ac:dyDescent="0.25">
      <c r="A194" s="2">
        <v>188</v>
      </c>
      <c r="B194" s="3">
        <v>1281.7666666666667</v>
      </c>
      <c r="C194" s="4">
        <f t="shared" si="32"/>
        <v>11.883333333333212</v>
      </c>
    </row>
    <row r="195" spans="1:3" x14ac:dyDescent="0.25">
      <c r="A195" s="2">
        <v>189</v>
      </c>
      <c r="B195" s="3">
        <v>1295.9000000000001</v>
      </c>
      <c r="C195" s="4">
        <f t="shared" si="32"/>
        <v>14.133333333333439</v>
      </c>
    </row>
    <row r="196" spans="1:3" x14ac:dyDescent="0.25">
      <c r="A196" s="2">
        <v>190</v>
      </c>
      <c r="B196" s="3">
        <v>1296.25</v>
      </c>
      <c r="C196" s="4">
        <f t="shared" si="32"/>
        <v>0.34999999999990905</v>
      </c>
    </row>
    <row r="197" spans="1:3" x14ac:dyDescent="0.25">
      <c r="A197" s="2">
        <v>191</v>
      </c>
      <c r="B197" s="3">
        <v>1302.2833333333333</v>
      </c>
      <c r="C197" s="4">
        <f t="shared" si="32"/>
        <v>6.033333333333303</v>
      </c>
    </row>
    <row r="198" spans="1:3" x14ac:dyDescent="0.25">
      <c r="A198" s="2">
        <v>192</v>
      </c>
      <c r="B198" s="3">
        <v>1308</v>
      </c>
      <c r="C198" s="4">
        <f t="shared" si="32"/>
        <v>5.716666666666697</v>
      </c>
    </row>
    <row r="199" spans="1:3" x14ac:dyDescent="0.25">
      <c r="A199" s="2">
        <v>193</v>
      </c>
      <c r="B199" s="3">
        <v>1310.3666666666666</v>
      </c>
      <c r="C199" s="4">
        <f t="shared" si="32"/>
        <v>2.3666666666665606</v>
      </c>
    </row>
    <row r="200" spans="1:3" x14ac:dyDescent="0.25">
      <c r="A200" s="2">
        <v>194</v>
      </c>
      <c r="B200" s="3">
        <v>1318.8833333333334</v>
      </c>
      <c r="C200" s="4">
        <f t="shared" si="32"/>
        <v>8.5166666666668789</v>
      </c>
    </row>
    <row r="201" spans="1:3" x14ac:dyDescent="0.25">
      <c r="A201" s="2">
        <v>195</v>
      </c>
      <c r="B201" s="3">
        <v>1319.3666666666666</v>
      </c>
      <c r="C201" s="4">
        <f t="shared" ref="C201:C207" si="33">B201-B200</f>
        <v>0.48333333333312112</v>
      </c>
    </row>
    <row r="202" spans="1:3" x14ac:dyDescent="0.25">
      <c r="A202" s="2">
        <v>196</v>
      </c>
      <c r="B202" s="3">
        <v>1319.9333333333334</v>
      </c>
      <c r="C202" s="4">
        <f t="shared" si="33"/>
        <v>0.56666666666683341</v>
      </c>
    </row>
    <row r="203" spans="1:3" x14ac:dyDescent="0.25">
      <c r="A203" s="2">
        <v>197</v>
      </c>
      <c r="B203" s="3">
        <v>1323.0166666666667</v>
      </c>
      <c r="C203" s="4">
        <f t="shared" si="33"/>
        <v>3.0833333333332575</v>
      </c>
    </row>
    <row r="204" spans="1:3" x14ac:dyDescent="0.25">
      <c r="A204" s="2">
        <v>198</v>
      </c>
      <c r="B204" s="3">
        <v>1334.75</v>
      </c>
      <c r="C204" s="4">
        <f t="shared" si="33"/>
        <v>11.733333333333348</v>
      </c>
    </row>
    <row r="205" spans="1:3" x14ac:dyDescent="0.25">
      <c r="A205" s="2">
        <v>199</v>
      </c>
      <c r="B205" s="3">
        <v>1345.35</v>
      </c>
      <c r="C205" s="4">
        <f t="shared" si="33"/>
        <v>10.599999999999909</v>
      </c>
    </row>
    <row r="206" spans="1:3" x14ac:dyDescent="0.25">
      <c r="A206" s="2">
        <v>200</v>
      </c>
      <c r="B206" s="3">
        <v>1350.7833333333333</v>
      </c>
      <c r="C206" s="4">
        <f t="shared" si="33"/>
        <v>5.433333333333394</v>
      </c>
    </row>
    <row r="207" spans="1:3" x14ac:dyDescent="0.25">
      <c r="A207" s="2">
        <v>201</v>
      </c>
      <c r="B207" s="3">
        <v>1351</v>
      </c>
      <c r="C207" s="4">
        <f t="shared" si="33"/>
        <v>0.21666666666669698</v>
      </c>
    </row>
    <row r="208" spans="1:3" x14ac:dyDescent="0.25">
      <c r="A208" s="8"/>
      <c r="B208" s="8"/>
      <c r="C208" s="8"/>
    </row>
    <row r="209" spans="1:3" x14ac:dyDescent="0.25">
      <c r="A209" s="8"/>
      <c r="B209" s="8"/>
      <c r="C209" s="8"/>
    </row>
  </sheetData>
  <mergeCells count="11">
    <mergeCell ref="A6:C6"/>
    <mergeCell ref="Z32:AB32"/>
    <mergeCell ref="AH32:AJ32"/>
    <mergeCell ref="AL32:AN32"/>
    <mergeCell ref="M32:O32"/>
    <mergeCell ref="F32:H32"/>
    <mergeCell ref="N10:P10"/>
    <mergeCell ref="AO32:AQ32"/>
    <mergeCell ref="AM46:AN46"/>
    <mergeCell ref="U10:W10"/>
    <mergeCell ref="AD32:AF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S209"/>
  <sheetViews>
    <sheetView tabSelected="1" topLeftCell="C41" zoomScale="85" zoomScaleNormal="85" workbookViewId="0">
      <selection activeCell="E47" sqref="E47"/>
    </sheetView>
  </sheetViews>
  <sheetFormatPr baseColWidth="10" defaultColWidth="11.42578125" defaultRowHeight="15" x14ac:dyDescent="0.25"/>
  <cols>
    <col min="1" max="4" width="11.42578125" style="1"/>
    <col min="5" max="5" width="13.5703125" style="1" customWidth="1"/>
    <col min="6" max="6" width="13.85546875" style="1" customWidth="1"/>
    <col min="7" max="7" width="15.140625" style="1" customWidth="1"/>
    <col min="8" max="11" width="11.42578125" style="1"/>
    <col min="12" max="12" width="15.140625" style="1" customWidth="1"/>
    <col min="13" max="15" width="11.42578125" style="1"/>
    <col min="16" max="16" width="11.85546875" style="1" bestFit="1" customWidth="1"/>
    <col min="17" max="21" width="11.42578125" style="1"/>
    <col min="22" max="22" width="11.42578125" style="1" bestFit="1" customWidth="1"/>
    <col min="23" max="23" width="12.42578125" style="1" bestFit="1" customWidth="1"/>
    <col min="24" max="24" width="13.7109375" style="1" customWidth="1"/>
    <col min="25" max="25" width="26.42578125" style="1" customWidth="1"/>
    <col min="26" max="26" width="11.85546875" style="1" bestFit="1" customWidth="1"/>
    <col min="27" max="35" width="11.42578125" style="1"/>
    <col min="36" max="36" width="14.140625" style="1" customWidth="1"/>
    <col min="37" max="37" width="18.5703125" style="1" customWidth="1"/>
    <col min="38" max="40" width="11.42578125" style="1"/>
    <col min="41" max="41" width="12.7109375" style="1" bestFit="1" customWidth="1"/>
    <col min="42" max="42" width="13.5703125" style="1" bestFit="1" customWidth="1"/>
    <col min="43" max="16384" width="11.42578125" style="1"/>
  </cols>
  <sheetData>
    <row r="2" spans="1:28" x14ac:dyDescent="0.25">
      <c r="F2" s="5" t="s">
        <v>60</v>
      </c>
      <c r="G2" s="19" t="s">
        <v>63</v>
      </c>
    </row>
    <row r="3" spans="1:28" x14ac:dyDescent="0.25">
      <c r="F3" s="5" t="s">
        <v>61</v>
      </c>
      <c r="G3" s="19" t="s">
        <v>64</v>
      </c>
    </row>
    <row r="5" spans="1:28" ht="15.75" thickBot="1" x14ac:dyDescent="0.3">
      <c r="A5" s="1" t="s">
        <v>0</v>
      </c>
      <c r="B5" s="5" t="s">
        <v>2</v>
      </c>
      <c r="C5" s="5" t="s">
        <v>3</v>
      </c>
      <c r="F5" s="38" t="s">
        <v>9</v>
      </c>
      <c r="G5" s="39"/>
    </row>
    <row r="6" spans="1:28" x14ac:dyDescent="0.25">
      <c r="A6" s="127" t="s">
        <v>1</v>
      </c>
      <c r="B6" s="127"/>
      <c r="C6" s="127"/>
      <c r="F6" s="21" t="s">
        <v>4</v>
      </c>
      <c r="G6" s="2">
        <f>COUNT(C8:C207)</f>
        <v>200</v>
      </c>
      <c r="N6" s="65" t="s">
        <v>38</v>
      </c>
      <c r="O6" s="66"/>
      <c r="P6" s="66"/>
      <c r="Q6" s="66"/>
      <c r="R6" s="67"/>
      <c r="U6" s="40" t="s">
        <v>37</v>
      </c>
      <c r="V6" s="42"/>
      <c r="W6" s="42"/>
      <c r="X6" s="42"/>
      <c r="Y6" s="89"/>
    </row>
    <row r="7" spans="1:28" x14ac:dyDescent="0.25">
      <c r="A7" s="2">
        <v>1</v>
      </c>
      <c r="B7" s="24">
        <v>406.45</v>
      </c>
      <c r="C7" s="2"/>
      <c r="F7" s="21" t="s">
        <v>5</v>
      </c>
      <c r="G7" s="4">
        <f>MAX(C8:C207)</f>
        <v>11.350000000000023</v>
      </c>
      <c r="N7" s="7" t="s">
        <v>36</v>
      </c>
      <c r="O7" s="8">
        <v>12</v>
      </c>
      <c r="P7" s="8"/>
      <c r="Q7" s="8"/>
      <c r="R7" s="9"/>
      <c r="U7" s="10" t="s">
        <v>35</v>
      </c>
      <c r="V7" s="8"/>
      <c r="W7" s="8" t="s">
        <v>34</v>
      </c>
      <c r="X7" s="8"/>
      <c r="Y7" s="9">
        <v>0.05</v>
      </c>
      <c r="Z7" s="19" t="s">
        <v>39</v>
      </c>
      <c r="AB7" s="19" t="s">
        <v>40</v>
      </c>
    </row>
    <row r="8" spans="1:28" ht="15.75" thickBot="1" x14ac:dyDescent="0.3">
      <c r="A8" s="2">
        <v>2</v>
      </c>
      <c r="B8" s="24">
        <v>411.68333333333334</v>
      </c>
      <c r="C8" s="4">
        <f>B8-B7</f>
        <v>5.2333333333333485</v>
      </c>
      <c r="F8" s="21" t="s">
        <v>6</v>
      </c>
      <c r="G8" s="4">
        <f>MIN(C8:C207)</f>
        <v>1.6666666666651508E-2</v>
      </c>
      <c r="N8" s="16" t="s">
        <v>33</v>
      </c>
      <c r="O8" s="22">
        <f>((_Valor_Max2-_Valor_Min2)/_intervalos2)+0.02</f>
        <v>0.96444444444444766</v>
      </c>
      <c r="P8" s="13"/>
      <c r="Q8" s="13"/>
      <c r="R8" s="14"/>
      <c r="U8" s="16"/>
      <c r="V8" s="13"/>
      <c r="W8" s="90" t="s">
        <v>56</v>
      </c>
      <c r="X8" s="13"/>
      <c r="Y8" s="14">
        <f xml:space="preserve"> 5 - 1</f>
        <v>4</v>
      </c>
    </row>
    <row r="9" spans="1:28" ht="15.75" thickBot="1" x14ac:dyDescent="0.3">
      <c r="A9" s="2">
        <v>3</v>
      </c>
      <c r="B9" s="24">
        <v>414.46666666666664</v>
      </c>
      <c r="C9" s="4">
        <f>B9-B8</f>
        <v>2.783333333333303</v>
      </c>
      <c r="F9" s="21" t="s">
        <v>7</v>
      </c>
      <c r="G9" s="4">
        <f>AVERAGE(_muestra2)</f>
        <v>1.5966666666666649</v>
      </c>
    </row>
    <row r="10" spans="1:28" ht="15.75" thickBot="1" x14ac:dyDescent="0.3">
      <c r="A10" s="2">
        <v>4</v>
      </c>
      <c r="B10" s="24">
        <v>415.53333333333336</v>
      </c>
      <c r="C10" s="4">
        <f>B10-B9</f>
        <v>1.0666666666667197</v>
      </c>
      <c r="F10" s="21" t="s">
        <v>8</v>
      </c>
      <c r="G10" s="4">
        <f>_xlfn.VAR.S(C8:C207)</f>
        <v>4.2725460636515722</v>
      </c>
      <c r="N10" s="117" t="s">
        <v>31</v>
      </c>
      <c r="O10" s="118"/>
      <c r="P10" s="118"/>
      <c r="Q10" s="70" t="s">
        <v>30</v>
      </c>
      <c r="R10" s="47"/>
      <c r="S10" s="47" t="s">
        <v>29</v>
      </c>
      <c r="T10" s="48"/>
      <c r="U10" s="114" t="s">
        <v>28</v>
      </c>
      <c r="V10" s="115"/>
      <c r="W10" s="116"/>
    </row>
    <row r="11" spans="1:28" ht="15.75" thickBot="1" x14ac:dyDescent="0.3">
      <c r="A11" s="2">
        <v>5</v>
      </c>
      <c r="B11" s="24">
        <v>418.78333333333336</v>
      </c>
      <c r="C11" s="4">
        <f>B11-B10</f>
        <v>3.25</v>
      </c>
      <c r="M11" s="56" t="s">
        <v>27</v>
      </c>
      <c r="N11" s="50" t="s">
        <v>26</v>
      </c>
      <c r="O11" s="50" t="s">
        <v>25</v>
      </c>
      <c r="P11" s="68" t="s">
        <v>24</v>
      </c>
      <c r="Q11" s="71" t="s">
        <v>23</v>
      </c>
      <c r="R11" s="48" t="s">
        <v>22</v>
      </c>
      <c r="S11" s="49" t="s">
        <v>21</v>
      </c>
      <c r="T11" s="49" t="s">
        <v>20</v>
      </c>
      <c r="U11" s="43" t="s">
        <v>22</v>
      </c>
      <c r="V11" s="44" t="s">
        <v>21</v>
      </c>
      <c r="W11" s="43" t="s">
        <v>20</v>
      </c>
    </row>
    <row r="12" spans="1:28" ht="15.75" thickBot="1" x14ac:dyDescent="0.3">
      <c r="A12" s="2">
        <v>6</v>
      </c>
      <c r="B12" s="24">
        <v>418.86666666666667</v>
      </c>
      <c r="C12" s="4">
        <f t="shared" ref="C12:C75" si="0">B12-B11</f>
        <v>8.3333333333314386E-2</v>
      </c>
      <c r="M12" s="57">
        <f>(P12+O12)/2</f>
        <v>0.49888888888887534</v>
      </c>
      <c r="N12" s="56">
        <v>1</v>
      </c>
      <c r="O12" s="57">
        <f>_Valor_Min2</f>
        <v>1.6666666666651508E-2</v>
      </c>
      <c r="P12" s="57">
        <f t="shared" ref="P12:P23" si="1">O12+_pasos2</f>
        <v>0.98111111111109917</v>
      </c>
      <c r="Q12" s="69">
        <f t="array" ref="Q12:Q23">FREQUENCY(_muestra2,_limSup2)</f>
        <v>114</v>
      </c>
      <c r="R12" s="52">
        <f>_tamañoMuestra2/_intervalos2</f>
        <v>16.666666666666668</v>
      </c>
      <c r="S12" s="52">
        <f>(_xlfn.EXPON.DIST(P12,_DistrExpLambda2,1)-_xlfn.EXPON.DIST(O12,_DistrExpLambda2,1))*_tamañoMuestra2</f>
        <v>89.738171012421674</v>
      </c>
      <c r="T12" s="52">
        <f t="shared" ref="T12:T23" si="2">(_xlfn.NORM.DIST(P12,_DistNormU2,_DistrNomrS2,1)-_xlfn.NORM.DIST(O12,_DistNormU2,_DistrNomrS2,1))*_tamañoMuestra2</f>
        <v>32.122002567005218</v>
      </c>
      <c r="U12" s="45">
        <f>(R12-Q12)^2/R12</f>
        <v>568.42666666666662</v>
      </c>
      <c r="V12" s="45">
        <f>(S12-Q12)^2/S12</f>
        <v>6.5594867733711242</v>
      </c>
      <c r="W12" s="45">
        <f>(T12-Q12)^2/T12</f>
        <v>208.70449934287907</v>
      </c>
    </row>
    <row r="13" spans="1:28" ht="15.75" thickBot="1" x14ac:dyDescent="0.3">
      <c r="A13" s="2">
        <v>7</v>
      </c>
      <c r="B13" s="24">
        <v>419.2</v>
      </c>
      <c r="C13" s="4">
        <f t="shared" si="0"/>
        <v>0.33333333333331439</v>
      </c>
      <c r="M13" s="57">
        <f t="shared" ref="M13:M23" si="3">(P13+O13)/2</f>
        <v>1.4633333333333229</v>
      </c>
      <c r="N13" s="56">
        <v>2</v>
      </c>
      <c r="O13" s="57">
        <f>P12</f>
        <v>0.98111111111109917</v>
      </c>
      <c r="P13" s="57">
        <f t="shared" si="1"/>
        <v>1.9455555555555468</v>
      </c>
      <c r="Q13" s="54">
        <v>25</v>
      </c>
      <c r="R13" s="52">
        <f t="shared" ref="R13:R23" si="4">_tamañoMuestra2/_intervalos2</f>
        <v>16.666666666666668</v>
      </c>
      <c r="S13" s="52">
        <f>(_xlfn.EXPON.DIST(P13,_DistrExpLambda2,1)-_xlfn.EXPON.DIST(O13,_DistrExpLambda2,1))*_tamañoMuestra2</f>
        <v>49.050973498465957</v>
      </c>
      <c r="T13" s="52">
        <f t="shared" si="2"/>
        <v>36.818103231409637</v>
      </c>
      <c r="U13" s="45">
        <f t="shared" ref="U13:U23" si="5">(R13-Q13)^2/R13</f>
        <v>4.1666666666666652</v>
      </c>
      <c r="V13" s="45">
        <f t="shared" ref="V13:V23" si="6">(S13-Q13)^2/S13</f>
        <v>11.792820508282114</v>
      </c>
      <c r="W13" s="45">
        <f t="shared" ref="W13:W23" si="7">(T13-Q13)^2/T13</f>
        <v>3.7934481065038699</v>
      </c>
    </row>
    <row r="14" spans="1:28" ht="15.75" thickBot="1" x14ac:dyDescent="0.3">
      <c r="A14" s="2">
        <v>8</v>
      </c>
      <c r="B14" s="24">
        <v>419.28333333333336</v>
      </c>
      <c r="C14" s="4">
        <f t="shared" si="0"/>
        <v>8.3333333333371229E-2</v>
      </c>
      <c r="F14" s="40" t="s">
        <v>10</v>
      </c>
      <c r="G14" s="42"/>
      <c r="H14" s="42"/>
      <c r="I14" s="42"/>
      <c r="J14" s="89"/>
      <c r="K14" s="8"/>
      <c r="L14" s="8"/>
      <c r="M14" s="57">
        <f t="shared" si="3"/>
        <v>2.4277777777777705</v>
      </c>
      <c r="N14" s="56">
        <v>3</v>
      </c>
      <c r="O14" s="57">
        <f t="shared" ref="O14:O23" si="8">P13</f>
        <v>1.9455555555555468</v>
      </c>
      <c r="P14" s="57">
        <f t="shared" si="1"/>
        <v>2.9099999999999944</v>
      </c>
      <c r="Q14" s="54">
        <v>23</v>
      </c>
      <c r="R14" s="52">
        <f t="shared" si="4"/>
        <v>16.666666666666668</v>
      </c>
      <c r="S14" s="52">
        <f t="shared" ref="S14:S23" si="9">(_xlfn.EXPON.DIST(P14,_DistrExpLambda2,1)-_xlfn.EXPON.DIST(O14,_DistrExpLambda2,1))*_tamañoMuestra2</f>
        <v>26.811310883683692</v>
      </c>
      <c r="T14" s="52">
        <f t="shared" si="2"/>
        <v>34.078025747534269</v>
      </c>
      <c r="U14" s="45">
        <f t="shared" si="5"/>
        <v>2.4066666666666654</v>
      </c>
      <c r="V14" s="45">
        <f t="shared" si="6"/>
        <v>0.54178964673173713</v>
      </c>
      <c r="W14" s="45">
        <f t="shared" si="7"/>
        <v>3.6012254750970092</v>
      </c>
    </row>
    <row r="15" spans="1:28" ht="15.75" thickBot="1" x14ac:dyDescent="0.3">
      <c r="A15" s="2">
        <v>9</v>
      </c>
      <c r="B15" s="24">
        <v>419.9</v>
      </c>
      <c r="C15" s="4">
        <f t="shared" si="0"/>
        <v>0.6166666666666174</v>
      </c>
      <c r="F15" s="7" t="s">
        <v>11</v>
      </c>
      <c r="G15" s="8"/>
      <c r="H15" s="8"/>
      <c r="I15" s="8"/>
      <c r="J15" s="9"/>
      <c r="K15" s="8"/>
      <c r="L15" s="8"/>
      <c r="M15" s="57">
        <f t="shared" si="3"/>
        <v>3.3922222222222183</v>
      </c>
      <c r="N15" s="56">
        <v>4</v>
      </c>
      <c r="O15" s="57">
        <f t="shared" si="8"/>
        <v>2.9099999999999944</v>
      </c>
      <c r="P15" s="57">
        <f t="shared" si="1"/>
        <v>3.8744444444444421</v>
      </c>
      <c r="Q15" s="54">
        <v>16</v>
      </c>
      <c r="R15" s="52">
        <f t="shared" si="4"/>
        <v>16.666666666666668</v>
      </c>
      <c r="S15" s="52">
        <f t="shared" si="9"/>
        <v>14.655089186436188</v>
      </c>
      <c r="T15" s="52">
        <f t="shared" si="2"/>
        <v>25.47057728946438</v>
      </c>
      <c r="U15" s="45">
        <f t="shared" si="5"/>
        <v>2.6666666666666759E-2</v>
      </c>
      <c r="V15" s="45">
        <f t="shared" si="6"/>
        <v>0.12342368397969022</v>
      </c>
      <c r="W15" s="45">
        <f t="shared" si="7"/>
        <v>3.5213899228274856</v>
      </c>
    </row>
    <row r="16" spans="1:28" ht="15.75" thickBot="1" x14ac:dyDescent="0.3">
      <c r="A16" s="2">
        <v>10</v>
      </c>
      <c r="B16" s="24">
        <v>421.4</v>
      </c>
      <c r="C16" s="4">
        <f t="shared" si="0"/>
        <v>1.5</v>
      </c>
      <c r="F16" s="10" t="s">
        <v>12</v>
      </c>
      <c r="G16" s="8"/>
      <c r="H16" s="8"/>
      <c r="I16" s="8"/>
      <c r="J16" s="9"/>
      <c r="K16" s="8"/>
      <c r="L16" s="8"/>
      <c r="M16" s="57">
        <f t="shared" si="3"/>
        <v>4.3566666666666656</v>
      </c>
      <c r="N16" s="56">
        <v>5</v>
      </c>
      <c r="O16" s="57">
        <f t="shared" si="8"/>
        <v>3.8744444444444421</v>
      </c>
      <c r="P16" s="57">
        <f t="shared" si="1"/>
        <v>4.8388888888888895</v>
      </c>
      <c r="Q16" s="54">
        <v>4</v>
      </c>
      <c r="R16" s="52">
        <f t="shared" si="4"/>
        <v>16.666666666666668</v>
      </c>
      <c r="S16" s="52">
        <f t="shared" si="9"/>
        <v>8.0104863202753904</v>
      </c>
      <c r="T16" s="52">
        <f t="shared" si="2"/>
        <v>15.372473643225671</v>
      </c>
      <c r="U16" s="45">
        <f t="shared" si="5"/>
        <v>9.6266666666666687</v>
      </c>
      <c r="V16" s="45">
        <f t="shared" si="6"/>
        <v>2.0078681720491467</v>
      </c>
      <c r="W16" s="45">
        <f t="shared" si="7"/>
        <v>8.4132950732270082</v>
      </c>
    </row>
    <row r="17" spans="1:43" ht="15.75" thickBot="1" x14ac:dyDescent="0.3">
      <c r="A17" s="2">
        <v>11</v>
      </c>
      <c r="B17" s="24">
        <v>421.5</v>
      </c>
      <c r="C17" s="4">
        <f t="shared" si="0"/>
        <v>0.10000000000002274</v>
      </c>
      <c r="F17" s="7"/>
      <c r="G17" s="8" t="s">
        <v>13</v>
      </c>
      <c r="H17" s="11">
        <f xml:space="preserve"> MIN(_muestra2)</f>
        <v>1.6666666666651508E-2</v>
      </c>
      <c r="I17" s="11"/>
      <c r="J17" s="9"/>
      <c r="K17" s="8"/>
      <c r="L17" s="8"/>
      <c r="M17" s="64">
        <f t="shared" si="3"/>
        <v>5.3211111111111133</v>
      </c>
      <c r="N17" s="56">
        <v>6</v>
      </c>
      <c r="O17" s="57">
        <f t="shared" si="8"/>
        <v>4.8388888888888895</v>
      </c>
      <c r="P17" s="57">
        <f t="shared" si="1"/>
        <v>5.8033333333333372</v>
      </c>
      <c r="Q17" s="54">
        <v>7</v>
      </c>
      <c r="R17" s="52">
        <f t="shared" si="4"/>
        <v>16.666666666666668</v>
      </c>
      <c r="S17" s="52">
        <f t="shared" si="9"/>
        <v>4.3785397871688669</v>
      </c>
      <c r="T17" s="52">
        <f t="shared" si="2"/>
        <v>7.4915375741748225</v>
      </c>
      <c r="U17" s="45">
        <f t="shared" si="5"/>
        <v>5.6066666666666682</v>
      </c>
      <c r="V17" s="45">
        <f t="shared" si="6"/>
        <v>1.5694852579837058</v>
      </c>
      <c r="W17" s="45">
        <f t="shared" si="7"/>
        <v>3.2250947743832394E-2</v>
      </c>
    </row>
    <row r="18" spans="1:43" ht="15.75" thickBot="1" x14ac:dyDescent="0.3">
      <c r="A18" s="2">
        <v>12</v>
      </c>
      <c r="B18" s="24">
        <v>425.45</v>
      </c>
      <c r="C18" s="4">
        <f t="shared" si="0"/>
        <v>3.9499999999999886</v>
      </c>
      <c r="F18" s="7"/>
      <c r="G18" s="8" t="s">
        <v>14</v>
      </c>
      <c r="H18" s="11">
        <f xml:space="preserve"> MAX(_muestra2)</f>
        <v>11.350000000000023</v>
      </c>
      <c r="I18" s="11"/>
      <c r="J18" s="9"/>
      <c r="K18" s="8"/>
      <c r="L18" s="8"/>
      <c r="M18" s="57">
        <f t="shared" si="3"/>
        <v>6.2855555555555611</v>
      </c>
      <c r="N18" s="56">
        <v>7</v>
      </c>
      <c r="O18" s="57">
        <f t="shared" si="8"/>
        <v>5.8033333333333372</v>
      </c>
      <c r="P18" s="57">
        <f t="shared" si="1"/>
        <v>6.767777777777785</v>
      </c>
      <c r="Q18" s="54">
        <v>3</v>
      </c>
      <c r="R18" s="52">
        <f t="shared" si="4"/>
        <v>16.666666666666668</v>
      </c>
      <c r="S18" s="52">
        <f t="shared" si="9"/>
        <v>2.3933142010735819</v>
      </c>
      <c r="T18" s="52">
        <f t="shared" si="2"/>
        <v>2.9477781612318177</v>
      </c>
      <c r="U18" s="45">
        <f t="shared" si="5"/>
        <v>11.206666666666667</v>
      </c>
      <c r="V18" s="45">
        <f t="shared" si="6"/>
        <v>0.15378994469421525</v>
      </c>
      <c r="W18" s="45">
        <f t="shared" si="7"/>
        <v>9.2514439525884131E-4</v>
      </c>
    </row>
    <row r="19" spans="1:43" ht="15.75" thickBot="1" x14ac:dyDescent="0.3">
      <c r="A19" s="2">
        <v>13</v>
      </c>
      <c r="B19" s="24">
        <v>426.96666666666664</v>
      </c>
      <c r="C19" s="4">
        <f>B19-B18</f>
        <v>1.5166666666666515</v>
      </c>
      <c r="F19" s="10" t="s">
        <v>15</v>
      </c>
      <c r="G19" s="8"/>
      <c r="H19" s="8"/>
      <c r="I19" s="8"/>
      <c r="J19" s="9"/>
      <c r="K19" s="8"/>
      <c r="L19" s="8"/>
      <c r="M19" s="57">
        <f t="shared" si="3"/>
        <v>7.2500000000000089</v>
      </c>
      <c r="N19" s="56">
        <v>8</v>
      </c>
      <c r="O19" s="57">
        <f t="shared" si="8"/>
        <v>6.767777777777785</v>
      </c>
      <c r="P19" s="57">
        <f t="shared" si="1"/>
        <v>7.7322222222222328</v>
      </c>
      <c r="Q19" s="54">
        <v>3</v>
      </c>
      <c r="R19" s="52">
        <f t="shared" si="4"/>
        <v>16.666666666666668</v>
      </c>
      <c r="S19" s="52">
        <f t="shared" si="9"/>
        <v>1.3081879218834525</v>
      </c>
      <c r="T19" s="53">
        <f t="shared" si="2"/>
        <v>0.93644647538220216</v>
      </c>
      <c r="U19" s="45">
        <f t="shared" si="5"/>
        <v>11.206666666666667</v>
      </c>
      <c r="V19" s="45">
        <f t="shared" si="6"/>
        <v>2.1879334457851916</v>
      </c>
      <c r="W19" s="45">
        <f t="shared" si="7"/>
        <v>4.5472467043293303</v>
      </c>
    </row>
    <row r="20" spans="1:43" ht="15.75" thickBot="1" x14ac:dyDescent="0.3">
      <c r="A20" s="2">
        <v>14</v>
      </c>
      <c r="B20" s="24">
        <v>427.26666666666665</v>
      </c>
      <c r="C20" s="4">
        <f t="shared" si="0"/>
        <v>0.30000000000001137</v>
      </c>
      <c r="F20" s="7"/>
      <c r="G20" s="8" t="s">
        <v>16</v>
      </c>
      <c r="H20" s="11">
        <f>1/_media2</f>
        <v>0.62630480167014679</v>
      </c>
      <c r="I20" s="11"/>
      <c r="J20" s="9"/>
      <c r="K20" s="8"/>
      <c r="L20" s="8"/>
      <c r="M20" s="57">
        <f t="shared" si="3"/>
        <v>8.2144444444444566</v>
      </c>
      <c r="N20" s="56">
        <v>9</v>
      </c>
      <c r="O20" s="57">
        <f t="shared" si="8"/>
        <v>7.7322222222222328</v>
      </c>
      <c r="P20" s="57">
        <f t="shared" si="1"/>
        <v>8.6966666666666796</v>
      </c>
      <c r="Q20" s="54">
        <v>2</v>
      </c>
      <c r="R20" s="52">
        <f t="shared" si="4"/>
        <v>16.666666666666668</v>
      </c>
      <c r="S20" s="52">
        <f t="shared" si="9"/>
        <v>0.71505681878045735</v>
      </c>
      <c r="T20" s="52">
        <f t="shared" si="2"/>
        <v>0.24015802708921008</v>
      </c>
      <c r="U20" s="45">
        <f t="shared" si="5"/>
        <v>12.906666666666668</v>
      </c>
      <c r="V20" s="45">
        <f t="shared" si="6"/>
        <v>2.3090178788568778</v>
      </c>
      <c r="W20" s="45">
        <f t="shared" si="7"/>
        <v>12.895857811440552</v>
      </c>
    </row>
    <row r="21" spans="1:43" ht="15.75" thickBot="1" x14ac:dyDescent="0.3">
      <c r="A21" s="2">
        <v>15</v>
      </c>
      <c r="B21" s="24">
        <v>427.35</v>
      </c>
      <c r="C21" s="4">
        <f t="shared" si="0"/>
        <v>8.3333333333371229E-2</v>
      </c>
      <c r="F21" s="7"/>
      <c r="G21" s="8" t="s">
        <v>17</v>
      </c>
      <c r="H21" s="11">
        <f>1/_varianza2^0.5</f>
        <v>0.4837897058699237</v>
      </c>
      <c r="I21" s="11"/>
      <c r="J21" s="9"/>
      <c r="K21" s="8"/>
      <c r="L21" s="8"/>
      <c r="M21" s="57">
        <f t="shared" si="3"/>
        <v>9.1788888888889026</v>
      </c>
      <c r="N21" s="56">
        <v>10</v>
      </c>
      <c r="O21" s="57">
        <f t="shared" si="8"/>
        <v>8.6966666666666796</v>
      </c>
      <c r="P21" s="57">
        <f t="shared" si="1"/>
        <v>9.6611111111111274</v>
      </c>
      <c r="Q21" s="55">
        <v>2</v>
      </c>
      <c r="R21" s="52">
        <f t="shared" si="4"/>
        <v>16.666666666666668</v>
      </c>
      <c r="S21" s="52">
        <f t="shared" si="9"/>
        <v>0.39085076809781683</v>
      </c>
      <c r="T21" s="52">
        <f t="shared" si="2"/>
        <v>4.9715705355857231E-2</v>
      </c>
      <c r="U21" s="45">
        <f t="shared" si="5"/>
        <v>12.906666666666668</v>
      </c>
      <c r="V21" s="45">
        <f t="shared" si="6"/>
        <v>6.6249358115201549</v>
      </c>
      <c r="W21" s="45">
        <f t="shared" si="7"/>
        <v>76.507188276017914</v>
      </c>
    </row>
    <row r="22" spans="1:43" ht="15.75" thickBot="1" x14ac:dyDescent="0.3">
      <c r="A22" s="2">
        <v>16</v>
      </c>
      <c r="B22" s="24">
        <v>430.06666666666666</v>
      </c>
      <c r="C22" s="4">
        <f t="shared" si="0"/>
        <v>2.7166666666666401</v>
      </c>
      <c r="F22" s="10" t="s">
        <v>68</v>
      </c>
      <c r="G22" s="8"/>
      <c r="H22" s="8"/>
      <c r="I22" s="8"/>
      <c r="J22" s="9"/>
      <c r="K22" s="8"/>
      <c r="L22" s="8"/>
      <c r="M22" s="57">
        <f t="shared" si="3"/>
        <v>10.143333333333352</v>
      </c>
      <c r="N22" s="56">
        <v>11</v>
      </c>
      <c r="O22" s="57">
        <f t="shared" si="8"/>
        <v>9.6611111111111274</v>
      </c>
      <c r="P22" s="57">
        <f t="shared" si="1"/>
        <v>10.625555555555575</v>
      </c>
      <c r="Q22" s="54">
        <v>0</v>
      </c>
      <c r="R22" s="52">
        <f t="shared" si="4"/>
        <v>16.666666666666668</v>
      </c>
      <c r="S22" s="52">
        <f t="shared" si="9"/>
        <v>0.21363941844956269</v>
      </c>
      <c r="T22" s="52">
        <f t="shared" si="2"/>
        <v>8.3066197845038658E-3</v>
      </c>
      <c r="U22" s="45">
        <f t="shared" si="5"/>
        <v>16.666666666666668</v>
      </c>
      <c r="V22" s="45">
        <f t="shared" si="6"/>
        <v>0.21363941844956269</v>
      </c>
      <c r="W22" s="45">
        <f t="shared" si="7"/>
        <v>8.3066197845038658E-3</v>
      </c>
    </row>
    <row r="23" spans="1:43" ht="15.75" thickBot="1" x14ac:dyDescent="0.3">
      <c r="A23" s="2">
        <v>17</v>
      </c>
      <c r="B23" s="24">
        <v>431.88333333333333</v>
      </c>
      <c r="C23" s="4">
        <f t="shared" si="0"/>
        <v>1.8166666666666629</v>
      </c>
      <c r="F23" s="7"/>
      <c r="G23" s="8" t="s">
        <v>18</v>
      </c>
      <c r="H23" s="11">
        <f>_media2</f>
        <v>1.5966666666666649</v>
      </c>
      <c r="I23" s="11"/>
      <c r="J23" s="9"/>
      <c r="K23" s="8"/>
      <c r="L23" s="8"/>
      <c r="M23" s="57">
        <f t="shared" si="3"/>
        <v>11.107777777777798</v>
      </c>
      <c r="N23" s="58">
        <v>12</v>
      </c>
      <c r="O23" s="57">
        <f t="shared" si="8"/>
        <v>10.625555555555575</v>
      </c>
      <c r="P23" s="57">
        <f t="shared" si="1"/>
        <v>11.590000000000023</v>
      </c>
      <c r="Q23" s="54">
        <v>1</v>
      </c>
      <c r="R23" s="52">
        <f t="shared" si="4"/>
        <v>16.666666666666668</v>
      </c>
      <c r="S23" s="52">
        <f t="shared" si="9"/>
        <v>0.11677551853765955</v>
      </c>
      <c r="T23" s="52">
        <f t="shared" si="2"/>
        <v>1.1200502629815645E-3</v>
      </c>
      <c r="U23" s="45">
        <f t="shared" si="5"/>
        <v>14.726666666666668</v>
      </c>
      <c r="V23" s="45">
        <f t="shared" si="6"/>
        <v>6.6802142642838813</v>
      </c>
      <c r="W23" s="45">
        <f t="shared" si="7"/>
        <v>890.81819536437274</v>
      </c>
    </row>
    <row r="24" spans="1:43" ht="15.75" thickBot="1" x14ac:dyDescent="0.3">
      <c r="A24" s="2">
        <v>18</v>
      </c>
      <c r="B24" s="24">
        <v>432</v>
      </c>
      <c r="C24" s="4">
        <f t="shared" si="0"/>
        <v>0.11666666666667425</v>
      </c>
      <c r="F24" s="16"/>
      <c r="G24" s="13" t="s">
        <v>19</v>
      </c>
      <c r="H24" s="15">
        <f>_varianza2^0.5</f>
        <v>2.0670138034496945</v>
      </c>
      <c r="I24" s="15"/>
      <c r="J24" s="14"/>
      <c r="K24" s="8"/>
      <c r="L24" s="8"/>
      <c r="M24" s="8"/>
      <c r="Q24" s="54">
        <f t="shared" ref="Q24:W24" si="10">SUM(Q12:Q23)</f>
        <v>200</v>
      </c>
      <c r="R24" s="52">
        <f t="shared" si="10"/>
        <v>199.99999999999997</v>
      </c>
      <c r="S24" s="52">
        <f>SUM(S12:S23)</f>
        <v>197.78239533527429</v>
      </c>
      <c r="T24" s="52">
        <f t="shared" si="10"/>
        <v>155.53624509192059</v>
      </c>
      <c r="U24" s="45">
        <f t="shared" si="10"/>
        <v>669.87999999999988</v>
      </c>
      <c r="V24" s="81">
        <f>SUM(V12:V23)</f>
        <v>40.764404805987404</v>
      </c>
      <c r="W24" s="45">
        <f t="shared" si="10"/>
        <v>1212.8438287886186</v>
      </c>
    </row>
    <row r="25" spans="1:43" ht="15.75" thickBot="1" x14ac:dyDescent="0.3">
      <c r="A25" s="2">
        <v>19</v>
      </c>
      <c r="B25" s="24">
        <v>434.25</v>
      </c>
      <c r="C25" s="4">
        <f t="shared" si="0"/>
        <v>2.25</v>
      </c>
      <c r="F25" s="8"/>
      <c r="G25" s="8"/>
      <c r="H25" s="8"/>
      <c r="I25" s="8"/>
      <c r="J25" s="8"/>
      <c r="K25" s="8"/>
      <c r="L25" s="8"/>
      <c r="Y25" s="36"/>
      <c r="Z25" s="8"/>
      <c r="AA25" s="8"/>
      <c r="AB25" s="8"/>
      <c r="AC25" s="8"/>
      <c r="AD25" s="8"/>
      <c r="AE25" s="8"/>
      <c r="AF25" s="8"/>
      <c r="AG25" s="8"/>
    </row>
    <row r="26" spans="1:43" ht="15.75" thickBot="1" x14ac:dyDescent="0.3">
      <c r="A26" s="2">
        <v>20</v>
      </c>
      <c r="B26" s="24">
        <v>434.36666666666667</v>
      </c>
      <c r="C26" s="4">
        <f t="shared" si="0"/>
        <v>0.11666666666667425</v>
      </c>
      <c r="F26" s="8"/>
      <c r="G26" s="8"/>
      <c r="H26" s="8"/>
      <c r="I26" s="8"/>
      <c r="J26" s="8"/>
      <c r="K26" s="8"/>
      <c r="L26" s="8"/>
      <c r="N26" s="132" t="s">
        <v>45</v>
      </c>
      <c r="O26" s="133"/>
      <c r="P26" s="133"/>
      <c r="Q26" s="133"/>
      <c r="R26" s="133"/>
      <c r="S26" s="134"/>
      <c r="Y26" s="36"/>
      <c r="Z26" s="8"/>
      <c r="AA26" s="8"/>
      <c r="AB26" s="8"/>
      <c r="AC26" s="8"/>
      <c r="AD26" s="8"/>
      <c r="AE26" s="8"/>
      <c r="AF26" s="8"/>
      <c r="AG26" s="8"/>
    </row>
    <row r="27" spans="1:43" ht="15.75" thickBot="1" x14ac:dyDescent="0.3">
      <c r="A27" s="2">
        <v>21</v>
      </c>
      <c r="B27" s="24">
        <v>434.7</v>
      </c>
      <c r="C27" s="4">
        <f t="shared" si="0"/>
        <v>0.33333333333331439</v>
      </c>
      <c r="F27" s="63"/>
      <c r="G27" s="8"/>
      <c r="H27" s="8"/>
      <c r="I27" s="8"/>
      <c r="J27" s="8"/>
      <c r="K27" s="8"/>
      <c r="L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43" ht="15.75" thickBot="1" x14ac:dyDescent="0.3">
      <c r="A28" s="2">
        <v>22</v>
      </c>
      <c r="B28" s="24">
        <v>435.46666666666664</v>
      </c>
      <c r="C28" s="4">
        <f t="shared" si="0"/>
        <v>0.76666666666665151</v>
      </c>
      <c r="F28" s="63"/>
      <c r="G28" s="8"/>
      <c r="H28" s="8"/>
      <c r="I28" s="8"/>
      <c r="J28" s="8"/>
      <c r="K28" s="8"/>
      <c r="L28" s="8"/>
      <c r="Q28" s="139" t="s">
        <v>82</v>
      </c>
      <c r="R28" s="140"/>
      <c r="S28" s="140"/>
      <c r="T28" s="141"/>
      <c r="AH28" s="31" t="s">
        <v>34</v>
      </c>
      <c r="AI28" s="23"/>
      <c r="AJ28" s="6">
        <v>0.05</v>
      </c>
    </row>
    <row r="29" spans="1:43" ht="15.75" thickBot="1" x14ac:dyDescent="0.3">
      <c r="A29" s="2">
        <v>23</v>
      </c>
      <c r="B29" s="24">
        <v>435.6</v>
      </c>
      <c r="C29" s="4">
        <f t="shared" si="0"/>
        <v>0.1333333333333826</v>
      </c>
      <c r="F29" s="113" t="s">
        <v>80</v>
      </c>
      <c r="G29" s="60"/>
      <c r="H29" s="60"/>
      <c r="I29" s="60"/>
      <c r="J29" s="60"/>
      <c r="K29" s="60"/>
      <c r="L29" s="60"/>
      <c r="M29" s="62"/>
      <c r="N29" s="135"/>
      <c r="O29" s="62"/>
      <c r="Z29" s="82"/>
      <c r="AA29" s="82"/>
      <c r="AB29" s="82"/>
      <c r="AC29" s="82" t="s">
        <v>73</v>
      </c>
      <c r="AD29" s="82"/>
      <c r="AE29" s="83"/>
      <c r="AF29" s="83"/>
      <c r="AH29" s="12" t="s">
        <v>32</v>
      </c>
      <c r="AI29" s="13"/>
      <c r="AJ29" s="14">
        <f>_tamañoMuestra</f>
        <v>200</v>
      </c>
    </row>
    <row r="30" spans="1:43" x14ac:dyDescent="0.25">
      <c r="A30" s="2">
        <v>24</v>
      </c>
      <c r="B30" s="24">
        <v>435.73333333333335</v>
      </c>
      <c r="C30" s="4">
        <f t="shared" si="0"/>
        <v>0.13333333333332575</v>
      </c>
    </row>
    <row r="31" spans="1:43" ht="15.75" thickBot="1" x14ac:dyDescent="0.3">
      <c r="A31" s="2">
        <v>25</v>
      </c>
      <c r="B31" s="24">
        <v>439.45</v>
      </c>
      <c r="C31" s="4">
        <f t="shared" si="0"/>
        <v>3.7166666666666401</v>
      </c>
    </row>
    <row r="32" spans="1:43" ht="15.75" thickBot="1" x14ac:dyDescent="0.3">
      <c r="A32" s="2">
        <v>26</v>
      </c>
      <c r="B32" s="24">
        <v>439.65</v>
      </c>
      <c r="C32" s="4">
        <f t="shared" si="0"/>
        <v>0.19999999999998863</v>
      </c>
      <c r="F32" s="117" t="s">
        <v>31</v>
      </c>
      <c r="G32" s="118"/>
      <c r="H32" s="118"/>
      <c r="I32" s="70" t="s">
        <v>74</v>
      </c>
      <c r="J32" s="105"/>
      <c r="K32" s="105" t="s">
        <v>29</v>
      </c>
      <c r="L32" s="106"/>
      <c r="M32" s="114" t="s">
        <v>28</v>
      </c>
      <c r="N32" s="115"/>
      <c r="O32" s="116"/>
      <c r="Z32" s="117" t="s">
        <v>31</v>
      </c>
      <c r="AA32" s="118"/>
      <c r="AB32" s="118"/>
      <c r="AC32" s="70" t="s">
        <v>30</v>
      </c>
      <c r="AD32" s="126" t="s">
        <v>29</v>
      </c>
      <c r="AE32" s="126"/>
      <c r="AF32" s="126"/>
      <c r="AG32" s="70" t="s">
        <v>46</v>
      </c>
      <c r="AH32" s="126" t="s">
        <v>47</v>
      </c>
      <c r="AI32" s="126"/>
      <c r="AJ32" s="126"/>
      <c r="AK32" s="70" t="s">
        <v>48</v>
      </c>
      <c r="AL32" s="126" t="s">
        <v>49</v>
      </c>
      <c r="AM32" s="126"/>
      <c r="AN32" s="128"/>
      <c r="AO32" s="114" t="s">
        <v>50</v>
      </c>
      <c r="AP32" s="115"/>
      <c r="AQ32" s="116"/>
    </row>
    <row r="33" spans="1:44" ht="15.75" thickBot="1" x14ac:dyDescent="0.3">
      <c r="A33" s="2">
        <v>27</v>
      </c>
      <c r="B33" s="24">
        <v>439.78333333333336</v>
      </c>
      <c r="C33" s="4">
        <f t="shared" si="0"/>
        <v>0.1333333333333826</v>
      </c>
      <c r="E33" s="56" t="s">
        <v>27</v>
      </c>
      <c r="F33" s="50" t="s">
        <v>26</v>
      </c>
      <c r="G33" s="50" t="s">
        <v>25</v>
      </c>
      <c r="H33" s="104" t="s">
        <v>24</v>
      </c>
      <c r="I33" s="71" t="s">
        <v>51</v>
      </c>
      <c r="J33" s="106" t="s">
        <v>22</v>
      </c>
      <c r="K33" s="49" t="s">
        <v>21</v>
      </c>
      <c r="L33" s="49" t="s">
        <v>20</v>
      </c>
      <c r="M33" s="43" t="s">
        <v>22</v>
      </c>
      <c r="N33" s="44" t="s">
        <v>21</v>
      </c>
      <c r="O33" s="43" t="s">
        <v>20</v>
      </c>
      <c r="Z33" s="68" t="s">
        <v>26</v>
      </c>
      <c r="AA33" s="72" t="s">
        <v>25</v>
      </c>
      <c r="AB33" s="72" t="s">
        <v>24</v>
      </c>
      <c r="AC33" s="71" t="s">
        <v>23</v>
      </c>
      <c r="AD33" s="47" t="s">
        <v>22</v>
      </c>
      <c r="AE33" s="47" t="s">
        <v>21</v>
      </c>
      <c r="AF33" s="47" t="s">
        <v>20</v>
      </c>
      <c r="AG33" s="71" t="s">
        <v>51</v>
      </c>
      <c r="AH33" s="47" t="s">
        <v>22</v>
      </c>
      <c r="AI33" s="47" t="s">
        <v>21</v>
      </c>
      <c r="AJ33" s="47" t="s">
        <v>20</v>
      </c>
      <c r="AK33" s="71" t="s">
        <v>52</v>
      </c>
      <c r="AL33" s="47" t="s">
        <v>22</v>
      </c>
      <c r="AM33" s="47" t="s">
        <v>21</v>
      </c>
      <c r="AN33" s="48" t="s">
        <v>20</v>
      </c>
      <c r="AO33" s="76" t="s">
        <v>22</v>
      </c>
      <c r="AP33" s="77" t="s">
        <v>21</v>
      </c>
      <c r="AQ33" s="78" t="s">
        <v>20</v>
      </c>
    </row>
    <row r="34" spans="1:44" ht="15.75" thickBot="1" x14ac:dyDescent="0.3">
      <c r="A34" s="2">
        <v>28</v>
      </c>
      <c r="B34" s="24">
        <v>441.21666666666664</v>
      </c>
      <c r="C34" s="4">
        <f t="shared" si="0"/>
        <v>1.4333333333332803</v>
      </c>
      <c r="E34" s="57">
        <f>(H34+G34)/2</f>
        <v>0.49888888888887534</v>
      </c>
      <c r="F34" s="56">
        <v>1</v>
      </c>
      <c r="G34" s="57">
        <f>_Valor_Min2</f>
        <v>1.6666666666651508E-2</v>
      </c>
      <c r="H34" s="57">
        <f t="shared" ref="H34:H45" si="11">G34+_pasos2</f>
        <v>0.98111111111109917</v>
      </c>
      <c r="I34" s="69" cm="1">
        <f t="array" ref="I34:I38">FREQUENCY(_muestra2,H34:H37)</f>
        <v>114</v>
      </c>
      <c r="J34" s="52">
        <f>_tamañoMuestra2/5</f>
        <v>40</v>
      </c>
      <c r="K34" s="52">
        <f>(_xlfn.EXPON.DIST(H34,_DistrExpLambda2,1)-_xlfn.EXPON.DIST(G34,_DistrExpLambda2,1))*_tamañoMuestra2</f>
        <v>89.738171012421674</v>
      </c>
      <c r="L34" s="52">
        <f>(_xlfn.NORM.DIST(H34,_DistNormU2,_DistrNomrS2,1)-_xlfn.NORM.DIST(G34,_DistNormU2,_DistrNomrS2,1))*_tamañoMuestra2</f>
        <v>32.122002567005218</v>
      </c>
      <c r="M34" s="45">
        <f>(J34-I34)^2/J34</f>
        <v>136.9</v>
      </c>
      <c r="N34" s="45">
        <f>(K34-I34)^2/K34</f>
        <v>6.5594867733711242</v>
      </c>
      <c r="O34" s="45">
        <f>(L34-I34)^2/L34</f>
        <v>208.70449934287907</v>
      </c>
      <c r="Z34" s="56">
        <v>1</v>
      </c>
      <c r="AA34" s="57">
        <f>_Valor_Min2</f>
        <v>1.6666666666651508E-2</v>
      </c>
      <c r="AB34" s="57">
        <f t="shared" ref="AB34:AB45" si="12">AA34+_pasos2</f>
        <v>0.98111111111109917</v>
      </c>
      <c r="AC34" s="54">
        <f t="array" ref="AC34:AC45">FREQUENCY(_muestra2,_limSup2)</f>
        <v>114</v>
      </c>
      <c r="AD34" s="52">
        <f t="shared" ref="AD34:AD45" si="13">_tamañoMuestra2/_intervalos2</f>
        <v>16.666666666666668</v>
      </c>
      <c r="AE34" s="52">
        <f t="shared" ref="AE34:AE45" si="14">(_xlfn.EXPON.DIST(AB34,_DistrExpLambda2,1)-_xlfn.EXPON.DIST(AA34,_DistrExpLambda2,1))*_tamañoMuestra2</f>
        <v>89.738171012421674</v>
      </c>
      <c r="AF34" s="52">
        <f t="shared" ref="AF34:AF45" si="15">(_xlfn.NORM.DIST(AB34,_DistNormU2,_DistrNomrS2,1)-_xlfn.NORM.DIST(AA34,_DistNormU2,_DistrNomrS2,1))*_tamañoMuestra</f>
        <v>32.122002567005218</v>
      </c>
      <c r="AG34" s="73">
        <f>AC34/$AC$46</f>
        <v>0.56999999999999995</v>
      </c>
      <c r="AH34" s="52">
        <f>AD34/$AC$46</f>
        <v>8.3333333333333343E-2</v>
      </c>
      <c r="AI34" s="75">
        <f>AE34/$AC$46</f>
        <v>0.44869085506210837</v>
      </c>
      <c r="AJ34" s="75">
        <f>AF34/$AC$46</f>
        <v>0.1606100128350261</v>
      </c>
      <c r="AK34" s="73">
        <f>SUM(AG$34:AG34)</f>
        <v>0.56999999999999995</v>
      </c>
      <c r="AL34" s="52">
        <f>SUM($AH$34:AH34)</f>
        <v>8.3333333333333343E-2</v>
      </c>
      <c r="AM34" s="75">
        <f>SUM($AI$34:AI34)</f>
        <v>0.44869085506210837</v>
      </c>
      <c r="AN34" s="75">
        <f>SUM($AJ$34:AJ34)</f>
        <v>0.1606100128350261</v>
      </c>
      <c r="AO34" s="79">
        <f>+ABS(AL34-AK34)</f>
        <v>0.48666666666666658</v>
      </c>
      <c r="AP34" s="79">
        <f>+ABS(AM34-AK34)</f>
        <v>0.12130914493789158</v>
      </c>
      <c r="AQ34" s="79">
        <f>+ABS(AK34-AN34)</f>
        <v>0.40938998716497388</v>
      </c>
    </row>
    <row r="35" spans="1:44" ht="15.75" thickBot="1" x14ac:dyDescent="0.3">
      <c r="A35" s="2">
        <v>29</v>
      </c>
      <c r="B35" s="24">
        <v>449.83333333333331</v>
      </c>
      <c r="C35" s="4">
        <f t="shared" si="0"/>
        <v>8.6166666666666742</v>
      </c>
      <c r="E35" s="57">
        <f t="shared" ref="E35:E45" si="16">(H35+G35)/2</f>
        <v>1.4633333333333229</v>
      </c>
      <c r="F35" s="56">
        <v>2</v>
      </c>
      <c r="G35" s="57">
        <f>H34</f>
        <v>0.98111111111109917</v>
      </c>
      <c r="H35" s="57">
        <f t="shared" si="11"/>
        <v>1.9455555555555468</v>
      </c>
      <c r="I35" s="54">
        <v>25</v>
      </c>
      <c r="J35" s="52">
        <f>_tamañoMuestra2/5</f>
        <v>40</v>
      </c>
      <c r="K35" s="52">
        <f>(_xlfn.EXPON.DIST(H35,_DistrExpLambda2,1)-_xlfn.EXPON.DIST(G35,_DistrExpLambda2,1))*_tamañoMuestra2</f>
        <v>49.050973498465957</v>
      </c>
      <c r="L35" s="52">
        <f>(_xlfn.NORM.DIST(H35,_DistNormU2,_DistrNomrS2,1)-_xlfn.NORM.DIST(G35,_DistNormU2,_DistrNomrS2,1))*_tamañoMuestra2</f>
        <v>36.818103231409637</v>
      </c>
      <c r="M35" s="45">
        <f>(J35-I35)^2/J35</f>
        <v>5.625</v>
      </c>
      <c r="N35" s="45">
        <f>(K35-I35)^2/K35</f>
        <v>11.792820508282114</v>
      </c>
      <c r="O35" s="45">
        <f>(L35-I35)^2/L35</f>
        <v>3.7934481065038699</v>
      </c>
      <c r="Z35" s="56">
        <v>2</v>
      </c>
      <c r="AA35" s="57">
        <f>AB34</f>
        <v>0.98111111111109917</v>
      </c>
      <c r="AB35" s="57">
        <f t="shared" si="12"/>
        <v>1.9455555555555468</v>
      </c>
      <c r="AC35" s="55">
        <v>25</v>
      </c>
      <c r="AD35" s="52">
        <f t="shared" si="13"/>
        <v>16.666666666666668</v>
      </c>
      <c r="AE35" s="52">
        <f t="shared" si="14"/>
        <v>49.050973498465957</v>
      </c>
      <c r="AF35" s="52">
        <f t="shared" si="15"/>
        <v>36.818103231409637</v>
      </c>
      <c r="AG35" s="73">
        <f t="shared" ref="AG35:AJ45" si="17">AC35/$AC$46</f>
        <v>0.125</v>
      </c>
      <c r="AH35" s="52">
        <f t="shared" si="17"/>
        <v>8.3333333333333343E-2</v>
      </c>
      <c r="AI35" s="75">
        <f t="shared" si="17"/>
        <v>0.24525486749232978</v>
      </c>
      <c r="AJ35" s="75">
        <f t="shared" si="17"/>
        <v>0.18409051615704819</v>
      </c>
      <c r="AK35" s="73">
        <f>SUM(AG$34:AG35)</f>
        <v>0.69499999999999995</v>
      </c>
      <c r="AL35" s="52">
        <f>SUM($AH$34:AH35)</f>
        <v>0.16666666666666669</v>
      </c>
      <c r="AM35" s="75">
        <f>SUM($AI$34:AI35)</f>
        <v>0.69394572255443809</v>
      </c>
      <c r="AN35" s="75">
        <f>SUM($AJ$34:AJ35)</f>
        <v>0.34470052899207426</v>
      </c>
      <c r="AO35" s="79">
        <f t="shared" ref="AO35:AO45" si="18">+ABS(AL35-AK35)</f>
        <v>0.52833333333333332</v>
      </c>
      <c r="AP35" s="79">
        <f t="shared" ref="AP35:AP45" si="19">+ABS(AM35-AK35)</f>
        <v>1.0542774455618575E-3</v>
      </c>
      <c r="AQ35" s="79">
        <f t="shared" ref="AQ35:AQ45" si="20">+ABS(AK35-AN35)</f>
        <v>0.35029947100792569</v>
      </c>
    </row>
    <row r="36" spans="1:44" ht="15.75" thickBot="1" x14ac:dyDescent="0.3">
      <c r="A36" s="2">
        <v>30</v>
      </c>
      <c r="B36" s="24">
        <v>458.6</v>
      </c>
      <c r="C36" s="4">
        <f t="shared" si="0"/>
        <v>8.7666666666667084</v>
      </c>
      <c r="E36" s="57">
        <f t="shared" si="16"/>
        <v>2.4277777777777705</v>
      </c>
      <c r="F36" s="56">
        <v>3</v>
      </c>
      <c r="G36" s="57">
        <f t="shared" ref="G36:G45" si="21">H35</f>
        <v>1.9455555555555468</v>
      </c>
      <c r="H36" s="57">
        <f t="shared" si="11"/>
        <v>2.9099999999999944</v>
      </c>
      <c r="I36" s="54">
        <v>23</v>
      </c>
      <c r="J36" s="52">
        <f>_tamañoMuestra2/5</f>
        <v>40</v>
      </c>
      <c r="K36" s="52">
        <f>(_xlfn.EXPON.DIST(H36,_DistrExpLambda2,1)-_xlfn.EXPON.DIST(G36,_DistrExpLambda2,1))*_tamañoMuestra2</f>
        <v>26.811310883683692</v>
      </c>
      <c r="L36" s="52">
        <f>(_xlfn.NORM.DIST(H36,_DistNormU2,_DistrNomrS2,1)-_xlfn.NORM.DIST(G36,_DistNormU2,_DistrNomrS2,1))*_tamañoMuestra2</f>
        <v>34.078025747534269</v>
      </c>
      <c r="M36" s="45">
        <f>(J36-I36)^2/J36</f>
        <v>7.2249999999999996</v>
      </c>
      <c r="N36" s="45">
        <f>(K36-I36)^2/K36</f>
        <v>0.54178964673173713</v>
      </c>
      <c r="O36" s="45">
        <f>(L36-I36)^2/L36</f>
        <v>3.6012254750970092</v>
      </c>
      <c r="Z36" s="56">
        <v>3</v>
      </c>
      <c r="AA36" s="57">
        <f t="shared" ref="AA36:AA45" si="22">AB35</f>
        <v>1.9455555555555468</v>
      </c>
      <c r="AB36" s="57">
        <f t="shared" si="12"/>
        <v>2.9099999999999944</v>
      </c>
      <c r="AC36" s="54">
        <v>23</v>
      </c>
      <c r="AD36" s="52">
        <f t="shared" si="13"/>
        <v>16.666666666666668</v>
      </c>
      <c r="AE36" s="52">
        <f t="shared" si="14"/>
        <v>26.811310883683692</v>
      </c>
      <c r="AF36" s="52">
        <f t="shared" si="15"/>
        <v>34.078025747534269</v>
      </c>
      <c r="AG36" s="73">
        <f t="shared" si="17"/>
        <v>0.115</v>
      </c>
      <c r="AH36" s="52">
        <f t="shared" si="17"/>
        <v>8.3333333333333343E-2</v>
      </c>
      <c r="AI36" s="75">
        <f t="shared" si="17"/>
        <v>0.13405655441841846</v>
      </c>
      <c r="AJ36" s="75">
        <f t="shared" si="17"/>
        <v>0.17039012873767134</v>
      </c>
      <c r="AK36" s="73">
        <f>SUM(AG$34:AG36)</f>
        <v>0.80999999999999994</v>
      </c>
      <c r="AL36" s="52">
        <f>SUM($AH$34:AH36)</f>
        <v>0.25</v>
      </c>
      <c r="AM36" s="75">
        <f>SUM($AI$34:AI36)</f>
        <v>0.82800227697285655</v>
      </c>
      <c r="AN36" s="75">
        <f>SUM($AJ$34:AJ36)</f>
        <v>0.5150906577297456</v>
      </c>
      <c r="AO36" s="79">
        <f t="shared" si="18"/>
        <v>0.55999999999999994</v>
      </c>
      <c r="AP36" s="79">
        <f t="shared" si="19"/>
        <v>1.8002276972856612E-2</v>
      </c>
      <c r="AQ36" s="79">
        <f t="shared" si="20"/>
        <v>0.29490934227025434</v>
      </c>
    </row>
    <row r="37" spans="1:44" ht="15.75" thickBot="1" x14ac:dyDescent="0.3">
      <c r="A37" s="2">
        <v>31</v>
      </c>
      <c r="B37" s="24">
        <v>462.01666666666665</v>
      </c>
      <c r="C37" s="4">
        <f t="shared" si="0"/>
        <v>3.4166666666666288</v>
      </c>
      <c r="E37" s="57">
        <f t="shared" si="16"/>
        <v>3.8744999999999976</v>
      </c>
      <c r="F37" s="56">
        <v>4</v>
      </c>
      <c r="G37" s="57">
        <f t="shared" si="21"/>
        <v>2.9099999999999944</v>
      </c>
      <c r="H37" s="57">
        <f>4.839</f>
        <v>4.8390000000000004</v>
      </c>
      <c r="I37" s="54">
        <v>20</v>
      </c>
      <c r="J37" s="52">
        <f>_tamañoMuestra2/5</f>
        <v>40</v>
      </c>
      <c r="K37" s="52">
        <f>(_xlfn.EXPON.DIST(H37,_DistrExpLambda2,1)-_xlfn.EXPON.DIST(G37,_DistrExpLambda2,1))*_tamañoMuestra2</f>
        <v>22.666247518447857</v>
      </c>
      <c r="L37" s="52">
        <f>(_xlfn.NORM.DIST(H37,_DistNormU2,_DistrNomrS2,1)-_xlfn.NORM.DIST(G37,_DistNormU2,_DistrNomrS2,1))*_tamañoMuestra2</f>
        <v>40.844304291165344</v>
      </c>
      <c r="M37" s="45">
        <f>(J37-I37)^2/J37</f>
        <v>10</v>
      </c>
      <c r="N37" s="45">
        <f>(K37-I37)^2/K37</f>
        <v>0.31363267447968646</v>
      </c>
      <c r="O37" s="45">
        <f>(L37-I37)^2/L37</f>
        <v>10.637591432220169</v>
      </c>
      <c r="Z37" s="56">
        <v>4</v>
      </c>
      <c r="AA37" s="57">
        <f t="shared" si="22"/>
        <v>2.9099999999999944</v>
      </c>
      <c r="AB37" s="57">
        <f t="shared" si="12"/>
        <v>3.8744444444444421</v>
      </c>
      <c r="AC37" s="54">
        <v>16</v>
      </c>
      <c r="AD37" s="74">
        <f t="shared" si="13"/>
        <v>16.666666666666668</v>
      </c>
      <c r="AE37" s="52">
        <f t="shared" si="14"/>
        <v>14.655089186436188</v>
      </c>
      <c r="AF37" s="52">
        <f t="shared" si="15"/>
        <v>25.47057728946438</v>
      </c>
      <c r="AG37" s="73">
        <f t="shared" si="17"/>
        <v>0.08</v>
      </c>
      <c r="AH37" s="52">
        <f t="shared" si="17"/>
        <v>8.3333333333333343E-2</v>
      </c>
      <c r="AI37" s="75">
        <f t="shared" si="17"/>
        <v>7.3275445932180938E-2</v>
      </c>
      <c r="AJ37" s="75">
        <f>AF37/$AC$46</f>
        <v>0.1273528864473219</v>
      </c>
      <c r="AK37" s="73">
        <f>SUM(AG$34:AG37)</f>
        <v>0.8899999999999999</v>
      </c>
      <c r="AL37" s="52">
        <f>SUM($AH$34:AH37)</f>
        <v>0.33333333333333337</v>
      </c>
      <c r="AM37" s="75">
        <f>SUM($AI$34:AI37)</f>
        <v>0.90127772290503749</v>
      </c>
      <c r="AN37" s="75">
        <f>SUM($AJ$34:AJ37)</f>
        <v>0.6424435441770675</v>
      </c>
      <c r="AO37" s="79">
        <f t="shared" si="18"/>
        <v>0.55666666666666653</v>
      </c>
      <c r="AP37" s="79">
        <f t="shared" si="19"/>
        <v>1.127772290503759E-2</v>
      </c>
      <c r="AQ37" s="79">
        <f t="shared" si="20"/>
        <v>0.2475564558229324</v>
      </c>
    </row>
    <row r="38" spans="1:44" ht="15.75" thickBot="1" x14ac:dyDescent="0.3">
      <c r="A38" s="2">
        <v>32</v>
      </c>
      <c r="B38" s="24">
        <v>462.61666666666667</v>
      </c>
      <c r="C38" s="4">
        <f t="shared" si="0"/>
        <v>0.60000000000002274</v>
      </c>
      <c r="E38" s="57">
        <f t="shared" si="16"/>
        <v>8.214500000000001</v>
      </c>
      <c r="F38" s="56">
        <v>5</v>
      </c>
      <c r="G38" s="57">
        <f t="shared" si="21"/>
        <v>4.8390000000000004</v>
      </c>
      <c r="H38" s="57">
        <f xml:space="preserve"> 11.59</f>
        <v>11.59</v>
      </c>
      <c r="I38" s="54">
        <v>18</v>
      </c>
      <c r="J38" s="52">
        <f>_tamañoMuestra2/5</f>
        <v>40</v>
      </c>
      <c r="K38" s="52">
        <f>(_xlfn.EXPON.DIST(H38,_DistrExpLambda2,1)-_xlfn.EXPON.DIST(G38,_DistrExpLambda2,1))*_tamañoMuestra2</f>
        <v>9.5156924222551176</v>
      </c>
      <c r="L38" s="52">
        <f>(_xlfn.NORM.DIST(H38,_DistNormU2,_DistrNomrS2,1)-_xlfn.NORM.DIST(G38,_DistNormU2,_DistrNomrS2,1))*_tamañoMuestra2</f>
        <v>11.6738092548061</v>
      </c>
      <c r="M38" s="45">
        <f>(J38-I38)^2/J38</f>
        <v>12.1</v>
      </c>
      <c r="N38" s="45">
        <f>(K38-I38)^2/K38</f>
        <v>7.5647122541945206</v>
      </c>
      <c r="O38" s="45">
        <f>(L38-I38)^2/L38</f>
        <v>3.428245953916067</v>
      </c>
      <c r="Z38" s="56">
        <v>5</v>
      </c>
      <c r="AA38" s="57">
        <f t="shared" si="22"/>
        <v>3.8744444444444421</v>
      </c>
      <c r="AB38" s="57">
        <f t="shared" si="12"/>
        <v>4.8388888888888895</v>
      </c>
      <c r="AC38" s="54">
        <v>4</v>
      </c>
      <c r="AD38" s="52">
        <f t="shared" si="13"/>
        <v>16.666666666666668</v>
      </c>
      <c r="AE38" s="52">
        <f t="shared" si="14"/>
        <v>8.0104863202753904</v>
      </c>
      <c r="AF38" s="52">
        <f t="shared" si="15"/>
        <v>15.372473643225671</v>
      </c>
      <c r="AG38" s="73">
        <f t="shared" si="17"/>
        <v>0.02</v>
      </c>
      <c r="AH38" s="52">
        <f t="shared" si="17"/>
        <v>8.3333333333333343E-2</v>
      </c>
      <c r="AI38" s="75">
        <f t="shared" si="17"/>
        <v>4.0052431601376955E-2</v>
      </c>
      <c r="AJ38" s="75">
        <f t="shared" si="17"/>
        <v>7.6862368216128352E-2</v>
      </c>
      <c r="AK38" s="73">
        <f>SUM(AG$34:AG38)</f>
        <v>0.90999999999999992</v>
      </c>
      <c r="AL38" s="52">
        <f>SUM($AH$34:AH38)</f>
        <v>0.41666666666666674</v>
      </c>
      <c r="AM38" s="75">
        <f>SUM($AI$34:AI38)</f>
        <v>0.94133015450641444</v>
      </c>
      <c r="AN38" s="75">
        <f>SUM($AJ$34:AJ38)</f>
        <v>0.71930591239319586</v>
      </c>
      <c r="AO38" s="79">
        <f t="shared" si="18"/>
        <v>0.49333333333333318</v>
      </c>
      <c r="AP38" s="79">
        <f t="shared" si="19"/>
        <v>3.133015450641452E-2</v>
      </c>
      <c r="AQ38" s="79">
        <f t="shared" si="20"/>
        <v>0.19069408760680406</v>
      </c>
    </row>
    <row r="39" spans="1:44" ht="15.75" thickBot="1" x14ac:dyDescent="0.3">
      <c r="A39" s="2">
        <v>33</v>
      </c>
      <c r="B39" s="24">
        <v>463.03333333333336</v>
      </c>
      <c r="C39" s="4">
        <f t="shared" si="0"/>
        <v>0.41666666666668561</v>
      </c>
      <c r="E39" s="64"/>
      <c r="F39" s="56"/>
      <c r="G39" s="57"/>
      <c r="H39" s="57"/>
      <c r="I39" s="54"/>
      <c r="J39" s="52"/>
      <c r="K39" s="52"/>
      <c r="L39" s="52"/>
      <c r="M39" s="45"/>
      <c r="N39" s="45"/>
      <c r="O39" s="45"/>
      <c r="Z39" s="56">
        <v>6</v>
      </c>
      <c r="AA39" s="57">
        <f t="shared" si="22"/>
        <v>4.8388888888888895</v>
      </c>
      <c r="AB39" s="57">
        <f t="shared" si="12"/>
        <v>5.8033333333333372</v>
      </c>
      <c r="AC39" s="54">
        <v>7</v>
      </c>
      <c r="AD39" s="52">
        <f t="shared" si="13"/>
        <v>16.666666666666668</v>
      </c>
      <c r="AE39" s="52">
        <f t="shared" si="14"/>
        <v>4.3785397871688669</v>
      </c>
      <c r="AF39" s="52">
        <f t="shared" si="15"/>
        <v>7.4915375741748225</v>
      </c>
      <c r="AG39" s="73">
        <f t="shared" si="17"/>
        <v>3.5000000000000003E-2</v>
      </c>
      <c r="AH39" s="52">
        <f t="shared" si="17"/>
        <v>8.3333333333333343E-2</v>
      </c>
      <c r="AI39" s="75">
        <f t="shared" si="17"/>
        <v>2.1892698935844335E-2</v>
      </c>
      <c r="AJ39" s="75">
        <f t="shared" si="17"/>
        <v>3.7457687870874112E-2</v>
      </c>
      <c r="AK39" s="73">
        <f>SUM(AG$34:AG39)</f>
        <v>0.94499999999999995</v>
      </c>
      <c r="AL39" s="52">
        <f>SUM($AH$34:AH39)</f>
        <v>0.50000000000000011</v>
      </c>
      <c r="AM39" s="75">
        <f>SUM($AI$34:AI39)</f>
        <v>0.96322285344225878</v>
      </c>
      <c r="AN39" s="75">
        <f>SUM($AJ$34:AJ39)</f>
        <v>0.75676360026406997</v>
      </c>
      <c r="AO39" s="79">
        <f t="shared" si="18"/>
        <v>0.44499999999999984</v>
      </c>
      <c r="AP39" s="79">
        <f t="shared" si="19"/>
        <v>1.8222853442258824E-2</v>
      </c>
      <c r="AQ39" s="79">
        <f t="shared" si="20"/>
        <v>0.18823639973592998</v>
      </c>
    </row>
    <row r="40" spans="1:44" ht="15.75" thickBot="1" x14ac:dyDescent="0.3">
      <c r="A40" s="2">
        <v>34</v>
      </c>
      <c r="B40" s="24">
        <v>463.13333333333333</v>
      </c>
      <c r="C40" s="4">
        <f t="shared" si="0"/>
        <v>9.9999999999965894E-2</v>
      </c>
      <c r="E40" s="57"/>
      <c r="F40" s="56"/>
      <c r="G40" s="57"/>
      <c r="H40" s="57"/>
      <c r="I40" s="54"/>
      <c r="J40" s="52"/>
      <c r="K40" s="52"/>
      <c r="L40" s="52"/>
      <c r="M40" s="45"/>
      <c r="N40" s="45"/>
      <c r="O40" s="45"/>
      <c r="Z40" s="56">
        <v>7</v>
      </c>
      <c r="AA40" s="57">
        <f t="shared" si="22"/>
        <v>5.8033333333333372</v>
      </c>
      <c r="AB40" s="57">
        <f t="shared" si="12"/>
        <v>6.767777777777785</v>
      </c>
      <c r="AC40" s="54">
        <v>3</v>
      </c>
      <c r="AD40" s="52">
        <f t="shared" si="13"/>
        <v>16.666666666666668</v>
      </c>
      <c r="AE40" s="52">
        <f t="shared" si="14"/>
        <v>2.3933142010735819</v>
      </c>
      <c r="AF40" s="52">
        <f t="shared" si="15"/>
        <v>2.9477781612318177</v>
      </c>
      <c r="AG40" s="73">
        <f t="shared" si="17"/>
        <v>1.4999999999999999E-2</v>
      </c>
      <c r="AH40" s="52">
        <f t="shared" si="17"/>
        <v>8.3333333333333343E-2</v>
      </c>
      <c r="AI40" s="75">
        <f t="shared" si="17"/>
        <v>1.196657100536791E-2</v>
      </c>
      <c r="AJ40" s="75">
        <f t="shared" si="17"/>
        <v>1.4738890806159088E-2</v>
      </c>
      <c r="AK40" s="73">
        <f>SUM(AG$34:AG40)</f>
        <v>0.96</v>
      </c>
      <c r="AL40" s="52">
        <f>SUM($AH$34:AH40)</f>
        <v>0.58333333333333348</v>
      </c>
      <c r="AM40" s="75">
        <f>SUM($AI$34:AI40)</f>
        <v>0.97518942444762668</v>
      </c>
      <c r="AN40" s="75">
        <f>SUM($AJ$34:AJ40)</f>
        <v>0.77150249107022906</v>
      </c>
      <c r="AO40" s="79">
        <f t="shared" si="18"/>
        <v>0.37666666666666648</v>
      </c>
      <c r="AP40" s="79">
        <f t="shared" si="19"/>
        <v>1.518942444762672E-2</v>
      </c>
      <c r="AQ40" s="79">
        <f t="shared" si="20"/>
        <v>0.18849750892977091</v>
      </c>
    </row>
    <row r="41" spans="1:44" ht="15.75" thickBot="1" x14ac:dyDescent="0.3">
      <c r="A41" s="2">
        <v>35</v>
      </c>
      <c r="B41" s="24">
        <v>463.91666666666669</v>
      </c>
      <c r="C41" s="4">
        <f t="shared" si="0"/>
        <v>0.78333333333335986</v>
      </c>
      <c r="E41" s="57"/>
      <c r="F41" s="56"/>
      <c r="G41" s="57"/>
      <c r="H41" s="57"/>
      <c r="I41" s="54"/>
      <c r="J41" s="52"/>
      <c r="K41" s="52"/>
      <c r="L41" s="53"/>
      <c r="M41" s="45"/>
      <c r="N41" s="45"/>
      <c r="O41" s="45"/>
      <c r="Z41" s="56">
        <v>8</v>
      </c>
      <c r="AA41" s="57">
        <f t="shared" si="22"/>
        <v>6.767777777777785</v>
      </c>
      <c r="AB41" s="57">
        <f t="shared" si="12"/>
        <v>7.7322222222222328</v>
      </c>
      <c r="AC41" s="54">
        <v>3</v>
      </c>
      <c r="AD41" s="52">
        <f t="shared" si="13"/>
        <v>16.666666666666668</v>
      </c>
      <c r="AE41" s="52">
        <f t="shared" si="14"/>
        <v>1.3081879218834525</v>
      </c>
      <c r="AF41" s="52">
        <f t="shared" si="15"/>
        <v>0.93644647538220216</v>
      </c>
      <c r="AG41" s="73">
        <f t="shared" si="17"/>
        <v>1.4999999999999999E-2</v>
      </c>
      <c r="AH41" s="52">
        <f t="shared" si="17"/>
        <v>8.3333333333333343E-2</v>
      </c>
      <c r="AI41" s="75">
        <f t="shared" si="17"/>
        <v>6.5409396094172623E-3</v>
      </c>
      <c r="AJ41" s="75">
        <f t="shared" si="17"/>
        <v>4.6822323769110108E-3</v>
      </c>
      <c r="AK41" s="73">
        <f>SUM(AG$34:AG41)</f>
        <v>0.97499999999999998</v>
      </c>
      <c r="AL41" s="52">
        <f>SUM($AH$34:AH41)</f>
        <v>0.66666666666666685</v>
      </c>
      <c r="AM41" s="75">
        <f>SUM($AI$34:AI41)</f>
        <v>0.98173036405704395</v>
      </c>
      <c r="AN41" s="75">
        <f>SUM($AJ$34:AJ41)</f>
        <v>0.77618472344714007</v>
      </c>
      <c r="AO41" s="79">
        <f t="shared" si="18"/>
        <v>0.30833333333333313</v>
      </c>
      <c r="AP41" s="79">
        <f t="shared" si="19"/>
        <v>6.7303640570439693E-3</v>
      </c>
      <c r="AQ41" s="79">
        <f t="shared" si="20"/>
        <v>0.19881527655285991</v>
      </c>
    </row>
    <row r="42" spans="1:44" ht="15.75" thickBot="1" x14ac:dyDescent="0.3">
      <c r="A42" s="2">
        <v>36</v>
      </c>
      <c r="B42" s="24">
        <v>464.05</v>
      </c>
      <c r="C42" s="4">
        <f t="shared" si="0"/>
        <v>0.13333333333332575</v>
      </c>
      <c r="E42" s="57"/>
      <c r="F42" s="56"/>
      <c r="G42" s="57"/>
      <c r="H42" s="57"/>
      <c r="I42" s="54"/>
      <c r="J42" s="52"/>
      <c r="K42" s="52"/>
      <c r="L42" s="52"/>
      <c r="M42" s="45"/>
      <c r="N42" s="45"/>
      <c r="O42" s="45"/>
      <c r="Z42" s="56">
        <v>9</v>
      </c>
      <c r="AA42" s="57">
        <f t="shared" si="22"/>
        <v>7.7322222222222328</v>
      </c>
      <c r="AB42" s="57">
        <f t="shared" si="12"/>
        <v>8.6966666666666796</v>
      </c>
      <c r="AC42" s="54">
        <v>2</v>
      </c>
      <c r="AD42" s="52">
        <f t="shared" si="13"/>
        <v>16.666666666666668</v>
      </c>
      <c r="AE42" s="52">
        <f t="shared" si="14"/>
        <v>0.71505681878045735</v>
      </c>
      <c r="AF42" s="52">
        <f t="shared" si="15"/>
        <v>0.24015802708921008</v>
      </c>
      <c r="AG42" s="73">
        <f t="shared" si="17"/>
        <v>0.01</v>
      </c>
      <c r="AH42" s="52">
        <f t="shared" si="17"/>
        <v>8.3333333333333343E-2</v>
      </c>
      <c r="AI42" s="75">
        <f t="shared" si="17"/>
        <v>3.5752840939022867E-3</v>
      </c>
      <c r="AJ42" s="75">
        <f t="shared" si="17"/>
        <v>1.2007901354460504E-3</v>
      </c>
      <c r="AK42" s="73">
        <f>SUM(AG$34:AG42)</f>
        <v>0.98499999999999999</v>
      </c>
      <c r="AL42" s="52">
        <f>SUM($AH$34:AH42)</f>
        <v>0.75000000000000022</v>
      </c>
      <c r="AM42" s="75">
        <f>SUM($AI$34:AI42)</f>
        <v>0.98530564815094623</v>
      </c>
      <c r="AN42" s="75">
        <f>SUM($AJ$34:AJ42)</f>
        <v>0.77738551358258612</v>
      </c>
      <c r="AO42" s="79">
        <f t="shared" si="18"/>
        <v>0.23499999999999976</v>
      </c>
      <c r="AP42" s="79">
        <f t="shared" si="19"/>
        <v>3.056481509462472E-4</v>
      </c>
      <c r="AQ42" s="79">
        <f t="shared" si="20"/>
        <v>0.20761448641741387</v>
      </c>
    </row>
    <row r="43" spans="1:44" ht="15.75" thickBot="1" x14ac:dyDescent="0.3">
      <c r="A43" s="2">
        <v>37</v>
      </c>
      <c r="B43" s="24">
        <v>470.45</v>
      </c>
      <c r="C43" s="4">
        <f t="shared" si="0"/>
        <v>6.3999999999999773</v>
      </c>
      <c r="E43" s="57"/>
      <c r="F43" s="56"/>
      <c r="G43" s="57"/>
      <c r="H43" s="57"/>
      <c r="I43" s="55"/>
      <c r="J43" s="52"/>
      <c r="K43" s="52"/>
      <c r="L43" s="52"/>
      <c r="M43" s="45"/>
      <c r="N43" s="45"/>
      <c r="O43" s="45"/>
      <c r="Z43" s="56">
        <v>10</v>
      </c>
      <c r="AA43" s="57">
        <f t="shared" si="22"/>
        <v>8.6966666666666796</v>
      </c>
      <c r="AB43" s="57">
        <f t="shared" si="12"/>
        <v>9.6611111111111274</v>
      </c>
      <c r="AC43" s="54">
        <v>2</v>
      </c>
      <c r="AD43" s="52">
        <f t="shared" si="13"/>
        <v>16.666666666666668</v>
      </c>
      <c r="AE43" s="52">
        <f t="shared" si="14"/>
        <v>0.39085076809781683</v>
      </c>
      <c r="AF43" s="52">
        <f t="shared" si="15"/>
        <v>4.9715705355857231E-2</v>
      </c>
      <c r="AG43" s="73">
        <f t="shared" si="17"/>
        <v>0.01</v>
      </c>
      <c r="AH43" s="52">
        <f t="shared" si="17"/>
        <v>8.3333333333333343E-2</v>
      </c>
      <c r="AI43" s="75">
        <f t="shared" si="17"/>
        <v>1.9542538404890841E-3</v>
      </c>
      <c r="AJ43" s="75">
        <f t="shared" si="17"/>
        <v>2.4857852677928616E-4</v>
      </c>
      <c r="AK43" s="73">
        <f>SUM(AG$34:AG43)</f>
        <v>0.995</v>
      </c>
      <c r="AL43" s="52">
        <f>SUM($AH$34:AH43)</f>
        <v>0.83333333333333359</v>
      </c>
      <c r="AM43" s="75">
        <f>SUM($AI$34:AI43)</f>
        <v>0.98725990199143532</v>
      </c>
      <c r="AN43" s="75">
        <f>SUM($AJ$34:AJ43)</f>
        <v>0.7776340921093654</v>
      </c>
      <c r="AO43" s="79">
        <f t="shared" si="18"/>
        <v>0.1616666666666664</v>
      </c>
      <c r="AP43" s="79">
        <f t="shared" si="19"/>
        <v>7.7400980085646776E-3</v>
      </c>
      <c r="AQ43" s="79">
        <f t="shared" si="20"/>
        <v>0.21736590789063459</v>
      </c>
    </row>
    <row r="44" spans="1:44" ht="15.75" thickBot="1" x14ac:dyDescent="0.3">
      <c r="A44" s="2">
        <v>38</v>
      </c>
      <c r="B44" s="24">
        <v>470.55</v>
      </c>
      <c r="C44" s="4">
        <f t="shared" si="0"/>
        <v>0.10000000000002274</v>
      </c>
      <c r="E44" s="57"/>
      <c r="F44" s="56"/>
      <c r="G44" s="57"/>
      <c r="H44" s="57"/>
      <c r="I44" s="54"/>
      <c r="J44" s="52"/>
      <c r="K44" s="52"/>
      <c r="L44" s="52"/>
      <c r="M44" s="45"/>
      <c r="N44" s="45"/>
      <c r="O44" s="45"/>
      <c r="Z44" s="56">
        <v>11</v>
      </c>
      <c r="AA44" s="57">
        <f t="shared" si="22"/>
        <v>9.6611111111111274</v>
      </c>
      <c r="AB44" s="57">
        <f t="shared" si="12"/>
        <v>10.625555555555575</v>
      </c>
      <c r="AC44" s="54">
        <v>0</v>
      </c>
      <c r="AD44" s="52">
        <f t="shared" si="13"/>
        <v>16.666666666666668</v>
      </c>
      <c r="AE44" s="52">
        <f t="shared" si="14"/>
        <v>0.21363941844956269</v>
      </c>
      <c r="AF44" s="52">
        <f t="shared" si="15"/>
        <v>8.3066197845038658E-3</v>
      </c>
      <c r="AG44" s="73">
        <f>AC44/$AC$46</f>
        <v>0</v>
      </c>
      <c r="AH44" s="52">
        <f t="shared" si="17"/>
        <v>8.3333333333333343E-2</v>
      </c>
      <c r="AI44" s="75">
        <f t="shared" si="17"/>
        <v>1.0681970922478135E-3</v>
      </c>
      <c r="AJ44" s="75">
        <f t="shared" si="17"/>
        <v>4.1533098922519329E-5</v>
      </c>
      <c r="AK44" s="73">
        <f>SUM(AG$34:AG44)</f>
        <v>0.995</v>
      </c>
      <c r="AL44" s="52">
        <f>SUM($AH$34:AH44)</f>
        <v>0.91666666666666696</v>
      </c>
      <c r="AM44" s="75">
        <f>SUM($AI$34:AI44)</f>
        <v>0.98832809908368313</v>
      </c>
      <c r="AN44" s="75">
        <f>SUM($AJ$34:AJ44)</f>
        <v>0.77767562520828792</v>
      </c>
      <c r="AO44" s="79">
        <f t="shared" si="18"/>
        <v>7.8333333333333033E-2</v>
      </c>
      <c r="AP44" s="79">
        <f t="shared" si="19"/>
        <v>6.6719009163168641E-3</v>
      </c>
      <c r="AQ44" s="79">
        <f t="shared" si="20"/>
        <v>0.21732437479171207</v>
      </c>
    </row>
    <row r="45" spans="1:44" ht="15.75" thickBot="1" x14ac:dyDescent="0.3">
      <c r="A45" s="2">
        <v>39</v>
      </c>
      <c r="B45" s="24">
        <v>476.06666666666666</v>
      </c>
      <c r="C45" s="4">
        <f t="shared" si="0"/>
        <v>5.5166666666666515</v>
      </c>
      <c r="E45" s="57"/>
      <c r="F45" s="58"/>
      <c r="G45" s="57"/>
      <c r="H45" s="57"/>
      <c r="I45" s="54"/>
      <c r="J45" s="52"/>
      <c r="K45" s="52"/>
      <c r="L45" s="52"/>
      <c r="M45" s="45"/>
      <c r="N45" s="45"/>
      <c r="O45" s="45"/>
      <c r="Z45" s="56">
        <v>12</v>
      </c>
      <c r="AA45" s="57">
        <f t="shared" si="22"/>
        <v>10.625555555555575</v>
      </c>
      <c r="AB45" s="57">
        <f t="shared" si="12"/>
        <v>11.590000000000023</v>
      </c>
      <c r="AC45" s="54">
        <v>1</v>
      </c>
      <c r="AD45" s="52">
        <f t="shared" si="13"/>
        <v>16.666666666666668</v>
      </c>
      <c r="AE45" s="52">
        <f t="shared" si="14"/>
        <v>0.11677551853765955</v>
      </c>
      <c r="AF45" s="52">
        <f t="shared" si="15"/>
        <v>1.1200502629815645E-3</v>
      </c>
      <c r="AG45" s="73">
        <f t="shared" si="17"/>
        <v>5.0000000000000001E-3</v>
      </c>
      <c r="AH45" s="52">
        <f t="shared" si="17"/>
        <v>8.3333333333333343E-2</v>
      </c>
      <c r="AI45" s="75">
        <f t="shared" si="17"/>
        <v>5.8387759268829775E-4</v>
      </c>
      <c r="AJ45" s="75">
        <f t="shared" si="17"/>
        <v>5.6002513149078226E-6</v>
      </c>
      <c r="AK45" s="73">
        <f>SUM(AG$34:AG45)</f>
        <v>1</v>
      </c>
      <c r="AL45" s="52">
        <f>SUM($AH$34:AH45)</f>
        <v>1.0000000000000002</v>
      </c>
      <c r="AM45" s="75">
        <f>SUM($AI$34:AI45)</f>
        <v>0.98891197667637143</v>
      </c>
      <c r="AN45" s="75">
        <f>SUM($AJ$34:AJ45)</f>
        <v>0.77768122545960283</v>
      </c>
      <c r="AO45" s="79">
        <f t="shared" si="18"/>
        <v>2.2204460492503131E-16</v>
      </c>
      <c r="AP45" s="79">
        <f t="shared" si="19"/>
        <v>1.1088023323628571E-2</v>
      </c>
      <c r="AQ45" s="79">
        <f t="shared" si="20"/>
        <v>0.22231877454039717</v>
      </c>
    </row>
    <row r="46" spans="1:44" ht="15.75" thickBot="1" x14ac:dyDescent="0.3">
      <c r="A46" s="2">
        <v>40</v>
      </c>
      <c r="B46" s="24">
        <v>476.21666666666664</v>
      </c>
      <c r="C46" s="4">
        <f t="shared" si="0"/>
        <v>0.14999999999997726</v>
      </c>
      <c r="E46" s="8"/>
      <c r="I46" s="54">
        <f>SUM(_xlfn.ANCHORARRAY(I34))</f>
        <v>200</v>
      </c>
      <c r="J46" s="52">
        <f>SUM(J34:J45)</f>
        <v>200</v>
      </c>
      <c r="K46" s="52">
        <f>SUM(K34:K45)</f>
        <v>197.78239533527429</v>
      </c>
      <c r="L46" s="52">
        <f>SUM(L34:L45)</f>
        <v>155.53624509192056</v>
      </c>
      <c r="M46" s="45">
        <f>SUM(M34:M45)</f>
        <v>171.85</v>
      </c>
      <c r="N46" s="81">
        <f>SUM(N34:N45)</f>
        <v>26.772441857059182</v>
      </c>
      <c r="O46" s="45">
        <f>SUM(O34:O45)</f>
        <v>230.1650103106162</v>
      </c>
      <c r="AC46" s="54">
        <f>SUM(AC34:AC45)</f>
        <v>200</v>
      </c>
      <c r="AD46" s="52">
        <f>SUM(AD34:AD45)</f>
        <v>199.99999999999997</v>
      </c>
      <c r="AE46" s="52">
        <f>SUM(AE34:AE45)</f>
        <v>197.78239533527429</v>
      </c>
      <c r="AF46" s="52">
        <f>SUM(AF34:AF45)</f>
        <v>155.53624509192059</v>
      </c>
      <c r="AG46" s="73">
        <f>SUM(AG34:AG45)</f>
        <v>1</v>
      </c>
      <c r="AH46" s="52">
        <f>SUM(AH34:AH45)</f>
        <v>1.0000000000000002</v>
      </c>
      <c r="AI46" s="75">
        <f>SUM(AI34:AI45)</f>
        <v>0.98891197667637143</v>
      </c>
      <c r="AJ46" s="75">
        <f>SUM(AJ34:AJ45)</f>
        <v>0.77768122545960283</v>
      </c>
      <c r="AM46" s="122" t="s">
        <v>53</v>
      </c>
      <c r="AN46" s="123"/>
      <c r="AO46" s="79">
        <f>+MAX(AO34:AO45)</f>
        <v>0.55999999999999994</v>
      </c>
      <c r="AP46" s="80">
        <f>+MAX(AP34:AP45)</f>
        <v>0.12130914493789158</v>
      </c>
      <c r="AQ46" s="79">
        <f>+MAX(AQ34:AQ45)</f>
        <v>0.40938998716497388</v>
      </c>
      <c r="AR46" s="8"/>
    </row>
    <row r="47" spans="1:44" x14ac:dyDescent="0.25">
      <c r="A47" s="2">
        <v>41</v>
      </c>
      <c r="B47" s="24">
        <v>480.81666666666666</v>
      </c>
      <c r="C47" s="4">
        <f t="shared" si="0"/>
        <v>4.6000000000000227</v>
      </c>
      <c r="AI47" s="20"/>
      <c r="AJ47" s="20"/>
    </row>
    <row r="48" spans="1:44" ht="15.75" thickBot="1" x14ac:dyDescent="0.3">
      <c r="A48" s="2">
        <v>42</v>
      </c>
      <c r="B48" s="24">
        <v>481.93333333333334</v>
      </c>
      <c r="C48" s="4">
        <f t="shared" si="0"/>
        <v>1.1166666666666742</v>
      </c>
    </row>
    <row r="49" spans="1:45" ht="15.75" thickBot="1" x14ac:dyDescent="0.3">
      <c r="A49" s="2">
        <v>43</v>
      </c>
      <c r="B49" s="24">
        <v>482.81666666666666</v>
      </c>
      <c r="C49" s="4">
        <f t="shared" si="0"/>
        <v>0.88333333333332575</v>
      </c>
      <c r="L49" s="33" t="s">
        <v>75</v>
      </c>
      <c r="M49" s="32">
        <f>_xlfn.CHISQ.INV.RT(_alfa2,_gradoDeLibertad2)</f>
        <v>9.4877290367811575</v>
      </c>
      <c r="N49" s="63"/>
      <c r="O49" s="8"/>
      <c r="P49" s="8"/>
      <c r="Q49" s="8"/>
      <c r="R49" s="8"/>
      <c r="S49" s="8"/>
      <c r="T49" s="8"/>
      <c r="U49" s="8"/>
      <c r="V49" s="8"/>
      <c r="W49" s="8"/>
      <c r="AL49" s="87" t="s">
        <v>70</v>
      </c>
      <c r="AM49" s="59" t="s">
        <v>69</v>
      </c>
      <c r="AN49" s="84">
        <f>1.36/SQRT(AJ29)</f>
        <v>9.616652224137047E-2</v>
      </c>
    </row>
    <row r="50" spans="1:45" ht="15.75" thickBot="1" x14ac:dyDescent="0.3">
      <c r="A50" s="2">
        <v>44</v>
      </c>
      <c r="B50" s="24">
        <v>489.96666666666664</v>
      </c>
      <c r="C50" s="4">
        <f t="shared" si="0"/>
        <v>7.1499999999999773</v>
      </c>
      <c r="E50" s="136" t="s">
        <v>81</v>
      </c>
      <c r="F50" s="137"/>
      <c r="G50" s="137"/>
      <c r="H50" s="138"/>
      <c r="L50" s="34" t="s">
        <v>76</v>
      </c>
      <c r="M50" s="29">
        <f>_xlfn.CHISQ.INV.RT(_alfa2,_gradoDeLibertad2-1)</f>
        <v>7.8147279032511792</v>
      </c>
      <c r="N50" s="63"/>
      <c r="O50" s="8"/>
      <c r="P50" s="8"/>
      <c r="Q50" s="8"/>
      <c r="R50" s="8"/>
      <c r="S50" s="8"/>
      <c r="T50" s="8"/>
      <c r="U50" s="8"/>
      <c r="V50" s="8"/>
      <c r="W50" s="8"/>
    </row>
    <row r="51" spans="1:45" ht="15.75" thickBot="1" x14ac:dyDescent="0.3">
      <c r="A51" s="2">
        <v>45</v>
      </c>
      <c r="B51" s="24">
        <v>490.45</v>
      </c>
      <c r="C51" s="4">
        <f t="shared" si="0"/>
        <v>0.48333333333334849</v>
      </c>
      <c r="L51" s="35" t="s">
        <v>77</v>
      </c>
      <c r="M51" s="14">
        <f>_xlfn.CHISQ.INV.RT(_alfa2,_gradoDeLibertad2-2)</f>
        <v>5.9914645471079817</v>
      </c>
      <c r="AF51" s="88" t="s">
        <v>41</v>
      </c>
      <c r="AG51" s="27"/>
      <c r="AH51" s="27"/>
      <c r="AI51" s="27"/>
      <c r="AJ51" s="27"/>
      <c r="AK51" s="27"/>
      <c r="AL51" s="27"/>
      <c r="AM51" s="27"/>
      <c r="AN51" s="27"/>
      <c r="AO51" s="27"/>
      <c r="AP51" s="6"/>
      <c r="AS51" s="5"/>
    </row>
    <row r="52" spans="1:45" ht="15.75" thickBot="1" x14ac:dyDescent="0.3">
      <c r="A52" s="2">
        <v>46</v>
      </c>
      <c r="B52" s="24">
        <v>491.73333333333335</v>
      </c>
      <c r="C52" s="4">
        <f t="shared" si="0"/>
        <v>1.2833333333333599</v>
      </c>
      <c r="AF52" s="16"/>
      <c r="AG52" s="85"/>
      <c r="AH52" s="85"/>
      <c r="AI52" s="85"/>
      <c r="AJ52" s="85"/>
      <c r="AK52" s="85" t="s">
        <v>66</v>
      </c>
      <c r="AL52" s="85"/>
      <c r="AM52" s="85"/>
      <c r="AN52" s="85"/>
      <c r="AO52" s="85"/>
      <c r="AP52" s="86"/>
    </row>
    <row r="53" spans="1:45" x14ac:dyDescent="0.25">
      <c r="A53" s="2">
        <v>47</v>
      </c>
      <c r="B53" s="24">
        <v>493.08333333333331</v>
      </c>
      <c r="C53" s="4">
        <f t="shared" si="0"/>
        <v>1.3499999999999659</v>
      </c>
      <c r="K53" s="41" t="s">
        <v>41</v>
      </c>
      <c r="L53" s="23"/>
      <c r="M53" s="23"/>
      <c r="N53" s="23"/>
      <c r="O53" s="23"/>
      <c r="P53" s="23"/>
      <c r="Q53" s="23"/>
      <c r="R53" s="23"/>
      <c r="S53" s="6"/>
    </row>
    <row r="54" spans="1:45" x14ac:dyDescent="0.25">
      <c r="A54" s="2">
        <v>48</v>
      </c>
      <c r="B54" s="24">
        <v>493.23333333333335</v>
      </c>
      <c r="C54" s="4">
        <f t="shared" si="0"/>
        <v>0.15000000000003411</v>
      </c>
      <c r="K54" s="30" t="s">
        <v>42</v>
      </c>
      <c r="L54" s="8"/>
      <c r="M54" s="8"/>
      <c r="N54" s="8"/>
      <c r="O54" s="8"/>
      <c r="P54" s="8"/>
      <c r="Q54" s="8"/>
      <c r="R54" s="8"/>
      <c r="S54" s="9"/>
      <c r="AJ54" s="8"/>
    </row>
    <row r="55" spans="1:45" x14ac:dyDescent="0.25">
      <c r="A55" s="2">
        <v>49</v>
      </c>
      <c r="B55" s="24">
        <v>494.1</v>
      </c>
      <c r="C55" s="4">
        <f t="shared" si="0"/>
        <v>0.86666666666667425</v>
      </c>
      <c r="K55" s="30" t="s">
        <v>43</v>
      </c>
      <c r="L55" s="8"/>
      <c r="M55" s="8"/>
      <c r="N55" s="8"/>
      <c r="O55" s="8"/>
      <c r="P55" s="8"/>
      <c r="Q55" s="8"/>
      <c r="R55" s="8"/>
      <c r="S55" s="9"/>
    </row>
    <row r="56" spans="1:45" x14ac:dyDescent="0.25">
      <c r="A56" s="2">
        <v>50</v>
      </c>
      <c r="B56" s="24">
        <v>496.08333333333331</v>
      </c>
      <c r="C56" s="4">
        <f t="shared" si="0"/>
        <v>1.9833333333332916</v>
      </c>
      <c r="K56" s="30" t="s">
        <v>67</v>
      </c>
      <c r="L56" s="8"/>
      <c r="M56" s="8"/>
      <c r="N56" s="8"/>
      <c r="O56" s="8"/>
      <c r="P56" s="8"/>
      <c r="Q56" s="8"/>
      <c r="R56" s="8"/>
      <c r="S56" s="9"/>
    </row>
    <row r="57" spans="1:45" ht="15.75" thickBot="1" x14ac:dyDescent="0.3">
      <c r="A57" s="2">
        <v>51</v>
      </c>
      <c r="B57" s="24">
        <v>497.33333333333331</v>
      </c>
      <c r="C57" s="4">
        <f t="shared" si="0"/>
        <v>1.25</v>
      </c>
      <c r="K57" s="37" t="s">
        <v>65</v>
      </c>
      <c r="L57" s="13"/>
      <c r="M57" s="13"/>
      <c r="N57" s="13"/>
      <c r="O57" s="13"/>
      <c r="P57" s="13"/>
      <c r="Q57" s="13"/>
      <c r="R57" s="13"/>
      <c r="S57" s="14"/>
    </row>
    <row r="58" spans="1:45" x14ac:dyDescent="0.25">
      <c r="A58" s="2">
        <v>52</v>
      </c>
      <c r="B58" s="24">
        <v>497.43333333333334</v>
      </c>
      <c r="C58" s="4">
        <f t="shared" si="0"/>
        <v>0.10000000000002274</v>
      </c>
    </row>
    <row r="59" spans="1:45" x14ac:dyDescent="0.25">
      <c r="A59" s="2">
        <v>53</v>
      </c>
      <c r="B59" s="24">
        <v>498.33333333333331</v>
      </c>
      <c r="C59" s="4">
        <f t="shared" si="0"/>
        <v>0.89999999999997726</v>
      </c>
    </row>
    <row r="60" spans="1:45" x14ac:dyDescent="0.25">
      <c r="A60" s="2">
        <v>54</v>
      </c>
      <c r="B60" s="24">
        <v>499.88333333333333</v>
      </c>
      <c r="C60" s="4">
        <f t="shared" si="0"/>
        <v>1.5500000000000114</v>
      </c>
    </row>
    <row r="61" spans="1:45" x14ac:dyDescent="0.25">
      <c r="A61" s="2">
        <v>55</v>
      </c>
      <c r="B61" s="24">
        <v>500</v>
      </c>
      <c r="C61" s="4">
        <f t="shared" si="0"/>
        <v>0.11666666666667425</v>
      </c>
    </row>
    <row r="62" spans="1:45" x14ac:dyDescent="0.25">
      <c r="A62" s="2">
        <v>56</v>
      </c>
      <c r="B62" s="24">
        <v>500.11666666666667</v>
      </c>
      <c r="C62" s="4">
        <f t="shared" si="0"/>
        <v>0.11666666666667425</v>
      </c>
    </row>
    <row r="63" spans="1:45" x14ac:dyDescent="0.25">
      <c r="A63" s="2">
        <v>57</v>
      </c>
      <c r="B63" s="24">
        <v>505.46666666666664</v>
      </c>
      <c r="C63" s="4">
        <f t="shared" si="0"/>
        <v>5.3499999999999659</v>
      </c>
    </row>
    <row r="64" spans="1:45" x14ac:dyDescent="0.25">
      <c r="A64" s="2">
        <v>58</v>
      </c>
      <c r="B64" s="24">
        <v>508.66666666666669</v>
      </c>
      <c r="C64" s="4">
        <f t="shared" si="0"/>
        <v>3.2000000000000455</v>
      </c>
    </row>
    <row r="65" spans="1:6" x14ac:dyDescent="0.25">
      <c r="A65" s="2">
        <v>59</v>
      </c>
      <c r="B65" s="24">
        <v>511.48333333333335</v>
      </c>
      <c r="C65" s="4">
        <f t="shared" si="0"/>
        <v>2.8166666666666629</v>
      </c>
    </row>
    <row r="66" spans="1:6" x14ac:dyDescent="0.25">
      <c r="A66" s="2">
        <v>60</v>
      </c>
      <c r="B66" s="24">
        <v>511.58333333333331</v>
      </c>
      <c r="C66" s="4">
        <f t="shared" si="0"/>
        <v>9.9999999999965894E-2</v>
      </c>
      <c r="E66" s="110"/>
      <c r="F66" s="111"/>
    </row>
    <row r="67" spans="1:6" x14ac:dyDescent="0.25">
      <c r="A67" s="2">
        <v>61</v>
      </c>
      <c r="B67" s="24">
        <v>513.81666666666672</v>
      </c>
      <c r="C67" s="4">
        <f t="shared" si="0"/>
        <v>2.2333333333334053</v>
      </c>
      <c r="E67" s="110"/>
      <c r="F67" s="112"/>
    </row>
    <row r="68" spans="1:6" x14ac:dyDescent="0.25">
      <c r="A68" s="2">
        <v>62</v>
      </c>
      <c r="B68" s="24">
        <v>513.9</v>
      </c>
      <c r="C68" s="4">
        <f t="shared" si="0"/>
        <v>8.3333333333257542E-2</v>
      </c>
      <c r="E68" s="110"/>
      <c r="F68" s="8"/>
    </row>
    <row r="69" spans="1:6" x14ac:dyDescent="0.25">
      <c r="A69" s="2">
        <v>63</v>
      </c>
      <c r="B69" s="24">
        <v>514.04999999999995</v>
      </c>
      <c r="C69" s="4">
        <f t="shared" si="0"/>
        <v>0.14999999999997726</v>
      </c>
    </row>
    <row r="70" spans="1:6" x14ac:dyDescent="0.25">
      <c r="A70" s="2">
        <v>64</v>
      </c>
      <c r="B70" s="24">
        <v>521.79999999999995</v>
      </c>
      <c r="C70" s="4">
        <f t="shared" si="0"/>
        <v>7.75</v>
      </c>
    </row>
    <row r="71" spans="1:6" x14ac:dyDescent="0.25">
      <c r="A71" s="2">
        <v>65</v>
      </c>
      <c r="B71" s="24">
        <v>522.01666666666665</v>
      </c>
      <c r="C71" s="4">
        <f t="shared" si="0"/>
        <v>0.21666666666669698</v>
      </c>
    </row>
    <row r="72" spans="1:6" x14ac:dyDescent="0.25">
      <c r="A72" s="2">
        <v>66</v>
      </c>
      <c r="B72" s="24">
        <v>522.11666666666667</v>
      </c>
      <c r="C72" s="4">
        <f t="shared" si="0"/>
        <v>0.10000000000002274</v>
      </c>
    </row>
    <row r="73" spans="1:6" x14ac:dyDescent="0.25">
      <c r="A73" s="2">
        <v>67</v>
      </c>
      <c r="B73" s="24">
        <v>525.18333333333328</v>
      </c>
      <c r="C73" s="4">
        <f t="shared" si="0"/>
        <v>3.066666666666606</v>
      </c>
    </row>
    <row r="74" spans="1:6" x14ac:dyDescent="0.25">
      <c r="A74" s="2">
        <v>68</v>
      </c>
      <c r="B74" s="24">
        <v>525.26666666666665</v>
      </c>
      <c r="C74" s="4">
        <f t="shared" si="0"/>
        <v>8.3333333333371229E-2</v>
      </c>
    </row>
    <row r="75" spans="1:6" x14ac:dyDescent="0.25">
      <c r="A75" s="2">
        <v>69</v>
      </c>
      <c r="B75" s="24">
        <v>525.6</v>
      </c>
      <c r="C75" s="4">
        <f t="shared" si="0"/>
        <v>0.33333333333337123</v>
      </c>
    </row>
    <row r="76" spans="1:6" x14ac:dyDescent="0.25">
      <c r="A76" s="2">
        <v>70</v>
      </c>
      <c r="B76" s="24">
        <v>525.70000000000005</v>
      </c>
      <c r="C76" s="4">
        <f t="shared" ref="C76:C139" si="23">B76-B75</f>
        <v>0.10000000000002274</v>
      </c>
    </row>
    <row r="77" spans="1:6" x14ac:dyDescent="0.25">
      <c r="A77" s="2">
        <v>71</v>
      </c>
      <c r="B77" s="24">
        <v>530.70000000000005</v>
      </c>
      <c r="C77" s="4">
        <f t="shared" si="23"/>
        <v>5</v>
      </c>
    </row>
    <row r="78" spans="1:6" x14ac:dyDescent="0.25">
      <c r="A78" s="2">
        <v>72</v>
      </c>
      <c r="B78" s="24">
        <v>531.88333333333333</v>
      </c>
      <c r="C78" s="4">
        <f t="shared" si="23"/>
        <v>1.1833333333332803</v>
      </c>
    </row>
    <row r="79" spans="1:6" x14ac:dyDescent="0.25">
      <c r="A79" s="2">
        <v>73</v>
      </c>
      <c r="B79" s="24">
        <v>531.98333333333335</v>
      </c>
      <c r="C79" s="4">
        <f t="shared" si="23"/>
        <v>0.10000000000002274</v>
      </c>
    </row>
    <row r="80" spans="1:6" x14ac:dyDescent="0.25">
      <c r="A80" s="2">
        <v>74</v>
      </c>
      <c r="B80" s="24">
        <v>539.5333333333333</v>
      </c>
      <c r="C80" s="4">
        <f t="shared" si="23"/>
        <v>7.5499999999999545</v>
      </c>
    </row>
    <row r="81" spans="1:3" x14ac:dyDescent="0.25">
      <c r="A81" s="2">
        <v>75</v>
      </c>
      <c r="B81" s="24">
        <v>540.13333333333333</v>
      </c>
      <c r="C81" s="4">
        <f t="shared" si="23"/>
        <v>0.60000000000002274</v>
      </c>
    </row>
    <row r="82" spans="1:3" x14ac:dyDescent="0.25">
      <c r="A82" s="2">
        <v>76</v>
      </c>
      <c r="B82" s="24">
        <v>540.29999999999995</v>
      </c>
      <c r="C82" s="4">
        <f t="shared" si="23"/>
        <v>0.16666666666662877</v>
      </c>
    </row>
    <row r="83" spans="1:3" x14ac:dyDescent="0.25">
      <c r="A83" s="2">
        <v>77</v>
      </c>
      <c r="B83" s="24">
        <v>540.41666666666663</v>
      </c>
      <c r="C83" s="4">
        <f t="shared" si="23"/>
        <v>0.11666666666667425</v>
      </c>
    </row>
    <row r="84" spans="1:3" x14ac:dyDescent="0.25">
      <c r="A84" s="2">
        <v>78</v>
      </c>
      <c r="B84" s="24">
        <v>540.5333333333333</v>
      </c>
      <c r="C84" s="4">
        <f t="shared" si="23"/>
        <v>0.11666666666667425</v>
      </c>
    </row>
    <row r="85" spans="1:3" x14ac:dyDescent="0.25">
      <c r="A85" s="2">
        <v>79</v>
      </c>
      <c r="B85" s="24">
        <v>551.88333333333333</v>
      </c>
      <c r="C85" s="4">
        <f t="shared" si="23"/>
        <v>11.350000000000023</v>
      </c>
    </row>
    <row r="86" spans="1:3" x14ac:dyDescent="0.25">
      <c r="A86" s="2">
        <v>80</v>
      </c>
      <c r="B86" s="24">
        <v>557.4666666666667</v>
      </c>
      <c r="C86" s="4">
        <f t="shared" si="23"/>
        <v>5.5833333333333712</v>
      </c>
    </row>
    <row r="87" spans="1:3" x14ac:dyDescent="0.25">
      <c r="A87" s="2">
        <v>81</v>
      </c>
      <c r="B87" s="24">
        <v>562.48333333333335</v>
      </c>
      <c r="C87" s="4">
        <f t="shared" si="23"/>
        <v>5.0166666666666515</v>
      </c>
    </row>
    <row r="88" spans="1:3" x14ac:dyDescent="0.25">
      <c r="A88" s="2">
        <v>82</v>
      </c>
      <c r="B88" s="24">
        <v>566.06666666666672</v>
      </c>
      <c r="C88" s="4">
        <f t="shared" si="23"/>
        <v>3.5833333333333712</v>
      </c>
    </row>
    <row r="89" spans="1:3" x14ac:dyDescent="0.25">
      <c r="A89" s="2">
        <v>83</v>
      </c>
      <c r="B89" s="24">
        <v>566.20000000000005</v>
      </c>
      <c r="C89" s="4">
        <f t="shared" si="23"/>
        <v>0.13333333333332575</v>
      </c>
    </row>
    <row r="90" spans="1:3" x14ac:dyDescent="0.25">
      <c r="A90" s="2">
        <v>84</v>
      </c>
      <c r="B90" s="24">
        <v>570.20000000000005</v>
      </c>
      <c r="C90" s="4">
        <f t="shared" si="23"/>
        <v>4</v>
      </c>
    </row>
    <row r="91" spans="1:3" x14ac:dyDescent="0.25">
      <c r="A91" s="2">
        <v>85</v>
      </c>
      <c r="B91" s="24">
        <v>570.33333333333337</v>
      </c>
      <c r="C91" s="4">
        <f t="shared" si="23"/>
        <v>0.13333333333332575</v>
      </c>
    </row>
    <row r="92" spans="1:3" x14ac:dyDescent="0.25">
      <c r="A92" s="2">
        <v>86</v>
      </c>
      <c r="B92" s="24">
        <v>570.45000000000005</v>
      </c>
      <c r="C92" s="4">
        <f t="shared" si="23"/>
        <v>0.11666666666667425</v>
      </c>
    </row>
    <row r="93" spans="1:3" x14ac:dyDescent="0.25">
      <c r="A93" s="2">
        <v>87</v>
      </c>
      <c r="B93" s="24">
        <v>571.98333333333335</v>
      </c>
      <c r="C93" s="4">
        <f t="shared" si="23"/>
        <v>1.533333333333303</v>
      </c>
    </row>
    <row r="94" spans="1:3" x14ac:dyDescent="0.25">
      <c r="A94" s="2">
        <v>88</v>
      </c>
      <c r="B94" s="24">
        <v>572.13333333333333</v>
      </c>
      <c r="C94" s="4">
        <f t="shared" si="23"/>
        <v>0.14999999999997726</v>
      </c>
    </row>
    <row r="95" spans="1:3" x14ac:dyDescent="0.25">
      <c r="A95" s="2">
        <v>89</v>
      </c>
      <c r="B95" s="24">
        <v>574.70000000000005</v>
      </c>
      <c r="C95" s="4">
        <f t="shared" si="23"/>
        <v>2.5666666666667197</v>
      </c>
    </row>
    <row r="96" spans="1:3" x14ac:dyDescent="0.25">
      <c r="A96" s="2">
        <v>90</v>
      </c>
      <c r="B96" s="24">
        <v>577.83333333333337</v>
      </c>
      <c r="C96" s="4">
        <f t="shared" si="23"/>
        <v>3.1333333333333258</v>
      </c>
    </row>
    <row r="97" spans="1:3" x14ac:dyDescent="0.25">
      <c r="A97" s="2">
        <v>91</v>
      </c>
      <c r="B97" s="24">
        <v>580.4</v>
      </c>
      <c r="C97" s="4">
        <f t="shared" si="23"/>
        <v>2.566666666666606</v>
      </c>
    </row>
    <row r="98" spans="1:3" x14ac:dyDescent="0.25">
      <c r="A98" s="2">
        <v>92</v>
      </c>
      <c r="B98" s="24">
        <v>586.35</v>
      </c>
      <c r="C98" s="4">
        <f t="shared" si="23"/>
        <v>5.9500000000000455</v>
      </c>
    </row>
    <row r="99" spans="1:3" x14ac:dyDescent="0.25">
      <c r="A99" s="2">
        <v>93</v>
      </c>
      <c r="B99" s="24">
        <v>595.43333333333328</v>
      </c>
      <c r="C99" s="4">
        <f t="shared" si="23"/>
        <v>9.0833333333332575</v>
      </c>
    </row>
    <row r="100" spans="1:3" x14ac:dyDescent="0.25">
      <c r="A100" s="2">
        <v>94</v>
      </c>
      <c r="B100" s="24">
        <v>595.81666666666672</v>
      </c>
      <c r="C100" s="4">
        <f t="shared" si="23"/>
        <v>0.38333333333343944</v>
      </c>
    </row>
    <row r="101" spans="1:3" x14ac:dyDescent="0.25">
      <c r="A101" s="2">
        <v>95</v>
      </c>
      <c r="B101" s="24">
        <v>596.38333333333333</v>
      </c>
      <c r="C101" s="4">
        <f t="shared" si="23"/>
        <v>0.56666666666660603</v>
      </c>
    </row>
    <row r="102" spans="1:3" x14ac:dyDescent="0.25">
      <c r="A102" s="2">
        <v>96</v>
      </c>
      <c r="B102" s="24">
        <v>597.76666666666665</v>
      </c>
      <c r="C102" s="4">
        <f t="shared" si="23"/>
        <v>1.3833333333333258</v>
      </c>
    </row>
    <row r="103" spans="1:3" x14ac:dyDescent="0.25">
      <c r="A103" s="2">
        <v>97</v>
      </c>
      <c r="B103" s="24">
        <v>599.45000000000005</v>
      </c>
      <c r="C103" s="4">
        <f t="shared" si="23"/>
        <v>1.683333333333394</v>
      </c>
    </row>
    <row r="104" spans="1:3" x14ac:dyDescent="0.25">
      <c r="A104" s="2">
        <v>98</v>
      </c>
      <c r="B104" s="24">
        <v>600.5333333333333</v>
      </c>
      <c r="C104" s="4">
        <f t="shared" si="23"/>
        <v>1.0833333333332575</v>
      </c>
    </row>
    <row r="105" spans="1:3" x14ac:dyDescent="0.25">
      <c r="A105" s="2">
        <v>99</v>
      </c>
      <c r="B105" s="24">
        <v>600.68333333333328</v>
      </c>
      <c r="C105" s="4">
        <f t="shared" si="23"/>
        <v>0.14999999999997726</v>
      </c>
    </row>
    <row r="106" spans="1:3" x14ac:dyDescent="0.25">
      <c r="A106" s="2">
        <v>100</v>
      </c>
      <c r="B106" s="24">
        <v>600.83333333333337</v>
      </c>
      <c r="C106" s="4">
        <f t="shared" si="23"/>
        <v>0.15000000000009095</v>
      </c>
    </row>
    <row r="107" spans="1:3" x14ac:dyDescent="0.25">
      <c r="A107" s="2">
        <v>101</v>
      </c>
      <c r="B107" s="24">
        <v>601.76666666666665</v>
      </c>
      <c r="C107" s="4">
        <f t="shared" si="23"/>
        <v>0.93333333333328028</v>
      </c>
    </row>
    <row r="108" spans="1:3" x14ac:dyDescent="0.25">
      <c r="A108" s="2">
        <v>102</v>
      </c>
      <c r="B108" s="24">
        <v>601.91666666666663</v>
      </c>
      <c r="C108" s="4">
        <f t="shared" si="23"/>
        <v>0.14999999999997726</v>
      </c>
    </row>
    <row r="109" spans="1:3" x14ac:dyDescent="0.25">
      <c r="A109" s="2">
        <v>103</v>
      </c>
      <c r="B109" s="24">
        <v>602.04999999999995</v>
      </c>
      <c r="C109" s="4">
        <f t="shared" si="23"/>
        <v>0.13333333333332575</v>
      </c>
    </row>
    <row r="110" spans="1:3" x14ac:dyDescent="0.25">
      <c r="A110" s="2">
        <v>104</v>
      </c>
      <c r="B110" s="24">
        <v>604.13333333333333</v>
      </c>
      <c r="C110" s="4">
        <f t="shared" si="23"/>
        <v>2.0833333333333712</v>
      </c>
    </row>
    <row r="111" spans="1:3" x14ac:dyDescent="0.25">
      <c r="A111" s="2">
        <v>105</v>
      </c>
      <c r="B111" s="24">
        <v>604.25</v>
      </c>
      <c r="C111" s="4">
        <f t="shared" si="23"/>
        <v>0.11666666666667425</v>
      </c>
    </row>
    <row r="112" spans="1:3" x14ac:dyDescent="0.25">
      <c r="A112" s="2">
        <v>106</v>
      </c>
      <c r="B112" s="24">
        <v>605.06666666666672</v>
      </c>
      <c r="C112" s="4">
        <f t="shared" si="23"/>
        <v>0.81666666666671972</v>
      </c>
    </row>
    <row r="113" spans="1:3" x14ac:dyDescent="0.25">
      <c r="A113" s="2">
        <v>107</v>
      </c>
      <c r="B113" s="24">
        <v>607.43333333333328</v>
      </c>
      <c r="C113" s="4">
        <f t="shared" si="23"/>
        <v>2.3666666666665606</v>
      </c>
    </row>
    <row r="114" spans="1:3" x14ac:dyDescent="0.25">
      <c r="A114" s="2">
        <v>108</v>
      </c>
      <c r="B114" s="24">
        <v>608.15</v>
      </c>
      <c r="C114" s="4">
        <f t="shared" si="23"/>
        <v>0.71666666666669698</v>
      </c>
    </row>
    <row r="115" spans="1:3" x14ac:dyDescent="0.25">
      <c r="A115" s="2">
        <v>109</v>
      </c>
      <c r="B115" s="24">
        <v>611.06666666666672</v>
      </c>
      <c r="C115" s="4">
        <f t="shared" si="23"/>
        <v>2.9166666666667425</v>
      </c>
    </row>
    <row r="116" spans="1:3" x14ac:dyDescent="0.25">
      <c r="A116" s="2">
        <v>110</v>
      </c>
      <c r="B116" s="24">
        <v>617.29999999999995</v>
      </c>
      <c r="C116" s="4">
        <f t="shared" si="23"/>
        <v>6.2333333333332348</v>
      </c>
    </row>
    <row r="117" spans="1:3" x14ac:dyDescent="0.25">
      <c r="A117" s="2">
        <v>111</v>
      </c>
      <c r="B117" s="24">
        <v>617.38333333333333</v>
      </c>
      <c r="C117" s="4">
        <f t="shared" si="23"/>
        <v>8.3333333333371229E-2</v>
      </c>
    </row>
    <row r="118" spans="1:3" x14ac:dyDescent="0.25">
      <c r="A118" s="2">
        <v>112</v>
      </c>
      <c r="B118" s="24">
        <v>617.5</v>
      </c>
      <c r="C118" s="4">
        <f t="shared" si="23"/>
        <v>0.11666666666667425</v>
      </c>
    </row>
    <row r="119" spans="1:3" x14ac:dyDescent="0.25">
      <c r="A119" s="2">
        <v>113</v>
      </c>
      <c r="B119" s="24">
        <v>617.79999999999995</v>
      </c>
      <c r="C119" s="4">
        <f t="shared" si="23"/>
        <v>0.29999999999995453</v>
      </c>
    </row>
    <row r="120" spans="1:3" x14ac:dyDescent="0.25">
      <c r="A120" s="2">
        <v>114</v>
      </c>
      <c r="B120" s="24">
        <v>617.86666666666667</v>
      </c>
      <c r="C120" s="4">
        <f t="shared" si="23"/>
        <v>6.6666666666719721E-2</v>
      </c>
    </row>
    <row r="121" spans="1:3" x14ac:dyDescent="0.25">
      <c r="A121" s="2">
        <v>115</v>
      </c>
      <c r="B121" s="24">
        <v>621.7166666666667</v>
      </c>
      <c r="C121" s="4">
        <f t="shared" si="23"/>
        <v>3.8500000000000227</v>
      </c>
    </row>
    <row r="122" spans="1:3" x14ac:dyDescent="0.25">
      <c r="A122" s="2">
        <v>116</v>
      </c>
      <c r="B122" s="24">
        <v>625.23333333333335</v>
      </c>
      <c r="C122" s="4">
        <f t="shared" si="23"/>
        <v>3.5166666666666515</v>
      </c>
    </row>
    <row r="123" spans="1:3" x14ac:dyDescent="0.25">
      <c r="A123" s="2">
        <v>117</v>
      </c>
      <c r="B123" s="24">
        <v>625.48333333333335</v>
      </c>
      <c r="C123" s="4">
        <f t="shared" si="23"/>
        <v>0.25</v>
      </c>
    </row>
    <row r="124" spans="1:3" x14ac:dyDescent="0.25">
      <c r="A124" s="2">
        <v>118</v>
      </c>
      <c r="B124" s="24">
        <v>625.65</v>
      </c>
      <c r="C124" s="4">
        <f t="shared" si="23"/>
        <v>0.16666666666662877</v>
      </c>
    </row>
    <row r="125" spans="1:3" x14ac:dyDescent="0.25">
      <c r="A125" s="2">
        <v>119</v>
      </c>
      <c r="B125" s="24">
        <v>626.54999999999995</v>
      </c>
      <c r="C125" s="4">
        <f t="shared" si="23"/>
        <v>0.89999999999997726</v>
      </c>
    </row>
    <row r="126" spans="1:3" x14ac:dyDescent="0.25">
      <c r="A126" s="2">
        <v>120</v>
      </c>
      <c r="B126" s="24">
        <v>628.75</v>
      </c>
      <c r="C126" s="4">
        <f t="shared" si="23"/>
        <v>2.2000000000000455</v>
      </c>
    </row>
    <row r="127" spans="1:3" x14ac:dyDescent="0.25">
      <c r="A127" s="2">
        <v>121</v>
      </c>
      <c r="B127" s="24">
        <v>629.61666666666667</v>
      </c>
      <c r="C127" s="4">
        <f t="shared" si="23"/>
        <v>0.86666666666667425</v>
      </c>
    </row>
    <row r="128" spans="1:3" x14ac:dyDescent="0.25">
      <c r="A128" s="2">
        <v>122</v>
      </c>
      <c r="B128" s="24">
        <v>630.08333333333337</v>
      </c>
      <c r="C128" s="4">
        <f t="shared" si="23"/>
        <v>0.46666666666669698</v>
      </c>
    </row>
    <row r="129" spans="1:3" x14ac:dyDescent="0.25">
      <c r="A129" s="2">
        <v>123</v>
      </c>
      <c r="B129" s="24">
        <v>633.33333333333337</v>
      </c>
      <c r="C129" s="4">
        <f t="shared" si="23"/>
        <v>3.25</v>
      </c>
    </row>
    <row r="130" spans="1:3" x14ac:dyDescent="0.25">
      <c r="A130" s="2">
        <v>124</v>
      </c>
      <c r="B130" s="24">
        <v>636.9666666666667</v>
      </c>
      <c r="C130" s="4">
        <f t="shared" si="23"/>
        <v>3.6333333333333258</v>
      </c>
    </row>
    <row r="131" spans="1:3" x14ac:dyDescent="0.25">
      <c r="A131" s="2">
        <v>125</v>
      </c>
      <c r="B131" s="24">
        <v>637.15</v>
      </c>
      <c r="C131" s="4">
        <f t="shared" si="23"/>
        <v>0.18333333333328028</v>
      </c>
    </row>
    <row r="132" spans="1:3" x14ac:dyDescent="0.25">
      <c r="A132" s="2">
        <v>126</v>
      </c>
      <c r="B132" s="24">
        <v>637.98333333333335</v>
      </c>
      <c r="C132" s="4">
        <f t="shared" si="23"/>
        <v>0.83333333333337123</v>
      </c>
    </row>
    <row r="133" spans="1:3" x14ac:dyDescent="0.25">
      <c r="A133" s="2">
        <v>127</v>
      </c>
      <c r="B133" s="24">
        <v>639.29999999999995</v>
      </c>
      <c r="C133" s="4">
        <f t="shared" si="23"/>
        <v>1.316666666666606</v>
      </c>
    </row>
    <row r="134" spans="1:3" x14ac:dyDescent="0.25">
      <c r="A134" s="2">
        <v>128</v>
      </c>
      <c r="B134" s="24">
        <v>639.51666666666665</v>
      </c>
      <c r="C134" s="4">
        <f t="shared" si="23"/>
        <v>0.21666666666669698</v>
      </c>
    </row>
    <row r="135" spans="1:3" x14ac:dyDescent="0.25">
      <c r="A135" s="2">
        <v>129</v>
      </c>
      <c r="B135" s="24">
        <v>640.68333333333328</v>
      </c>
      <c r="C135" s="4">
        <f t="shared" si="23"/>
        <v>1.1666666666666288</v>
      </c>
    </row>
    <row r="136" spans="1:3" x14ac:dyDescent="0.25">
      <c r="A136" s="2">
        <v>130</v>
      </c>
      <c r="B136" s="24">
        <v>640.76666666666665</v>
      </c>
      <c r="C136" s="4">
        <f t="shared" si="23"/>
        <v>8.3333333333371229E-2</v>
      </c>
    </row>
    <row r="137" spans="1:3" x14ac:dyDescent="0.25">
      <c r="A137" s="2">
        <v>131</v>
      </c>
      <c r="B137" s="24">
        <v>643.45000000000005</v>
      </c>
      <c r="C137" s="4">
        <f t="shared" si="23"/>
        <v>2.683333333333394</v>
      </c>
    </row>
    <row r="138" spans="1:3" x14ac:dyDescent="0.25">
      <c r="A138" s="2">
        <v>132</v>
      </c>
      <c r="B138" s="24">
        <v>646.15</v>
      </c>
      <c r="C138" s="4">
        <f t="shared" si="23"/>
        <v>2.6999999999999318</v>
      </c>
    </row>
    <row r="139" spans="1:3" x14ac:dyDescent="0.25">
      <c r="A139" s="2">
        <v>133</v>
      </c>
      <c r="B139" s="24">
        <v>646.25</v>
      </c>
      <c r="C139" s="4">
        <f t="shared" si="23"/>
        <v>0.10000000000002274</v>
      </c>
    </row>
    <row r="140" spans="1:3" x14ac:dyDescent="0.25">
      <c r="A140" s="2">
        <v>134</v>
      </c>
      <c r="B140" s="24">
        <v>646.35</v>
      </c>
      <c r="C140" s="4">
        <f t="shared" ref="C140:C203" si="24">B140-B139</f>
        <v>0.10000000000002274</v>
      </c>
    </row>
    <row r="141" spans="1:3" x14ac:dyDescent="0.25">
      <c r="A141" s="2">
        <v>135</v>
      </c>
      <c r="B141" s="24">
        <v>646.43333333333328</v>
      </c>
      <c r="C141" s="4">
        <f t="shared" si="24"/>
        <v>8.3333333333257542E-2</v>
      </c>
    </row>
    <row r="142" spans="1:3" x14ac:dyDescent="0.25">
      <c r="A142" s="2">
        <v>136</v>
      </c>
      <c r="B142" s="24">
        <v>646.66666666666663</v>
      </c>
      <c r="C142" s="4">
        <f t="shared" si="24"/>
        <v>0.23333333333334849</v>
      </c>
    </row>
    <row r="143" spans="1:3" x14ac:dyDescent="0.25">
      <c r="A143" s="2">
        <v>137</v>
      </c>
      <c r="B143" s="24">
        <v>646.76666666666665</v>
      </c>
      <c r="C143" s="4">
        <f t="shared" si="24"/>
        <v>0.10000000000002274</v>
      </c>
    </row>
    <row r="144" spans="1:3" x14ac:dyDescent="0.25">
      <c r="A144" s="2">
        <v>138</v>
      </c>
      <c r="B144" s="24">
        <v>646.85</v>
      </c>
      <c r="C144" s="4">
        <f t="shared" si="24"/>
        <v>8.3333333333371229E-2</v>
      </c>
    </row>
    <row r="145" spans="1:3" x14ac:dyDescent="0.25">
      <c r="A145" s="2">
        <v>139</v>
      </c>
      <c r="B145" s="24">
        <v>646.93333333333328</v>
      </c>
      <c r="C145" s="4">
        <f t="shared" si="24"/>
        <v>8.3333333333257542E-2</v>
      </c>
    </row>
    <row r="146" spans="1:3" x14ac:dyDescent="0.25">
      <c r="A146" s="2">
        <v>140</v>
      </c>
      <c r="B146" s="24">
        <v>650.33333333333337</v>
      </c>
      <c r="C146" s="4">
        <f t="shared" si="24"/>
        <v>3.4000000000000909</v>
      </c>
    </row>
    <row r="147" spans="1:3" x14ac:dyDescent="0.25">
      <c r="A147" s="2">
        <v>141</v>
      </c>
      <c r="B147" s="24">
        <v>650.4666666666667</v>
      </c>
      <c r="C147" s="4">
        <f t="shared" si="24"/>
        <v>0.13333333333332575</v>
      </c>
    </row>
    <row r="148" spans="1:3" x14ac:dyDescent="0.25">
      <c r="A148" s="2">
        <v>142</v>
      </c>
      <c r="B148" s="24">
        <v>655.13333333333333</v>
      </c>
      <c r="C148" s="4">
        <f t="shared" si="24"/>
        <v>4.6666666666666288</v>
      </c>
    </row>
    <row r="149" spans="1:3" x14ac:dyDescent="0.25">
      <c r="A149" s="2">
        <v>143</v>
      </c>
      <c r="B149" s="24">
        <v>655.48333333333335</v>
      </c>
      <c r="C149" s="4">
        <f t="shared" si="24"/>
        <v>0.35000000000002274</v>
      </c>
    </row>
    <row r="150" spans="1:3" x14ac:dyDescent="0.25">
      <c r="A150" s="2">
        <v>144</v>
      </c>
      <c r="B150" s="24">
        <v>656.98333333333335</v>
      </c>
      <c r="C150" s="4">
        <f t="shared" si="24"/>
        <v>1.5</v>
      </c>
    </row>
    <row r="151" spans="1:3" x14ac:dyDescent="0.25">
      <c r="A151" s="2">
        <v>145</v>
      </c>
      <c r="B151" s="24">
        <v>659.5333333333333</v>
      </c>
      <c r="C151" s="4">
        <f t="shared" si="24"/>
        <v>2.5499999999999545</v>
      </c>
    </row>
    <row r="152" spans="1:3" x14ac:dyDescent="0.25">
      <c r="A152" s="2">
        <v>146</v>
      </c>
      <c r="B152" s="24">
        <v>660.2833333333333</v>
      </c>
      <c r="C152" s="4">
        <f t="shared" si="24"/>
        <v>0.75</v>
      </c>
    </row>
    <row r="153" spans="1:3" x14ac:dyDescent="0.25">
      <c r="A153" s="2">
        <v>147</v>
      </c>
      <c r="B153" s="24">
        <v>662.2833333333333</v>
      </c>
      <c r="C153" s="4">
        <f t="shared" si="24"/>
        <v>2</v>
      </c>
    </row>
    <row r="154" spans="1:3" x14ac:dyDescent="0.25">
      <c r="A154" s="2">
        <v>148</v>
      </c>
      <c r="B154" s="24">
        <v>662.41666666666663</v>
      </c>
      <c r="C154" s="4">
        <f t="shared" si="24"/>
        <v>0.13333333333332575</v>
      </c>
    </row>
    <row r="155" spans="1:3" x14ac:dyDescent="0.25">
      <c r="A155" s="2">
        <v>149</v>
      </c>
      <c r="B155" s="24">
        <v>662.76666666666665</v>
      </c>
      <c r="C155" s="4">
        <f t="shared" si="24"/>
        <v>0.35000000000002274</v>
      </c>
    </row>
    <row r="156" spans="1:3" x14ac:dyDescent="0.25">
      <c r="A156" s="2">
        <v>150</v>
      </c>
      <c r="B156" s="24">
        <v>663.0333333333333</v>
      </c>
      <c r="C156" s="4">
        <f t="shared" si="24"/>
        <v>0.26666666666665151</v>
      </c>
    </row>
    <row r="157" spans="1:3" x14ac:dyDescent="0.25">
      <c r="A157" s="2">
        <v>151</v>
      </c>
      <c r="B157" s="24">
        <v>663.16666666666663</v>
      </c>
      <c r="C157" s="4">
        <f t="shared" si="24"/>
        <v>0.13333333333332575</v>
      </c>
    </row>
    <row r="158" spans="1:3" x14ac:dyDescent="0.25">
      <c r="A158" s="2">
        <v>152</v>
      </c>
      <c r="B158" s="24">
        <v>664.2</v>
      </c>
      <c r="C158" s="4">
        <f t="shared" si="24"/>
        <v>1.0333333333334167</v>
      </c>
    </row>
    <row r="159" spans="1:3" x14ac:dyDescent="0.25">
      <c r="A159" s="2">
        <v>153</v>
      </c>
      <c r="B159" s="24">
        <v>665.1</v>
      </c>
      <c r="C159" s="4">
        <f t="shared" si="24"/>
        <v>0.89999999999997726</v>
      </c>
    </row>
    <row r="160" spans="1:3" x14ac:dyDescent="0.25">
      <c r="A160" s="2">
        <v>154</v>
      </c>
      <c r="B160" s="24">
        <v>668.83333333333337</v>
      </c>
      <c r="C160" s="4">
        <f t="shared" si="24"/>
        <v>3.7333333333333485</v>
      </c>
    </row>
    <row r="161" spans="1:3" x14ac:dyDescent="0.25">
      <c r="A161" s="2">
        <v>155</v>
      </c>
      <c r="B161" s="24">
        <v>668.91666666666663</v>
      </c>
      <c r="C161" s="4">
        <f t="shared" si="24"/>
        <v>8.3333333333257542E-2</v>
      </c>
    </row>
    <row r="162" spans="1:3" x14ac:dyDescent="0.25">
      <c r="A162" s="2">
        <v>156</v>
      </c>
      <c r="B162" s="24">
        <v>669.68333333333328</v>
      </c>
      <c r="C162" s="4">
        <f t="shared" si="24"/>
        <v>0.76666666666665151</v>
      </c>
    </row>
    <row r="163" spans="1:3" x14ac:dyDescent="0.25">
      <c r="A163" s="2">
        <v>157</v>
      </c>
      <c r="B163" s="24">
        <v>669.8</v>
      </c>
      <c r="C163" s="4">
        <f t="shared" si="24"/>
        <v>0.11666666666667425</v>
      </c>
    </row>
    <row r="164" spans="1:3" x14ac:dyDescent="0.25">
      <c r="A164" s="2">
        <v>158</v>
      </c>
      <c r="B164" s="24">
        <v>670.31666666666672</v>
      </c>
      <c r="C164" s="4">
        <f t="shared" si="24"/>
        <v>0.5166666666667652</v>
      </c>
    </row>
    <row r="165" spans="1:3" x14ac:dyDescent="0.25">
      <c r="A165" s="2">
        <v>159</v>
      </c>
      <c r="B165" s="24">
        <v>670.4666666666667</v>
      </c>
      <c r="C165" s="4">
        <f t="shared" si="24"/>
        <v>0.14999999999997726</v>
      </c>
    </row>
    <row r="166" spans="1:3" x14ac:dyDescent="0.25">
      <c r="A166" s="2">
        <v>160</v>
      </c>
      <c r="B166" s="24">
        <v>670.58333333333337</v>
      </c>
      <c r="C166" s="4">
        <f t="shared" si="24"/>
        <v>0.11666666666667425</v>
      </c>
    </row>
    <row r="167" spans="1:3" x14ac:dyDescent="0.25">
      <c r="A167" s="2">
        <v>161</v>
      </c>
      <c r="B167" s="24">
        <v>671.2</v>
      </c>
      <c r="C167" s="4">
        <f t="shared" si="24"/>
        <v>0.61666666666667425</v>
      </c>
    </row>
    <row r="168" spans="1:3" x14ac:dyDescent="0.25">
      <c r="A168" s="2">
        <v>162</v>
      </c>
      <c r="B168" s="24">
        <v>671.51666666666665</v>
      </c>
      <c r="C168" s="4">
        <f t="shared" si="24"/>
        <v>0.31666666666660603</v>
      </c>
    </row>
    <row r="169" spans="1:3" x14ac:dyDescent="0.25">
      <c r="A169" s="2">
        <v>163</v>
      </c>
      <c r="B169" s="24">
        <v>671.83333333333337</v>
      </c>
      <c r="C169" s="4">
        <f t="shared" si="24"/>
        <v>0.31666666666671972</v>
      </c>
    </row>
    <row r="170" spans="1:3" x14ac:dyDescent="0.25">
      <c r="A170" s="2">
        <v>164</v>
      </c>
      <c r="B170" s="24">
        <v>672.58333333333337</v>
      </c>
      <c r="C170" s="4">
        <f t="shared" si="24"/>
        <v>0.75</v>
      </c>
    </row>
    <row r="171" spans="1:3" x14ac:dyDescent="0.25">
      <c r="A171" s="2">
        <v>165</v>
      </c>
      <c r="B171" s="24">
        <v>673.33333333333337</v>
      </c>
      <c r="C171" s="4">
        <f t="shared" si="24"/>
        <v>0.75</v>
      </c>
    </row>
    <row r="172" spans="1:3" x14ac:dyDescent="0.25">
      <c r="A172" s="2">
        <v>166</v>
      </c>
      <c r="B172" s="24">
        <v>673.88333333333333</v>
      </c>
      <c r="C172" s="4">
        <f t="shared" si="24"/>
        <v>0.54999999999995453</v>
      </c>
    </row>
    <row r="173" spans="1:3" x14ac:dyDescent="0.25">
      <c r="A173" s="2">
        <v>167</v>
      </c>
      <c r="B173" s="24">
        <v>674.11666666666667</v>
      </c>
      <c r="C173" s="4">
        <f t="shared" si="24"/>
        <v>0.23333333333334849</v>
      </c>
    </row>
    <row r="174" spans="1:3" x14ac:dyDescent="0.25">
      <c r="A174" s="2">
        <v>168</v>
      </c>
      <c r="B174" s="24">
        <v>675.23333333333335</v>
      </c>
      <c r="C174" s="4">
        <f t="shared" si="24"/>
        <v>1.1166666666666742</v>
      </c>
    </row>
    <row r="175" spans="1:3" x14ac:dyDescent="0.25">
      <c r="A175" s="2">
        <v>169</v>
      </c>
      <c r="B175" s="24">
        <v>676.13333333333333</v>
      </c>
      <c r="C175" s="4">
        <f t="shared" si="24"/>
        <v>0.89999999999997726</v>
      </c>
    </row>
    <row r="176" spans="1:3" x14ac:dyDescent="0.25">
      <c r="A176" s="2">
        <v>170</v>
      </c>
      <c r="B176" s="24">
        <v>677.2166666666667</v>
      </c>
      <c r="C176" s="4">
        <f t="shared" si="24"/>
        <v>1.0833333333333712</v>
      </c>
    </row>
    <row r="177" spans="1:3" x14ac:dyDescent="0.25">
      <c r="A177" s="2">
        <v>171</v>
      </c>
      <c r="B177" s="24">
        <v>679.95</v>
      </c>
      <c r="C177" s="4">
        <f t="shared" si="24"/>
        <v>2.7333333333333485</v>
      </c>
    </row>
    <row r="178" spans="1:3" x14ac:dyDescent="0.25">
      <c r="A178" s="2">
        <v>172</v>
      </c>
      <c r="B178" s="24">
        <v>680.43333333333328</v>
      </c>
      <c r="C178" s="4">
        <f t="shared" si="24"/>
        <v>0.4833333333332348</v>
      </c>
    </row>
    <row r="179" spans="1:3" x14ac:dyDescent="0.25">
      <c r="A179" s="2">
        <v>173</v>
      </c>
      <c r="B179" s="24">
        <v>682.88333333333333</v>
      </c>
      <c r="C179" s="4">
        <f t="shared" si="24"/>
        <v>2.4500000000000455</v>
      </c>
    </row>
    <row r="180" spans="1:3" x14ac:dyDescent="0.25">
      <c r="A180" s="2">
        <v>174</v>
      </c>
      <c r="B180" s="24">
        <v>682.9</v>
      </c>
      <c r="C180" s="4">
        <f t="shared" si="24"/>
        <v>1.6666666666651508E-2</v>
      </c>
    </row>
    <row r="181" spans="1:3" x14ac:dyDescent="0.25">
      <c r="A181" s="2">
        <v>175</v>
      </c>
      <c r="B181" s="24">
        <v>683.0333333333333</v>
      </c>
      <c r="C181" s="4">
        <f t="shared" si="24"/>
        <v>0.13333333333332575</v>
      </c>
    </row>
    <row r="182" spans="1:3" x14ac:dyDescent="0.25">
      <c r="A182" s="2">
        <v>176</v>
      </c>
      <c r="B182" s="24">
        <v>683.66666666666663</v>
      </c>
      <c r="C182" s="4">
        <f t="shared" si="24"/>
        <v>0.63333333333332575</v>
      </c>
    </row>
    <row r="183" spans="1:3" x14ac:dyDescent="0.25">
      <c r="A183" s="2">
        <v>177</v>
      </c>
      <c r="B183" s="24">
        <v>684.6</v>
      </c>
      <c r="C183" s="4">
        <f t="shared" si="24"/>
        <v>0.93333333333339397</v>
      </c>
    </row>
    <row r="184" spans="1:3" x14ac:dyDescent="0.25">
      <c r="A184" s="2">
        <v>178</v>
      </c>
      <c r="B184" s="24">
        <v>688.4666666666667</v>
      </c>
      <c r="C184" s="4">
        <f t="shared" si="24"/>
        <v>3.8666666666666742</v>
      </c>
    </row>
    <row r="185" spans="1:3" x14ac:dyDescent="0.25">
      <c r="A185" s="2">
        <v>179</v>
      </c>
      <c r="B185" s="24">
        <v>691.0333333333333</v>
      </c>
      <c r="C185" s="4">
        <f t="shared" si="24"/>
        <v>2.566666666666606</v>
      </c>
    </row>
    <row r="186" spans="1:3" x14ac:dyDescent="0.25">
      <c r="A186" s="2">
        <v>180</v>
      </c>
      <c r="B186" s="24">
        <v>693.36666666666667</v>
      </c>
      <c r="C186" s="4">
        <f t="shared" si="24"/>
        <v>2.3333333333333712</v>
      </c>
    </row>
    <row r="187" spans="1:3" x14ac:dyDescent="0.25">
      <c r="A187" s="2">
        <v>181</v>
      </c>
      <c r="B187" s="24">
        <v>693.48333333333335</v>
      </c>
      <c r="C187" s="4">
        <f t="shared" si="24"/>
        <v>0.11666666666667425</v>
      </c>
    </row>
    <row r="188" spans="1:3" x14ac:dyDescent="0.25">
      <c r="A188" s="2">
        <v>182</v>
      </c>
      <c r="B188" s="24">
        <v>693.58333333333337</v>
      </c>
      <c r="C188" s="4">
        <f t="shared" si="24"/>
        <v>0.10000000000002274</v>
      </c>
    </row>
    <row r="189" spans="1:3" x14ac:dyDescent="0.25">
      <c r="A189" s="2">
        <v>183</v>
      </c>
      <c r="B189" s="24">
        <v>696.2833333333333</v>
      </c>
      <c r="C189" s="4">
        <f t="shared" si="24"/>
        <v>2.6999999999999318</v>
      </c>
    </row>
    <row r="190" spans="1:3" x14ac:dyDescent="0.25">
      <c r="A190" s="2">
        <v>184</v>
      </c>
      <c r="B190" s="24">
        <v>699.63333333333333</v>
      </c>
      <c r="C190" s="4">
        <f t="shared" si="24"/>
        <v>3.3500000000000227</v>
      </c>
    </row>
    <row r="191" spans="1:3" x14ac:dyDescent="0.25">
      <c r="A191" s="2">
        <v>185</v>
      </c>
      <c r="B191" s="24">
        <v>705.0333333333333</v>
      </c>
      <c r="C191" s="4">
        <f t="shared" si="24"/>
        <v>5.3999999999999773</v>
      </c>
    </row>
    <row r="192" spans="1:3" x14ac:dyDescent="0.25">
      <c r="A192" s="2">
        <v>186</v>
      </c>
      <c r="B192" s="24">
        <v>705.23333333333335</v>
      </c>
      <c r="C192" s="4">
        <f t="shared" si="24"/>
        <v>0.20000000000004547</v>
      </c>
    </row>
    <row r="193" spans="1:3" x14ac:dyDescent="0.25">
      <c r="A193" s="2">
        <v>187</v>
      </c>
      <c r="B193" s="24">
        <v>706.4666666666667</v>
      </c>
      <c r="C193" s="4">
        <f t="shared" si="24"/>
        <v>1.2333333333333485</v>
      </c>
    </row>
    <row r="194" spans="1:3" x14ac:dyDescent="0.25">
      <c r="A194" s="2">
        <v>188</v>
      </c>
      <c r="B194" s="24">
        <v>706.58333333333337</v>
      </c>
      <c r="C194" s="4">
        <f t="shared" si="24"/>
        <v>0.11666666666667425</v>
      </c>
    </row>
    <row r="195" spans="1:3" x14ac:dyDescent="0.25">
      <c r="A195" s="2">
        <v>189</v>
      </c>
      <c r="B195" s="24">
        <v>708.63333333333333</v>
      </c>
      <c r="C195" s="4">
        <f t="shared" si="24"/>
        <v>2.0499999999999545</v>
      </c>
    </row>
    <row r="196" spans="1:3" x14ac:dyDescent="0.25">
      <c r="A196" s="2">
        <v>190</v>
      </c>
      <c r="B196" s="24">
        <v>711.05</v>
      </c>
      <c r="C196" s="4">
        <f t="shared" si="24"/>
        <v>2.4166666666666288</v>
      </c>
    </row>
    <row r="197" spans="1:3" x14ac:dyDescent="0.25">
      <c r="A197" s="2">
        <v>191</v>
      </c>
      <c r="B197" s="24">
        <v>713.08333333333337</v>
      </c>
      <c r="C197" s="4">
        <f t="shared" si="24"/>
        <v>2.0333333333334167</v>
      </c>
    </row>
    <row r="198" spans="1:3" x14ac:dyDescent="0.25">
      <c r="A198" s="2">
        <v>192</v>
      </c>
      <c r="B198" s="24">
        <v>713.83333333333337</v>
      </c>
      <c r="C198" s="4">
        <f t="shared" si="24"/>
        <v>0.75</v>
      </c>
    </row>
    <row r="199" spans="1:3" x14ac:dyDescent="0.25">
      <c r="A199" s="2">
        <v>193</v>
      </c>
      <c r="B199" s="24">
        <v>721.05</v>
      </c>
      <c r="C199" s="4">
        <f t="shared" si="24"/>
        <v>7.2166666666665833</v>
      </c>
    </row>
    <row r="200" spans="1:3" x14ac:dyDescent="0.25">
      <c r="A200" s="2">
        <v>194</v>
      </c>
      <c r="B200" s="24">
        <v>721.2</v>
      </c>
      <c r="C200" s="4">
        <f t="shared" si="24"/>
        <v>0.15000000000009095</v>
      </c>
    </row>
    <row r="201" spans="1:3" x14ac:dyDescent="0.25">
      <c r="A201" s="2">
        <v>195</v>
      </c>
      <c r="B201" s="24">
        <v>722.35</v>
      </c>
      <c r="C201" s="4">
        <f t="shared" si="24"/>
        <v>1.1499999999999773</v>
      </c>
    </row>
    <row r="202" spans="1:3" x14ac:dyDescent="0.25">
      <c r="A202" s="2">
        <v>196</v>
      </c>
      <c r="B202" s="24">
        <v>722.75</v>
      </c>
      <c r="C202" s="4">
        <f t="shared" si="24"/>
        <v>0.39999999999997726</v>
      </c>
    </row>
    <row r="203" spans="1:3" x14ac:dyDescent="0.25">
      <c r="A203" s="2">
        <v>197</v>
      </c>
      <c r="B203" s="24">
        <v>724.41666666666663</v>
      </c>
      <c r="C203" s="4">
        <f t="shared" si="24"/>
        <v>1.6666666666666288</v>
      </c>
    </row>
    <row r="204" spans="1:3" x14ac:dyDescent="0.25">
      <c r="A204" s="2">
        <v>198</v>
      </c>
      <c r="B204" s="24">
        <v>724.56666666666672</v>
      </c>
      <c r="C204" s="4">
        <f t="shared" ref="C204:C207" si="25">B204-B203</f>
        <v>0.15000000000009095</v>
      </c>
    </row>
    <row r="205" spans="1:3" x14ac:dyDescent="0.25">
      <c r="A205" s="2">
        <v>199</v>
      </c>
      <c r="B205" s="24">
        <v>724.68333333333328</v>
      </c>
      <c r="C205" s="4">
        <f t="shared" si="25"/>
        <v>0.11666666666656056</v>
      </c>
    </row>
    <row r="206" spans="1:3" x14ac:dyDescent="0.25">
      <c r="A206" s="2">
        <v>200</v>
      </c>
      <c r="B206" s="24">
        <v>724.7833333333333</v>
      </c>
      <c r="C206" s="4">
        <f t="shared" si="25"/>
        <v>0.10000000000002274</v>
      </c>
    </row>
    <row r="207" spans="1:3" x14ac:dyDescent="0.25">
      <c r="A207" s="2">
        <v>201</v>
      </c>
      <c r="B207" s="24">
        <v>725.78333333333296</v>
      </c>
      <c r="C207" s="4">
        <f t="shared" si="25"/>
        <v>0.99999999999965894</v>
      </c>
    </row>
    <row r="208" spans="1:3" x14ac:dyDescent="0.25">
      <c r="A208" s="8"/>
      <c r="B208" s="24"/>
      <c r="C208" s="8"/>
    </row>
    <row r="209" spans="1:3" x14ac:dyDescent="0.25">
      <c r="A209" s="8"/>
      <c r="B209" s="8"/>
      <c r="C209" s="8"/>
    </row>
  </sheetData>
  <mergeCells count="12">
    <mergeCell ref="AH32:AJ32"/>
    <mergeCell ref="AL32:AN32"/>
    <mergeCell ref="AO32:AQ32"/>
    <mergeCell ref="AM46:AN46"/>
    <mergeCell ref="A6:C6"/>
    <mergeCell ref="N10:P10"/>
    <mergeCell ref="U10:W10"/>
    <mergeCell ref="Z32:AB32"/>
    <mergeCell ref="N26:S26"/>
    <mergeCell ref="AD32:AF32"/>
    <mergeCell ref="F32:H32"/>
    <mergeCell ref="M32:O32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34</vt:i4>
      </vt:variant>
    </vt:vector>
  </HeadingPairs>
  <TitlesOfParts>
    <vt:vector size="36" baseType="lpstr">
      <vt:lpstr>Experiencia 1 (Pagos)</vt:lpstr>
      <vt:lpstr>Experiencia 2 (Ingresos)</vt:lpstr>
      <vt:lpstr>_alfa</vt:lpstr>
      <vt:lpstr>'Experiencia 2 (Ingresos)'!_alfa2</vt:lpstr>
      <vt:lpstr>'Experiencia 2 (Ingresos)'!_DistNormU2</vt:lpstr>
      <vt:lpstr>_DistrExpLambda</vt:lpstr>
      <vt:lpstr>'Experiencia 2 (Ingresos)'!_DistrExpLambda2</vt:lpstr>
      <vt:lpstr>_DistrNomrS</vt:lpstr>
      <vt:lpstr>_DistrNomrS2</vt:lpstr>
      <vt:lpstr>_DistrNormU</vt:lpstr>
      <vt:lpstr>_DistrUnifA</vt:lpstr>
      <vt:lpstr>'Experiencia 2 (Ingresos)'!_DistrUnifA2</vt:lpstr>
      <vt:lpstr>_DistrUnifB</vt:lpstr>
      <vt:lpstr>'Experiencia 2 (Ingresos)'!_DistrUnifB2</vt:lpstr>
      <vt:lpstr>_gradoDeLibertad</vt:lpstr>
      <vt:lpstr>'Experiencia 2 (Ingresos)'!_gradoDeLibertad2</vt:lpstr>
      <vt:lpstr>_intervalos</vt:lpstr>
      <vt:lpstr>'Experiencia 2 (Ingresos)'!_intervalos2</vt:lpstr>
      <vt:lpstr>_lambda2</vt:lpstr>
      <vt:lpstr>_limInf</vt:lpstr>
      <vt:lpstr>_limSup</vt:lpstr>
      <vt:lpstr>'Experiencia 2 (Ingresos)'!_limSup2</vt:lpstr>
      <vt:lpstr>_media</vt:lpstr>
      <vt:lpstr>'Experiencia 2 (Ingresos)'!_media2</vt:lpstr>
      <vt:lpstr>_muestra</vt:lpstr>
      <vt:lpstr>'Experiencia 2 (Ingresos)'!_muestra2</vt:lpstr>
      <vt:lpstr>_pasos</vt:lpstr>
      <vt:lpstr>'Experiencia 2 (Ingresos)'!_pasos2</vt:lpstr>
      <vt:lpstr>_tamañoMuestra</vt:lpstr>
      <vt:lpstr>'Experiencia 2 (Ingresos)'!_tamañoMuestra2</vt:lpstr>
      <vt:lpstr>_Valor_Max</vt:lpstr>
      <vt:lpstr>'Experiencia 2 (Ingresos)'!_Valor_Max2</vt:lpstr>
      <vt:lpstr>_Valor_Min</vt:lpstr>
      <vt:lpstr>'Experiencia 2 (Ingresos)'!_Valor_Min2</vt:lpstr>
      <vt:lpstr>_varianza</vt:lpstr>
      <vt:lpstr>'Experiencia 2 (Ingresos)'!_varianza2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</dc:creator>
  <cp:lastModifiedBy>Fredy Ferre Pacora</cp:lastModifiedBy>
  <dcterms:created xsi:type="dcterms:W3CDTF">2022-04-07T18:03:57Z</dcterms:created>
  <dcterms:modified xsi:type="dcterms:W3CDTF">2022-04-08T20:45:34Z</dcterms:modified>
</cp:coreProperties>
</file>