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tables/table6.xml" ContentType="application/vnd.openxmlformats-officedocument.spreadsheetml.tab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drawings/drawing11.xml" ContentType="application/vnd.openxmlformats-officedocument.drawing+xml"/>
  <Override PartName="/xl/tables/table8.xml" ContentType="application/vnd.openxmlformats-officedocument.spreadsheetml.table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tabRatio="700" firstSheet="3" activeTab="7"/>
  </bookViews>
  <sheets>
    <sheet name="Menu" sheetId="1" r:id="rId1"/>
    <sheet name="Despesas" sheetId="2" r:id="rId2"/>
    <sheet name="Compras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Semana 1" sheetId="9" r:id="rId8"/>
    <sheet name="Analise Semana 1" sheetId="14" r:id="rId9"/>
    <sheet name="Semana 2" sheetId="10" r:id="rId10"/>
    <sheet name="Semana 3" sheetId="11" r:id="rId11"/>
    <sheet name="Semana 4" sheetId="12" r:id="rId12"/>
    <sheet name="Semana 5" sheetId="13" r:id="rId13"/>
    <sheet name="cálculos" sheetId="5" r:id="rId14"/>
  </sheets>
  <externalReferences>
    <externalReference r:id="rId15"/>
  </externalReferences>
  <definedNames>
    <definedName name="_xlnm._FilterDatabase" localSheetId="13" hidden="1">cálculos!$N$5:$Q$5</definedName>
  </definedNames>
  <calcPr calcId="145621"/>
  <pivotCaches>
    <pivotCache cacheId="5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8" l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H16" i="4" l="1"/>
  <c r="H12" i="4"/>
  <c r="D49" i="3"/>
  <c r="M33" i="13" l="1"/>
  <c r="M32" i="13"/>
  <c r="M33" i="12"/>
  <c r="M32" i="12"/>
  <c r="M33" i="11"/>
  <c r="M31" i="11"/>
  <c r="D11" i="3" s="1"/>
  <c r="M33" i="10"/>
  <c r="M32" i="10"/>
  <c r="M33" i="9"/>
  <c r="D13" i="3"/>
  <c r="D12" i="3"/>
  <c r="D10" i="3"/>
  <c r="C17" i="3"/>
  <c r="M29" i="10"/>
  <c r="L29" i="10"/>
  <c r="K29" i="10"/>
  <c r="H29" i="10"/>
  <c r="G29" i="10"/>
  <c r="E29" i="10"/>
  <c r="M28" i="10"/>
  <c r="K28" i="10"/>
  <c r="H28" i="10"/>
  <c r="L28" i="10" s="1"/>
  <c r="G28" i="10"/>
  <c r="E28" i="10"/>
  <c r="M27" i="10"/>
  <c r="L27" i="10"/>
  <c r="K27" i="10"/>
  <c r="H27" i="10"/>
  <c r="G27" i="10"/>
  <c r="E27" i="10"/>
  <c r="M26" i="10"/>
  <c r="K26" i="10"/>
  <c r="H26" i="10"/>
  <c r="L26" i="10" s="1"/>
  <c r="G26" i="10"/>
  <c r="E26" i="10"/>
  <c r="M25" i="10"/>
  <c r="L25" i="10"/>
  <c r="K25" i="10"/>
  <c r="H25" i="10"/>
  <c r="G25" i="10"/>
  <c r="E25" i="10"/>
  <c r="M24" i="10"/>
  <c r="K24" i="10"/>
  <c r="H24" i="10"/>
  <c r="L24" i="10" s="1"/>
  <c r="G24" i="10"/>
  <c r="E24" i="10"/>
  <c r="M23" i="10"/>
  <c r="L23" i="10"/>
  <c r="K23" i="10"/>
  <c r="H23" i="10"/>
  <c r="G23" i="10"/>
  <c r="E23" i="10"/>
  <c r="M22" i="10"/>
  <c r="K22" i="10"/>
  <c r="H22" i="10"/>
  <c r="L22" i="10" s="1"/>
  <c r="G22" i="10"/>
  <c r="E22" i="10"/>
  <c r="M21" i="10"/>
  <c r="L21" i="10"/>
  <c r="K21" i="10"/>
  <c r="H21" i="10"/>
  <c r="G21" i="10"/>
  <c r="E21" i="10"/>
  <c r="M20" i="10"/>
  <c r="K20" i="10"/>
  <c r="H20" i="10"/>
  <c r="L20" i="10" s="1"/>
  <c r="G20" i="10"/>
  <c r="E20" i="10"/>
  <c r="M19" i="10"/>
  <c r="L19" i="10"/>
  <c r="K19" i="10"/>
  <c r="H19" i="10"/>
  <c r="G19" i="10"/>
  <c r="E19" i="10"/>
  <c r="M18" i="10"/>
  <c r="K18" i="10"/>
  <c r="H18" i="10"/>
  <c r="L18" i="10" s="1"/>
  <c r="G18" i="10"/>
  <c r="E18" i="10"/>
  <c r="M17" i="10"/>
  <c r="L17" i="10"/>
  <c r="K17" i="10"/>
  <c r="H17" i="10"/>
  <c r="G17" i="10"/>
  <c r="E17" i="10"/>
  <c r="M16" i="10"/>
  <c r="K16" i="10"/>
  <c r="H16" i="10"/>
  <c r="L16" i="10" s="1"/>
  <c r="G16" i="10"/>
  <c r="E16" i="10"/>
  <c r="M15" i="10"/>
  <c r="L15" i="10"/>
  <c r="K15" i="10"/>
  <c r="H15" i="10"/>
  <c r="G15" i="10"/>
  <c r="E15" i="10"/>
  <c r="M14" i="10"/>
  <c r="K14" i="10"/>
  <c r="H14" i="10"/>
  <c r="L14" i="10" s="1"/>
  <c r="G14" i="10"/>
  <c r="E14" i="10"/>
  <c r="M13" i="10"/>
  <c r="L13" i="10"/>
  <c r="K13" i="10"/>
  <c r="H13" i="10"/>
  <c r="G13" i="10"/>
  <c r="E13" i="10"/>
  <c r="M12" i="10"/>
  <c r="K12" i="10"/>
  <c r="H12" i="10"/>
  <c r="L12" i="10" s="1"/>
  <c r="G12" i="10"/>
  <c r="E12" i="10"/>
  <c r="M11" i="10"/>
  <c r="L11" i="10"/>
  <c r="K11" i="10"/>
  <c r="H11" i="10"/>
  <c r="G11" i="10"/>
  <c r="E11" i="10"/>
  <c r="M10" i="10"/>
  <c r="K10" i="10"/>
  <c r="H10" i="10"/>
  <c r="L10" i="10" s="1"/>
  <c r="G10" i="10"/>
  <c r="E10" i="10"/>
  <c r="M9" i="10"/>
  <c r="L9" i="10"/>
  <c r="K9" i="10"/>
  <c r="H9" i="10"/>
  <c r="G9" i="10"/>
  <c r="E9" i="10"/>
  <c r="M8" i="10"/>
  <c r="K8" i="10"/>
  <c r="H8" i="10"/>
  <c r="L8" i="10" s="1"/>
  <c r="G8" i="10"/>
  <c r="E8" i="10"/>
  <c r="M7" i="10"/>
  <c r="L7" i="10"/>
  <c r="K7" i="10"/>
  <c r="H7" i="10"/>
  <c r="G7" i="10"/>
  <c r="E7" i="10"/>
  <c r="M6" i="10"/>
  <c r="K6" i="10"/>
  <c r="H6" i="10"/>
  <c r="L6" i="10" s="1"/>
  <c r="G6" i="10"/>
  <c r="E6" i="10"/>
  <c r="M5" i="10"/>
  <c r="L5" i="10"/>
  <c r="M31" i="10" s="1"/>
  <c r="K5" i="10"/>
  <c r="H5" i="10"/>
  <c r="G5" i="10"/>
  <c r="E5" i="10"/>
  <c r="M29" i="11"/>
  <c r="K29" i="11"/>
  <c r="G29" i="11"/>
  <c r="H29" i="11" s="1"/>
  <c r="L29" i="11" s="1"/>
  <c r="E29" i="11"/>
  <c r="M28" i="11"/>
  <c r="K28" i="11"/>
  <c r="H28" i="11"/>
  <c r="L28" i="11" s="1"/>
  <c r="G28" i="11"/>
  <c r="E28" i="11"/>
  <c r="M27" i="11"/>
  <c r="K27" i="11"/>
  <c r="G27" i="11"/>
  <c r="H27" i="11" s="1"/>
  <c r="L27" i="11" s="1"/>
  <c r="E27" i="11"/>
  <c r="M26" i="11"/>
  <c r="K26" i="11"/>
  <c r="H26" i="11"/>
  <c r="L26" i="11" s="1"/>
  <c r="G26" i="11"/>
  <c r="E26" i="11"/>
  <c r="M25" i="11"/>
  <c r="K25" i="11"/>
  <c r="G25" i="11"/>
  <c r="H25" i="11" s="1"/>
  <c r="L25" i="11" s="1"/>
  <c r="E25" i="11"/>
  <c r="M24" i="11"/>
  <c r="K24" i="11"/>
  <c r="H24" i="11"/>
  <c r="L24" i="11" s="1"/>
  <c r="G24" i="11"/>
  <c r="E24" i="11"/>
  <c r="M23" i="11"/>
  <c r="K23" i="11"/>
  <c r="G23" i="11"/>
  <c r="H23" i="11" s="1"/>
  <c r="L23" i="11" s="1"/>
  <c r="E23" i="11"/>
  <c r="M22" i="11"/>
  <c r="K22" i="11"/>
  <c r="H22" i="11"/>
  <c r="L22" i="11" s="1"/>
  <c r="G22" i="11"/>
  <c r="E22" i="11"/>
  <c r="M21" i="11"/>
  <c r="K21" i="11"/>
  <c r="G21" i="11"/>
  <c r="H21" i="11" s="1"/>
  <c r="L21" i="11" s="1"/>
  <c r="E21" i="11"/>
  <c r="M20" i="11"/>
  <c r="K20" i="11"/>
  <c r="H20" i="11"/>
  <c r="L20" i="11" s="1"/>
  <c r="G20" i="11"/>
  <c r="E20" i="11"/>
  <c r="M19" i="11"/>
  <c r="K19" i="11"/>
  <c r="G19" i="11"/>
  <c r="H19" i="11" s="1"/>
  <c r="L19" i="11" s="1"/>
  <c r="E19" i="11"/>
  <c r="M18" i="11"/>
  <c r="K18" i="11"/>
  <c r="H18" i="11"/>
  <c r="L18" i="11" s="1"/>
  <c r="G18" i="11"/>
  <c r="E18" i="11"/>
  <c r="M17" i="11"/>
  <c r="K17" i="11"/>
  <c r="G17" i="11"/>
  <c r="H17" i="11" s="1"/>
  <c r="L17" i="11" s="1"/>
  <c r="E17" i="11"/>
  <c r="M16" i="11"/>
  <c r="K16" i="11"/>
  <c r="H16" i="11"/>
  <c r="L16" i="11" s="1"/>
  <c r="G16" i="11"/>
  <c r="E16" i="11"/>
  <c r="M15" i="11"/>
  <c r="K15" i="11"/>
  <c r="G15" i="11"/>
  <c r="H15" i="11" s="1"/>
  <c r="L15" i="11" s="1"/>
  <c r="E15" i="11"/>
  <c r="M14" i="11"/>
  <c r="K14" i="11"/>
  <c r="H14" i="11"/>
  <c r="L14" i="11" s="1"/>
  <c r="G14" i="11"/>
  <c r="E14" i="11"/>
  <c r="M13" i="11"/>
  <c r="K13" i="11"/>
  <c r="G13" i="11"/>
  <c r="H13" i="11" s="1"/>
  <c r="L13" i="11" s="1"/>
  <c r="E13" i="11"/>
  <c r="M12" i="11"/>
  <c r="K12" i="11"/>
  <c r="H12" i="11"/>
  <c r="L12" i="11" s="1"/>
  <c r="G12" i="11"/>
  <c r="E12" i="11"/>
  <c r="M11" i="11"/>
  <c r="K11" i="11"/>
  <c r="G11" i="11"/>
  <c r="H11" i="11" s="1"/>
  <c r="L11" i="11" s="1"/>
  <c r="E11" i="11"/>
  <c r="M10" i="11"/>
  <c r="K10" i="11"/>
  <c r="H10" i="11"/>
  <c r="L10" i="11" s="1"/>
  <c r="G10" i="11"/>
  <c r="E10" i="11"/>
  <c r="M9" i="11"/>
  <c r="K9" i="11"/>
  <c r="G9" i="11"/>
  <c r="H9" i="11" s="1"/>
  <c r="L9" i="11" s="1"/>
  <c r="E9" i="11"/>
  <c r="M8" i="11"/>
  <c r="K8" i="11"/>
  <c r="H8" i="11"/>
  <c r="L8" i="11" s="1"/>
  <c r="G8" i="11"/>
  <c r="E8" i="11"/>
  <c r="M7" i="11"/>
  <c r="K7" i="11"/>
  <c r="G7" i="11"/>
  <c r="H7" i="11" s="1"/>
  <c r="L7" i="11" s="1"/>
  <c r="E7" i="11"/>
  <c r="M6" i="11"/>
  <c r="K6" i="11"/>
  <c r="H6" i="11"/>
  <c r="L6" i="11" s="1"/>
  <c r="G6" i="11"/>
  <c r="E6" i="11"/>
  <c r="M5" i="11"/>
  <c r="K5" i="11"/>
  <c r="M32" i="11" s="1"/>
  <c r="G5" i="11"/>
  <c r="H5" i="11" s="1"/>
  <c r="L5" i="11" s="1"/>
  <c r="E5" i="11"/>
  <c r="M29" i="12"/>
  <c r="L29" i="12"/>
  <c r="K29" i="12"/>
  <c r="H29" i="12"/>
  <c r="G29" i="12"/>
  <c r="E29" i="12"/>
  <c r="M28" i="12"/>
  <c r="K28" i="12"/>
  <c r="H28" i="12"/>
  <c r="L28" i="12" s="1"/>
  <c r="G28" i="12"/>
  <c r="E28" i="12"/>
  <c r="M27" i="12"/>
  <c r="L27" i="12"/>
  <c r="K27" i="12"/>
  <c r="H27" i="12"/>
  <c r="G27" i="12"/>
  <c r="E27" i="12"/>
  <c r="M26" i="12"/>
  <c r="K26" i="12"/>
  <c r="H26" i="12"/>
  <c r="L26" i="12" s="1"/>
  <c r="G26" i="12"/>
  <c r="E26" i="12"/>
  <c r="M25" i="12"/>
  <c r="L25" i="12"/>
  <c r="K25" i="12"/>
  <c r="H25" i="12"/>
  <c r="G25" i="12"/>
  <c r="E25" i="12"/>
  <c r="M24" i="12"/>
  <c r="K24" i="12"/>
  <c r="H24" i="12"/>
  <c r="L24" i="12" s="1"/>
  <c r="G24" i="12"/>
  <c r="E24" i="12"/>
  <c r="M23" i="12"/>
  <c r="L23" i="12"/>
  <c r="K23" i="12"/>
  <c r="H23" i="12"/>
  <c r="G23" i="12"/>
  <c r="E23" i="12"/>
  <c r="M22" i="12"/>
  <c r="K22" i="12"/>
  <c r="H22" i="12"/>
  <c r="L22" i="12" s="1"/>
  <c r="G22" i="12"/>
  <c r="E22" i="12"/>
  <c r="M21" i="12"/>
  <c r="L21" i="12"/>
  <c r="K21" i="12"/>
  <c r="H21" i="12"/>
  <c r="G21" i="12"/>
  <c r="E21" i="12"/>
  <c r="M20" i="12"/>
  <c r="K20" i="12"/>
  <c r="H20" i="12"/>
  <c r="L20" i="12" s="1"/>
  <c r="G20" i="12"/>
  <c r="E20" i="12"/>
  <c r="M19" i="12"/>
  <c r="L19" i="12"/>
  <c r="K19" i="12"/>
  <c r="H19" i="12"/>
  <c r="G19" i="12"/>
  <c r="E19" i="12"/>
  <c r="M18" i="12"/>
  <c r="K18" i="12"/>
  <c r="H18" i="12"/>
  <c r="L18" i="12" s="1"/>
  <c r="G18" i="12"/>
  <c r="E18" i="12"/>
  <c r="M17" i="12"/>
  <c r="L17" i="12"/>
  <c r="K17" i="12"/>
  <c r="H17" i="12"/>
  <c r="G17" i="12"/>
  <c r="E17" i="12"/>
  <c r="M16" i="12"/>
  <c r="K16" i="12"/>
  <c r="H16" i="12"/>
  <c r="L16" i="12" s="1"/>
  <c r="G16" i="12"/>
  <c r="E16" i="12"/>
  <c r="M15" i="12"/>
  <c r="L15" i="12"/>
  <c r="K15" i="12"/>
  <c r="H15" i="12"/>
  <c r="G15" i="12"/>
  <c r="E15" i="12"/>
  <c r="M14" i="12"/>
  <c r="K14" i="12"/>
  <c r="H14" i="12"/>
  <c r="L14" i="12" s="1"/>
  <c r="G14" i="12"/>
  <c r="E14" i="12"/>
  <c r="M13" i="12"/>
  <c r="L13" i="12"/>
  <c r="K13" i="12"/>
  <c r="H13" i="12"/>
  <c r="G13" i="12"/>
  <c r="E13" i="12"/>
  <c r="M12" i="12"/>
  <c r="K12" i="12"/>
  <c r="H12" i="12"/>
  <c r="L12" i="12" s="1"/>
  <c r="G12" i="12"/>
  <c r="E12" i="12"/>
  <c r="M11" i="12"/>
  <c r="L11" i="12"/>
  <c r="K11" i="12"/>
  <c r="H11" i="12"/>
  <c r="G11" i="12"/>
  <c r="E11" i="12"/>
  <c r="M10" i="12"/>
  <c r="K10" i="12"/>
  <c r="H10" i="12"/>
  <c r="L10" i="12" s="1"/>
  <c r="G10" i="12"/>
  <c r="E10" i="12"/>
  <c r="M9" i="12"/>
  <c r="L9" i="12"/>
  <c r="K9" i="12"/>
  <c r="H9" i="12"/>
  <c r="G9" i="12"/>
  <c r="E9" i="12"/>
  <c r="M8" i="12"/>
  <c r="K8" i="12"/>
  <c r="H8" i="12"/>
  <c r="L8" i="12" s="1"/>
  <c r="G8" i="12"/>
  <c r="E8" i="12"/>
  <c r="M7" i="12"/>
  <c r="L7" i="12"/>
  <c r="K7" i="12"/>
  <c r="H7" i="12"/>
  <c r="G7" i="12"/>
  <c r="E7" i="12"/>
  <c r="M6" i="12"/>
  <c r="K6" i="12"/>
  <c r="H6" i="12"/>
  <c r="L6" i="12" s="1"/>
  <c r="G6" i="12"/>
  <c r="E6" i="12"/>
  <c r="M5" i="12"/>
  <c r="L5" i="12"/>
  <c r="K5" i="12"/>
  <c r="H5" i="12"/>
  <c r="G5" i="12"/>
  <c r="E5" i="12"/>
  <c r="E6" i="13"/>
  <c r="E5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K29" i="13"/>
  <c r="G29" i="13"/>
  <c r="H29" i="13" s="1"/>
  <c r="L29" i="13" s="1"/>
  <c r="M28" i="13"/>
  <c r="K28" i="13"/>
  <c r="H28" i="13"/>
  <c r="G28" i="13"/>
  <c r="M27" i="13"/>
  <c r="K27" i="13"/>
  <c r="G27" i="13"/>
  <c r="H27" i="13" s="1"/>
  <c r="K26" i="13"/>
  <c r="H26" i="13"/>
  <c r="L26" i="13" s="1"/>
  <c r="M26" i="13" s="1"/>
  <c r="G26" i="13"/>
  <c r="K25" i="13"/>
  <c r="G25" i="13"/>
  <c r="H25" i="13" s="1"/>
  <c r="L25" i="13" s="1"/>
  <c r="M25" i="13" s="1"/>
  <c r="K24" i="13"/>
  <c r="G24" i="13"/>
  <c r="H24" i="13" s="1"/>
  <c r="M23" i="13"/>
  <c r="K23" i="13"/>
  <c r="G23" i="13"/>
  <c r="H23" i="13" s="1"/>
  <c r="L23" i="13" s="1"/>
  <c r="M24" i="13" s="1"/>
  <c r="K22" i="13"/>
  <c r="G22" i="13"/>
  <c r="H22" i="13" s="1"/>
  <c r="K21" i="13"/>
  <c r="G21" i="13"/>
  <c r="H21" i="13" s="1"/>
  <c r="M20" i="13"/>
  <c r="K20" i="13"/>
  <c r="G20" i="13"/>
  <c r="H20" i="13" s="1"/>
  <c r="M19" i="13"/>
  <c r="K19" i="13"/>
  <c r="G19" i="13"/>
  <c r="H19" i="13" s="1"/>
  <c r="K18" i="13"/>
  <c r="G18" i="13"/>
  <c r="H18" i="13" s="1"/>
  <c r="L18" i="13" s="1"/>
  <c r="M18" i="13" s="1"/>
  <c r="K17" i="13"/>
  <c r="G17" i="13"/>
  <c r="H17" i="13" s="1"/>
  <c r="K16" i="13"/>
  <c r="H16" i="13"/>
  <c r="L16" i="13" s="1"/>
  <c r="G16" i="13"/>
  <c r="M15" i="13"/>
  <c r="K15" i="13"/>
  <c r="G15" i="13"/>
  <c r="H15" i="13" s="1"/>
  <c r="M14" i="13"/>
  <c r="K14" i="13"/>
  <c r="G14" i="13"/>
  <c r="H14" i="13" s="1"/>
  <c r="M13" i="13"/>
  <c r="K13" i="13"/>
  <c r="G13" i="13"/>
  <c r="H13" i="13" s="1"/>
  <c r="K12" i="13"/>
  <c r="G12" i="13"/>
  <c r="H12" i="13" s="1"/>
  <c r="L12" i="13" s="1"/>
  <c r="M11" i="13"/>
  <c r="K11" i="13"/>
  <c r="G11" i="13"/>
  <c r="H11" i="13" s="1"/>
  <c r="K10" i="13"/>
  <c r="G10" i="13"/>
  <c r="H10" i="13" s="1"/>
  <c r="K9" i="13"/>
  <c r="G9" i="13"/>
  <c r="H9" i="13" s="1"/>
  <c r="K8" i="13"/>
  <c r="H8" i="13"/>
  <c r="G8" i="13"/>
  <c r="M7" i="13"/>
  <c r="K7" i="13"/>
  <c r="G7" i="13"/>
  <c r="H7" i="13" s="1"/>
  <c r="M6" i="13"/>
  <c r="K6" i="13"/>
  <c r="G6" i="13"/>
  <c r="H6" i="13" s="1"/>
  <c r="L6" i="13" s="1"/>
  <c r="M5" i="13"/>
  <c r="K5" i="13"/>
  <c r="G5" i="13"/>
  <c r="H5" i="13" s="1"/>
  <c r="L5" i="13" s="1"/>
  <c r="M5" i="9"/>
  <c r="M6" i="9"/>
  <c r="M7" i="9"/>
  <c r="M11" i="9"/>
  <c r="M13" i="9"/>
  <c r="M14" i="9"/>
  <c r="M15" i="9"/>
  <c r="M19" i="9"/>
  <c r="M20" i="9"/>
  <c r="M23" i="9"/>
  <c r="M27" i="9"/>
  <c r="M28" i="9"/>
  <c r="G5" i="9"/>
  <c r="G29" i="9"/>
  <c r="H29" i="9" s="1"/>
  <c r="G28" i="9"/>
  <c r="H28" i="9" s="1"/>
  <c r="G27" i="9"/>
  <c r="H27" i="9" s="1"/>
  <c r="L27" i="9" s="1"/>
  <c r="G26" i="9"/>
  <c r="G25" i="9"/>
  <c r="H25" i="9" s="1"/>
  <c r="G24" i="9"/>
  <c r="H24" i="9" s="1"/>
  <c r="L24" i="9" s="1"/>
  <c r="G23" i="9"/>
  <c r="H23" i="9" s="1"/>
  <c r="G22" i="9"/>
  <c r="H22" i="9" s="1"/>
  <c r="G21" i="9"/>
  <c r="H21" i="9" s="1"/>
  <c r="G20" i="9"/>
  <c r="G19" i="9"/>
  <c r="H19" i="9" s="1"/>
  <c r="L19" i="9" s="1"/>
  <c r="G18" i="9"/>
  <c r="H18" i="9" s="1"/>
  <c r="G17" i="9"/>
  <c r="G16" i="9"/>
  <c r="G15" i="9"/>
  <c r="G14" i="9"/>
  <c r="G13" i="9"/>
  <c r="G12" i="9"/>
  <c r="G11" i="9"/>
  <c r="G10" i="9"/>
  <c r="G9" i="9"/>
  <c r="G8" i="9"/>
  <c r="G7" i="9"/>
  <c r="G6" i="9"/>
  <c r="H26" i="9"/>
  <c r="H20" i="9"/>
  <c r="L20" i="9"/>
  <c r="D29" i="3" l="1"/>
  <c r="M31" i="12"/>
  <c r="L11" i="13"/>
  <c r="M12" i="13" s="1"/>
  <c r="L14" i="13"/>
  <c r="L20" i="13"/>
  <c r="L13" i="13"/>
  <c r="M16" i="13" s="1"/>
  <c r="L19" i="13"/>
  <c r="M21" i="13" s="1"/>
  <c r="L22" i="13"/>
  <c r="M22" i="13" s="1"/>
  <c r="L28" i="13"/>
  <c r="L8" i="13"/>
  <c r="L10" i="13"/>
  <c r="M10" i="13" s="1"/>
  <c r="L24" i="13"/>
  <c r="L27" i="13"/>
  <c r="L7" i="13"/>
  <c r="L9" i="13"/>
  <c r="M9" i="13" s="1"/>
  <c r="L15" i="13"/>
  <c r="L17" i="13"/>
  <c r="M17" i="13" s="1"/>
  <c r="L21" i="13"/>
  <c r="M8" i="13"/>
  <c r="M29" i="13"/>
  <c r="L21" i="9"/>
  <c r="M21" i="9" s="1"/>
  <c r="L25" i="9"/>
  <c r="M25" i="9" s="1"/>
  <c r="D51" i="3" s="1"/>
  <c r="L29" i="9"/>
  <c r="L23" i="9"/>
  <c r="M24" i="9" s="1"/>
  <c r="L26" i="9"/>
  <c r="M26" i="9" s="1"/>
  <c r="L28" i="9"/>
  <c r="M29" i="9" s="1"/>
  <c r="L18" i="9"/>
  <c r="M18" i="9" s="1"/>
  <c r="L22" i="9"/>
  <c r="M22" i="9" s="1"/>
  <c r="D50" i="3" l="1"/>
  <c r="M31" i="13"/>
  <c r="M32" i="9" l="1"/>
  <c r="D31" i="3" s="1"/>
  <c r="H6" i="4" s="1"/>
  <c r="H5" i="9"/>
  <c r="L5" i="9" s="1"/>
  <c r="H7" i="9"/>
  <c r="L7" i="9" s="1"/>
  <c r="H8" i="9"/>
  <c r="L8" i="9" s="1"/>
  <c r="H9" i="9"/>
  <c r="L9" i="9" s="1"/>
  <c r="M9" i="9" s="1"/>
  <c r="H10" i="9"/>
  <c r="L10" i="9" s="1"/>
  <c r="M10" i="9" s="1"/>
  <c r="H11" i="9"/>
  <c r="L11" i="9" s="1"/>
  <c r="H12" i="9"/>
  <c r="L12" i="9" s="1"/>
  <c r="H13" i="9"/>
  <c r="L13" i="9" s="1"/>
  <c r="H14" i="9"/>
  <c r="L14" i="9" s="1"/>
  <c r="H15" i="9"/>
  <c r="L15" i="9" s="1"/>
  <c r="H16" i="9"/>
  <c r="L16" i="9" s="1"/>
  <c r="H17" i="9"/>
  <c r="L17" i="9" s="1"/>
  <c r="M17" i="9" s="1"/>
  <c r="H6" i="9"/>
  <c r="L6" i="9" s="1"/>
  <c r="M12" i="9" l="1"/>
  <c r="M8" i="9"/>
  <c r="M16" i="9"/>
  <c r="M31" i="9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D48" i="3" l="1"/>
  <c r="D30" i="3"/>
  <c r="D52" i="3"/>
  <c r="D37" i="3"/>
  <c r="D9" i="3"/>
  <c r="D17" i="3" s="1"/>
  <c r="H5" i="4" s="1"/>
  <c r="H4" i="4" s="1"/>
  <c r="H7" i="4" s="1"/>
  <c r="H8" i="4" s="1"/>
  <c r="E5" i="8"/>
  <c r="E6" i="8"/>
  <c r="G6" i="8" s="1"/>
  <c r="H6" i="8" s="1"/>
  <c r="E7" i="8"/>
  <c r="G7" i="8" s="1"/>
  <c r="H7" i="8" s="1"/>
  <c r="E8" i="8"/>
  <c r="G8" i="8" s="1"/>
  <c r="H8" i="8" s="1"/>
  <c r="E9" i="8"/>
  <c r="E10" i="8"/>
  <c r="E11" i="8"/>
  <c r="G11" i="8" s="1"/>
  <c r="H11" i="8" s="1"/>
  <c r="E12" i="8"/>
  <c r="G12" i="8" s="1"/>
  <c r="H12" i="8" s="1"/>
  <c r="E13" i="8"/>
  <c r="G13" i="8" s="1"/>
  <c r="H13" i="8" s="1"/>
  <c r="E14" i="8"/>
  <c r="G14" i="8" s="1"/>
  <c r="H14" i="8" s="1"/>
  <c r="E15" i="8"/>
  <c r="G15" i="8" s="1"/>
  <c r="H15" i="8" s="1"/>
  <c r="E16" i="8"/>
  <c r="G16" i="8" s="1"/>
  <c r="H16" i="8" s="1"/>
  <c r="E17" i="8"/>
  <c r="G17" i="8" s="1"/>
  <c r="H17" i="8" s="1"/>
  <c r="E18" i="8"/>
  <c r="G18" i="8" s="1"/>
  <c r="H18" i="8" s="1"/>
  <c r="E19" i="8"/>
  <c r="G19" i="8" s="1"/>
  <c r="H19" i="8" s="1"/>
  <c r="E20" i="8"/>
  <c r="G20" i="8" s="1"/>
  <c r="H20" i="8" s="1"/>
  <c r="E21" i="8"/>
  <c r="G21" i="8" s="1"/>
  <c r="H21" i="8" s="1"/>
  <c r="E22" i="8"/>
  <c r="G22" i="8" s="1"/>
  <c r="H22" i="8" s="1"/>
  <c r="E23" i="8"/>
  <c r="G23" i="8" s="1"/>
  <c r="H23" i="8" s="1"/>
  <c r="E24" i="8"/>
  <c r="G24" i="8" s="1"/>
  <c r="H24" i="8" s="1"/>
  <c r="E25" i="8"/>
  <c r="E26" i="8"/>
  <c r="G26" i="8" s="1"/>
  <c r="H26" i="8" s="1"/>
  <c r="E27" i="8"/>
  <c r="G27" i="8" s="1"/>
  <c r="H27" i="8" s="1"/>
  <c r="E28" i="8"/>
  <c r="G28" i="8" s="1"/>
  <c r="H28" i="8" s="1"/>
  <c r="G5" i="8"/>
  <c r="H5" i="8" s="1"/>
  <c r="G10" i="8"/>
  <c r="H10" i="8" s="1"/>
  <c r="G25" i="8"/>
  <c r="H25" i="8" s="1"/>
  <c r="G9" i="8"/>
  <c r="H9" i="8" s="1"/>
  <c r="E11" i="7"/>
  <c r="I8" i="6" l="1"/>
  <c r="I12" i="6"/>
  <c r="I16" i="6"/>
  <c r="I20" i="6"/>
  <c r="I24" i="6"/>
  <c r="I5" i="6"/>
  <c r="I6" i="6"/>
  <c r="I7" i="6"/>
  <c r="I9" i="6"/>
  <c r="I10" i="6"/>
  <c r="I11" i="6"/>
  <c r="I13" i="6"/>
  <c r="I14" i="6"/>
  <c r="I15" i="6"/>
  <c r="I17" i="6"/>
  <c r="I18" i="6"/>
  <c r="I19" i="6"/>
  <c r="I21" i="6"/>
  <c r="I22" i="6"/>
  <c r="I23" i="6"/>
  <c r="I25" i="6"/>
  <c r="I26" i="6"/>
  <c r="I28" i="6" l="1"/>
  <c r="H11" i="4" s="1"/>
  <c r="H10" i="4" s="1"/>
  <c r="H14" i="4" s="1"/>
  <c r="H20" i="4" s="1"/>
  <c r="H22" i="4" s="1"/>
  <c r="H24" i="4" s="1"/>
  <c r="G31" i="2"/>
  <c r="G21" i="2"/>
  <c r="G14" i="2"/>
  <c r="G6" i="2"/>
  <c r="G32" i="2" l="1"/>
  <c r="G33" i="2"/>
</calcChain>
</file>

<file path=xl/comments1.xml><?xml version="1.0" encoding="utf-8"?>
<comments xmlns="http://schemas.openxmlformats.org/spreadsheetml/2006/main">
  <authors>
    <author>Cliente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Cliente:</t>
        </r>
        <r>
          <rPr>
            <sz val="9"/>
            <color indexed="81"/>
            <rFont val="Tahoma"/>
            <family val="2"/>
          </rPr>
          <t xml:space="preserve">
Colocar descrição da despesa na coluna de observação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Cliente:</t>
        </r>
        <r>
          <rPr>
            <sz val="9"/>
            <color indexed="81"/>
            <rFont val="Tahoma"/>
            <family val="2"/>
          </rPr>
          <t xml:space="preserve">
Colocar descrição da despesa na coluna de observação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Cliente:</t>
        </r>
        <r>
          <rPr>
            <sz val="9"/>
            <color indexed="81"/>
            <rFont val="Tahoma"/>
            <family val="2"/>
          </rPr>
          <t xml:space="preserve">
Colocar descrição da despesa na coluna de observação
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>Cliente:</t>
        </r>
        <r>
          <rPr>
            <sz val="9"/>
            <color indexed="81"/>
            <rFont val="Tahoma"/>
            <family val="2"/>
          </rPr>
          <t xml:space="preserve">
Colocar descrição da despesa na coluna de observação
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Cliente:</t>
        </r>
        <r>
          <rPr>
            <sz val="9"/>
            <color indexed="81"/>
            <rFont val="Tahoma"/>
            <family val="2"/>
          </rPr>
          <t xml:space="preserve">
Imposto de 15%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Cliente:</t>
        </r>
        <r>
          <rPr>
            <sz val="9"/>
            <color indexed="81"/>
            <rFont val="Tahoma"/>
            <family val="2"/>
          </rPr>
          <t xml:space="preserve">
Imposto de 30%
</t>
        </r>
      </text>
    </comment>
  </commentList>
</comments>
</file>

<file path=xl/sharedStrings.xml><?xml version="1.0" encoding="utf-8"?>
<sst xmlns="http://schemas.openxmlformats.org/spreadsheetml/2006/main" count="388" uniqueCount="154">
  <si>
    <t>Manutenção de Equipamentos</t>
  </si>
  <si>
    <t>Impostos</t>
  </si>
  <si>
    <t>Limpeza</t>
  </si>
  <si>
    <t>Aluguel Loja</t>
  </si>
  <si>
    <t>Seguros</t>
  </si>
  <si>
    <t>Outros</t>
  </si>
  <si>
    <t>Vendas</t>
  </si>
  <si>
    <t>Receita Líquida</t>
  </si>
  <si>
    <t>Salários</t>
  </si>
  <si>
    <t>Bonificações</t>
  </si>
  <si>
    <t>Vales (Refeição, Transporte)</t>
  </si>
  <si>
    <t>Informática</t>
  </si>
  <si>
    <t>Despesas Funcionamento (água, luz, gás, telefone, etc.)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</si>
  <si>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</si>
  <si>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</si>
  <si>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</si>
  <si>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</si>
  <si>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</si>
  <si>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</si>
  <si>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</si>
  <si>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</si>
  <si>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</si>
  <si>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</si>
  <si>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</si>
  <si>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</si>
  <si>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</si>
  <si>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</si>
  <si>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</si>
  <si>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</si>
  <si>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</si>
  <si>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</si>
  <si>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</si>
  <si>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</si>
  <si>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</si>
  <si>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</si>
  <si>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</si>
  <si>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</si>
  <si>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</si>
  <si>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</si>
  <si>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</si>
  <si>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</si>
  <si>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</si>
  <si>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Data</t>
  </si>
  <si>
    <t>Observação</t>
  </si>
  <si>
    <t>Valor Intermediário</t>
  </si>
  <si>
    <t>Valor Final</t>
  </si>
  <si>
    <t>Funcionários</t>
  </si>
  <si>
    <t>Água</t>
  </si>
  <si>
    <t>Luz</t>
  </si>
  <si>
    <t>Gás</t>
  </si>
  <si>
    <t>Telefone</t>
  </si>
  <si>
    <t>Férias, Licença Maternidade</t>
  </si>
  <si>
    <t>Total de Despesas Funcionamento</t>
  </si>
  <si>
    <t>Compras de Mercadorias</t>
  </si>
  <si>
    <t>Fornecedor</t>
  </si>
  <si>
    <t>Mercadoria</t>
  </si>
  <si>
    <t>Medida</t>
  </si>
  <si>
    <t>Quantidade</t>
  </si>
  <si>
    <t>Preço Unitário</t>
  </si>
  <si>
    <t>Desconto</t>
  </si>
  <si>
    <t>Valor Pago</t>
  </si>
  <si>
    <t>Produtos</t>
  </si>
  <si>
    <t>Preço de Compra Unitário</t>
  </si>
  <si>
    <t>Preço de Venda Unitário</t>
  </si>
  <si>
    <t>Unidade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</si>
  <si>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</si>
  <si>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</si>
  <si>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</si>
  <si>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</si>
  <si>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</si>
  <si>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</si>
  <si>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</si>
  <si>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</si>
  <si>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</si>
  <si>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</si>
  <si>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</si>
  <si>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</si>
  <si>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</si>
  <si>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</si>
  <si>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</si>
  <si>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</si>
  <si>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</si>
  <si>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</si>
  <si>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</si>
  <si>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</si>
  <si>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>Total de Compra de Mercadorias</t>
  </si>
  <si>
    <t>Total de Despesas</t>
  </si>
  <si>
    <t>Investimento</t>
  </si>
  <si>
    <t>Investimento Inicial</t>
  </si>
  <si>
    <t>Equipamentos(Carrinhos, Balanças, Cortador de Queijo, etc)</t>
  </si>
  <si>
    <t>Estrutura(Estantes, Prateleiras, Etc.)</t>
  </si>
  <si>
    <t>Descrição</t>
  </si>
  <si>
    <t>Valor</t>
  </si>
  <si>
    <t>Documentação, Sistema de Informação, Estrutura Inicial, Sistema de Refrigeração, Equipamentos</t>
  </si>
  <si>
    <t>Controle de Estoque</t>
  </si>
  <si>
    <t>Produto</t>
  </si>
  <si>
    <t>Data da ultima compra</t>
  </si>
  <si>
    <t>Quantidade Inicial</t>
  </si>
  <si>
    <t>Quantidade Comprada</t>
  </si>
  <si>
    <t>Quantidade Vendida</t>
  </si>
  <si>
    <t>Quantidade Atual</t>
  </si>
  <si>
    <t>Situação</t>
  </si>
  <si>
    <t>Vendas Semana 1</t>
  </si>
  <si>
    <t>ID da venda</t>
  </si>
  <si>
    <t>Subtotal</t>
  </si>
  <si>
    <t>Entrega</t>
  </si>
  <si>
    <t>Valor de Entrega</t>
  </si>
  <si>
    <t>Total</t>
  </si>
  <si>
    <t>Total para o Cliente</t>
  </si>
  <si>
    <t>Regiões de Entrega</t>
  </si>
  <si>
    <t>Preço</t>
  </si>
  <si>
    <t>Centro</t>
  </si>
  <si>
    <t>Loja</t>
  </si>
  <si>
    <t>Zona Norte</t>
  </si>
  <si>
    <t>Zona Oeste</t>
  </si>
  <si>
    <t>Zona Sul</t>
  </si>
  <si>
    <t>Receita de Vendas na Semana</t>
  </si>
  <si>
    <t>Receita de Entregas</t>
  </si>
  <si>
    <t>Vendas Semana 5</t>
  </si>
  <si>
    <t>Vendas Semana 4</t>
  </si>
  <si>
    <t>Vendas Semana 3</t>
  </si>
  <si>
    <t>Vendas Semana 2</t>
  </si>
  <si>
    <t>Ticket Médio</t>
  </si>
  <si>
    <t>Quantidade de Venda por Região</t>
  </si>
  <si>
    <t>Total de Vendas Semana 1</t>
  </si>
  <si>
    <t>Total de Vendas Semana 2</t>
  </si>
  <si>
    <t>Total de Vendas Semana 3</t>
  </si>
  <si>
    <t>Total de Vendas Semana 4</t>
  </si>
  <si>
    <t>Total de Vendas Semana 5</t>
  </si>
  <si>
    <t>Julho</t>
  </si>
  <si>
    <t>Receita Entregas (R$)</t>
  </si>
  <si>
    <t>Vendas por Entrega (%)</t>
  </si>
  <si>
    <t>Vendas por Entrega (R$)</t>
  </si>
  <si>
    <t>Número de Vendas</t>
  </si>
  <si>
    <t>Número de Vendas Semana 1</t>
  </si>
  <si>
    <t>Total de Receitas</t>
  </si>
  <si>
    <t>Receita Mercadorias</t>
  </si>
  <si>
    <t>Receita das Entregas</t>
  </si>
  <si>
    <t>Imposto sobre Receita</t>
  </si>
  <si>
    <t>Despesas Mecadorias</t>
  </si>
  <si>
    <t>Despesas Funcionamento</t>
  </si>
  <si>
    <t>Resultado Bruto</t>
  </si>
  <si>
    <t>Investimentos</t>
  </si>
  <si>
    <t>Depreciação e Amortização</t>
  </si>
  <si>
    <t>Resultado antes do Imposto</t>
  </si>
  <si>
    <t>Imposto</t>
  </si>
  <si>
    <t>Resultado Líquido</t>
  </si>
  <si>
    <t>Total Investimentos</t>
  </si>
  <si>
    <t>Resultados</t>
  </si>
  <si>
    <t>Rótulos de Linha</t>
  </si>
  <si>
    <t>Total Geral</t>
  </si>
  <si>
    <t>Soma de Quantidade</t>
  </si>
  <si>
    <t>Soma de Total</t>
  </si>
  <si>
    <t>Soma de Valor de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</si>
</sst>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 vertical="center"/>
    </xf>
    <xf numFmtId="164" fontId="0" fillId="0" borderId="0" xfId="1" applyFont="1"/>
    <xf numFmtId="164" fontId="0" fillId="0" borderId="0" xfId="1" applyNumberFormat="1" applyFont="1"/>
    <xf numFmtId="9" fontId="0" fillId="0" borderId="0" xfId="2" applyFont="1"/>
    <xf numFmtId="0" fontId="2" fillId="0" borderId="0" xfId="0" applyFont="1"/>
    <xf numFmtId="0" fontId="4" fillId="3" borderId="0" xfId="0" applyFont="1" applyFill="1"/>
    <xf numFmtId="0" fontId="4" fillId="3" borderId="1" xfId="0" applyFont="1" applyFill="1" applyBorder="1"/>
    <xf numFmtId="0" fontId="4" fillId="3" borderId="0" xfId="0" applyFont="1" applyFill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4" fontId="4" fillId="3" borderId="1" xfId="1" applyFont="1" applyFill="1" applyBorder="1"/>
    <xf numFmtId="0" fontId="5" fillId="3" borderId="0" xfId="0" applyFont="1" applyFill="1"/>
    <xf numFmtId="164" fontId="5" fillId="3" borderId="0" xfId="1" applyFont="1" applyFill="1"/>
    <xf numFmtId="164" fontId="4" fillId="3" borderId="0" xfId="1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4" borderId="0" xfId="0" applyFill="1" applyAlignment="1">
      <alignment horizontal="left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/>
    </xf>
    <xf numFmtId="0" fontId="6" fillId="0" borderId="0" xfId="0" applyFont="1"/>
    <xf numFmtId="0" fontId="0" fillId="0" borderId="0" xfId="0" applyNumberFormat="1"/>
    <xf numFmtId="164" fontId="2" fillId="0" borderId="0" xfId="1" applyFont="1"/>
    <xf numFmtId="0" fontId="7" fillId="0" borderId="0" xfId="0" applyFont="1"/>
    <xf numFmtId="0" fontId="3" fillId="6" borderId="1" xfId="0" applyFont="1" applyFill="1" applyBorder="1"/>
    <xf numFmtId="164" fontId="3" fillId="6" borderId="1" xfId="1" applyFont="1" applyFill="1" applyBorder="1"/>
    <xf numFmtId="14" fontId="0" fillId="0" borderId="3" xfId="0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 applyBorder="1"/>
    <xf numFmtId="0" fontId="9" fillId="0" borderId="12" xfId="0" applyFont="1" applyBorder="1"/>
    <xf numFmtId="0" fontId="9" fillId="0" borderId="1" xfId="0" applyFont="1" applyBorder="1"/>
    <xf numFmtId="0" fontId="9" fillId="0" borderId="13" xfId="0" applyFont="1" applyBorder="1"/>
    <xf numFmtId="164" fontId="9" fillId="0" borderId="13" xfId="0" applyNumberFormat="1" applyFont="1" applyBorder="1"/>
    <xf numFmtId="0" fontId="10" fillId="0" borderId="12" xfId="0" applyFont="1" applyBorder="1"/>
    <xf numFmtId="164" fontId="10" fillId="0" borderId="12" xfId="0" applyNumberFormat="1" applyFont="1" applyBorder="1"/>
    <xf numFmtId="0" fontId="10" fillId="0" borderId="1" xfId="0" applyFont="1" applyBorder="1"/>
    <xf numFmtId="164" fontId="10" fillId="0" borderId="1" xfId="0" applyNumberFormat="1" applyFont="1" applyBorder="1"/>
    <xf numFmtId="0" fontId="10" fillId="0" borderId="13" xfId="0" applyFont="1" applyBorder="1"/>
    <xf numFmtId="164" fontId="10" fillId="0" borderId="13" xfId="0" applyNumberFormat="1" applyFont="1" applyBorder="1"/>
    <xf numFmtId="0" fontId="8" fillId="0" borderId="0" xfId="0" applyFont="1" applyBorder="1"/>
    <xf numFmtId="164" fontId="8" fillId="0" borderId="0" xfId="0" applyNumberFormat="1" applyFont="1" applyBorder="1"/>
    <xf numFmtId="0" fontId="8" fillId="0" borderId="0" xfId="0" applyFont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18" xfId="0" applyBorder="1"/>
    <xf numFmtId="0" fontId="3" fillId="6" borderId="1" xfId="1" applyNumberFormat="1" applyFont="1" applyFill="1" applyBorder="1"/>
    <xf numFmtId="164" fontId="9" fillId="0" borderId="0" xfId="1" applyFont="1" applyBorder="1"/>
    <xf numFmtId="9" fontId="9" fillId="0" borderId="12" xfId="2" applyFont="1" applyBorder="1"/>
    <xf numFmtId="164" fontId="9" fillId="0" borderId="1" xfId="1" applyFont="1" applyBorder="1"/>
    <xf numFmtId="0" fontId="9" fillId="0" borderId="0" xfId="0" applyFont="1"/>
    <xf numFmtId="0" fontId="11" fillId="0" borderId="0" xfId="0" applyFont="1"/>
    <xf numFmtId="164" fontId="11" fillId="0" borderId="0" xfId="1" applyFont="1"/>
    <xf numFmtId="0" fontId="11" fillId="0" borderId="12" xfId="0" applyFont="1" applyBorder="1"/>
    <xf numFmtId="164" fontId="11" fillId="0" borderId="12" xfId="1" applyFont="1" applyBorder="1"/>
    <xf numFmtId="0" fontId="11" fillId="0" borderId="19" xfId="0" applyFont="1" applyBorder="1"/>
    <xf numFmtId="164" fontId="11" fillId="0" borderId="19" xfId="1" applyFont="1" applyBorder="1"/>
    <xf numFmtId="0" fontId="11" fillId="0" borderId="20" xfId="0" applyFont="1" applyBorder="1"/>
    <xf numFmtId="164" fontId="11" fillId="0" borderId="20" xfId="1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43">
    <dxf>
      <font>
        <color auto="1"/>
      </font>
      <fill>
        <patternFill>
          <bgColor rgb="FFF92F07"/>
        </patternFill>
      </fill>
    </dxf>
    <dxf>
      <font>
        <color auto="1"/>
      </font>
      <fill>
        <patternFill>
          <bgColor rgb="FFFFFF00"/>
        </patternFill>
      </fill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164" formatCode="_-&quot;R$&quot;* #,##0.00_-;\-&quot;R$&quot;* #,##0.00_-;_-&quot;R$&quot;* &quot;-&quot;??_-;_-@_-"/>
    </dxf>
    <dxf>
      <font>
        <b/>
      </font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</font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</font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</font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</font>
      <numFmt numFmtId="164" formatCode="_-&quot;R$&quot;* #,##0.00_-;\-&quot;R$&quot;* #,##0.00_-;_-&quot;R$&quot;* &quot;-&quot;??_-;_-@_-"/>
    </dxf>
    <dxf>
      <numFmt numFmtId="16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92F07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Vendas!$C$9:$C$13</c:f>
              <c:strCache>
                <c:ptCount val="5"/>
                <c:pt idx="0">
                  <c:v>Total de Vendas Semana 1</c:v>
                </c:pt>
                <c:pt idx="1">
                  <c:v>Total de Vendas Semana 2</c:v>
                </c:pt>
                <c:pt idx="2">
                  <c:v>Total de Vendas Semana 3</c:v>
                </c:pt>
                <c:pt idx="3">
                  <c:v>Total de Vendas Semana 4</c:v>
                </c:pt>
                <c:pt idx="4">
                  <c:v>Total de Vendas Semana 5</c:v>
                </c:pt>
              </c:strCache>
            </c:strRef>
          </c:cat>
          <c:val>
            <c:numRef>
              <c:f>Vendas!$D$9:$D$13</c:f>
              <c:numCache>
                <c:formatCode>_-"R$"* #,##0.00_-;\-"R$"* #,##0.00_-;_-"R$"* "-"??_-;_-@_-</c:formatCode>
                <c:ptCount val="5"/>
                <c:pt idx="0">
                  <c:v>670.84630000000016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045248"/>
        <c:axId val="109046784"/>
      </c:barChart>
      <c:catAx>
        <c:axId val="1090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46784"/>
        <c:crosses val="autoZero"/>
        <c:auto val="1"/>
        <c:lblAlgn val="ctr"/>
        <c:lblOffset val="100"/>
        <c:noMultiLvlLbl val="0"/>
      </c:catAx>
      <c:valAx>
        <c:axId val="109046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Vendas!$C$30:$C$31</c:f>
              <c:strCache>
                <c:ptCount val="2"/>
                <c:pt idx="0">
                  <c:v>Vendas por Entrega (R$)</c:v>
                </c:pt>
                <c:pt idx="1">
                  <c:v>Receita Entregas (R$)</c:v>
                </c:pt>
              </c:strCache>
            </c:strRef>
          </c:cat>
          <c:val>
            <c:numRef>
              <c:f>Vendas!$D$30:$D$31</c:f>
              <c:numCache>
                <c:formatCode>_-"R$"* #,##0.00_-;\-"R$"* #,##0.00_-;_-"R$"* "-"??_-;_-@_-</c:formatCode>
                <c:ptCount val="2"/>
                <c:pt idx="0">
                  <c:v>344.45630000000006</c:v>
                </c:pt>
                <c:pt idx="1">
                  <c:v>40.5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9132800"/>
        <c:axId val="109163264"/>
      </c:barChart>
      <c:catAx>
        <c:axId val="109132800"/>
        <c:scaling>
          <c:orientation val="minMax"/>
        </c:scaling>
        <c:delete val="0"/>
        <c:axPos val="l"/>
        <c:majorTickMark val="none"/>
        <c:minorTickMark val="none"/>
        <c:tickLblPos val="nextTo"/>
        <c:crossAx val="109163264"/>
        <c:crosses val="autoZero"/>
        <c:auto val="1"/>
        <c:lblAlgn val="ctr"/>
        <c:lblOffset val="100"/>
        <c:noMultiLvlLbl val="0"/>
      </c:catAx>
      <c:valAx>
        <c:axId val="109163264"/>
        <c:scaling>
          <c:orientation val="minMax"/>
        </c:scaling>
        <c:delete val="0"/>
        <c:axPos val="b"/>
        <c:numFmt formatCode="_-&quot;R$&quot;* #,##0.00_-;\-&quot;R$&quot;* #,##0.00_-;_-&quot;R$&quot;* &quot;-&quot;??_-;_-@_-" sourceLinked="1"/>
        <c:majorTickMark val="none"/>
        <c:minorTickMark val="none"/>
        <c:tickLblPos val="nextTo"/>
        <c:crossAx val="10913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Vendas!$C$48:$C$52</c:f>
              <c:strCache>
                <c:ptCount val="5"/>
                <c:pt idx="0">
                  <c:v>Loja</c:v>
                </c:pt>
                <c:pt idx="1">
                  <c:v>Centro</c:v>
                </c:pt>
                <c:pt idx="2">
                  <c:v>Zona Norte</c:v>
                </c:pt>
                <c:pt idx="3">
                  <c:v>Zona Oeste</c:v>
                </c:pt>
                <c:pt idx="4">
                  <c:v>Zona Sul</c:v>
                </c:pt>
              </c:strCache>
            </c:strRef>
          </c:cat>
          <c:val>
            <c:numRef>
              <c:f>Vendas!$D$48:$D$52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mpras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jpe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452368</xdr:colOff>
      <xdr:row>30</xdr:row>
      <xdr:rowOff>9524</xdr:rowOff>
    </xdr:to>
    <xdr:pic>
      <xdr:nvPicPr>
        <xdr:cNvPr id="12" name="Imagem 1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243" b="14576"/>
        <a:stretch/>
      </xdr:blipFill>
      <xdr:spPr>
        <a:xfrm>
          <a:off x="0" y="0"/>
          <a:ext cx="12710629" cy="5724524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twoCellAnchor>
  <xdr:twoCellAnchor>
    <xdr:from>
      <xdr:col>0</xdr:col>
      <xdr:colOff>164646</xdr:colOff>
      <xdr:row>23</xdr:row>
      <xdr:rowOff>136071</xdr:rowOff>
    </xdr:from>
    <xdr:to>
      <xdr:col>3</xdr:col>
      <xdr:colOff>114300</xdr:colOff>
      <xdr:row>26</xdr:row>
      <xdr:rowOff>97971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164646" y="4517571"/>
          <a:ext cx="1786618" cy="533400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Despesas</a:t>
          </a:r>
        </a:p>
      </xdr:txBody>
    </xdr:sp>
    <xdr:clientData/>
  </xdr:twoCellAnchor>
  <xdr:twoCellAnchor>
    <xdr:from>
      <xdr:col>3</xdr:col>
      <xdr:colOff>436789</xdr:colOff>
      <xdr:row>23</xdr:row>
      <xdr:rowOff>137431</xdr:rowOff>
    </xdr:from>
    <xdr:to>
      <xdr:col>6</xdr:col>
      <xdr:colOff>386442</xdr:colOff>
      <xdr:row>26</xdr:row>
      <xdr:rowOff>99331</xdr:rowOff>
    </xdr:to>
    <xdr:sp macro="" textlink="">
      <xdr:nvSpPr>
        <xdr:cNvPr id="4" name="Retângulo 3">
          <a:hlinkClick xmlns:r="http://schemas.openxmlformats.org/officeDocument/2006/relationships" r:id="rId3"/>
        </xdr:cNvPr>
        <xdr:cNvSpPr/>
      </xdr:nvSpPr>
      <xdr:spPr>
        <a:xfrm>
          <a:off x="2273753" y="4518931"/>
          <a:ext cx="1786618" cy="533400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Compras Mercadorias</a:t>
          </a:r>
        </a:p>
      </xdr:txBody>
    </xdr:sp>
    <xdr:clientData/>
  </xdr:twoCellAnchor>
  <xdr:twoCellAnchor>
    <xdr:from>
      <xdr:col>7</xdr:col>
      <xdr:colOff>163285</xdr:colOff>
      <xdr:row>23</xdr:row>
      <xdr:rowOff>136071</xdr:rowOff>
    </xdr:from>
    <xdr:to>
      <xdr:col>10</xdr:col>
      <xdr:colOff>112939</xdr:colOff>
      <xdr:row>26</xdr:row>
      <xdr:rowOff>97971</xdr:rowOff>
    </xdr:to>
    <xdr:sp macro="" textlink="">
      <xdr:nvSpPr>
        <xdr:cNvPr id="5" name="Retângulo 4">
          <a:hlinkClick xmlns:r="http://schemas.openxmlformats.org/officeDocument/2006/relationships" r:id="rId4"/>
        </xdr:cNvPr>
        <xdr:cNvSpPr/>
      </xdr:nvSpPr>
      <xdr:spPr>
        <a:xfrm>
          <a:off x="4449535" y="4517571"/>
          <a:ext cx="1786618" cy="533400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Investimentos</a:t>
          </a:r>
        </a:p>
      </xdr:txBody>
    </xdr:sp>
    <xdr:clientData/>
  </xdr:twoCellAnchor>
  <xdr:twoCellAnchor>
    <xdr:from>
      <xdr:col>10</xdr:col>
      <xdr:colOff>472168</xdr:colOff>
      <xdr:row>23</xdr:row>
      <xdr:rowOff>114300</xdr:rowOff>
    </xdr:from>
    <xdr:to>
      <xdr:col>13</xdr:col>
      <xdr:colOff>421821</xdr:colOff>
      <xdr:row>26</xdr:row>
      <xdr:rowOff>76200</xdr:rowOff>
    </xdr:to>
    <xdr:sp macro="" textlink="">
      <xdr:nvSpPr>
        <xdr:cNvPr id="6" name="Retângulo 5">
          <a:hlinkClick xmlns:r="http://schemas.openxmlformats.org/officeDocument/2006/relationships" r:id="rId5"/>
        </xdr:cNvPr>
        <xdr:cNvSpPr/>
      </xdr:nvSpPr>
      <xdr:spPr>
        <a:xfrm>
          <a:off x="6595382" y="4495800"/>
          <a:ext cx="1786618" cy="533400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Controle de Estoque</a:t>
          </a:r>
        </a:p>
      </xdr:txBody>
    </xdr:sp>
    <xdr:clientData/>
  </xdr:twoCellAnchor>
  <xdr:twoCellAnchor>
    <xdr:from>
      <xdr:col>14</xdr:col>
      <xdr:colOff>190499</xdr:colOff>
      <xdr:row>23</xdr:row>
      <xdr:rowOff>136073</xdr:rowOff>
    </xdr:from>
    <xdr:to>
      <xdr:col>17</xdr:col>
      <xdr:colOff>140153</xdr:colOff>
      <xdr:row>26</xdr:row>
      <xdr:rowOff>97973</xdr:rowOff>
    </xdr:to>
    <xdr:sp macro="" textlink="">
      <xdr:nvSpPr>
        <xdr:cNvPr id="7" name="Retângulo 6">
          <a:hlinkClick xmlns:r="http://schemas.openxmlformats.org/officeDocument/2006/relationships" r:id="rId6"/>
        </xdr:cNvPr>
        <xdr:cNvSpPr/>
      </xdr:nvSpPr>
      <xdr:spPr>
        <a:xfrm>
          <a:off x="8762999" y="4517573"/>
          <a:ext cx="1786618" cy="533400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Resultados</a:t>
          </a:r>
        </a:p>
      </xdr:txBody>
    </xdr:sp>
    <xdr:clientData/>
  </xdr:twoCellAnchor>
  <xdr:twoCellAnchor>
    <xdr:from>
      <xdr:col>17</xdr:col>
      <xdr:colOff>451993</xdr:colOff>
      <xdr:row>23</xdr:row>
      <xdr:rowOff>133112</xdr:rowOff>
    </xdr:from>
    <xdr:to>
      <xdr:col>20</xdr:col>
      <xdr:colOff>401646</xdr:colOff>
      <xdr:row>26</xdr:row>
      <xdr:rowOff>95012</xdr:rowOff>
    </xdr:to>
    <xdr:sp macro="" textlink="">
      <xdr:nvSpPr>
        <xdr:cNvPr id="8" name="Retângulo 7">
          <a:hlinkClick xmlns:r="http://schemas.openxmlformats.org/officeDocument/2006/relationships" r:id="rId7"/>
        </xdr:cNvPr>
        <xdr:cNvSpPr/>
      </xdr:nvSpPr>
      <xdr:spPr>
        <a:xfrm>
          <a:off x="10871515" y="4514612"/>
          <a:ext cx="1788392" cy="533400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Vendas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414618</xdr:colOff>
      <xdr:row>3</xdr:row>
      <xdr:rowOff>33617</xdr:rowOff>
    </xdr:from>
    <xdr:to>
      <xdr:col>0</xdr:col>
      <xdr:colOff>1792941</xdr:colOff>
      <xdr:row>4</xdr:row>
      <xdr:rowOff>168088</xdr:rowOff>
    </xdr:to>
    <xdr:sp macro="[0]!Excluir_Registro" textlink="">
      <xdr:nvSpPr>
        <xdr:cNvPr id="2" name="Retângulo 1"/>
        <xdr:cNvSpPr/>
      </xdr:nvSpPr>
      <xdr:spPr>
        <a:xfrm>
          <a:off x="414618" y="997323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Excluir Registro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414618</xdr:colOff>
      <xdr:row>5</xdr:row>
      <xdr:rowOff>179294</xdr:rowOff>
    </xdr:from>
    <xdr:to>
      <xdr:col>0</xdr:col>
      <xdr:colOff>1792941</xdr:colOff>
      <xdr:row>7</xdr:row>
      <xdr:rowOff>123265</xdr:rowOff>
    </xdr:to>
    <xdr:sp macro="[0]!InserirVenda" textlink="">
      <xdr:nvSpPr>
        <xdr:cNvPr id="3" name="Retângulo 2"/>
        <xdr:cNvSpPr/>
      </xdr:nvSpPr>
      <xdr:spPr>
        <a:xfrm>
          <a:off x="414618" y="1524000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Nova Venda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437029</xdr:colOff>
      <xdr:row>8</xdr:row>
      <xdr:rowOff>134470</xdr:rowOff>
    </xdr:from>
    <xdr:to>
      <xdr:col>0</xdr:col>
      <xdr:colOff>1815352</xdr:colOff>
      <xdr:row>10</xdr:row>
      <xdr:rowOff>78441</xdr:rowOff>
    </xdr:to>
    <xdr:sp macro="[0]!NovoProduto" textlink="">
      <xdr:nvSpPr>
        <xdr:cNvPr id="4" name="Retângulo 3"/>
        <xdr:cNvSpPr/>
      </xdr:nvSpPr>
      <xdr:spPr>
        <a:xfrm>
          <a:off x="437029" y="2050676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Novo Produto</a:t>
          </a:r>
        </a:p>
        <a:p>
          <a:pPr algn="ctr"/>
          <a:endParaRPr lang="pt-B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369794</xdr:colOff>
      <xdr:row>3</xdr:row>
      <xdr:rowOff>100853</xdr:rowOff>
    </xdr:from>
    <xdr:to>
      <xdr:col>0</xdr:col>
      <xdr:colOff>1748117</xdr:colOff>
      <xdr:row>5</xdr:row>
      <xdr:rowOff>44824</xdr:rowOff>
    </xdr:to>
    <xdr:sp macro="[0]!Excluir_Registro" textlink="">
      <xdr:nvSpPr>
        <xdr:cNvPr id="2" name="Retângulo 1"/>
        <xdr:cNvSpPr/>
      </xdr:nvSpPr>
      <xdr:spPr>
        <a:xfrm>
          <a:off x="369794" y="1064559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Excluir Registro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369794</xdr:colOff>
      <xdr:row>6</xdr:row>
      <xdr:rowOff>56030</xdr:rowOff>
    </xdr:from>
    <xdr:to>
      <xdr:col>0</xdr:col>
      <xdr:colOff>1748117</xdr:colOff>
      <xdr:row>8</xdr:row>
      <xdr:rowOff>1</xdr:rowOff>
    </xdr:to>
    <xdr:sp macro="[0]!InserirVenda" textlink="">
      <xdr:nvSpPr>
        <xdr:cNvPr id="3" name="Retângulo 2"/>
        <xdr:cNvSpPr/>
      </xdr:nvSpPr>
      <xdr:spPr>
        <a:xfrm>
          <a:off x="369794" y="1591236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Nova Venda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392205</xdr:colOff>
      <xdr:row>9</xdr:row>
      <xdr:rowOff>11206</xdr:rowOff>
    </xdr:from>
    <xdr:to>
      <xdr:col>0</xdr:col>
      <xdr:colOff>1770528</xdr:colOff>
      <xdr:row>10</xdr:row>
      <xdr:rowOff>145677</xdr:rowOff>
    </xdr:to>
    <xdr:sp macro="[0]!NovoProduto" textlink="">
      <xdr:nvSpPr>
        <xdr:cNvPr id="4" name="Retângulo 3"/>
        <xdr:cNvSpPr/>
      </xdr:nvSpPr>
      <xdr:spPr>
        <a:xfrm>
          <a:off x="392205" y="2117912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Novo Produto</a:t>
          </a:r>
        </a:p>
        <a:p>
          <a:pPr algn="ctr"/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347382</xdr:colOff>
      <xdr:row>3</xdr:row>
      <xdr:rowOff>11206</xdr:rowOff>
    </xdr:from>
    <xdr:to>
      <xdr:col>0</xdr:col>
      <xdr:colOff>1725705</xdr:colOff>
      <xdr:row>4</xdr:row>
      <xdr:rowOff>145677</xdr:rowOff>
    </xdr:to>
    <xdr:sp macro="[0]!Excluir_Registro" textlink="">
      <xdr:nvSpPr>
        <xdr:cNvPr id="2" name="Retângulo 1"/>
        <xdr:cNvSpPr/>
      </xdr:nvSpPr>
      <xdr:spPr>
        <a:xfrm>
          <a:off x="347382" y="974912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Excluir Registro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347382</xdr:colOff>
      <xdr:row>5</xdr:row>
      <xdr:rowOff>156883</xdr:rowOff>
    </xdr:from>
    <xdr:to>
      <xdr:col>0</xdr:col>
      <xdr:colOff>1725705</xdr:colOff>
      <xdr:row>7</xdr:row>
      <xdr:rowOff>100854</xdr:rowOff>
    </xdr:to>
    <xdr:sp macro="[0]!InserirVenda" textlink="">
      <xdr:nvSpPr>
        <xdr:cNvPr id="3" name="Retângulo 2"/>
        <xdr:cNvSpPr/>
      </xdr:nvSpPr>
      <xdr:spPr>
        <a:xfrm>
          <a:off x="347382" y="1501589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Nova Venda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369793</xdr:colOff>
      <xdr:row>8</xdr:row>
      <xdr:rowOff>112059</xdr:rowOff>
    </xdr:from>
    <xdr:to>
      <xdr:col>0</xdr:col>
      <xdr:colOff>1748116</xdr:colOff>
      <xdr:row>10</xdr:row>
      <xdr:rowOff>56030</xdr:rowOff>
    </xdr:to>
    <xdr:sp macro="[0]!NovoProduto" textlink="">
      <xdr:nvSpPr>
        <xdr:cNvPr id="4" name="Retângulo 3"/>
        <xdr:cNvSpPr/>
      </xdr:nvSpPr>
      <xdr:spPr>
        <a:xfrm>
          <a:off x="369793" y="2028265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Novo Produto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38100</xdr:rowOff>
    </xdr:from>
    <xdr:to>
      <xdr:col>4</xdr:col>
      <xdr:colOff>1514475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991350" y="228600"/>
          <a:ext cx="123825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28575</xdr:rowOff>
    </xdr:from>
    <xdr:to>
      <xdr:col>5</xdr:col>
      <xdr:colOff>619125</xdr:colOff>
      <xdr:row>1</xdr:row>
      <xdr:rowOff>314325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591300" y="219075"/>
          <a:ext cx="123825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</a:t>
          </a:r>
        </a:p>
      </xdr:txBody>
    </xdr:sp>
    <xdr:clientData/>
  </xdr:twoCellAnchor>
  <xdr:twoCellAnchor>
    <xdr:from>
      <xdr:col>9</xdr:col>
      <xdr:colOff>171450</xdr:colOff>
      <xdr:row>3</xdr:row>
      <xdr:rowOff>19050</xdr:rowOff>
    </xdr:from>
    <xdr:to>
      <xdr:col>11</xdr:col>
      <xdr:colOff>76200</xdr:colOff>
      <xdr:row>4</xdr:row>
      <xdr:rowOff>133350</xdr:rowOff>
    </xdr:to>
    <xdr:sp macro="[0]!Inserir_Compra" textlink="">
      <xdr:nvSpPr>
        <xdr:cNvPr id="3" name="Retângulo 2"/>
        <xdr:cNvSpPr/>
      </xdr:nvSpPr>
      <xdr:spPr>
        <a:xfrm>
          <a:off x="11172825" y="990600"/>
          <a:ext cx="112395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Inserir Compra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2790265</xdr:colOff>
      <xdr:row>1</xdr:row>
      <xdr:rowOff>22412</xdr:rowOff>
    </xdr:from>
    <xdr:to>
      <xdr:col>3</xdr:col>
      <xdr:colOff>4028515</xdr:colOff>
      <xdr:row>1</xdr:row>
      <xdr:rowOff>308162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8438030" y="212912"/>
          <a:ext cx="123825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28575</xdr:rowOff>
    </xdr:from>
    <xdr:to>
      <xdr:col>5</xdr:col>
      <xdr:colOff>1323975</xdr:colOff>
      <xdr:row>1</xdr:row>
      <xdr:rowOff>314325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829425" y="219075"/>
          <a:ext cx="123825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38100</xdr:rowOff>
    </xdr:from>
    <xdr:to>
      <xdr:col>7</xdr:col>
      <xdr:colOff>1590675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6800850" y="228600"/>
          <a:ext cx="123825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6</xdr:row>
      <xdr:rowOff>4762</xdr:rowOff>
    </xdr:from>
    <xdr:to>
      <xdr:col>10</xdr:col>
      <xdr:colOff>657224</xdr:colOff>
      <xdr:row>18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112059</xdr:colOff>
      <xdr:row>27</xdr:row>
      <xdr:rowOff>146795</xdr:rowOff>
    </xdr:from>
    <xdr:to>
      <xdr:col>10</xdr:col>
      <xdr:colOff>33617</xdr:colOff>
      <xdr:row>38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44824</xdr:colOff>
      <xdr:row>42</xdr:row>
      <xdr:rowOff>34737</xdr:rowOff>
    </xdr:from>
    <xdr:to>
      <xdr:col>10</xdr:col>
      <xdr:colOff>728381</xdr:colOff>
      <xdr:row>52</xdr:row>
      <xdr:rowOff>145677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649940</xdr:colOff>
      <xdr:row>1</xdr:row>
      <xdr:rowOff>56030</xdr:rowOff>
    </xdr:from>
    <xdr:to>
      <xdr:col>6</xdr:col>
      <xdr:colOff>902073</xdr:colOff>
      <xdr:row>1</xdr:row>
      <xdr:rowOff>341780</xdr:rowOff>
    </xdr:to>
    <xdr:sp macro="" textlink="">
      <xdr:nvSpPr>
        <xdr:cNvPr id="5" name="Retângulo 4">
          <a:hlinkClick xmlns:r="http://schemas.openxmlformats.org/officeDocument/2006/relationships" r:id="rId4"/>
        </xdr:cNvPr>
        <xdr:cNvSpPr/>
      </xdr:nvSpPr>
      <xdr:spPr>
        <a:xfrm>
          <a:off x="8505264" y="246530"/>
          <a:ext cx="123825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4</xdr:row>
      <xdr:rowOff>11205</xdr:rowOff>
    </xdr:from>
    <xdr:to>
      <xdr:col>0</xdr:col>
      <xdr:colOff>1501588</xdr:colOff>
      <xdr:row>5</xdr:row>
      <xdr:rowOff>145676</xdr:rowOff>
    </xdr:to>
    <xdr:sp macro="[0]!Excluir_Registro" textlink="">
      <xdr:nvSpPr>
        <xdr:cNvPr id="2" name="Retângulo 1"/>
        <xdr:cNvSpPr/>
      </xdr:nvSpPr>
      <xdr:spPr>
        <a:xfrm>
          <a:off x="123265" y="1165411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Excluir Registro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123265</xdr:colOff>
      <xdr:row>6</xdr:row>
      <xdr:rowOff>156882</xdr:rowOff>
    </xdr:from>
    <xdr:to>
      <xdr:col>0</xdr:col>
      <xdr:colOff>1501588</xdr:colOff>
      <xdr:row>8</xdr:row>
      <xdr:rowOff>100853</xdr:rowOff>
    </xdr:to>
    <xdr:sp macro="[0]!InserirVenda" textlink="">
      <xdr:nvSpPr>
        <xdr:cNvPr id="3" name="Retângulo 2"/>
        <xdr:cNvSpPr/>
      </xdr:nvSpPr>
      <xdr:spPr>
        <a:xfrm>
          <a:off x="123265" y="1692088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Nova Venda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145676</xdr:colOff>
      <xdr:row>9</xdr:row>
      <xdr:rowOff>112058</xdr:rowOff>
    </xdr:from>
    <xdr:to>
      <xdr:col>0</xdr:col>
      <xdr:colOff>1523999</xdr:colOff>
      <xdr:row>11</xdr:row>
      <xdr:rowOff>56029</xdr:rowOff>
    </xdr:to>
    <xdr:sp macro="[0]!NovoProduto" textlink="">
      <xdr:nvSpPr>
        <xdr:cNvPr id="4" name="Retângulo 3"/>
        <xdr:cNvSpPr/>
      </xdr:nvSpPr>
      <xdr:spPr>
        <a:xfrm>
          <a:off x="145676" y="2218764"/>
          <a:ext cx="1378323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Novo Produto</a:t>
          </a:r>
        </a:p>
        <a:p>
          <a:pPr algn="ctr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235324</xdr:colOff>
      <xdr:row>3</xdr:row>
      <xdr:rowOff>44823</xdr:rowOff>
    </xdr:from>
    <xdr:to>
      <xdr:col>0</xdr:col>
      <xdr:colOff>1613646</xdr:colOff>
      <xdr:row>4</xdr:row>
      <xdr:rowOff>179294</xdr:rowOff>
    </xdr:to>
    <xdr:sp macro="[0]!Excluir_Registro" textlink="">
      <xdr:nvSpPr>
        <xdr:cNvPr id="2" name="Retângulo 1"/>
        <xdr:cNvSpPr/>
      </xdr:nvSpPr>
      <xdr:spPr>
        <a:xfrm>
          <a:off x="235324" y="1008529"/>
          <a:ext cx="1378322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Excluir Registro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235324</xdr:colOff>
      <xdr:row>6</xdr:row>
      <xdr:rowOff>0</xdr:rowOff>
    </xdr:from>
    <xdr:to>
      <xdr:col>0</xdr:col>
      <xdr:colOff>1613646</xdr:colOff>
      <xdr:row>7</xdr:row>
      <xdr:rowOff>134471</xdr:rowOff>
    </xdr:to>
    <xdr:sp macro="[0]!InserirVenda" textlink="">
      <xdr:nvSpPr>
        <xdr:cNvPr id="3" name="Retângulo 2"/>
        <xdr:cNvSpPr/>
      </xdr:nvSpPr>
      <xdr:spPr>
        <a:xfrm>
          <a:off x="235324" y="1535206"/>
          <a:ext cx="1378322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Nova Venda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257735</xdr:colOff>
      <xdr:row>8</xdr:row>
      <xdr:rowOff>145676</xdr:rowOff>
    </xdr:from>
    <xdr:to>
      <xdr:col>0</xdr:col>
      <xdr:colOff>1636057</xdr:colOff>
      <xdr:row>10</xdr:row>
      <xdr:rowOff>89647</xdr:rowOff>
    </xdr:to>
    <xdr:sp macro="[0]!NovoProduto" textlink="">
      <xdr:nvSpPr>
        <xdr:cNvPr id="4" name="Retângulo 3"/>
        <xdr:cNvSpPr/>
      </xdr:nvSpPr>
      <xdr:spPr>
        <a:xfrm>
          <a:off x="257735" y="2061882"/>
          <a:ext cx="1378322" cy="324971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Novo Produto</a:t>
          </a:r>
        </a:p>
        <a:p>
          <a:pPr algn="ctr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9f52b14-8617-4821-badf-34b4867d065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espesas"/>
      <sheetName val="Compras Mercadorias"/>
      <sheetName val="Controle de Estoque"/>
      <sheetName val="Investimentos"/>
      <sheetName val="Resultados"/>
      <sheetName val="Vendas"/>
      <sheetName val="Sem1"/>
      <sheetName val="Análise Sem1"/>
      <sheetName val="Sem2"/>
      <sheetName val="Análise Sem2"/>
      <sheetName val="Sem3"/>
      <sheetName val="Sem4"/>
      <sheetName val="Sem5"/>
      <sheetName val="Plan1"/>
      <sheetName val="cálcul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ente" refreshedDate="43905.686609722223" createdVersion="4" refreshedVersion="4" minRefreshableVersion="3" recordCount="25">
  <cacheSource type="worksheet">
    <worksheetSource name="Tabela5"/>
  </cacheSource>
  <cacheFields count="12">
    <cacheField name="ID da venda" numFmtId="0">
      <sharedItems containsSemiMixedTypes="0" containsString="0" containsNumber="1" containsInteger="1" minValue="1" maxValue="13"/>
    </cacheField>
    <cacheField name="Data" numFmtId="14">
      <sharedItems containsSemiMixedTypes="0" containsNonDate="0" containsDate="1" containsString="0" minDate="2015-07-02T00:00:00" maxDate="2015-07-06T00:00:00" count="4">
        <d v="2015-07-05T00:00:00"/>
        <d v="2015-07-04T00:00:00"/>
        <d v="2015-07-03T00:00:00"/>
        <d v="2015-07-02T00:00:00"/>
      </sharedItems>
    </cacheField>
    <cacheField name="Produto" numFmtId="0">
      <sharedItems count="13">
        <s v="Amendoim"/>
        <s v="Caixa de Fósforo"/>
        <s v="Carne"/>
        <s v="Cerveja"/>
        <s v="Feijão"/>
        <s v="Refrigerante"/>
        <s v="Pão de Forma"/>
        <s v="Vagem"/>
        <s v="Queijo"/>
        <s v="Alface"/>
        <s v="Bala"/>
        <s v="Arroz"/>
        <s v="Leite"/>
      </sharedItems>
    </cacheField>
    <cacheField name="Medida" numFmtId="0">
      <sharedItems/>
    </cacheField>
    <cacheField name="Quantidade" numFmtId="0">
      <sharedItems containsSemiMixedTypes="0" containsString="0" containsNumber="1" minValue="1" maxValue="24"/>
    </cacheField>
    <cacheField name="Preço Unitário" numFmtId="164">
      <sharedItems containsSemiMixedTypes="0" containsString="0" containsNumber="1" minValue="0.79" maxValue="25.9"/>
    </cacheField>
    <cacheField name="Subtotal" numFmtId="164">
      <sharedItems containsSemiMixedTypes="0" containsString="0" containsNumber="1" minValue="0.79" maxValue="159"/>
    </cacheField>
    <cacheField name="Desconto" numFmtId="9">
      <sharedItems containsString="0" containsBlank="1" containsNumber="1" minValue="0.03" maxValue="0.03"/>
    </cacheField>
    <cacheField name="Entrega" numFmtId="0">
      <sharedItems count="4">
        <s v="Zona Sul"/>
        <s v="Loja"/>
        <s v="Zona Norte"/>
        <s v="Zona Oeste"/>
      </sharedItems>
    </cacheField>
    <cacheField name="Valor de Entrega" numFmtId="164">
      <sharedItems containsSemiMixedTypes="0" containsString="0" containsNumber="1" minValue="0" maxValue="8"/>
    </cacheField>
    <cacheField name="Total" numFmtId="164">
      <sharedItems containsSemiMixedTypes="0" containsString="0" containsNumber="1" minValue="0.76629999999999998" maxValue="159"/>
    </cacheField>
    <cacheField name="Total para o Cliente" numFmtId="164">
      <sharedItems containsMixedTypes="1" containsNumber="1" minValue="2.19" maxValue="230.3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3"/>
    <x v="0"/>
    <x v="0"/>
    <s v="Pacote"/>
    <n v="10"/>
    <n v="1.1499999999999999"/>
    <n v="11.5"/>
    <m/>
    <x v="0"/>
    <n v="0"/>
    <n v="11.5"/>
    <s v=""/>
  </r>
  <r>
    <n v="13"/>
    <x v="0"/>
    <x v="1"/>
    <s v="Pacote"/>
    <n v="1"/>
    <n v="0.79"/>
    <n v="0.79"/>
    <n v="0.03"/>
    <x v="0"/>
    <n v="0"/>
    <n v="0.76629999999999998"/>
    <s v=""/>
  </r>
  <r>
    <n v="13"/>
    <x v="0"/>
    <x v="2"/>
    <s v="Kg"/>
    <n v="10"/>
    <n v="15.9"/>
    <n v="159"/>
    <m/>
    <x v="0"/>
    <n v="0"/>
    <n v="159"/>
    <s v=""/>
  </r>
  <r>
    <n v="13"/>
    <x v="0"/>
    <x v="3"/>
    <s v="Lata"/>
    <n v="24"/>
    <n v="2.19"/>
    <n v="52.56"/>
    <m/>
    <x v="0"/>
    <n v="6.5"/>
    <n v="59.06"/>
    <n v="230.3263"/>
  </r>
  <r>
    <n v="12"/>
    <x v="1"/>
    <x v="3"/>
    <s v="Lata"/>
    <n v="1"/>
    <n v="2.19"/>
    <n v="2.19"/>
    <m/>
    <x v="1"/>
    <n v="0"/>
    <n v="2.19"/>
    <n v="2.19"/>
  </r>
  <r>
    <n v="11"/>
    <x v="1"/>
    <x v="3"/>
    <s v="Lata"/>
    <n v="10"/>
    <n v="2.19"/>
    <n v="21.9"/>
    <m/>
    <x v="1"/>
    <n v="0"/>
    <n v="21.9"/>
    <n v="21.9"/>
  </r>
  <r>
    <n v="10"/>
    <x v="1"/>
    <x v="4"/>
    <s v="Kg"/>
    <n v="6"/>
    <n v="4.28"/>
    <n v="25.68"/>
    <m/>
    <x v="1"/>
    <n v="0"/>
    <n v="25.68"/>
    <s v=""/>
  </r>
  <r>
    <n v="10"/>
    <x v="1"/>
    <x v="5"/>
    <s v="Litro"/>
    <n v="4"/>
    <n v="2.39"/>
    <n v="9.56"/>
    <m/>
    <x v="1"/>
    <n v="0"/>
    <n v="9.56"/>
    <n v="35.24"/>
  </r>
  <r>
    <n v="9"/>
    <x v="2"/>
    <x v="6"/>
    <s v="Unidade"/>
    <n v="5"/>
    <n v="2.89"/>
    <n v="14.450000000000001"/>
    <m/>
    <x v="1"/>
    <n v="0"/>
    <n v="14.450000000000001"/>
    <s v=""/>
  </r>
  <r>
    <n v="9"/>
    <x v="2"/>
    <x v="7"/>
    <s v="Kg"/>
    <n v="2"/>
    <n v="9.58"/>
    <n v="19.16"/>
    <m/>
    <x v="1"/>
    <n v="0"/>
    <n v="19.16"/>
    <s v=""/>
  </r>
  <r>
    <n v="9"/>
    <x v="2"/>
    <x v="8"/>
    <s v="Kg"/>
    <n v="1.5"/>
    <n v="25.9"/>
    <n v="38.849999999999994"/>
    <m/>
    <x v="1"/>
    <n v="0"/>
    <n v="38.849999999999994"/>
    <s v=""/>
  </r>
  <r>
    <n v="9"/>
    <x v="2"/>
    <x v="4"/>
    <s v="Kg"/>
    <n v="4"/>
    <n v="4.28"/>
    <n v="17.12"/>
    <m/>
    <x v="1"/>
    <n v="0"/>
    <n v="17.12"/>
    <n v="89.58"/>
  </r>
  <r>
    <n v="8"/>
    <x v="2"/>
    <x v="3"/>
    <s v="Lata"/>
    <n v="20"/>
    <n v="2.19"/>
    <n v="43.8"/>
    <m/>
    <x v="0"/>
    <n v="6.5"/>
    <n v="50.3"/>
    <n v="50.3"/>
  </r>
  <r>
    <n v="7"/>
    <x v="2"/>
    <x v="3"/>
    <s v="Lata"/>
    <n v="20"/>
    <n v="2.19"/>
    <n v="43.8"/>
    <m/>
    <x v="1"/>
    <n v="0"/>
    <n v="43.8"/>
    <n v="43.8"/>
  </r>
  <r>
    <n v="6"/>
    <x v="2"/>
    <x v="1"/>
    <s v="Pacote"/>
    <n v="2"/>
    <n v="0.79"/>
    <n v="1.58"/>
    <m/>
    <x v="1"/>
    <n v="0"/>
    <n v="1.58"/>
    <s v=""/>
  </r>
  <r>
    <n v="6"/>
    <x v="2"/>
    <x v="2"/>
    <s v="Kg"/>
    <n v="6"/>
    <n v="15.9"/>
    <n v="95.4"/>
    <m/>
    <x v="1"/>
    <n v="0"/>
    <n v="95.4"/>
    <s v=""/>
  </r>
  <r>
    <n v="6"/>
    <x v="2"/>
    <x v="3"/>
    <s v="Lata"/>
    <n v="12"/>
    <n v="2.19"/>
    <n v="26.28"/>
    <m/>
    <x v="1"/>
    <n v="0"/>
    <n v="26.28"/>
    <n v="123.26"/>
  </r>
  <r>
    <n v="5"/>
    <x v="3"/>
    <x v="9"/>
    <s v="Unidade"/>
    <n v="3"/>
    <n v="2.99"/>
    <n v="8.9700000000000006"/>
    <m/>
    <x v="0"/>
    <n v="6.5"/>
    <n v="15.47"/>
    <n v="15.47"/>
  </r>
  <r>
    <n v="4"/>
    <x v="3"/>
    <x v="10"/>
    <s v="Pacote"/>
    <n v="2"/>
    <n v="1.99"/>
    <n v="3.98"/>
    <m/>
    <x v="2"/>
    <n v="0"/>
    <n v="3.98"/>
    <s v=""/>
  </r>
  <r>
    <n v="4"/>
    <x v="3"/>
    <x v="11"/>
    <s v="Kg"/>
    <n v="5"/>
    <n v="2.4900000000000002"/>
    <n v="12.450000000000001"/>
    <m/>
    <x v="2"/>
    <n v="6.5"/>
    <n v="18.950000000000003"/>
    <n v="22.930000000000003"/>
  </r>
  <r>
    <n v="3"/>
    <x v="3"/>
    <x v="12"/>
    <s v="Litro"/>
    <n v="6"/>
    <n v="1.49"/>
    <n v="8.94"/>
    <m/>
    <x v="3"/>
    <n v="8"/>
    <n v="16.939999999999998"/>
    <n v="16.939999999999998"/>
  </r>
  <r>
    <n v="2"/>
    <x v="3"/>
    <x v="10"/>
    <s v="Pacote"/>
    <n v="1"/>
    <n v="1.99"/>
    <n v="1.99"/>
    <m/>
    <x v="2"/>
    <n v="6.5"/>
    <n v="8.49"/>
    <n v="8.49"/>
  </r>
  <r>
    <n v="1"/>
    <x v="3"/>
    <x v="11"/>
    <s v="Kg"/>
    <n v="2"/>
    <n v="2.4900000000000002"/>
    <n v="4.9800000000000004"/>
    <m/>
    <x v="1"/>
    <n v="0"/>
    <n v="4.9800000000000004"/>
    <s v=""/>
  </r>
  <r>
    <n v="1"/>
    <x v="3"/>
    <x v="0"/>
    <s v="Pacote"/>
    <n v="3"/>
    <n v="1.1499999999999999"/>
    <n v="3.4499999999999997"/>
    <m/>
    <x v="1"/>
    <n v="0"/>
    <n v="3.4499999999999997"/>
    <s v=""/>
  </r>
  <r>
    <n v="1"/>
    <x v="3"/>
    <x v="10"/>
    <s v="Pacote"/>
    <n v="1"/>
    <n v="1.99"/>
    <n v="1.99"/>
    <m/>
    <x v="1"/>
    <n v="0"/>
    <n v="1.99"/>
    <n v="10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F3:I8" firstHeaderRow="0" firstDataRow="1" firstDataCol="1"/>
  <pivotFields count="12">
    <pivotField showAll="0"/>
    <pivotField numFmtId="14" showAll="0"/>
    <pivotField showAll="0"/>
    <pivotField showAll="0"/>
    <pivotField dataField="1" showAll="0"/>
    <pivotField numFmtId="164" showAll="0"/>
    <pivotField numFmtId="164" showAll="0"/>
    <pivotField showAll="0"/>
    <pivotField axis="axisRow" showAll="0">
      <items count="5">
        <item x="1"/>
        <item x="2"/>
        <item x="3"/>
        <item x="0"/>
        <item t="default"/>
      </items>
    </pivotField>
    <pivotField dataField="1" numFmtId="164" showAll="0"/>
    <pivotField dataField="1" numFmtId="164"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uantidade" fld="4" baseField="0" baseItem="0"/>
    <dataField name="Soma de Valor de Entrega" fld="9" baseField="0" baseItem="0" numFmtId="44"/>
    <dataField name="Soma de Total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27" firstHeaderRow="0" firstDataRow="1" firstDataCol="1"/>
  <pivotFields count="12">
    <pivotField showAll="0"/>
    <pivotField axis="axisRow" numFmtId="14" showAll="0">
      <items count="5">
        <item x="3"/>
        <item x="2"/>
        <item x="1"/>
        <item x="0"/>
        <item t="default"/>
      </items>
    </pivotField>
    <pivotField axis="axisRow" showAll="0">
      <items count="14">
        <item x="9"/>
        <item x="0"/>
        <item x="11"/>
        <item x="10"/>
        <item x="1"/>
        <item x="2"/>
        <item x="3"/>
        <item x="4"/>
        <item x="12"/>
        <item x="6"/>
        <item x="8"/>
        <item x="5"/>
        <item x="7"/>
        <item t="default"/>
      </items>
    </pivotField>
    <pivotField showAll="0"/>
    <pivotField dataField="1" showAll="0"/>
    <pivotField numFmtId="164" showAll="0"/>
    <pivotField numFmtId="164" showAll="0"/>
    <pivotField showAll="0"/>
    <pivotField showAll="0"/>
    <pivotField numFmtId="164" showAll="0"/>
    <pivotField dataField="1" numFmtId="164" showAll="0"/>
    <pivotField showAll="0"/>
  </pivotFields>
  <rowFields count="2">
    <field x="1"/>
    <field x="2"/>
  </rowFields>
  <rowItems count="24">
    <i>
      <x/>
    </i>
    <i r="1">
      <x/>
    </i>
    <i r="1">
      <x v="1"/>
    </i>
    <i r="1">
      <x v="2"/>
    </i>
    <i r="1">
      <x v="3"/>
    </i>
    <i r="1">
      <x v="8"/>
    </i>
    <i>
      <x v="1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>
      <x v="2"/>
    </i>
    <i r="1">
      <x v="6"/>
    </i>
    <i r="1">
      <x v="7"/>
    </i>
    <i r="1">
      <x v="11"/>
    </i>
    <i>
      <x v="3"/>
    </i>
    <i r="1">
      <x v="1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" fld="4" baseField="0" baseItem="0"/>
    <dataField name="Soma de Total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2" displayName="Tabela2" ref="B4:G29" totalsRowShown="0">
  <autoFilter ref="B4:G29"/>
  <tableColumns count="6">
    <tableColumn id="1" name="Despesas de Funcionamento"/>
    <tableColumn id="2" name="Itens Despesas"/>
    <tableColumn id="3" name="Data"/>
    <tableColumn id="4" name="Observação"/>
    <tableColumn id="5" name="Valor Intermediário" dataCellStyle="Moeda"/>
    <tableColumn id="6" name="Valor Final" dataCellStyle="Moeda"/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id="4" name="Tabela4" displayName="Tabela4" ref="B4:I26" totalsRowShown="0">
  <autoFilter ref="B4:I26"/>
  <sortState ref="B5:I27">
    <sortCondition descending="1" ref="B4:B27"/>
  </sortState>
  <tableColumns count="8">
    <tableColumn id="1" name="Data" dataDxfId="42"/>
    <tableColumn id="2" name="Fornecedor"/>
    <tableColumn id="3" name="Mercadoria"/>
    <tableColumn id="4" name="Medida" dataDxfId="41">
      <calculatedColumnFormula>VLOOKUP(Tabela4[[#This Row],[Mercadoria]],cálculos!$N$6:$Q$29,4,0)</calculatedColumnFormula>
    </tableColumn>
    <tableColumn id="5" name="Quantidade"/>
    <tableColumn id="6" name="Preço Unitário" dataDxfId="5" dataCellStyle="Moeda">
      <calculatedColumnFormula>IFERROR(VLOOKUP(Tabela4[[#This Row],[Mercadoria]],cálculos!$N$6:$Q$29,2,0),0)</calculatedColumnFormula>
    </tableColumn>
    <tableColumn id="7" name="Desconto" dataCellStyle="Porcentagem"/>
    <tableColumn id="8" name="Valor Pago" dataDxfId="40" dataCellStyle="Moeda">
      <calculatedColumnFormula>Tabela4[[#This Row],[Quantidade]]*Tabela4[[#This Row],[Preço Unitário]]*(1-Tabela4[[#This Row],[Desconto]])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B4:E9" totalsRowShown="0">
  <autoFilter ref="B4:E9"/>
  <tableColumns count="4">
    <tableColumn id="1" name="Investimento"/>
    <tableColumn id="2" name="Data" dataDxfId="39"/>
    <tableColumn id="3" name="Descrição" dataDxfId="38"/>
    <tableColumn id="4" name="Valor" dataCellStyle="Moe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B4:H28" totalsRowShown="0">
  <autoFilter ref="B4:H28"/>
  <tableColumns count="7">
    <tableColumn id="1" name="Produto"/>
    <tableColumn id="2" name="Data da ultima compra" dataDxfId="37">
      <calculatedColumnFormula>IFERROR(INDEX(Tabela4[],MATCH(Tabela3[[#This Row],[Produto]],Tabela4[Mercadoria],0),1),"")</calculatedColumnFormula>
    </tableColumn>
    <tableColumn id="3" name="Quantidade Inicial"/>
    <tableColumn id="4" name="Quantidade Comprada" dataDxfId="36">
      <calculatedColumnFormula>SUMIF(Tabela4[Mercadoria],Tabela3[[#This Row],[Produto]],Tabela4[Quantidade])</calculatedColumnFormula>
    </tableColumn>
    <tableColumn id="5" name="Quantidade Vendida" dataDxfId="2">
      <calculatedColumnFormula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calculatedColumnFormula>
    </tableColumn>
    <tableColumn id="6" name="Quantidade Atual" dataDxfId="35">
      <calculatedColumnFormula>Tabela3[[#This Row],[Quantidade Inicial]]+Tabela3[[#This Row],[Quantidade Comprada]]-Tabela3[[#This Row],[Quantidade Vendida]]</calculatedColumnFormula>
    </tableColumn>
    <tableColumn id="7" name="Situação" dataDxfId="34">
      <calculatedColumnFormula>IF(Tabela3[[#This Row],[Quantidade Atual]]&gt;=50,"OK",IF(Tabela3[[#This Row],[Quantidade Atual]]&gt;20,"ATENÇÃO","COMPRAR"))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B4:M29" totalsRowShown="0">
  <autoFilter ref="B4:M29"/>
  <tableColumns count="12">
    <tableColumn id="1" name="ID da venda"/>
    <tableColumn id="2" name="Data" dataDxfId="33"/>
    <tableColumn id="3" name="Produto"/>
    <tableColumn id="4" name="Medida" dataDxfId="4">
      <calculatedColumnFormula>IFERROR(VLOOKUP(Tabela5[Produto],cálculos!$N$6:$Q$37,4,FALSE),"")</calculatedColumnFormula>
    </tableColumn>
    <tableColumn id="5" name="Quantidade"/>
    <tableColumn id="6" name="Preço Unitário" dataDxfId="32" dataCellStyle="Moeda">
      <calculatedColumnFormula>IFERROR(VLOOKUP(Tabela5[Produto],cálculos!$N$4:$Q$34,3,FALSE),0)</calculatedColumnFormula>
    </tableColumn>
    <tableColumn id="7" name="Subtotal" dataDxfId="31" dataCellStyle="Moeda">
      <calculatedColumnFormula>F5*G5</calculatedColumnFormula>
    </tableColumn>
    <tableColumn id="8" name="Desconto" dataCellStyle="Porcentagem"/>
    <tableColumn id="9" name="Entrega"/>
    <tableColumn id="10" name="Valor de Entrega" dataDxfId="3" dataCellStyle="Moeda">
      <calculatedColumnFormula>IFERROR(IF(Tabela5[[#This Row],[ID da venda]]=B6,0,VLOOKUP(Tabela5[Entrega],cálculos!$C$7:$D$11,2,FALSE)),0)</calculatedColumnFormula>
    </tableColumn>
    <tableColumn id="11" name="Total" dataCellStyle="Moeda">
      <calculatedColumnFormula>Tabela5[[#This Row],[Subtotal]]*(1-Tabela5[[#This Row],[Desconto]])+Tabela5[[#This Row],[Valor de Entrega]]</calculatedColumnFormula>
    </tableColumn>
    <tableColumn id="12" name="Total para o Cliente" dataDxfId="30" dataCellStyle="Moeda">
      <calculatedColumnFormula>IF(Tabela5[[#This Row],[ID da venda]]=B6,"",SUMIF(Tabela5[ID da venda],Tabela5[[#This Row],[ID da venda]],Tabela5[Total]))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6" name="Tabela514151617" displayName="Tabela514151617" ref="B4:M29" totalsRowShown="0">
  <autoFilter ref="B4:M29"/>
  <tableColumns count="12">
    <tableColumn id="1" name="ID da venda"/>
    <tableColumn id="2" name="Data" dataDxfId="29"/>
    <tableColumn id="3" name="Produto"/>
    <tableColumn id="4" name="Medida" dataDxfId="28">
      <calculatedColumnFormula>IFERROR(VLOOKUP(Tabela514151617[Produto],cálculos!$N$6:$Q$37,4,FALSE),"")</calculatedColumnFormula>
    </tableColumn>
    <tableColumn id="5" name="Quantidade"/>
    <tableColumn id="6" name="Preço Unitário" dataDxfId="27" dataCellStyle="Moeda">
      <calculatedColumnFormula>IFERROR(VLOOKUP(Tabela514151617[Produto],cálculos!$N$4:$Q$34,3,FALSE),0)</calculatedColumnFormula>
    </tableColumn>
    <tableColumn id="7" name="Subtotal" dataDxfId="26" dataCellStyle="Moeda">
      <calculatedColumnFormula>F5*G5</calculatedColumnFormula>
    </tableColumn>
    <tableColumn id="8" name="Desconto" dataCellStyle="Porcentagem"/>
    <tableColumn id="9" name="Entrega"/>
    <tableColumn id="10" name="Valor de Entrega" dataDxfId="25" dataCellStyle="Moeda">
      <calculatedColumnFormula>IF(Tabela514151617[[#This Row],[ID da venda]]=B6,0,VLOOKUP(Tabela514151617[Entrega],cálculos!$C$7:$D$11,2,FALSE))</calculatedColumnFormula>
    </tableColumn>
    <tableColumn id="11" name="Total" dataCellStyle="Moeda">
      <calculatedColumnFormula>Tabela514151617[[#This Row],[Subtotal]]*(1-Tabela514151617[[#This Row],[Desconto]])+Tabela514151617[[#This Row],[Valor de Entrega]]</calculatedColumnFormula>
    </tableColumn>
    <tableColumn id="12" name="Total para o Cliente" dataDxfId="24" dataCellStyle="Moeda">
      <calculatedColumnFormula>IF(Tabela514151617[[#This Row],[ID da venda]]=B6,"",SUMIF(Tabela514151617[ID da venda],Tabela514151617[[#This Row],[ID da venda]],Tabela514151617[Total]))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5" name="Tabela5141516" displayName="Tabela5141516" ref="B4:M29" totalsRowShown="0">
  <autoFilter ref="B4:M29"/>
  <tableColumns count="12">
    <tableColumn id="1" name="ID da venda"/>
    <tableColumn id="2" name="Data" dataDxfId="23"/>
    <tableColumn id="3" name="Produto"/>
    <tableColumn id="4" name="Medida" dataDxfId="22">
      <calculatedColumnFormula>IFERROR(VLOOKUP(Tabela5141516[Produto],cálculos!$N$6:$Q$37,4,FALSE),"")</calculatedColumnFormula>
    </tableColumn>
    <tableColumn id="5" name="Quantidade"/>
    <tableColumn id="6" name="Preço Unitário" dataDxfId="21" dataCellStyle="Moeda">
      <calculatedColumnFormula>IFERROR(VLOOKUP(Tabela5141516[Produto],cálculos!$N$4:$Q$34,3,FALSE),0)</calculatedColumnFormula>
    </tableColumn>
    <tableColumn id="7" name="Subtotal" dataDxfId="20" dataCellStyle="Moeda">
      <calculatedColumnFormula>F5*G5</calculatedColumnFormula>
    </tableColumn>
    <tableColumn id="8" name="Desconto" dataCellStyle="Porcentagem"/>
    <tableColumn id="9" name="Entrega"/>
    <tableColumn id="10" name="Valor de Entrega" dataDxfId="19" dataCellStyle="Moeda">
      <calculatedColumnFormula>IF(Tabela5141516[[#This Row],[ID da venda]]=B6,0,VLOOKUP(Tabela5141516[Entrega],cálculos!$C$7:$D$11,2,FALSE))</calculatedColumnFormula>
    </tableColumn>
    <tableColumn id="11" name="Total" dataCellStyle="Moeda">
      <calculatedColumnFormula>Tabela5141516[[#This Row],[Subtotal]]*(1-Tabela5141516[[#This Row],[Desconto]])+Tabela5141516[[#This Row],[Valor de Entrega]]</calculatedColumnFormula>
    </tableColumn>
    <tableColumn id="12" name="Total para o Cliente" dataDxfId="18" dataCellStyle="Moeda">
      <calculatedColumnFormula>IF(Tabela5141516[[#This Row],[ID da venda]]=B6,"",SUMIF(Tabela5141516[ID da venda],Tabela5141516[[#This Row],[ID da venda]],Tabela5141516[Total]))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4" name="Tabela51415" displayName="Tabela51415" ref="B4:M29" totalsRowShown="0">
  <autoFilter ref="B4:M29"/>
  <tableColumns count="12">
    <tableColumn id="1" name="ID da venda"/>
    <tableColumn id="2" name="Data" dataDxfId="17"/>
    <tableColumn id="3" name="Produto"/>
    <tableColumn id="4" name="Medida" dataDxfId="16">
      <calculatedColumnFormula>IFERROR(VLOOKUP(Tabela51415[Produto],cálculos!$N$6:$Q$37,4,FALSE),"")</calculatedColumnFormula>
    </tableColumn>
    <tableColumn id="5" name="Quantidade"/>
    <tableColumn id="6" name="Preço Unitário" dataDxfId="15" dataCellStyle="Moeda">
      <calculatedColumnFormula>IFERROR(VLOOKUP(Tabela51415[Produto],cálculos!$N$4:$Q$34,3,FALSE),0)</calculatedColumnFormula>
    </tableColumn>
    <tableColumn id="7" name="Subtotal" dataDxfId="14" dataCellStyle="Moeda">
      <calculatedColumnFormula>F5*G5</calculatedColumnFormula>
    </tableColumn>
    <tableColumn id="8" name="Desconto" dataCellStyle="Porcentagem"/>
    <tableColumn id="9" name="Entrega"/>
    <tableColumn id="10" name="Valor de Entrega" dataDxfId="13" dataCellStyle="Moeda">
      <calculatedColumnFormula>IF(Tabela51415[[#This Row],[ID da venda]]=B6,0,VLOOKUP(Tabela51415[Entrega],cálculos!$C$7:$D$11,2,FALSE))</calculatedColumnFormula>
    </tableColumn>
    <tableColumn id="11" name="Total" dataCellStyle="Moeda">
      <calculatedColumnFormula>Tabela51415[[#This Row],[Subtotal]]*(1-Tabela51415[[#This Row],[Desconto]])+Tabela51415[[#This Row],[Valor de Entrega]]</calculatedColumnFormula>
    </tableColumn>
    <tableColumn id="12" name="Total para o Cliente" dataDxfId="12" dataCellStyle="Moeda">
      <calculatedColumnFormula>IF(Tabela51415[[#This Row],[ID da venda]]=B6,"",SUMIF(Tabela51415[ID da venda],Tabela51415[[#This Row],[ID da venda]],Tabela51415[Total]))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3" name="Tabela514" displayName="Tabela514" ref="B4:M29" totalsRowShown="0">
  <autoFilter ref="B4:M29"/>
  <tableColumns count="12">
    <tableColumn id="1" name="ID da venda"/>
    <tableColumn id="2" name="Data" dataDxfId="11"/>
    <tableColumn id="3" name="Produto"/>
    <tableColumn id="4" name="Medida" dataDxfId="10">
      <calculatedColumnFormula>IFERROR(VLOOKUP(Tabela514[Produto],cálculos!$N$6:$Q$37,4,FALSE),"")</calculatedColumnFormula>
    </tableColumn>
    <tableColumn id="5" name="Quantidade"/>
    <tableColumn id="6" name="Preço Unitário" dataDxfId="9" dataCellStyle="Moeda">
      <calculatedColumnFormula>IFERROR(VLOOKUP(Tabela514[Produto],cálculos!$N$4:$Q$34,3,FALSE),0)</calculatedColumnFormula>
    </tableColumn>
    <tableColumn id="7" name="Subtotal" dataDxfId="8" dataCellStyle="Moeda">
      <calculatedColumnFormula>F5*G5</calculatedColumnFormula>
    </tableColumn>
    <tableColumn id="8" name="Desconto" dataCellStyle="Porcentagem"/>
    <tableColumn id="9" name="Entrega"/>
    <tableColumn id="10" name="Valor de Entrega" dataDxfId="7" dataCellStyle="Moeda">
      <calculatedColumnFormula>IF(Tabela514[[#This Row],[ID da venda]]=B6,0,VLOOKUP(Tabela514[Entrega],cálculos!$C$7:$D$11,2,FALSE))</calculatedColumnFormula>
    </tableColumn>
    <tableColumn id="11" name="Total" dataCellStyle="Moeda">
      <calculatedColumnFormula>Tabela514[[#This Row],[Subtotal]]*(1-Tabela514[[#This Row],[Desconto]])+Tabela514[[#This Row],[Valor de Entrega]]</calculatedColumnFormula>
    </tableColumn>
    <tableColumn id="12" name="Total para o Cliente" dataDxfId="6" dataCellStyle="Moeda">
      <calculatedColumnFormula>IF(Tabela514[[#This Row],[ID da venda]]=B6,"",SUMIF(Tabela514[ID da venda],Tabela514[[#This Row],[ID da venda]],Tabela514[Total]))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130" zoomScaleNormal="13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zoomScale="85" zoomScaleNormal="85" workbookViewId="0">
      <selection activeCell="A21" sqref="A21"/>
    </sheetView>
  </sheetViews>
  <sheetFormatPr defaultRowHeight="15" x14ac:dyDescent="0.25"/>
  <cols>
    <col min="1" max="1" width="27.42578125" customWidth="1"/>
    <col min="2" max="2" width="23.5703125" bestFit="1" customWidth="1"/>
    <col min="3" max="3" width="10.7109375" bestFit="1" customWidth="1"/>
    <col min="4" max="4" width="15.7109375" bestFit="1" customWidth="1"/>
    <col min="5" max="5" width="9.85546875" customWidth="1"/>
    <col min="6" max="6" width="13.5703125" customWidth="1"/>
    <col min="7" max="7" width="15.7109375" customWidth="1"/>
    <col min="8" max="8" width="10.5703125" customWidth="1"/>
    <col min="9" max="9" width="11.42578125" customWidth="1"/>
    <col min="10" max="10" width="15.42578125" customWidth="1"/>
    <col min="11" max="11" width="17.7109375" customWidth="1"/>
    <col min="12" max="12" width="15.5703125" customWidth="1"/>
    <col min="13" max="13" width="20.28515625" customWidth="1"/>
  </cols>
  <sheetData>
    <row r="2" spans="2:13" s="21" customFormat="1" ht="27.95" customHeight="1" x14ac:dyDescent="0.25">
      <c r="B2" s="20" t="s">
        <v>121</v>
      </c>
    </row>
    <row r="3" spans="2:13" ht="33.75" customHeight="1" x14ac:dyDescent="0.25"/>
    <row r="4" spans="2:13" x14ac:dyDescent="0.25">
      <c r="B4" t="s">
        <v>103</v>
      </c>
      <c r="C4" t="s">
        <v>42</v>
      </c>
      <c r="D4" t="s">
        <v>95</v>
      </c>
      <c r="E4" t="s">
        <v>56</v>
      </c>
      <c r="F4" t="s">
        <v>57</v>
      </c>
      <c r="G4" t="s">
        <v>58</v>
      </c>
      <c r="H4" t="s">
        <v>104</v>
      </c>
      <c r="I4" t="s">
        <v>59</v>
      </c>
      <c r="J4" t="s">
        <v>105</v>
      </c>
      <c r="K4" t="s">
        <v>106</v>
      </c>
      <c r="L4" t="s">
        <v>107</v>
      </c>
      <c r="M4" t="s">
        <v>108</v>
      </c>
    </row>
    <row r="5" spans="2:13" x14ac:dyDescent="0.25">
      <c r="C5" s="28"/>
      <c r="E5" s="23" t="str">
        <f>IFERROR(VLOOKUP(Tabela514151617[Produto],cálculos!$N$6:$Q$37,4,FALSE),"")</f>
        <v/>
      </c>
      <c r="G5" s="3">
        <f>IFERROR(VLOOKUP(Tabela514151617[Produto],cálculos!$N$4:$Q$34,3,FALSE),0)</f>
        <v>0</v>
      </c>
      <c r="H5" s="4">
        <f>F5*G5</f>
        <v>0</v>
      </c>
      <c r="I5" s="5"/>
      <c r="K5" s="4">
        <f>IF(Tabela514151617[[#This Row],[ID da venda]]=B6,0,VLOOKUP(Tabela514151617[Entrega],cálculos!$C$7:$D$11,2,FALSE))</f>
        <v>0</v>
      </c>
      <c r="L5" s="3">
        <f>Tabela514151617[[#This Row],[Subtotal]]*(1-Tabela514151617[[#This Row],[Desconto]])+Tabela514151617[[#This Row],[Valor de Entrega]]</f>
        <v>0</v>
      </c>
      <c r="M5" s="24" t="str">
        <f>IF(Tabela514151617[[#This Row],[ID da venda]]=B6,"",SUMIF(Tabela514151617[ID da venda],Tabela514151617[[#This Row],[ID da venda]],Tabela514151617[Total]))</f>
        <v/>
      </c>
    </row>
    <row r="6" spans="2:13" x14ac:dyDescent="0.25">
      <c r="C6" s="28"/>
      <c r="E6" t="str">
        <f>IFERROR(VLOOKUP(Tabela514151617[Produto],cálculos!$N$6:$Q$37,4,FALSE),"")</f>
        <v/>
      </c>
      <c r="G6" s="3">
        <f>IFERROR(VLOOKUP(Tabela514151617[Produto],cálculos!$N$4:$Q$34,3,FALSE),0)</f>
        <v>0</v>
      </c>
      <c r="H6" s="3">
        <f t="shared" ref="H6:H29" si="0">F6*G6</f>
        <v>0</v>
      </c>
      <c r="I6" s="5"/>
      <c r="K6" s="4">
        <f>IF(Tabela514151617[[#This Row],[ID da venda]]=B7,0,VLOOKUP(Tabela514151617[Entrega],cálculos!$C$7:$D$11,2,FALSE))</f>
        <v>0</v>
      </c>
      <c r="L6" s="3">
        <f>Tabela514151617[[#This Row],[Subtotal]]*(1-Tabela514151617[[#This Row],[Desconto]])+Tabela514151617[[#This Row],[Valor de Entrega]]</f>
        <v>0</v>
      </c>
      <c r="M6" s="24" t="str">
        <f>IF(Tabela514151617[[#This Row],[ID da venda]]=B7,"",SUMIF(Tabela514151617[ID da venda],Tabela514151617[[#This Row],[ID da venda]],Tabela514151617[Total]))</f>
        <v/>
      </c>
    </row>
    <row r="7" spans="2:13" x14ac:dyDescent="0.25">
      <c r="C7" s="28"/>
      <c r="E7" t="str">
        <f>IFERROR(VLOOKUP(Tabela514151617[Produto],cálculos!$N$6:$Q$37,4,FALSE),"")</f>
        <v/>
      </c>
      <c r="G7" s="3">
        <f>IFERROR(VLOOKUP(Tabela514151617[Produto],cálculos!$N$4:$Q$34,3,FALSE),0)</f>
        <v>0</v>
      </c>
      <c r="H7" s="3">
        <f t="shared" si="0"/>
        <v>0</v>
      </c>
      <c r="I7" s="5"/>
      <c r="K7" s="4">
        <f>IF(Tabela514151617[[#This Row],[ID da venda]]=B8,0,VLOOKUP(Tabela514151617[Entrega],cálculos!$C$7:$D$11,2,FALSE))</f>
        <v>0</v>
      </c>
      <c r="L7" s="3">
        <f>Tabela514151617[[#This Row],[Subtotal]]*(1-Tabela514151617[[#This Row],[Desconto]])+Tabela514151617[[#This Row],[Valor de Entrega]]</f>
        <v>0</v>
      </c>
      <c r="M7" s="24" t="str">
        <f>IF(Tabela514151617[[#This Row],[ID da venda]]=B8,"",SUMIF(Tabela514151617[ID da venda],Tabela514151617[[#This Row],[ID da venda]],Tabela514151617[Total]))</f>
        <v/>
      </c>
    </row>
    <row r="8" spans="2:13" x14ac:dyDescent="0.25">
      <c r="C8" s="28"/>
      <c r="E8" t="str">
        <f>IFERROR(VLOOKUP(Tabela514151617[Produto],cálculos!$N$6:$Q$37,4,FALSE),"")</f>
        <v/>
      </c>
      <c r="G8" s="3">
        <f>IFERROR(VLOOKUP(Tabela514151617[Produto],cálculos!$N$4:$Q$34,3,FALSE),0)</f>
        <v>0</v>
      </c>
      <c r="H8" s="3">
        <f t="shared" si="0"/>
        <v>0</v>
      </c>
      <c r="I8" s="5"/>
      <c r="K8" s="4">
        <f>IF(Tabela514151617[[#This Row],[ID da venda]]=B9,0,VLOOKUP(Tabela514151617[Entrega],cálculos!$C$7:$D$11,2,FALSE))</f>
        <v>0</v>
      </c>
      <c r="L8" s="3">
        <f>Tabela514151617[[#This Row],[Subtotal]]*(1-Tabela514151617[[#This Row],[Desconto]])+Tabela514151617[[#This Row],[Valor de Entrega]]</f>
        <v>0</v>
      </c>
      <c r="M8" s="24" t="str">
        <f>IF(Tabela514151617[[#This Row],[ID da venda]]=B9,"",SUMIF(Tabela514151617[ID da venda],Tabela514151617[[#This Row],[ID da venda]],Tabela514151617[Total]))</f>
        <v/>
      </c>
    </row>
    <row r="9" spans="2:13" x14ac:dyDescent="0.25">
      <c r="C9" s="28"/>
      <c r="E9" t="str">
        <f>IFERROR(VLOOKUP(Tabela514151617[Produto],cálculos!$N$6:$Q$37,4,FALSE),"")</f>
        <v/>
      </c>
      <c r="G9" s="3">
        <f>IFERROR(VLOOKUP(Tabela514151617[Produto],cálculos!$N$4:$Q$34,3,FALSE),0)</f>
        <v>0</v>
      </c>
      <c r="H9" s="3">
        <f t="shared" si="0"/>
        <v>0</v>
      </c>
      <c r="I9" s="5"/>
      <c r="K9" s="4">
        <f>IF(Tabela514151617[[#This Row],[ID da venda]]=B10,0,VLOOKUP(Tabela514151617[Entrega],cálculos!$C$7:$D$11,2,FALSE))</f>
        <v>0</v>
      </c>
      <c r="L9" s="3">
        <f>Tabela514151617[[#This Row],[Subtotal]]*(1-Tabela514151617[[#This Row],[Desconto]])+Tabela514151617[[#This Row],[Valor de Entrega]]</f>
        <v>0</v>
      </c>
      <c r="M9" s="24" t="str">
        <f>IF(Tabela514151617[[#This Row],[ID da venda]]=B10,"",SUMIF(Tabela514151617[ID da venda],Tabela514151617[[#This Row],[ID da venda]],Tabela514151617[Total]))</f>
        <v/>
      </c>
    </row>
    <row r="10" spans="2:13" x14ac:dyDescent="0.25">
      <c r="C10" s="28"/>
      <c r="E10" t="str">
        <f>IFERROR(VLOOKUP(Tabela514151617[Produto],cálculos!$N$6:$Q$37,4,FALSE),"")</f>
        <v/>
      </c>
      <c r="G10" s="3">
        <f>IFERROR(VLOOKUP(Tabela514151617[Produto],cálculos!$N$4:$Q$34,3,FALSE),0)</f>
        <v>0</v>
      </c>
      <c r="H10" s="3">
        <f t="shared" si="0"/>
        <v>0</v>
      </c>
      <c r="I10" s="5"/>
      <c r="K10" s="4">
        <f>IF(Tabela514151617[[#This Row],[ID da venda]]=B11,0,VLOOKUP(Tabela514151617[Entrega],cálculos!$C$7:$D$11,2,FALSE))</f>
        <v>0</v>
      </c>
      <c r="L10" s="3">
        <f>Tabela514151617[[#This Row],[Subtotal]]*(1-Tabela514151617[[#This Row],[Desconto]])+Tabela514151617[[#This Row],[Valor de Entrega]]</f>
        <v>0</v>
      </c>
      <c r="M10" s="24" t="str">
        <f>IF(Tabela514151617[[#This Row],[ID da venda]]=B11,"",SUMIF(Tabela514151617[ID da venda],Tabela514151617[[#This Row],[ID da venda]],Tabela514151617[Total]))</f>
        <v/>
      </c>
    </row>
    <row r="11" spans="2:13" x14ac:dyDescent="0.25">
      <c r="C11" s="28"/>
      <c r="E11" t="str">
        <f>IFERROR(VLOOKUP(Tabela514151617[Produto],cálculos!$N$6:$Q$37,4,FALSE),"")</f>
        <v/>
      </c>
      <c r="G11" s="3">
        <f>IFERROR(VLOOKUP(Tabela514151617[Produto],cálculos!$N$4:$Q$34,3,FALSE),0)</f>
        <v>0</v>
      </c>
      <c r="H11" s="3">
        <f t="shared" si="0"/>
        <v>0</v>
      </c>
      <c r="I11" s="5"/>
      <c r="K11" s="4">
        <f>IF(Tabela514151617[[#This Row],[ID da venda]]=B12,0,VLOOKUP(Tabela514151617[Entrega],cálculos!$C$7:$D$11,2,FALSE))</f>
        <v>0</v>
      </c>
      <c r="L11" s="3">
        <f>Tabela514151617[[#This Row],[Subtotal]]*(1-Tabela514151617[[#This Row],[Desconto]])+Tabela514151617[[#This Row],[Valor de Entrega]]</f>
        <v>0</v>
      </c>
      <c r="M11" s="24" t="str">
        <f>IF(Tabela514151617[[#This Row],[ID da venda]]=B12,"",SUMIF(Tabela514151617[ID da venda],Tabela514151617[[#This Row],[ID da venda]],Tabela514151617[Total]))</f>
        <v/>
      </c>
    </row>
    <row r="12" spans="2:13" x14ac:dyDescent="0.25">
      <c r="C12" s="28"/>
      <c r="E12" t="str">
        <f>IFERROR(VLOOKUP(Tabela514151617[Produto],cálculos!$N$6:$Q$37,4,FALSE),"")</f>
        <v/>
      </c>
      <c r="G12" s="3">
        <f>IFERROR(VLOOKUP(Tabela514151617[Produto],cálculos!$N$4:$Q$34,3,FALSE),0)</f>
        <v>0</v>
      </c>
      <c r="H12" s="3">
        <f t="shared" si="0"/>
        <v>0</v>
      </c>
      <c r="I12" s="5"/>
      <c r="K12" s="4">
        <f>IF(Tabela514151617[[#This Row],[ID da venda]]=B13,0,VLOOKUP(Tabela514151617[Entrega],cálculos!$C$7:$D$11,2,FALSE))</f>
        <v>0</v>
      </c>
      <c r="L12" s="3">
        <f>Tabela514151617[[#This Row],[Subtotal]]*(1-Tabela514151617[[#This Row],[Desconto]])+Tabela514151617[[#This Row],[Valor de Entrega]]</f>
        <v>0</v>
      </c>
      <c r="M12" s="24" t="str">
        <f>IF(Tabela514151617[[#This Row],[ID da venda]]=B13,"",SUMIF(Tabela514151617[ID da venda],Tabela514151617[[#This Row],[ID da venda]],Tabela514151617[Total]))</f>
        <v/>
      </c>
    </row>
    <row r="13" spans="2:13" x14ac:dyDescent="0.25">
      <c r="C13" s="28"/>
      <c r="E13" t="str">
        <f>IFERROR(VLOOKUP(Tabela514151617[Produto],cálculos!$N$6:$Q$37,4,FALSE),"")</f>
        <v/>
      </c>
      <c r="G13" s="3">
        <f>IFERROR(VLOOKUP(Tabela514151617[Produto],cálculos!$N$4:$Q$34,3,FALSE),0)</f>
        <v>0</v>
      </c>
      <c r="H13" s="3">
        <f t="shared" si="0"/>
        <v>0</v>
      </c>
      <c r="I13" s="5"/>
      <c r="K13" s="4">
        <f>IF(Tabela514151617[[#This Row],[ID da venda]]=B14,0,VLOOKUP(Tabela514151617[Entrega],cálculos!$C$7:$D$11,2,FALSE))</f>
        <v>0</v>
      </c>
      <c r="L13" s="3">
        <f>Tabela514151617[[#This Row],[Subtotal]]*(1-Tabela514151617[[#This Row],[Desconto]])+Tabela514151617[[#This Row],[Valor de Entrega]]</f>
        <v>0</v>
      </c>
      <c r="M13" s="24" t="str">
        <f>IF(Tabela514151617[[#This Row],[ID da venda]]=B14,"",SUMIF(Tabela514151617[ID da venda],Tabela514151617[[#This Row],[ID da venda]],Tabela514151617[Total]))</f>
        <v/>
      </c>
    </row>
    <row r="14" spans="2:13" x14ac:dyDescent="0.25">
      <c r="C14" s="28"/>
      <c r="E14" t="str">
        <f>IFERROR(VLOOKUP(Tabela514151617[Produto],cálculos!$N$6:$Q$37,4,FALSE),"")</f>
        <v/>
      </c>
      <c r="G14" s="3">
        <f>IFERROR(VLOOKUP(Tabela514151617[Produto],cálculos!$N$4:$Q$34,3,FALSE),0)</f>
        <v>0</v>
      </c>
      <c r="H14" s="3">
        <f t="shared" si="0"/>
        <v>0</v>
      </c>
      <c r="I14" s="5"/>
      <c r="K14" s="4">
        <f>IF(Tabela514151617[[#This Row],[ID da venda]]=B15,0,VLOOKUP(Tabela514151617[Entrega],cálculos!$C$7:$D$11,2,FALSE))</f>
        <v>0</v>
      </c>
      <c r="L14" s="3">
        <f>Tabela514151617[[#This Row],[Subtotal]]*(1-Tabela514151617[[#This Row],[Desconto]])+Tabela514151617[[#This Row],[Valor de Entrega]]</f>
        <v>0</v>
      </c>
      <c r="M14" s="24" t="str">
        <f>IF(Tabela514151617[[#This Row],[ID da venda]]=B15,"",SUMIF(Tabela514151617[ID da venda],Tabela514151617[[#This Row],[ID da venda]],Tabela514151617[Total]))</f>
        <v/>
      </c>
    </row>
    <row r="15" spans="2:13" x14ac:dyDescent="0.25">
      <c r="C15" s="28"/>
      <c r="E15" t="str">
        <f>IFERROR(VLOOKUP(Tabela514151617[Produto],cálculos!$N$6:$Q$37,4,FALSE),"")</f>
        <v/>
      </c>
      <c r="G15" s="3">
        <f>IFERROR(VLOOKUP(Tabela514151617[Produto],cálculos!$N$4:$Q$34,3,FALSE),0)</f>
        <v>0</v>
      </c>
      <c r="H15" s="3">
        <f t="shared" si="0"/>
        <v>0</v>
      </c>
      <c r="I15" s="5"/>
      <c r="K15" s="4">
        <f>IF(Tabela514151617[[#This Row],[ID da venda]]=B16,0,VLOOKUP(Tabela514151617[Entrega],cálculos!$C$7:$D$11,2,FALSE))</f>
        <v>0</v>
      </c>
      <c r="L15" s="3">
        <f>Tabela514151617[[#This Row],[Subtotal]]*(1-Tabela514151617[[#This Row],[Desconto]])+Tabela514151617[[#This Row],[Valor de Entrega]]</f>
        <v>0</v>
      </c>
      <c r="M15" s="24" t="str">
        <f>IF(Tabela514151617[[#This Row],[ID da venda]]=B16,"",SUMIF(Tabela514151617[ID da venda],Tabela514151617[[#This Row],[ID da venda]],Tabela514151617[Total]))</f>
        <v/>
      </c>
    </row>
    <row r="16" spans="2:13" x14ac:dyDescent="0.25">
      <c r="C16" s="28"/>
      <c r="E16" t="str">
        <f>IFERROR(VLOOKUP(Tabela514151617[Produto],cálculos!$N$6:$Q$37,4,FALSE),"")</f>
        <v/>
      </c>
      <c r="G16" s="3">
        <f>IFERROR(VLOOKUP(Tabela514151617[Produto],cálculos!$N$4:$Q$34,3,FALSE),0)</f>
        <v>0</v>
      </c>
      <c r="H16" s="3">
        <f t="shared" si="0"/>
        <v>0</v>
      </c>
      <c r="I16" s="5"/>
      <c r="K16" s="4">
        <f>IF(Tabela514151617[[#This Row],[ID da venda]]=B17,0,VLOOKUP(Tabela514151617[Entrega],cálculos!$C$7:$D$11,2,FALSE))</f>
        <v>0</v>
      </c>
      <c r="L16" s="3">
        <f>Tabela514151617[[#This Row],[Subtotal]]*(1-Tabela514151617[[#This Row],[Desconto]])+Tabela514151617[[#This Row],[Valor de Entrega]]</f>
        <v>0</v>
      </c>
      <c r="M16" s="24" t="str">
        <f>IF(Tabela514151617[[#This Row],[ID da venda]]=B17,"",SUMIF(Tabela514151617[ID da venda],Tabela514151617[[#This Row],[ID da venda]],Tabela514151617[Total]))</f>
        <v/>
      </c>
    </row>
    <row r="17" spans="2:13" x14ac:dyDescent="0.25">
      <c r="C17" s="28"/>
      <c r="E17" t="str">
        <f>IFERROR(VLOOKUP(Tabela514151617[Produto],cálculos!$N$6:$Q$37,4,FALSE),"")</f>
        <v/>
      </c>
      <c r="G17" s="3">
        <f>IFERROR(VLOOKUP(Tabela514151617[Produto],cálculos!$N$4:$Q$34,3,FALSE),0)</f>
        <v>0</v>
      </c>
      <c r="H17" s="3">
        <f t="shared" si="0"/>
        <v>0</v>
      </c>
      <c r="I17" s="5"/>
      <c r="K17" s="4">
        <f>IF(Tabela514151617[[#This Row],[ID da venda]]=B18,0,VLOOKUP(Tabela514151617[Entrega],cálculos!$C$7:$D$11,2,FALSE))</f>
        <v>0</v>
      </c>
      <c r="L17" s="3">
        <f>Tabela514151617[[#This Row],[Subtotal]]*(1-Tabela514151617[[#This Row],[Desconto]])+Tabela514151617[[#This Row],[Valor de Entrega]]</f>
        <v>0</v>
      </c>
      <c r="M17" s="24" t="str">
        <f>IF(Tabela514151617[[#This Row],[ID da venda]]=B18,"",SUMIF(Tabela514151617[ID da venda],Tabela514151617[[#This Row],[ID da venda]],Tabela514151617[Total]))</f>
        <v/>
      </c>
    </row>
    <row r="18" spans="2:13" x14ac:dyDescent="0.25">
      <c r="C18" s="28"/>
      <c r="E18" s="23" t="str">
        <f>IFERROR(VLOOKUP(Tabela514151617[Produto],cálculos!$N$6:$Q$37,4,FALSE),"")</f>
        <v/>
      </c>
      <c r="G18" s="3">
        <f>IFERROR(VLOOKUP(Tabela514151617[Produto],cálculos!$N$4:$Q$34,3,FALSE),0)</f>
        <v>0</v>
      </c>
      <c r="H18" s="4">
        <f t="shared" si="0"/>
        <v>0</v>
      </c>
      <c r="I18" s="5"/>
      <c r="K18" s="4">
        <f>IF(Tabela514151617[[#This Row],[ID da venda]]=B19,0,VLOOKUP(Tabela514151617[Entrega],cálculos!$C$7:$D$11,2,FALSE))</f>
        <v>0</v>
      </c>
      <c r="L18" s="3">
        <f>Tabela514151617[[#This Row],[Subtotal]]*(1-Tabela514151617[[#This Row],[Desconto]])+Tabela514151617[[#This Row],[Valor de Entrega]]</f>
        <v>0</v>
      </c>
      <c r="M18" s="24" t="str">
        <f>IF(Tabela514151617[[#This Row],[ID da venda]]=B19,"",SUMIF(Tabela514151617[ID da venda],Tabela514151617[[#This Row],[ID da venda]],Tabela514151617[Total]))</f>
        <v/>
      </c>
    </row>
    <row r="19" spans="2:13" s="25" customFormat="1" x14ac:dyDescent="0.25">
      <c r="B19"/>
      <c r="C19" s="28"/>
      <c r="D19"/>
      <c r="E19" s="23" t="str">
        <f>IFERROR(VLOOKUP(Tabela514151617[Produto],cálculos!$N$6:$Q$37,4,FALSE),"")</f>
        <v/>
      </c>
      <c r="F19"/>
      <c r="G19" s="3">
        <f>IFERROR(VLOOKUP(Tabela514151617[Produto],cálculos!$N$4:$Q$34,3,FALSE),0)</f>
        <v>0</v>
      </c>
      <c r="H19" s="4">
        <f t="shared" si="0"/>
        <v>0</v>
      </c>
      <c r="I19" s="5"/>
      <c r="J19"/>
      <c r="K19" s="4">
        <f>IF(Tabela514151617[[#This Row],[ID da venda]]=B20,0,VLOOKUP(Tabela514151617[Entrega],cálculos!$C$7:$D$11,2,FALSE))</f>
        <v>0</v>
      </c>
      <c r="L19" s="3">
        <f>Tabela514151617[[#This Row],[Subtotal]]*(1-Tabela514151617[[#This Row],[Desconto]])+Tabela514151617[[#This Row],[Valor de Entrega]]</f>
        <v>0</v>
      </c>
      <c r="M19" s="24" t="str">
        <f>IF(Tabela514151617[[#This Row],[ID da venda]]=B20,"",SUMIF(Tabela514151617[ID da venda],Tabela514151617[[#This Row],[ID da venda]],Tabela514151617[Total]))</f>
        <v/>
      </c>
    </row>
    <row r="20" spans="2:13" s="25" customFormat="1" x14ac:dyDescent="0.25">
      <c r="B20"/>
      <c r="C20" s="28"/>
      <c r="D20"/>
      <c r="E20" s="23" t="str">
        <f>IFERROR(VLOOKUP(Tabela514151617[Produto],cálculos!$N$6:$Q$37,4,FALSE),"")</f>
        <v/>
      </c>
      <c r="F20"/>
      <c r="G20" s="3">
        <f>IFERROR(VLOOKUP(Tabela514151617[Produto],cálculos!$N$4:$Q$34,3,FALSE),0)</f>
        <v>0</v>
      </c>
      <c r="H20" s="4">
        <f t="shared" si="0"/>
        <v>0</v>
      </c>
      <c r="I20" s="5"/>
      <c r="J20"/>
      <c r="K20" s="4">
        <f>IF(Tabela514151617[[#This Row],[ID da venda]]=B21,0,VLOOKUP(Tabela514151617[Entrega],cálculos!$C$7:$D$11,2,FALSE))</f>
        <v>0</v>
      </c>
      <c r="L20" s="3">
        <f>Tabela514151617[[#This Row],[Subtotal]]*(1-Tabela514151617[[#This Row],[Desconto]])+Tabela514151617[[#This Row],[Valor de Entrega]]</f>
        <v>0</v>
      </c>
      <c r="M20" s="24" t="str">
        <f>IF(Tabela514151617[[#This Row],[ID da venda]]=B21,"",SUMIF(Tabela514151617[ID da venda],Tabela514151617[[#This Row],[ID da venda]],Tabela514151617[Total]))</f>
        <v/>
      </c>
    </row>
    <row r="21" spans="2:13" x14ac:dyDescent="0.25">
      <c r="C21" s="28"/>
      <c r="E21" s="23" t="str">
        <f>IFERROR(VLOOKUP(Tabela514151617[Produto],cálculos!$N$6:$Q$37,4,FALSE),"")</f>
        <v/>
      </c>
      <c r="G21" s="3">
        <f>IFERROR(VLOOKUP(Tabela514151617[Produto],cálculos!$N$4:$Q$34,3,FALSE),0)</f>
        <v>0</v>
      </c>
      <c r="H21" s="4">
        <f t="shared" si="0"/>
        <v>0</v>
      </c>
      <c r="I21" s="5"/>
      <c r="K21" s="4">
        <f>IF(Tabela514151617[[#This Row],[ID da venda]]=B22,0,VLOOKUP(Tabela514151617[Entrega],cálculos!$C$7:$D$11,2,FALSE))</f>
        <v>0</v>
      </c>
      <c r="L21" s="3">
        <f>Tabela514151617[[#This Row],[Subtotal]]*(1-Tabela514151617[[#This Row],[Desconto]])+Tabela514151617[[#This Row],[Valor de Entrega]]</f>
        <v>0</v>
      </c>
      <c r="M21" s="24" t="str">
        <f>IF(Tabela514151617[[#This Row],[ID da venda]]=B22,"",SUMIF(Tabela514151617[ID da venda],Tabela514151617[[#This Row],[ID da venda]],Tabela514151617[Total]))</f>
        <v/>
      </c>
    </row>
    <row r="22" spans="2:13" x14ac:dyDescent="0.25">
      <c r="C22" s="28"/>
      <c r="E22" s="23" t="str">
        <f>IFERROR(VLOOKUP(Tabela514151617[Produto],cálculos!$N$6:$Q$37,4,FALSE),"")</f>
        <v/>
      </c>
      <c r="G22" s="3">
        <f>IFERROR(VLOOKUP(Tabela514151617[Produto],cálculos!$N$4:$Q$34,3,FALSE),0)</f>
        <v>0</v>
      </c>
      <c r="H22" s="4">
        <f t="shared" si="0"/>
        <v>0</v>
      </c>
      <c r="I22" s="5"/>
      <c r="K22" s="4">
        <f>IF(Tabela514151617[[#This Row],[ID da venda]]=B23,0,VLOOKUP(Tabela514151617[Entrega],cálculos!$C$7:$D$11,2,FALSE))</f>
        <v>0</v>
      </c>
      <c r="L22" s="3">
        <f>Tabela514151617[[#This Row],[Subtotal]]*(1-Tabela514151617[[#This Row],[Desconto]])+Tabela514151617[[#This Row],[Valor de Entrega]]</f>
        <v>0</v>
      </c>
      <c r="M22" s="24" t="str">
        <f>IF(Tabela514151617[[#This Row],[ID da venda]]=B23,"",SUMIF(Tabela514151617[ID da venda],Tabela514151617[[#This Row],[ID da venda]],Tabela514151617[Total]))</f>
        <v/>
      </c>
    </row>
    <row r="23" spans="2:13" x14ac:dyDescent="0.25">
      <c r="C23" s="28"/>
      <c r="E23" s="23" t="str">
        <f>IFERROR(VLOOKUP(Tabela514151617[Produto],cálculos!$N$6:$Q$37,4,FALSE),"")</f>
        <v/>
      </c>
      <c r="G23" s="3">
        <f>IFERROR(VLOOKUP(Tabela514151617[Produto],cálculos!$N$4:$Q$34,3,FALSE),0)</f>
        <v>0</v>
      </c>
      <c r="H23" s="4">
        <f t="shared" si="0"/>
        <v>0</v>
      </c>
      <c r="I23" s="5"/>
      <c r="K23" s="4">
        <f>IF(Tabela514151617[[#This Row],[ID da venda]]=B24,0,VLOOKUP(Tabela514151617[Entrega],cálculos!$C$7:$D$11,2,FALSE))</f>
        <v>0</v>
      </c>
      <c r="L23" s="3">
        <f>Tabela514151617[[#This Row],[Subtotal]]*(1-Tabela514151617[[#This Row],[Desconto]])+Tabela514151617[[#This Row],[Valor de Entrega]]</f>
        <v>0</v>
      </c>
      <c r="M23" s="24" t="str">
        <f>IF(Tabela514151617[[#This Row],[ID da venda]]=B24,"",SUMIF(Tabela514151617[ID da venda],Tabela514151617[[#This Row],[ID da venda]],Tabela514151617[Total]))</f>
        <v/>
      </c>
    </row>
    <row r="24" spans="2:13" x14ac:dyDescent="0.25">
      <c r="C24" s="28"/>
      <c r="E24" s="23" t="str">
        <f>IFERROR(VLOOKUP(Tabela514151617[Produto],cálculos!$N$6:$Q$37,4,FALSE),"")</f>
        <v/>
      </c>
      <c r="G24" s="3">
        <f>IFERROR(VLOOKUP(Tabela514151617[Produto],cálculos!$N$4:$Q$34,3,FALSE),0)</f>
        <v>0</v>
      </c>
      <c r="H24" s="4">
        <f t="shared" si="0"/>
        <v>0</v>
      </c>
      <c r="I24" s="5"/>
      <c r="K24" s="4">
        <f>IF(Tabela514151617[[#This Row],[ID da venda]]=B25,0,VLOOKUP(Tabela514151617[Entrega],cálculos!$C$7:$D$11,2,FALSE))</f>
        <v>0</v>
      </c>
      <c r="L24" s="3">
        <f>Tabela514151617[[#This Row],[Subtotal]]*(1-Tabela514151617[[#This Row],[Desconto]])+Tabela514151617[[#This Row],[Valor de Entrega]]</f>
        <v>0</v>
      </c>
      <c r="M24" s="24" t="str">
        <f>IF(Tabela514151617[[#This Row],[ID da venda]]=B25,"",SUMIF(Tabela514151617[ID da venda],Tabela514151617[[#This Row],[ID da venda]],Tabela514151617[Total]))</f>
        <v/>
      </c>
    </row>
    <row r="25" spans="2:13" x14ac:dyDescent="0.25">
      <c r="C25" s="28"/>
      <c r="E25" s="23" t="str">
        <f>IFERROR(VLOOKUP(Tabela514151617[Produto],cálculos!$N$6:$Q$37,4,FALSE),"")</f>
        <v/>
      </c>
      <c r="G25" s="3">
        <f>IFERROR(VLOOKUP(Tabela514151617[Produto],cálculos!$N$4:$Q$34,3,FALSE),0)</f>
        <v>0</v>
      </c>
      <c r="H25" s="4">
        <f t="shared" si="0"/>
        <v>0</v>
      </c>
      <c r="I25" s="5"/>
      <c r="K25" s="4">
        <f>IF(Tabela514151617[[#This Row],[ID da venda]]=B26,0,VLOOKUP(Tabela514151617[Entrega],cálculos!$C$7:$D$11,2,FALSE))</f>
        <v>0</v>
      </c>
      <c r="L25" s="3">
        <f>Tabela514151617[[#This Row],[Subtotal]]*(1-Tabela514151617[[#This Row],[Desconto]])+Tabela514151617[[#This Row],[Valor de Entrega]]</f>
        <v>0</v>
      </c>
      <c r="M25" s="24" t="str">
        <f>IF(Tabela514151617[[#This Row],[ID da venda]]=B26,"",SUMIF(Tabela514151617[ID da venda],Tabela514151617[[#This Row],[ID da venda]],Tabela514151617[Total]))</f>
        <v/>
      </c>
    </row>
    <row r="26" spans="2:13" x14ac:dyDescent="0.25">
      <c r="C26" s="28"/>
      <c r="E26" s="23" t="str">
        <f>IFERROR(VLOOKUP(Tabela514151617[Produto],cálculos!$N$6:$Q$37,4,FALSE),"")</f>
        <v/>
      </c>
      <c r="G26" s="3">
        <f>IFERROR(VLOOKUP(Tabela514151617[Produto],cálculos!$N$4:$Q$34,3,FALSE),0)</f>
        <v>0</v>
      </c>
      <c r="H26" s="4">
        <f t="shared" si="0"/>
        <v>0</v>
      </c>
      <c r="I26" s="5"/>
      <c r="K26" s="4">
        <f>IF(Tabela514151617[[#This Row],[ID da venda]]=B27,0,VLOOKUP(Tabela514151617[Entrega],cálculos!$C$7:$D$11,2,FALSE))</f>
        <v>0</v>
      </c>
      <c r="L26" s="3">
        <f>Tabela514151617[[#This Row],[Subtotal]]*(1-Tabela514151617[[#This Row],[Desconto]])+Tabela514151617[[#This Row],[Valor de Entrega]]</f>
        <v>0</v>
      </c>
      <c r="M26" s="24" t="str">
        <f>IF(Tabela514151617[[#This Row],[ID da venda]]=B27,"",SUMIF(Tabela514151617[ID da venda],Tabela514151617[[#This Row],[ID da venda]],Tabela514151617[Total]))</f>
        <v/>
      </c>
    </row>
    <row r="27" spans="2:13" x14ac:dyDescent="0.25">
      <c r="C27" s="28"/>
      <c r="E27" s="23" t="str">
        <f>IFERROR(VLOOKUP(Tabela514151617[Produto],cálculos!$N$6:$Q$37,4,FALSE),"")</f>
        <v/>
      </c>
      <c r="G27" s="3">
        <f>IFERROR(VLOOKUP(Tabela514151617[Produto],cálculos!$N$4:$Q$34,3,FALSE),0)</f>
        <v>0</v>
      </c>
      <c r="H27" s="4">
        <f t="shared" si="0"/>
        <v>0</v>
      </c>
      <c r="I27" s="5"/>
      <c r="K27" s="4">
        <f>IF(Tabela514151617[[#This Row],[ID da venda]]=B28,0,VLOOKUP(Tabela514151617[Entrega],cálculos!$C$7:$D$11,2,FALSE))</f>
        <v>0</v>
      </c>
      <c r="L27" s="3">
        <f>Tabela514151617[[#This Row],[Subtotal]]*(1-Tabela514151617[[#This Row],[Desconto]])+Tabela514151617[[#This Row],[Valor de Entrega]]</f>
        <v>0</v>
      </c>
      <c r="M27" s="24" t="str">
        <f>IF(Tabela514151617[[#This Row],[ID da venda]]=B28,"",SUMIF(Tabela514151617[ID da venda],Tabela514151617[[#This Row],[ID da venda]],Tabela514151617[Total]))</f>
        <v/>
      </c>
    </row>
    <row r="28" spans="2:13" x14ac:dyDescent="0.25">
      <c r="C28" s="28"/>
      <c r="E28" s="23" t="str">
        <f>IFERROR(VLOOKUP(Tabela514151617[Produto],cálculos!$N$6:$Q$37,4,FALSE),"")</f>
        <v/>
      </c>
      <c r="G28" s="3">
        <f>IFERROR(VLOOKUP(Tabela514151617[Produto],cálculos!$N$4:$Q$34,3,FALSE),0)</f>
        <v>0</v>
      </c>
      <c r="H28" s="4">
        <f t="shared" si="0"/>
        <v>0</v>
      </c>
      <c r="I28" s="5"/>
      <c r="K28" s="4">
        <f>IF(Tabela514151617[[#This Row],[ID da venda]]=B29,0,VLOOKUP(Tabela514151617[Entrega],cálculos!$C$7:$D$11,2,FALSE))</f>
        <v>0</v>
      </c>
      <c r="L28" s="3">
        <f>Tabela514151617[[#This Row],[Subtotal]]*(1-Tabela514151617[[#This Row],[Desconto]])+Tabela514151617[[#This Row],[Valor de Entrega]]</f>
        <v>0</v>
      </c>
      <c r="M28" s="24" t="str">
        <f>IF(Tabela514151617[[#This Row],[ID da venda]]=B29,"",SUMIF(Tabela514151617[ID da venda],Tabela514151617[[#This Row],[ID da venda]],Tabela514151617[Total]))</f>
        <v/>
      </c>
    </row>
    <row r="29" spans="2:13" x14ac:dyDescent="0.25">
      <c r="C29" s="28"/>
      <c r="E29" s="23" t="str">
        <f>IFERROR(VLOOKUP(Tabela514151617[Produto],cálculos!$N$6:$Q$37,4,FALSE),"")</f>
        <v/>
      </c>
      <c r="G29" s="3">
        <f>IFERROR(VLOOKUP(Tabela514151617[Produto],cálculos!$N$4:$Q$34,3,FALSE),0)</f>
        <v>0</v>
      </c>
      <c r="H29" s="4">
        <f t="shared" si="0"/>
        <v>0</v>
      </c>
      <c r="I29" s="5"/>
      <c r="K29" s="4">
        <f>IF(Tabela514151617[[#This Row],[ID da venda]]=B30,0,VLOOKUP(Tabela514151617[Entrega],cálculos!$C$7:$D$11,2,FALSE))</f>
        <v>0</v>
      </c>
      <c r="L29" s="3">
        <f>Tabela514151617[[#This Row],[Subtotal]]*(1-Tabela514151617[[#This Row],[Desconto]])+Tabela514151617[[#This Row],[Valor de Entrega]]</f>
        <v>0</v>
      </c>
      <c r="M29" s="24" t="str">
        <f>IF(Tabela514151617[[#This Row],[ID da venda]]=B30,"",SUMIF(Tabela514151617[ID da venda],Tabela514151617[[#This Row],[ID da venda]],Tabela514151617[Total]))</f>
        <v/>
      </c>
    </row>
    <row r="31" spans="2:13" ht="21" x14ac:dyDescent="0.35">
      <c r="B31" s="26" t="s">
        <v>116</v>
      </c>
      <c r="C31" s="26"/>
      <c r="D31" s="26"/>
      <c r="E31" s="27"/>
      <c r="F31" s="27"/>
      <c r="G31" s="27"/>
      <c r="H31" s="27"/>
      <c r="I31" s="27"/>
      <c r="J31" s="27"/>
      <c r="K31" s="27"/>
      <c r="L31" s="27"/>
      <c r="M31" s="27">
        <f>SUM(Tabela514151617[Total])</f>
        <v>0</v>
      </c>
    </row>
    <row r="32" spans="2:13" ht="21" x14ac:dyDescent="0.35">
      <c r="B32" s="26" t="s">
        <v>117</v>
      </c>
      <c r="C32" s="26"/>
      <c r="D32" s="26"/>
      <c r="E32" s="27"/>
      <c r="F32" s="27"/>
      <c r="G32" s="27"/>
      <c r="H32" s="27"/>
      <c r="I32" s="27"/>
      <c r="J32" s="27"/>
      <c r="K32" s="27"/>
      <c r="L32" s="27"/>
      <c r="M32" s="27">
        <f>SUM(Tabela514151617[Valor de Entrega])</f>
        <v>0</v>
      </c>
    </row>
    <row r="33" spans="2:13" ht="21" x14ac:dyDescent="0.35">
      <c r="B33" s="26" t="s">
        <v>133</v>
      </c>
      <c r="C33" s="26"/>
      <c r="D33" s="26"/>
      <c r="E33" s="27"/>
      <c r="F33" s="27"/>
      <c r="G33" s="27"/>
      <c r="H33" s="27"/>
      <c r="I33" s="27"/>
      <c r="J33" s="27"/>
      <c r="K33" s="27"/>
      <c r="L33" s="27"/>
      <c r="M33" s="59">
        <f>SUM(IF(FREQUENCY(Tabela514151617[ID da venda],Tabela5[ID da venda])&gt;0,1,0))</f>
        <v>0</v>
      </c>
    </row>
    <row r="35" spans="2:13" x14ac:dyDescent="0.25">
      <c r="F35" s="2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[1]cálculos!#REF!</xm:f>
          </x14:formula1>
          <xm:sqref>J5:J29</xm:sqref>
        </x14:dataValidation>
        <x14:dataValidation type="list" allowBlank="1" showInputMessage="1" showErrorMessage="1">
          <x14:formula1>
            <xm:f>[1]cálculos!#REF!</xm:f>
          </x14:formula1>
          <xm:sqref>D5:D29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opLeftCell="A3" zoomScale="85" zoomScaleNormal="85" workbookViewId="0">
      <selection activeCell="A4" sqref="A4"/>
    </sheetView>
  </sheetViews>
  <sheetFormatPr defaultRowHeight="15" x14ac:dyDescent="0.25"/>
  <cols>
    <col min="1" max="1" width="30.28515625" customWidth="1"/>
    <col min="2" max="2" width="23.5703125" bestFit="1" customWidth="1"/>
    <col min="3" max="3" width="10.7109375" bestFit="1" customWidth="1"/>
    <col min="4" max="4" width="15.7109375" bestFit="1" customWidth="1"/>
    <col min="5" max="5" width="9.85546875" customWidth="1"/>
    <col min="6" max="6" width="13.5703125" customWidth="1"/>
    <col min="7" max="7" width="15.7109375" customWidth="1"/>
    <col min="8" max="8" width="10.5703125" customWidth="1"/>
    <col min="9" max="9" width="11.42578125" customWidth="1"/>
    <col min="10" max="10" width="15.42578125" customWidth="1"/>
    <col min="11" max="11" width="17.7109375" customWidth="1"/>
    <col min="12" max="12" width="15.5703125" customWidth="1"/>
    <col min="13" max="13" width="20.28515625" customWidth="1"/>
  </cols>
  <sheetData>
    <row r="2" spans="2:13" s="21" customFormat="1" ht="27.95" customHeight="1" x14ac:dyDescent="0.25">
      <c r="B2" s="20" t="s">
        <v>120</v>
      </c>
    </row>
    <row r="3" spans="2:13" ht="33.75" customHeight="1" x14ac:dyDescent="0.25"/>
    <row r="4" spans="2:13" x14ac:dyDescent="0.25">
      <c r="B4" t="s">
        <v>103</v>
      </c>
      <c r="C4" t="s">
        <v>42</v>
      </c>
      <c r="D4" t="s">
        <v>95</v>
      </c>
      <c r="E4" t="s">
        <v>56</v>
      </c>
      <c r="F4" t="s">
        <v>57</v>
      </c>
      <c r="G4" t="s">
        <v>58</v>
      </c>
      <c r="H4" t="s">
        <v>104</v>
      </c>
      <c r="I4" t="s">
        <v>59</v>
      </c>
      <c r="J4" t="s">
        <v>105</v>
      </c>
      <c r="K4" t="s">
        <v>106</v>
      </c>
      <c r="L4" t="s">
        <v>107</v>
      </c>
      <c r="M4" t="s">
        <v>108</v>
      </c>
    </row>
    <row r="5" spans="2:13" x14ac:dyDescent="0.25">
      <c r="C5" s="28"/>
      <c r="E5" s="23" t="str">
        <f>IFERROR(VLOOKUP(Tabela5141516[Produto],cálculos!$N$6:$Q$37,4,FALSE),"")</f>
        <v/>
      </c>
      <c r="G5" s="3">
        <f>IFERROR(VLOOKUP(Tabela5141516[Produto],cálculos!$N$4:$Q$34,3,FALSE),0)</f>
        <v>0</v>
      </c>
      <c r="H5" s="4">
        <f>F5*G5</f>
        <v>0</v>
      </c>
      <c r="I5" s="5"/>
      <c r="K5" s="4">
        <f>IF(Tabela5141516[[#This Row],[ID da venda]]=B6,0,VLOOKUP(Tabela5141516[Entrega],cálculos!$C$7:$D$11,2,FALSE))</f>
        <v>0</v>
      </c>
      <c r="L5" s="3">
        <f>Tabela5141516[[#This Row],[Subtotal]]*(1-Tabela5141516[[#This Row],[Desconto]])+Tabela5141516[[#This Row],[Valor de Entrega]]</f>
        <v>0</v>
      </c>
      <c r="M5" s="24" t="str">
        <f>IF(Tabela5141516[[#This Row],[ID da venda]]=B6,"",SUMIF(Tabela5141516[ID da venda],Tabela5141516[[#This Row],[ID da venda]],Tabela5141516[Total]))</f>
        <v/>
      </c>
    </row>
    <row r="6" spans="2:13" x14ac:dyDescent="0.25">
      <c r="C6" s="28"/>
      <c r="E6" t="str">
        <f>IFERROR(VLOOKUP(Tabela5141516[Produto],cálculos!$N$6:$Q$37,4,FALSE),"")</f>
        <v/>
      </c>
      <c r="G6" s="3">
        <f>IFERROR(VLOOKUP(Tabela5141516[Produto],cálculos!$N$4:$Q$34,3,FALSE),0)</f>
        <v>0</v>
      </c>
      <c r="H6" s="3">
        <f t="shared" ref="H6:H29" si="0">F6*G6</f>
        <v>0</v>
      </c>
      <c r="I6" s="5"/>
      <c r="K6" s="4">
        <f>IF(Tabela5141516[[#This Row],[ID da venda]]=B7,0,VLOOKUP(Tabela5141516[Entrega],cálculos!$C$7:$D$11,2,FALSE))</f>
        <v>0</v>
      </c>
      <c r="L6" s="3">
        <f>Tabela5141516[[#This Row],[Subtotal]]*(1-Tabela5141516[[#This Row],[Desconto]])+Tabela5141516[[#This Row],[Valor de Entrega]]</f>
        <v>0</v>
      </c>
      <c r="M6" s="24" t="str">
        <f>IF(Tabela5141516[[#This Row],[ID da venda]]=B7,"",SUMIF(Tabela5141516[ID da venda],Tabela5141516[[#This Row],[ID da venda]],Tabela5141516[Total]))</f>
        <v/>
      </c>
    </row>
    <row r="7" spans="2:13" x14ac:dyDescent="0.25">
      <c r="C7" s="28"/>
      <c r="E7" t="str">
        <f>IFERROR(VLOOKUP(Tabela5141516[Produto],cálculos!$N$6:$Q$37,4,FALSE),"")</f>
        <v/>
      </c>
      <c r="G7" s="3">
        <f>IFERROR(VLOOKUP(Tabela5141516[Produto],cálculos!$N$4:$Q$34,3,FALSE),0)</f>
        <v>0</v>
      </c>
      <c r="H7" s="3">
        <f t="shared" si="0"/>
        <v>0</v>
      </c>
      <c r="I7" s="5"/>
      <c r="K7" s="4">
        <f>IF(Tabela5141516[[#This Row],[ID da venda]]=B8,0,VLOOKUP(Tabela5141516[Entrega],cálculos!$C$7:$D$11,2,FALSE))</f>
        <v>0</v>
      </c>
      <c r="L7" s="3">
        <f>Tabela5141516[[#This Row],[Subtotal]]*(1-Tabela5141516[[#This Row],[Desconto]])+Tabela5141516[[#This Row],[Valor de Entrega]]</f>
        <v>0</v>
      </c>
      <c r="M7" s="24" t="str">
        <f>IF(Tabela5141516[[#This Row],[ID da venda]]=B8,"",SUMIF(Tabela5141516[ID da venda],Tabela5141516[[#This Row],[ID da venda]],Tabela5141516[Total]))</f>
        <v/>
      </c>
    </row>
    <row r="8" spans="2:13" x14ac:dyDescent="0.25">
      <c r="C8" s="28"/>
      <c r="E8" t="str">
        <f>IFERROR(VLOOKUP(Tabela5141516[Produto],cálculos!$N$6:$Q$37,4,FALSE),"")</f>
        <v/>
      </c>
      <c r="G8" s="3">
        <f>IFERROR(VLOOKUP(Tabela5141516[Produto],cálculos!$N$4:$Q$34,3,FALSE),0)</f>
        <v>0</v>
      </c>
      <c r="H8" s="3">
        <f t="shared" si="0"/>
        <v>0</v>
      </c>
      <c r="I8" s="5"/>
      <c r="K8" s="4">
        <f>IF(Tabela5141516[[#This Row],[ID da venda]]=B9,0,VLOOKUP(Tabela5141516[Entrega],cálculos!$C$7:$D$11,2,FALSE))</f>
        <v>0</v>
      </c>
      <c r="L8" s="3">
        <f>Tabela5141516[[#This Row],[Subtotal]]*(1-Tabela5141516[[#This Row],[Desconto]])+Tabela5141516[[#This Row],[Valor de Entrega]]</f>
        <v>0</v>
      </c>
      <c r="M8" s="24" t="str">
        <f>IF(Tabela5141516[[#This Row],[ID da venda]]=B9,"",SUMIF(Tabela5141516[ID da venda],Tabela5141516[[#This Row],[ID da venda]],Tabela5141516[Total]))</f>
        <v/>
      </c>
    </row>
    <row r="9" spans="2:13" x14ac:dyDescent="0.25">
      <c r="C9" s="28"/>
      <c r="E9" t="str">
        <f>IFERROR(VLOOKUP(Tabela5141516[Produto],cálculos!$N$6:$Q$37,4,FALSE),"")</f>
        <v/>
      </c>
      <c r="G9" s="3">
        <f>IFERROR(VLOOKUP(Tabela5141516[Produto],cálculos!$N$4:$Q$34,3,FALSE),0)</f>
        <v>0</v>
      </c>
      <c r="H9" s="3">
        <f t="shared" si="0"/>
        <v>0</v>
      </c>
      <c r="I9" s="5"/>
      <c r="K9" s="4">
        <f>IF(Tabela5141516[[#This Row],[ID da venda]]=B10,0,VLOOKUP(Tabela5141516[Entrega],cálculos!$C$7:$D$11,2,FALSE))</f>
        <v>0</v>
      </c>
      <c r="L9" s="3">
        <f>Tabela5141516[[#This Row],[Subtotal]]*(1-Tabela5141516[[#This Row],[Desconto]])+Tabela5141516[[#This Row],[Valor de Entrega]]</f>
        <v>0</v>
      </c>
      <c r="M9" s="24" t="str">
        <f>IF(Tabela5141516[[#This Row],[ID da venda]]=B10,"",SUMIF(Tabela5141516[ID da venda],Tabela5141516[[#This Row],[ID da venda]],Tabela5141516[Total]))</f>
        <v/>
      </c>
    </row>
    <row r="10" spans="2:13" x14ac:dyDescent="0.25">
      <c r="C10" s="28"/>
      <c r="E10" t="str">
        <f>IFERROR(VLOOKUP(Tabela5141516[Produto],cálculos!$N$6:$Q$37,4,FALSE),"")</f>
        <v/>
      </c>
      <c r="G10" s="3">
        <f>IFERROR(VLOOKUP(Tabela5141516[Produto],cálculos!$N$4:$Q$34,3,FALSE),0)</f>
        <v>0</v>
      </c>
      <c r="H10" s="3">
        <f t="shared" si="0"/>
        <v>0</v>
      </c>
      <c r="I10" s="5"/>
      <c r="K10" s="4">
        <f>IF(Tabela5141516[[#This Row],[ID da venda]]=B11,0,VLOOKUP(Tabela5141516[Entrega],cálculos!$C$7:$D$11,2,FALSE))</f>
        <v>0</v>
      </c>
      <c r="L10" s="3">
        <f>Tabela5141516[[#This Row],[Subtotal]]*(1-Tabela5141516[[#This Row],[Desconto]])+Tabela5141516[[#This Row],[Valor de Entrega]]</f>
        <v>0</v>
      </c>
      <c r="M10" s="24" t="str">
        <f>IF(Tabela5141516[[#This Row],[ID da venda]]=B11,"",SUMIF(Tabela5141516[ID da venda],Tabela5141516[[#This Row],[ID da venda]],Tabela5141516[Total]))</f>
        <v/>
      </c>
    </row>
    <row r="11" spans="2:13" x14ac:dyDescent="0.25">
      <c r="C11" s="28"/>
      <c r="E11" t="str">
        <f>IFERROR(VLOOKUP(Tabela5141516[Produto],cálculos!$N$6:$Q$37,4,FALSE),"")</f>
        <v/>
      </c>
      <c r="G11" s="3">
        <f>IFERROR(VLOOKUP(Tabela5141516[Produto],cálculos!$N$4:$Q$34,3,FALSE),0)</f>
        <v>0</v>
      </c>
      <c r="H11" s="3">
        <f t="shared" si="0"/>
        <v>0</v>
      </c>
      <c r="I11" s="5"/>
      <c r="K11" s="4">
        <f>IF(Tabela5141516[[#This Row],[ID da venda]]=B12,0,VLOOKUP(Tabela5141516[Entrega],cálculos!$C$7:$D$11,2,FALSE))</f>
        <v>0</v>
      </c>
      <c r="L11" s="3">
        <f>Tabela5141516[[#This Row],[Subtotal]]*(1-Tabela5141516[[#This Row],[Desconto]])+Tabela5141516[[#This Row],[Valor de Entrega]]</f>
        <v>0</v>
      </c>
      <c r="M11" s="24" t="str">
        <f>IF(Tabela5141516[[#This Row],[ID da venda]]=B12,"",SUMIF(Tabela5141516[ID da venda],Tabela5141516[[#This Row],[ID da venda]],Tabela5141516[Total]))</f>
        <v/>
      </c>
    </row>
    <row r="12" spans="2:13" x14ac:dyDescent="0.25">
      <c r="C12" s="28"/>
      <c r="E12" t="str">
        <f>IFERROR(VLOOKUP(Tabela5141516[Produto],cálculos!$N$6:$Q$37,4,FALSE),"")</f>
        <v/>
      </c>
      <c r="G12" s="3">
        <f>IFERROR(VLOOKUP(Tabela5141516[Produto],cálculos!$N$4:$Q$34,3,FALSE),0)</f>
        <v>0</v>
      </c>
      <c r="H12" s="3">
        <f t="shared" si="0"/>
        <v>0</v>
      </c>
      <c r="I12" s="5"/>
      <c r="K12" s="4">
        <f>IF(Tabela5141516[[#This Row],[ID da venda]]=B13,0,VLOOKUP(Tabela5141516[Entrega],cálculos!$C$7:$D$11,2,FALSE))</f>
        <v>0</v>
      </c>
      <c r="L12" s="3">
        <f>Tabela5141516[[#This Row],[Subtotal]]*(1-Tabela5141516[[#This Row],[Desconto]])+Tabela5141516[[#This Row],[Valor de Entrega]]</f>
        <v>0</v>
      </c>
      <c r="M12" s="24" t="str">
        <f>IF(Tabela5141516[[#This Row],[ID da venda]]=B13,"",SUMIF(Tabela5141516[ID da venda],Tabela5141516[[#This Row],[ID da venda]],Tabela5141516[Total]))</f>
        <v/>
      </c>
    </row>
    <row r="13" spans="2:13" x14ac:dyDescent="0.25">
      <c r="C13" s="28"/>
      <c r="E13" t="str">
        <f>IFERROR(VLOOKUP(Tabela5141516[Produto],cálculos!$N$6:$Q$37,4,FALSE),"")</f>
        <v/>
      </c>
      <c r="G13" s="3">
        <f>IFERROR(VLOOKUP(Tabela5141516[Produto],cálculos!$N$4:$Q$34,3,FALSE),0)</f>
        <v>0</v>
      </c>
      <c r="H13" s="3">
        <f t="shared" si="0"/>
        <v>0</v>
      </c>
      <c r="I13" s="5"/>
      <c r="K13" s="4">
        <f>IF(Tabela5141516[[#This Row],[ID da venda]]=B14,0,VLOOKUP(Tabela5141516[Entrega],cálculos!$C$7:$D$11,2,FALSE))</f>
        <v>0</v>
      </c>
      <c r="L13" s="3">
        <f>Tabela5141516[[#This Row],[Subtotal]]*(1-Tabela5141516[[#This Row],[Desconto]])+Tabela5141516[[#This Row],[Valor de Entrega]]</f>
        <v>0</v>
      </c>
      <c r="M13" s="24" t="str">
        <f>IF(Tabela5141516[[#This Row],[ID da venda]]=B14,"",SUMIF(Tabela5141516[ID da venda],Tabela5141516[[#This Row],[ID da venda]],Tabela5141516[Total]))</f>
        <v/>
      </c>
    </row>
    <row r="14" spans="2:13" x14ac:dyDescent="0.25">
      <c r="C14" s="28"/>
      <c r="E14" t="str">
        <f>IFERROR(VLOOKUP(Tabela5141516[Produto],cálculos!$N$6:$Q$37,4,FALSE),"")</f>
        <v/>
      </c>
      <c r="G14" s="3">
        <f>IFERROR(VLOOKUP(Tabela5141516[Produto],cálculos!$N$4:$Q$34,3,FALSE),0)</f>
        <v>0</v>
      </c>
      <c r="H14" s="3">
        <f t="shared" si="0"/>
        <v>0</v>
      </c>
      <c r="I14" s="5"/>
      <c r="K14" s="4">
        <f>IF(Tabela5141516[[#This Row],[ID da venda]]=B15,0,VLOOKUP(Tabela5141516[Entrega],cálculos!$C$7:$D$11,2,FALSE))</f>
        <v>0</v>
      </c>
      <c r="L14" s="3">
        <f>Tabela5141516[[#This Row],[Subtotal]]*(1-Tabela5141516[[#This Row],[Desconto]])+Tabela5141516[[#This Row],[Valor de Entrega]]</f>
        <v>0</v>
      </c>
      <c r="M14" s="24" t="str">
        <f>IF(Tabela5141516[[#This Row],[ID da venda]]=B15,"",SUMIF(Tabela5141516[ID da venda],Tabela5141516[[#This Row],[ID da venda]],Tabela5141516[Total]))</f>
        <v/>
      </c>
    </row>
    <row r="15" spans="2:13" x14ac:dyDescent="0.25">
      <c r="C15" s="28"/>
      <c r="E15" t="str">
        <f>IFERROR(VLOOKUP(Tabela5141516[Produto],cálculos!$N$6:$Q$37,4,FALSE),"")</f>
        <v/>
      </c>
      <c r="G15" s="3">
        <f>IFERROR(VLOOKUP(Tabela5141516[Produto],cálculos!$N$4:$Q$34,3,FALSE),0)</f>
        <v>0</v>
      </c>
      <c r="H15" s="3">
        <f t="shared" si="0"/>
        <v>0</v>
      </c>
      <c r="I15" s="5"/>
      <c r="K15" s="4">
        <f>IF(Tabela5141516[[#This Row],[ID da venda]]=B16,0,VLOOKUP(Tabela5141516[Entrega],cálculos!$C$7:$D$11,2,FALSE))</f>
        <v>0</v>
      </c>
      <c r="L15" s="3">
        <f>Tabela5141516[[#This Row],[Subtotal]]*(1-Tabela5141516[[#This Row],[Desconto]])+Tabela5141516[[#This Row],[Valor de Entrega]]</f>
        <v>0</v>
      </c>
      <c r="M15" s="24" t="str">
        <f>IF(Tabela5141516[[#This Row],[ID da venda]]=B16,"",SUMIF(Tabela5141516[ID da venda],Tabela5141516[[#This Row],[ID da venda]],Tabela5141516[Total]))</f>
        <v/>
      </c>
    </row>
    <row r="16" spans="2:13" x14ac:dyDescent="0.25">
      <c r="C16" s="28"/>
      <c r="E16" t="str">
        <f>IFERROR(VLOOKUP(Tabela5141516[Produto],cálculos!$N$6:$Q$37,4,FALSE),"")</f>
        <v/>
      </c>
      <c r="G16" s="3">
        <f>IFERROR(VLOOKUP(Tabela5141516[Produto],cálculos!$N$4:$Q$34,3,FALSE),0)</f>
        <v>0</v>
      </c>
      <c r="H16" s="3">
        <f t="shared" si="0"/>
        <v>0</v>
      </c>
      <c r="I16" s="5"/>
      <c r="K16" s="4">
        <f>IF(Tabela5141516[[#This Row],[ID da venda]]=B17,0,VLOOKUP(Tabela5141516[Entrega],cálculos!$C$7:$D$11,2,FALSE))</f>
        <v>0</v>
      </c>
      <c r="L16" s="3">
        <f>Tabela5141516[[#This Row],[Subtotal]]*(1-Tabela5141516[[#This Row],[Desconto]])+Tabela5141516[[#This Row],[Valor de Entrega]]</f>
        <v>0</v>
      </c>
      <c r="M16" s="24" t="str">
        <f>IF(Tabela5141516[[#This Row],[ID da venda]]=B17,"",SUMIF(Tabela5141516[ID da venda],Tabela5141516[[#This Row],[ID da venda]],Tabela5141516[Total]))</f>
        <v/>
      </c>
    </row>
    <row r="17" spans="2:13" x14ac:dyDescent="0.25">
      <c r="C17" s="28"/>
      <c r="E17" t="str">
        <f>IFERROR(VLOOKUP(Tabela5141516[Produto],cálculos!$N$6:$Q$37,4,FALSE),"")</f>
        <v/>
      </c>
      <c r="G17" s="3">
        <f>IFERROR(VLOOKUP(Tabela5141516[Produto],cálculos!$N$4:$Q$34,3,FALSE),0)</f>
        <v>0</v>
      </c>
      <c r="H17" s="3">
        <f t="shared" si="0"/>
        <v>0</v>
      </c>
      <c r="I17" s="5"/>
      <c r="K17" s="4">
        <f>IF(Tabela5141516[[#This Row],[ID da venda]]=B18,0,VLOOKUP(Tabela5141516[Entrega],cálculos!$C$7:$D$11,2,FALSE))</f>
        <v>0</v>
      </c>
      <c r="L17" s="3">
        <f>Tabela5141516[[#This Row],[Subtotal]]*(1-Tabela5141516[[#This Row],[Desconto]])+Tabela5141516[[#This Row],[Valor de Entrega]]</f>
        <v>0</v>
      </c>
      <c r="M17" s="24" t="str">
        <f>IF(Tabela5141516[[#This Row],[ID da venda]]=B18,"",SUMIF(Tabela5141516[ID da venda],Tabela5141516[[#This Row],[ID da venda]],Tabela5141516[Total]))</f>
        <v/>
      </c>
    </row>
    <row r="18" spans="2:13" x14ac:dyDescent="0.25">
      <c r="C18" s="28"/>
      <c r="E18" s="23" t="str">
        <f>IFERROR(VLOOKUP(Tabela5141516[Produto],cálculos!$N$6:$Q$37,4,FALSE),"")</f>
        <v/>
      </c>
      <c r="G18" s="3">
        <f>IFERROR(VLOOKUP(Tabela5141516[Produto],cálculos!$N$4:$Q$34,3,FALSE),0)</f>
        <v>0</v>
      </c>
      <c r="H18" s="4">
        <f t="shared" si="0"/>
        <v>0</v>
      </c>
      <c r="I18" s="5"/>
      <c r="K18" s="4">
        <f>IF(Tabela5141516[[#This Row],[ID da venda]]=B19,0,VLOOKUP(Tabela5141516[Entrega],cálculos!$C$7:$D$11,2,FALSE))</f>
        <v>0</v>
      </c>
      <c r="L18" s="3">
        <f>Tabela5141516[[#This Row],[Subtotal]]*(1-Tabela5141516[[#This Row],[Desconto]])+Tabela5141516[[#This Row],[Valor de Entrega]]</f>
        <v>0</v>
      </c>
      <c r="M18" s="24" t="str">
        <f>IF(Tabela5141516[[#This Row],[ID da venda]]=B19,"",SUMIF(Tabela5141516[ID da venda],Tabela5141516[[#This Row],[ID da venda]],Tabela5141516[Total]))</f>
        <v/>
      </c>
    </row>
    <row r="19" spans="2:13" s="25" customFormat="1" x14ac:dyDescent="0.25">
      <c r="B19"/>
      <c r="C19" s="28"/>
      <c r="D19"/>
      <c r="E19" s="23" t="str">
        <f>IFERROR(VLOOKUP(Tabela5141516[Produto],cálculos!$N$6:$Q$37,4,FALSE),"")</f>
        <v/>
      </c>
      <c r="F19"/>
      <c r="G19" s="3">
        <f>IFERROR(VLOOKUP(Tabela5141516[Produto],cálculos!$N$4:$Q$34,3,FALSE),0)</f>
        <v>0</v>
      </c>
      <c r="H19" s="4">
        <f t="shared" si="0"/>
        <v>0</v>
      </c>
      <c r="I19" s="5"/>
      <c r="J19"/>
      <c r="K19" s="4">
        <f>IF(Tabela5141516[[#This Row],[ID da venda]]=B20,0,VLOOKUP(Tabela5141516[Entrega],cálculos!$C$7:$D$11,2,FALSE))</f>
        <v>0</v>
      </c>
      <c r="L19" s="3">
        <f>Tabela5141516[[#This Row],[Subtotal]]*(1-Tabela5141516[[#This Row],[Desconto]])+Tabela5141516[[#This Row],[Valor de Entrega]]</f>
        <v>0</v>
      </c>
      <c r="M19" s="24" t="str">
        <f>IF(Tabela5141516[[#This Row],[ID da venda]]=B20,"",SUMIF(Tabela5141516[ID da venda],Tabela5141516[[#This Row],[ID da venda]],Tabela5141516[Total]))</f>
        <v/>
      </c>
    </row>
    <row r="20" spans="2:13" s="25" customFormat="1" x14ac:dyDescent="0.25">
      <c r="B20"/>
      <c r="C20" s="28"/>
      <c r="D20"/>
      <c r="E20" s="23" t="str">
        <f>IFERROR(VLOOKUP(Tabela5141516[Produto],cálculos!$N$6:$Q$37,4,FALSE),"")</f>
        <v/>
      </c>
      <c r="F20"/>
      <c r="G20" s="3">
        <f>IFERROR(VLOOKUP(Tabela5141516[Produto],cálculos!$N$4:$Q$34,3,FALSE),0)</f>
        <v>0</v>
      </c>
      <c r="H20" s="4">
        <f t="shared" si="0"/>
        <v>0</v>
      </c>
      <c r="I20" s="5"/>
      <c r="J20"/>
      <c r="K20" s="4">
        <f>IF(Tabela5141516[[#This Row],[ID da venda]]=B21,0,VLOOKUP(Tabela5141516[Entrega],cálculos!$C$7:$D$11,2,FALSE))</f>
        <v>0</v>
      </c>
      <c r="L20" s="3">
        <f>Tabela5141516[[#This Row],[Subtotal]]*(1-Tabela5141516[[#This Row],[Desconto]])+Tabela5141516[[#This Row],[Valor de Entrega]]</f>
        <v>0</v>
      </c>
      <c r="M20" s="24" t="str">
        <f>IF(Tabela5141516[[#This Row],[ID da venda]]=B21,"",SUMIF(Tabela5141516[ID da venda],Tabela5141516[[#This Row],[ID da venda]],Tabela5141516[Total]))</f>
        <v/>
      </c>
    </row>
    <row r="21" spans="2:13" x14ac:dyDescent="0.25">
      <c r="C21" s="28"/>
      <c r="E21" s="23" t="str">
        <f>IFERROR(VLOOKUP(Tabela5141516[Produto],cálculos!$N$6:$Q$37,4,FALSE),"")</f>
        <v/>
      </c>
      <c r="G21" s="3">
        <f>IFERROR(VLOOKUP(Tabela5141516[Produto],cálculos!$N$4:$Q$34,3,FALSE),0)</f>
        <v>0</v>
      </c>
      <c r="H21" s="4">
        <f t="shared" si="0"/>
        <v>0</v>
      </c>
      <c r="I21" s="5"/>
      <c r="K21" s="4">
        <f>IF(Tabela5141516[[#This Row],[ID da venda]]=B22,0,VLOOKUP(Tabela5141516[Entrega],cálculos!$C$7:$D$11,2,FALSE))</f>
        <v>0</v>
      </c>
      <c r="L21" s="3">
        <f>Tabela5141516[[#This Row],[Subtotal]]*(1-Tabela5141516[[#This Row],[Desconto]])+Tabela5141516[[#This Row],[Valor de Entrega]]</f>
        <v>0</v>
      </c>
      <c r="M21" s="24" t="str">
        <f>IF(Tabela5141516[[#This Row],[ID da venda]]=B22,"",SUMIF(Tabela5141516[ID da venda],Tabela5141516[[#This Row],[ID da venda]],Tabela5141516[Total]))</f>
        <v/>
      </c>
    </row>
    <row r="22" spans="2:13" x14ac:dyDescent="0.25">
      <c r="C22" s="28"/>
      <c r="E22" s="23" t="str">
        <f>IFERROR(VLOOKUP(Tabela5141516[Produto],cálculos!$N$6:$Q$37,4,FALSE),"")</f>
        <v/>
      </c>
      <c r="G22" s="3">
        <f>IFERROR(VLOOKUP(Tabela5141516[Produto],cálculos!$N$4:$Q$34,3,FALSE),0)</f>
        <v>0</v>
      </c>
      <c r="H22" s="4">
        <f t="shared" si="0"/>
        <v>0</v>
      </c>
      <c r="I22" s="5"/>
      <c r="K22" s="4">
        <f>IF(Tabela5141516[[#This Row],[ID da venda]]=B23,0,VLOOKUP(Tabela5141516[Entrega],cálculos!$C$7:$D$11,2,FALSE))</f>
        <v>0</v>
      </c>
      <c r="L22" s="3">
        <f>Tabela5141516[[#This Row],[Subtotal]]*(1-Tabela5141516[[#This Row],[Desconto]])+Tabela5141516[[#This Row],[Valor de Entrega]]</f>
        <v>0</v>
      </c>
      <c r="M22" s="24" t="str">
        <f>IF(Tabela5141516[[#This Row],[ID da venda]]=B23,"",SUMIF(Tabela5141516[ID da venda],Tabela5141516[[#This Row],[ID da venda]],Tabela5141516[Total]))</f>
        <v/>
      </c>
    </row>
    <row r="23" spans="2:13" x14ac:dyDescent="0.25">
      <c r="C23" s="28"/>
      <c r="E23" s="23" t="str">
        <f>IFERROR(VLOOKUP(Tabela5141516[Produto],cálculos!$N$6:$Q$37,4,FALSE),"")</f>
        <v/>
      </c>
      <c r="G23" s="3">
        <f>IFERROR(VLOOKUP(Tabela5141516[Produto],cálculos!$N$4:$Q$34,3,FALSE),0)</f>
        <v>0</v>
      </c>
      <c r="H23" s="4">
        <f t="shared" si="0"/>
        <v>0</v>
      </c>
      <c r="I23" s="5"/>
      <c r="K23" s="4">
        <f>IF(Tabela5141516[[#This Row],[ID da venda]]=B24,0,VLOOKUP(Tabela5141516[Entrega],cálculos!$C$7:$D$11,2,FALSE))</f>
        <v>0</v>
      </c>
      <c r="L23" s="3">
        <f>Tabela5141516[[#This Row],[Subtotal]]*(1-Tabela5141516[[#This Row],[Desconto]])+Tabela5141516[[#This Row],[Valor de Entrega]]</f>
        <v>0</v>
      </c>
      <c r="M23" s="24" t="str">
        <f>IF(Tabela5141516[[#This Row],[ID da venda]]=B24,"",SUMIF(Tabela5141516[ID da venda],Tabela5141516[[#This Row],[ID da venda]],Tabela5141516[Total]))</f>
        <v/>
      </c>
    </row>
    <row r="24" spans="2:13" x14ac:dyDescent="0.25">
      <c r="C24" s="28"/>
      <c r="E24" s="23" t="str">
        <f>IFERROR(VLOOKUP(Tabela5141516[Produto],cálculos!$N$6:$Q$37,4,FALSE),"")</f>
        <v/>
      </c>
      <c r="G24" s="3">
        <f>IFERROR(VLOOKUP(Tabela5141516[Produto],cálculos!$N$4:$Q$34,3,FALSE),0)</f>
        <v>0</v>
      </c>
      <c r="H24" s="4">
        <f t="shared" si="0"/>
        <v>0</v>
      </c>
      <c r="I24" s="5"/>
      <c r="K24" s="4">
        <f>IF(Tabela5141516[[#This Row],[ID da venda]]=B25,0,VLOOKUP(Tabela5141516[Entrega],cálculos!$C$7:$D$11,2,FALSE))</f>
        <v>0</v>
      </c>
      <c r="L24" s="3">
        <f>Tabela5141516[[#This Row],[Subtotal]]*(1-Tabela5141516[[#This Row],[Desconto]])+Tabela5141516[[#This Row],[Valor de Entrega]]</f>
        <v>0</v>
      </c>
      <c r="M24" s="24" t="str">
        <f>IF(Tabela5141516[[#This Row],[ID da venda]]=B25,"",SUMIF(Tabela5141516[ID da venda],Tabela5141516[[#This Row],[ID da venda]],Tabela5141516[Total]))</f>
        <v/>
      </c>
    </row>
    <row r="25" spans="2:13" x14ac:dyDescent="0.25">
      <c r="C25" s="28"/>
      <c r="E25" s="23" t="str">
        <f>IFERROR(VLOOKUP(Tabela5141516[Produto],cálculos!$N$6:$Q$37,4,FALSE),"")</f>
        <v/>
      </c>
      <c r="G25" s="3">
        <f>IFERROR(VLOOKUP(Tabela5141516[Produto],cálculos!$N$4:$Q$34,3,FALSE),0)</f>
        <v>0</v>
      </c>
      <c r="H25" s="4">
        <f t="shared" si="0"/>
        <v>0</v>
      </c>
      <c r="I25" s="5"/>
      <c r="K25" s="4">
        <f>IF(Tabela5141516[[#This Row],[ID da venda]]=B26,0,VLOOKUP(Tabela5141516[Entrega],cálculos!$C$7:$D$11,2,FALSE))</f>
        <v>0</v>
      </c>
      <c r="L25" s="3">
        <f>Tabela5141516[[#This Row],[Subtotal]]*(1-Tabela5141516[[#This Row],[Desconto]])+Tabela5141516[[#This Row],[Valor de Entrega]]</f>
        <v>0</v>
      </c>
      <c r="M25" s="24" t="str">
        <f>IF(Tabela5141516[[#This Row],[ID da venda]]=B26,"",SUMIF(Tabela5141516[ID da venda],Tabela5141516[[#This Row],[ID da venda]],Tabela5141516[Total]))</f>
        <v/>
      </c>
    </row>
    <row r="26" spans="2:13" x14ac:dyDescent="0.25">
      <c r="C26" s="28"/>
      <c r="E26" s="23" t="str">
        <f>IFERROR(VLOOKUP(Tabela5141516[Produto],cálculos!$N$6:$Q$37,4,FALSE),"")</f>
        <v/>
      </c>
      <c r="G26" s="3">
        <f>IFERROR(VLOOKUP(Tabela5141516[Produto],cálculos!$N$4:$Q$34,3,FALSE),0)</f>
        <v>0</v>
      </c>
      <c r="H26" s="4">
        <f t="shared" si="0"/>
        <v>0</v>
      </c>
      <c r="I26" s="5"/>
      <c r="K26" s="4">
        <f>IF(Tabela5141516[[#This Row],[ID da venda]]=B27,0,VLOOKUP(Tabela5141516[Entrega],cálculos!$C$7:$D$11,2,FALSE))</f>
        <v>0</v>
      </c>
      <c r="L26" s="3">
        <f>Tabela5141516[[#This Row],[Subtotal]]*(1-Tabela5141516[[#This Row],[Desconto]])+Tabela5141516[[#This Row],[Valor de Entrega]]</f>
        <v>0</v>
      </c>
      <c r="M26" s="24" t="str">
        <f>IF(Tabela5141516[[#This Row],[ID da venda]]=B27,"",SUMIF(Tabela5141516[ID da venda],Tabela5141516[[#This Row],[ID da venda]],Tabela5141516[Total]))</f>
        <v/>
      </c>
    </row>
    <row r="27" spans="2:13" x14ac:dyDescent="0.25">
      <c r="C27" s="28"/>
      <c r="E27" s="23" t="str">
        <f>IFERROR(VLOOKUP(Tabela5141516[Produto],cálculos!$N$6:$Q$37,4,FALSE),"")</f>
        <v/>
      </c>
      <c r="G27" s="3">
        <f>IFERROR(VLOOKUP(Tabela5141516[Produto],cálculos!$N$4:$Q$34,3,FALSE),0)</f>
        <v>0</v>
      </c>
      <c r="H27" s="4">
        <f t="shared" si="0"/>
        <v>0</v>
      </c>
      <c r="I27" s="5"/>
      <c r="K27" s="4">
        <f>IF(Tabela5141516[[#This Row],[ID da venda]]=B28,0,VLOOKUP(Tabela5141516[Entrega],cálculos!$C$7:$D$11,2,FALSE))</f>
        <v>0</v>
      </c>
      <c r="L27" s="3">
        <f>Tabela5141516[[#This Row],[Subtotal]]*(1-Tabela5141516[[#This Row],[Desconto]])+Tabela5141516[[#This Row],[Valor de Entrega]]</f>
        <v>0</v>
      </c>
      <c r="M27" s="24" t="str">
        <f>IF(Tabela5141516[[#This Row],[ID da venda]]=B28,"",SUMIF(Tabela5141516[ID da venda],Tabela5141516[[#This Row],[ID da venda]],Tabela5141516[Total]))</f>
        <v/>
      </c>
    </row>
    <row r="28" spans="2:13" x14ac:dyDescent="0.25">
      <c r="C28" s="28"/>
      <c r="E28" s="23" t="str">
        <f>IFERROR(VLOOKUP(Tabela5141516[Produto],cálculos!$N$6:$Q$37,4,FALSE),"")</f>
        <v/>
      </c>
      <c r="G28" s="3">
        <f>IFERROR(VLOOKUP(Tabela5141516[Produto],cálculos!$N$4:$Q$34,3,FALSE),0)</f>
        <v>0</v>
      </c>
      <c r="H28" s="4">
        <f t="shared" si="0"/>
        <v>0</v>
      </c>
      <c r="I28" s="5"/>
      <c r="K28" s="4">
        <f>IF(Tabela5141516[[#This Row],[ID da venda]]=B29,0,VLOOKUP(Tabela5141516[Entrega],cálculos!$C$7:$D$11,2,FALSE))</f>
        <v>0</v>
      </c>
      <c r="L28" s="3">
        <f>Tabela5141516[[#This Row],[Subtotal]]*(1-Tabela5141516[[#This Row],[Desconto]])+Tabela5141516[[#This Row],[Valor de Entrega]]</f>
        <v>0</v>
      </c>
      <c r="M28" s="24" t="str">
        <f>IF(Tabela5141516[[#This Row],[ID da venda]]=B29,"",SUMIF(Tabela5141516[ID da venda],Tabela5141516[[#This Row],[ID da venda]],Tabela5141516[Total]))</f>
        <v/>
      </c>
    </row>
    <row r="29" spans="2:13" x14ac:dyDescent="0.25">
      <c r="C29" s="28"/>
      <c r="E29" s="23" t="str">
        <f>IFERROR(VLOOKUP(Tabela5141516[Produto],cálculos!$N$6:$Q$37,4,FALSE),"")</f>
        <v/>
      </c>
      <c r="G29" s="3">
        <f>IFERROR(VLOOKUP(Tabela5141516[Produto],cálculos!$N$4:$Q$34,3,FALSE),0)</f>
        <v>0</v>
      </c>
      <c r="H29" s="4">
        <f t="shared" si="0"/>
        <v>0</v>
      </c>
      <c r="I29" s="5"/>
      <c r="K29" s="4">
        <f>IF(Tabela5141516[[#This Row],[ID da venda]]=B30,0,VLOOKUP(Tabela5141516[Entrega],cálculos!$C$7:$D$11,2,FALSE))</f>
        <v>0</v>
      </c>
      <c r="L29" s="3">
        <f>Tabela5141516[[#This Row],[Subtotal]]*(1-Tabela5141516[[#This Row],[Desconto]])+Tabela5141516[[#This Row],[Valor de Entrega]]</f>
        <v>0</v>
      </c>
      <c r="M29" s="24" t="str">
        <f>IF(Tabela5141516[[#This Row],[ID da venda]]=B30,"",SUMIF(Tabela5141516[ID da venda],Tabela5141516[[#This Row],[ID da venda]],Tabela5141516[Total]))</f>
        <v/>
      </c>
    </row>
    <row r="31" spans="2:13" ht="21" x14ac:dyDescent="0.35">
      <c r="B31" s="26" t="s">
        <v>116</v>
      </c>
      <c r="C31" s="26"/>
      <c r="D31" s="26"/>
      <c r="E31" s="27"/>
      <c r="F31" s="27"/>
      <c r="G31" s="27"/>
      <c r="H31" s="27"/>
      <c r="I31" s="27"/>
      <c r="J31" s="27"/>
      <c r="K31" s="27"/>
      <c r="L31" s="27"/>
      <c r="M31" s="27">
        <f>SUM(Tabela5141516[Total])</f>
        <v>0</v>
      </c>
    </row>
    <row r="32" spans="2:13" ht="21" x14ac:dyDescent="0.35">
      <c r="B32" s="26" t="s">
        <v>117</v>
      </c>
      <c r="C32" s="26"/>
      <c r="D32" s="26"/>
      <c r="E32" s="27"/>
      <c r="F32" s="27"/>
      <c r="G32" s="27"/>
      <c r="H32" s="27"/>
      <c r="I32" s="27"/>
      <c r="J32" s="27"/>
      <c r="K32" s="27"/>
      <c r="L32" s="27"/>
      <c r="M32" s="27">
        <f>SUM(Tabela5141516[Valor de Entrega])</f>
        <v>0</v>
      </c>
    </row>
    <row r="33" spans="2:13" ht="21" x14ac:dyDescent="0.35">
      <c r="B33" s="26" t="s">
        <v>133</v>
      </c>
      <c r="C33" s="26"/>
      <c r="D33" s="26"/>
      <c r="E33" s="27"/>
      <c r="F33" s="27"/>
      <c r="G33" s="27"/>
      <c r="H33" s="27"/>
      <c r="I33" s="27"/>
      <c r="J33" s="27"/>
      <c r="K33" s="27"/>
      <c r="L33" s="27"/>
      <c r="M33" s="59">
        <f>SUM(IF(FREQUENCY(Tabela5141516[ID da venda],Tabela5[ID da venda])&gt;0,1,0))</f>
        <v>0</v>
      </c>
    </row>
    <row r="35" spans="2:13" x14ac:dyDescent="0.25">
      <c r="F35" s="2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[1]cálculos!#REF!</xm:f>
          </x14:formula1>
          <xm:sqref>J5:J29</xm:sqref>
        </x14:dataValidation>
        <x14:dataValidation type="list" allowBlank="1" showInputMessage="1" showErrorMessage="1">
          <x14:formula1>
            <xm:f>[1]cálculos!#REF!</xm:f>
          </x14:formula1>
          <xm:sqref>D5:D29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opLeftCell="A3" zoomScale="85" zoomScaleNormal="85" workbookViewId="0">
      <selection activeCell="A5" sqref="A5"/>
    </sheetView>
  </sheetViews>
  <sheetFormatPr defaultRowHeight="15" x14ac:dyDescent="0.25"/>
  <cols>
    <col min="1" max="1" width="29" customWidth="1"/>
    <col min="2" max="2" width="23.5703125" bestFit="1" customWidth="1"/>
    <col min="3" max="3" width="10.7109375" bestFit="1" customWidth="1"/>
    <col min="4" max="4" width="15.7109375" bestFit="1" customWidth="1"/>
    <col min="5" max="5" width="9.85546875" customWidth="1"/>
    <col min="6" max="6" width="13.5703125" customWidth="1"/>
    <col min="7" max="7" width="15.7109375" customWidth="1"/>
    <col min="8" max="8" width="10.5703125" customWidth="1"/>
    <col min="9" max="9" width="11.42578125" customWidth="1"/>
    <col min="10" max="10" width="15.42578125" customWidth="1"/>
    <col min="11" max="11" width="17.7109375" customWidth="1"/>
    <col min="12" max="12" width="15.5703125" customWidth="1"/>
    <col min="13" max="13" width="20.28515625" customWidth="1"/>
  </cols>
  <sheetData>
    <row r="2" spans="2:13" s="21" customFormat="1" ht="27.95" customHeight="1" x14ac:dyDescent="0.25">
      <c r="B2" s="20" t="s">
        <v>119</v>
      </c>
    </row>
    <row r="3" spans="2:13" ht="33.75" customHeight="1" x14ac:dyDescent="0.25"/>
    <row r="4" spans="2:13" x14ac:dyDescent="0.25">
      <c r="B4" t="s">
        <v>103</v>
      </c>
      <c r="C4" t="s">
        <v>42</v>
      </c>
      <c r="D4" t="s">
        <v>95</v>
      </c>
      <c r="E4" t="s">
        <v>56</v>
      </c>
      <c r="F4" t="s">
        <v>57</v>
      </c>
      <c r="G4" t="s">
        <v>58</v>
      </c>
      <c r="H4" t="s">
        <v>104</v>
      </c>
      <c r="I4" t="s">
        <v>59</v>
      </c>
      <c r="J4" t="s">
        <v>105</v>
      </c>
      <c r="K4" t="s">
        <v>106</v>
      </c>
      <c r="L4" t="s">
        <v>107</v>
      </c>
      <c r="M4" t="s">
        <v>108</v>
      </c>
    </row>
    <row r="5" spans="2:13" x14ac:dyDescent="0.25">
      <c r="C5" s="28"/>
      <c r="E5" s="23" t="str">
        <f>IFERROR(VLOOKUP(Tabela51415[Produto],cálculos!$N$6:$Q$37,4,FALSE),"")</f>
        <v/>
      </c>
      <c r="G5" s="3">
        <f>IFERROR(VLOOKUP(Tabela51415[Produto],cálculos!$N$4:$Q$34,3,FALSE),0)</f>
        <v>0</v>
      </c>
      <c r="H5" s="4">
        <f>F5*G5</f>
        <v>0</v>
      </c>
      <c r="I5" s="5"/>
      <c r="K5" s="4">
        <f>IF(Tabela51415[[#This Row],[ID da venda]]=B6,0,VLOOKUP(Tabela51415[Entrega],cálculos!$C$7:$D$11,2,FALSE))</f>
        <v>0</v>
      </c>
      <c r="L5" s="3">
        <f>Tabela51415[[#This Row],[Subtotal]]*(1-Tabela51415[[#This Row],[Desconto]])+Tabela51415[[#This Row],[Valor de Entrega]]</f>
        <v>0</v>
      </c>
      <c r="M5" s="24" t="str">
        <f>IF(Tabela51415[[#This Row],[ID da venda]]=B6,"",SUMIF(Tabela51415[ID da venda],Tabela51415[[#This Row],[ID da venda]],Tabela51415[Total]))</f>
        <v/>
      </c>
    </row>
    <row r="6" spans="2:13" x14ac:dyDescent="0.25">
      <c r="C6" s="28"/>
      <c r="E6" t="str">
        <f>IFERROR(VLOOKUP(Tabela51415[Produto],cálculos!$N$6:$Q$37,4,FALSE),"")</f>
        <v/>
      </c>
      <c r="G6" s="3">
        <f>IFERROR(VLOOKUP(Tabela51415[Produto],cálculos!$N$4:$Q$34,3,FALSE),0)</f>
        <v>0</v>
      </c>
      <c r="H6" s="3">
        <f t="shared" ref="H6:H29" si="0">F6*G6</f>
        <v>0</v>
      </c>
      <c r="I6" s="5"/>
      <c r="K6" s="4">
        <f>IF(Tabela51415[[#This Row],[ID da venda]]=B7,0,VLOOKUP(Tabela51415[Entrega],cálculos!$C$7:$D$11,2,FALSE))</f>
        <v>0</v>
      </c>
      <c r="L6" s="3">
        <f>Tabela51415[[#This Row],[Subtotal]]*(1-Tabela51415[[#This Row],[Desconto]])+Tabela51415[[#This Row],[Valor de Entrega]]</f>
        <v>0</v>
      </c>
      <c r="M6" s="24" t="str">
        <f>IF(Tabela51415[[#This Row],[ID da venda]]=B7,"",SUMIF(Tabela51415[ID da venda],Tabela51415[[#This Row],[ID da venda]],Tabela51415[Total]))</f>
        <v/>
      </c>
    </row>
    <row r="7" spans="2:13" x14ac:dyDescent="0.25">
      <c r="C7" s="28"/>
      <c r="E7" t="str">
        <f>IFERROR(VLOOKUP(Tabela51415[Produto],cálculos!$N$6:$Q$37,4,FALSE),"")</f>
        <v/>
      </c>
      <c r="G7" s="3">
        <f>IFERROR(VLOOKUP(Tabela51415[Produto],cálculos!$N$4:$Q$34,3,FALSE),0)</f>
        <v>0</v>
      </c>
      <c r="H7" s="3">
        <f t="shared" si="0"/>
        <v>0</v>
      </c>
      <c r="I7" s="5"/>
      <c r="K7" s="4">
        <f>IF(Tabela51415[[#This Row],[ID da venda]]=B8,0,VLOOKUP(Tabela51415[Entrega],cálculos!$C$7:$D$11,2,FALSE))</f>
        <v>0</v>
      </c>
      <c r="L7" s="3">
        <f>Tabela51415[[#This Row],[Subtotal]]*(1-Tabela51415[[#This Row],[Desconto]])+Tabela51415[[#This Row],[Valor de Entrega]]</f>
        <v>0</v>
      </c>
      <c r="M7" s="24" t="str">
        <f>IF(Tabela51415[[#This Row],[ID da venda]]=B8,"",SUMIF(Tabela51415[ID da venda],Tabela51415[[#This Row],[ID da venda]],Tabela51415[Total]))</f>
        <v/>
      </c>
    </row>
    <row r="8" spans="2:13" x14ac:dyDescent="0.25">
      <c r="C8" s="28"/>
      <c r="E8" t="str">
        <f>IFERROR(VLOOKUP(Tabela51415[Produto],cálculos!$N$6:$Q$37,4,FALSE),"")</f>
        <v/>
      </c>
      <c r="G8" s="3">
        <f>IFERROR(VLOOKUP(Tabela51415[Produto],cálculos!$N$4:$Q$34,3,FALSE),0)</f>
        <v>0</v>
      </c>
      <c r="H8" s="3">
        <f t="shared" si="0"/>
        <v>0</v>
      </c>
      <c r="I8" s="5"/>
      <c r="K8" s="4">
        <f>IF(Tabela51415[[#This Row],[ID da venda]]=B9,0,VLOOKUP(Tabela51415[Entrega],cálculos!$C$7:$D$11,2,FALSE))</f>
        <v>0</v>
      </c>
      <c r="L8" s="3">
        <f>Tabela51415[[#This Row],[Subtotal]]*(1-Tabela51415[[#This Row],[Desconto]])+Tabela51415[[#This Row],[Valor de Entrega]]</f>
        <v>0</v>
      </c>
      <c r="M8" s="24" t="str">
        <f>IF(Tabela51415[[#This Row],[ID da venda]]=B9,"",SUMIF(Tabela51415[ID da venda],Tabela51415[[#This Row],[ID da venda]],Tabela51415[Total]))</f>
        <v/>
      </c>
    </row>
    <row r="9" spans="2:13" x14ac:dyDescent="0.25">
      <c r="C9" s="28"/>
      <c r="E9" t="str">
        <f>IFERROR(VLOOKUP(Tabela51415[Produto],cálculos!$N$6:$Q$37,4,FALSE),"")</f>
        <v/>
      </c>
      <c r="G9" s="3">
        <f>IFERROR(VLOOKUP(Tabela51415[Produto],cálculos!$N$4:$Q$34,3,FALSE),0)</f>
        <v>0</v>
      </c>
      <c r="H9" s="3">
        <f t="shared" si="0"/>
        <v>0</v>
      </c>
      <c r="I9" s="5"/>
      <c r="K9" s="4">
        <f>IF(Tabela51415[[#This Row],[ID da venda]]=B10,0,VLOOKUP(Tabela51415[Entrega],cálculos!$C$7:$D$11,2,FALSE))</f>
        <v>0</v>
      </c>
      <c r="L9" s="3">
        <f>Tabela51415[[#This Row],[Subtotal]]*(1-Tabela51415[[#This Row],[Desconto]])+Tabela51415[[#This Row],[Valor de Entrega]]</f>
        <v>0</v>
      </c>
      <c r="M9" s="24" t="str">
        <f>IF(Tabela51415[[#This Row],[ID da venda]]=B10,"",SUMIF(Tabela51415[ID da venda],Tabela51415[[#This Row],[ID da venda]],Tabela51415[Total]))</f>
        <v/>
      </c>
    </row>
    <row r="10" spans="2:13" x14ac:dyDescent="0.25">
      <c r="C10" s="28"/>
      <c r="E10" t="str">
        <f>IFERROR(VLOOKUP(Tabela51415[Produto],cálculos!$N$6:$Q$37,4,FALSE),"")</f>
        <v/>
      </c>
      <c r="G10" s="3">
        <f>IFERROR(VLOOKUP(Tabela51415[Produto],cálculos!$N$4:$Q$34,3,FALSE),0)</f>
        <v>0</v>
      </c>
      <c r="H10" s="3">
        <f t="shared" si="0"/>
        <v>0</v>
      </c>
      <c r="I10" s="5"/>
      <c r="K10" s="4">
        <f>IF(Tabela51415[[#This Row],[ID da venda]]=B11,0,VLOOKUP(Tabela51415[Entrega],cálculos!$C$7:$D$11,2,FALSE))</f>
        <v>0</v>
      </c>
      <c r="L10" s="3">
        <f>Tabela51415[[#This Row],[Subtotal]]*(1-Tabela51415[[#This Row],[Desconto]])+Tabela51415[[#This Row],[Valor de Entrega]]</f>
        <v>0</v>
      </c>
      <c r="M10" s="24" t="str">
        <f>IF(Tabela51415[[#This Row],[ID da venda]]=B11,"",SUMIF(Tabela51415[ID da venda],Tabela51415[[#This Row],[ID da venda]],Tabela51415[Total]))</f>
        <v/>
      </c>
    </row>
    <row r="11" spans="2:13" x14ac:dyDescent="0.25">
      <c r="C11" s="28"/>
      <c r="E11" t="str">
        <f>IFERROR(VLOOKUP(Tabela51415[Produto],cálculos!$N$6:$Q$37,4,FALSE),"")</f>
        <v/>
      </c>
      <c r="G11" s="3">
        <f>IFERROR(VLOOKUP(Tabela51415[Produto],cálculos!$N$4:$Q$34,3,FALSE),0)</f>
        <v>0</v>
      </c>
      <c r="H11" s="3">
        <f t="shared" si="0"/>
        <v>0</v>
      </c>
      <c r="I11" s="5"/>
      <c r="K11" s="4">
        <f>IF(Tabela51415[[#This Row],[ID da venda]]=B12,0,VLOOKUP(Tabela51415[Entrega],cálculos!$C$7:$D$11,2,FALSE))</f>
        <v>0</v>
      </c>
      <c r="L11" s="3">
        <f>Tabela51415[[#This Row],[Subtotal]]*(1-Tabela51415[[#This Row],[Desconto]])+Tabela51415[[#This Row],[Valor de Entrega]]</f>
        <v>0</v>
      </c>
      <c r="M11" s="24" t="str">
        <f>IF(Tabela51415[[#This Row],[ID da venda]]=B12,"",SUMIF(Tabela51415[ID da venda],Tabela51415[[#This Row],[ID da venda]],Tabela51415[Total]))</f>
        <v/>
      </c>
    </row>
    <row r="12" spans="2:13" x14ac:dyDescent="0.25">
      <c r="C12" s="28"/>
      <c r="E12" t="str">
        <f>IFERROR(VLOOKUP(Tabela51415[Produto],cálculos!$N$6:$Q$37,4,FALSE),"")</f>
        <v/>
      </c>
      <c r="G12" s="3">
        <f>IFERROR(VLOOKUP(Tabela51415[Produto],cálculos!$N$4:$Q$34,3,FALSE),0)</f>
        <v>0</v>
      </c>
      <c r="H12" s="3">
        <f t="shared" si="0"/>
        <v>0</v>
      </c>
      <c r="I12" s="5"/>
      <c r="K12" s="4">
        <f>IF(Tabela51415[[#This Row],[ID da venda]]=B13,0,VLOOKUP(Tabela51415[Entrega],cálculos!$C$7:$D$11,2,FALSE))</f>
        <v>0</v>
      </c>
      <c r="L12" s="3">
        <f>Tabela51415[[#This Row],[Subtotal]]*(1-Tabela51415[[#This Row],[Desconto]])+Tabela51415[[#This Row],[Valor de Entrega]]</f>
        <v>0</v>
      </c>
      <c r="M12" s="24" t="str">
        <f>IF(Tabela51415[[#This Row],[ID da venda]]=B13,"",SUMIF(Tabela51415[ID da venda],Tabela51415[[#This Row],[ID da venda]],Tabela51415[Total]))</f>
        <v/>
      </c>
    </row>
    <row r="13" spans="2:13" x14ac:dyDescent="0.25">
      <c r="C13" s="28"/>
      <c r="E13" t="str">
        <f>IFERROR(VLOOKUP(Tabela51415[Produto],cálculos!$N$6:$Q$37,4,FALSE),"")</f>
        <v/>
      </c>
      <c r="G13" s="3">
        <f>IFERROR(VLOOKUP(Tabela51415[Produto],cálculos!$N$4:$Q$34,3,FALSE),0)</f>
        <v>0</v>
      </c>
      <c r="H13" s="3">
        <f t="shared" si="0"/>
        <v>0</v>
      </c>
      <c r="I13" s="5"/>
      <c r="K13" s="4">
        <f>IF(Tabela51415[[#This Row],[ID da venda]]=B14,0,VLOOKUP(Tabela51415[Entrega],cálculos!$C$7:$D$11,2,FALSE))</f>
        <v>0</v>
      </c>
      <c r="L13" s="3">
        <f>Tabela51415[[#This Row],[Subtotal]]*(1-Tabela51415[[#This Row],[Desconto]])+Tabela51415[[#This Row],[Valor de Entrega]]</f>
        <v>0</v>
      </c>
      <c r="M13" s="24" t="str">
        <f>IF(Tabela51415[[#This Row],[ID da venda]]=B14,"",SUMIF(Tabela51415[ID da venda],Tabela51415[[#This Row],[ID da venda]],Tabela51415[Total]))</f>
        <v/>
      </c>
    </row>
    <row r="14" spans="2:13" x14ac:dyDescent="0.25">
      <c r="C14" s="28"/>
      <c r="E14" t="str">
        <f>IFERROR(VLOOKUP(Tabela51415[Produto],cálculos!$N$6:$Q$37,4,FALSE),"")</f>
        <v/>
      </c>
      <c r="G14" s="3">
        <f>IFERROR(VLOOKUP(Tabela51415[Produto],cálculos!$N$4:$Q$34,3,FALSE),0)</f>
        <v>0</v>
      </c>
      <c r="H14" s="3">
        <f t="shared" si="0"/>
        <v>0</v>
      </c>
      <c r="I14" s="5"/>
      <c r="K14" s="4">
        <f>IF(Tabela51415[[#This Row],[ID da venda]]=B15,0,VLOOKUP(Tabela51415[Entrega],cálculos!$C$7:$D$11,2,FALSE))</f>
        <v>0</v>
      </c>
      <c r="L14" s="3">
        <f>Tabela51415[[#This Row],[Subtotal]]*(1-Tabela51415[[#This Row],[Desconto]])+Tabela51415[[#This Row],[Valor de Entrega]]</f>
        <v>0</v>
      </c>
      <c r="M14" s="24" t="str">
        <f>IF(Tabela51415[[#This Row],[ID da venda]]=B15,"",SUMIF(Tabela51415[ID da venda],Tabela51415[[#This Row],[ID da venda]],Tabela51415[Total]))</f>
        <v/>
      </c>
    </row>
    <row r="15" spans="2:13" x14ac:dyDescent="0.25">
      <c r="C15" s="28"/>
      <c r="E15" t="str">
        <f>IFERROR(VLOOKUP(Tabela51415[Produto],cálculos!$N$6:$Q$37,4,FALSE),"")</f>
        <v/>
      </c>
      <c r="G15" s="3">
        <f>IFERROR(VLOOKUP(Tabela51415[Produto],cálculos!$N$4:$Q$34,3,FALSE),0)</f>
        <v>0</v>
      </c>
      <c r="H15" s="3">
        <f t="shared" si="0"/>
        <v>0</v>
      </c>
      <c r="I15" s="5"/>
      <c r="K15" s="4">
        <f>IF(Tabela51415[[#This Row],[ID da venda]]=B16,0,VLOOKUP(Tabela51415[Entrega],cálculos!$C$7:$D$11,2,FALSE))</f>
        <v>0</v>
      </c>
      <c r="L15" s="3">
        <f>Tabela51415[[#This Row],[Subtotal]]*(1-Tabela51415[[#This Row],[Desconto]])+Tabela51415[[#This Row],[Valor de Entrega]]</f>
        <v>0</v>
      </c>
      <c r="M15" s="24" t="str">
        <f>IF(Tabela51415[[#This Row],[ID da venda]]=B16,"",SUMIF(Tabela51415[ID da venda],Tabela51415[[#This Row],[ID da venda]],Tabela51415[Total]))</f>
        <v/>
      </c>
    </row>
    <row r="16" spans="2:13" x14ac:dyDescent="0.25">
      <c r="C16" s="28"/>
      <c r="E16" t="str">
        <f>IFERROR(VLOOKUP(Tabela51415[Produto],cálculos!$N$6:$Q$37,4,FALSE),"")</f>
        <v/>
      </c>
      <c r="G16" s="3">
        <f>IFERROR(VLOOKUP(Tabela51415[Produto],cálculos!$N$4:$Q$34,3,FALSE),0)</f>
        <v>0</v>
      </c>
      <c r="H16" s="3">
        <f t="shared" si="0"/>
        <v>0</v>
      </c>
      <c r="I16" s="5"/>
      <c r="K16" s="4">
        <f>IF(Tabela51415[[#This Row],[ID da venda]]=B17,0,VLOOKUP(Tabela51415[Entrega],cálculos!$C$7:$D$11,2,FALSE))</f>
        <v>0</v>
      </c>
      <c r="L16" s="3">
        <f>Tabela51415[[#This Row],[Subtotal]]*(1-Tabela51415[[#This Row],[Desconto]])+Tabela51415[[#This Row],[Valor de Entrega]]</f>
        <v>0</v>
      </c>
      <c r="M16" s="24" t="str">
        <f>IF(Tabela51415[[#This Row],[ID da venda]]=B17,"",SUMIF(Tabela51415[ID da venda],Tabela51415[[#This Row],[ID da venda]],Tabela51415[Total]))</f>
        <v/>
      </c>
    </row>
    <row r="17" spans="2:13" x14ac:dyDescent="0.25">
      <c r="C17" s="28"/>
      <c r="E17" t="str">
        <f>IFERROR(VLOOKUP(Tabela51415[Produto],cálculos!$N$6:$Q$37,4,FALSE),"")</f>
        <v/>
      </c>
      <c r="G17" s="3">
        <f>IFERROR(VLOOKUP(Tabela51415[Produto],cálculos!$N$4:$Q$34,3,FALSE),0)</f>
        <v>0</v>
      </c>
      <c r="H17" s="3">
        <f t="shared" si="0"/>
        <v>0</v>
      </c>
      <c r="I17" s="5"/>
      <c r="K17" s="4">
        <f>IF(Tabela51415[[#This Row],[ID da venda]]=B18,0,VLOOKUP(Tabela51415[Entrega],cálculos!$C$7:$D$11,2,FALSE))</f>
        <v>0</v>
      </c>
      <c r="L17" s="3">
        <f>Tabela51415[[#This Row],[Subtotal]]*(1-Tabela51415[[#This Row],[Desconto]])+Tabela51415[[#This Row],[Valor de Entrega]]</f>
        <v>0</v>
      </c>
      <c r="M17" s="24" t="str">
        <f>IF(Tabela51415[[#This Row],[ID da venda]]=B18,"",SUMIF(Tabela51415[ID da venda],Tabela51415[[#This Row],[ID da venda]],Tabela51415[Total]))</f>
        <v/>
      </c>
    </row>
    <row r="18" spans="2:13" x14ac:dyDescent="0.25">
      <c r="C18" s="28"/>
      <c r="E18" s="23" t="str">
        <f>IFERROR(VLOOKUP(Tabela51415[Produto],cálculos!$N$6:$Q$37,4,FALSE),"")</f>
        <v/>
      </c>
      <c r="G18" s="3">
        <f>IFERROR(VLOOKUP(Tabela51415[Produto],cálculos!$N$4:$Q$34,3,FALSE),0)</f>
        <v>0</v>
      </c>
      <c r="H18" s="4">
        <f t="shared" si="0"/>
        <v>0</v>
      </c>
      <c r="I18" s="5"/>
      <c r="K18" s="4">
        <f>IF(Tabela51415[[#This Row],[ID da venda]]=B19,0,VLOOKUP(Tabela51415[Entrega],cálculos!$C$7:$D$11,2,FALSE))</f>
        <v>0</v>
      </c>
      <c r="L18" s="3">
        <f>Tabela51415[[#This Row],[Subtotal]]*(1-Tabela51415[[#This Row],[Desconto]])+Tabela51415[[#This Row],[Valor de Entrega]]</f>
        <v>0</v>
      </c>
      <c r="M18" s="24" t="str">
        <f>IF(Tabela51415[[#This Row],[ID da venda]]=B19,"",SUMIF(Tabela51415[ID da venda],Tabela51415[[#This Row],[ID da venda]],Tabela51415[Total]))</f>
        <v/>
      </c>
    </row>
    <row r="19" spans="2:13" s="25" customFormat="1" x14ac:dyDescent="0.25">
      <c r="B19"/>
      <c r="C19" s="28"/>
      <c r="D19"/>
      <c r="E19" s="23" t="str">
        <f>IFERROR(VLOOKUP(Tabela51415[Produto],cálculos!$N$6:$Q$37,4,FALSE),"")</f>
        <v/>
      </c>
      <c r="F19"/>
      <c r="G19" s="3">
        <f>IFERROR(VLOOKUP(Tabela51415[Produto],cálculos!$N$4:$Q$34,3,FALSE),0)</f>
        <v>0</v>
      </c>
      <c r="H19" s="4">
        <f t="shared" si="0"/>
        <v>0</v>
      </c>
      <c r="I19" s="5"/>
      <c r="J19"/>
      <c r="K19" s="4">
        <f>IF(Tabela51415[[#This Row],[ID da venda]]=B20,0,VLOOKUP(Tabela51415[Entrega],cálculos!$C$7:$D$11,2,FALSE))</f>
        <v>0</v>
      </c>
      <c r="L19" s="3">
        <f>Tabela51415[[#This Row],[Subtotal]]*(1-Tabela51415[[#This Row],[Desconto]])+Tabela51415[[#This Row],[Valor de Entrega]]</f>
        <v>0</v>
      </c>
      <c r="M19" s="24" t="str">
        <f>IF(Tabela51415[[#This Row],[ID da venda]]=B20,"",SUMIF(Tabela51415[ID da venda],Tabela51415[[#This Row],[ID da venda]],Tabela51415[Total]))</f>
        <v/>
      </c>
    </row>
    <row r="20" spans="2:13" s="25" customFormat="1" x14ac:dyDescent="0.25">
      <c r="B20"/>
      <c r="C20" s="28"/>
      <c r="D20"/>
      <c r="E20" s="23" t="str">
        <f>IFERROR(VLOOKUP(Tabela51415[Produto],cálculos!$N$6:$Q$37,4,FALSE),"")</f>
        <v/>
      </c>
      <c r="F20"/>
      <c r="G20" s="3">
        <f>IFERROR(VLOOKUP(Tabela51415[Produto],cálculos!$N$4:$Q$34,3,FALSE),0)</f>
        <v>0</v>
      </c>
      <c r="H20" s="4">
        <f t="shared" si="0"/>
        <v>0</v>
      </c>
      <c r="I20" s="5"/>
      <c r="J20"/>
      <c r="K20" s="4">
        <f>IF(Tabela51415[[#This Row],[ID da venda]]=B21,0,VLOOKUP(Tabela51415[Entrega],cálculos!$C$7:$D$11,2,FALSE))</f>
        <v>0</v>
      </c>
      <c r="L20" s="3">
        <f>Tabela51415[[#This Row],[Subtotal]]*(1-Tabela51415[[#This Row],[Desconto]])+Tabela51415[[#This Row],[Valor de Entrega]]</f>
        <v>0</v>
      </c>
      <c r="M20" s="24" t="str">
        <f>IF(Tabela51415[[#This Row],[ID da venda]]=B21,"",SUMIF(Tabela51415[ID da venda],Tabela51415[[#This Row],[ID da venda]],Tabela51415[Total]))</f>
        <v/>
      </c>
    </row>
    <row r="21" spans="2:13" x14ac:dyDescent="0.25">
      <c r="C21" s="28"/>
      <c r="E21" s="23" t="str">
        <f>IFERROR(VLOOKUP(Tabela51415[Produto],cálculos!$N$6:$Q$37,4,FALSE),"")</f>
        <v/>
      </c>
      <c r="G21" s="3">
        <f>IFERROR(VLOOKUP(Tabela51415[Produto],cálculos!$N$4:$Q$34,3,FALSE),0)</f>
        <v>0</v>
      </c>
      <c r="H21" s="4">
        <f t="shared" si="0"/>
        <v>0</v>
      </c>
      <c r="I21" s="5"/>
      <c r="K21" s="4">
        <f>IF(Tabela51415[[#This Row],[ID da venda]]=B22,0,VLOOKUP(Tabela51415[Entrega],cálculos!$C$7:$D$11,2,FALSE))</f>
        <v>0</v>
      </c>
      <c r="L21" s="3">
        <f>Tabela51415[[#This Row],[Subtotal]]*(1-Tabela51415[[#This Row],[Desconto]])+Tabela51415[[#This Row],[Valor de Entrega]]</f>
        <v>0</v>
      </c>
      <c r="M21" s="24" t="str">
        <f>IF(Tabela51415[[#This Row],[ID da venda]]=B22,"",SUMIF(Tabela51415[ID da venda],Tabela51415[[#This Row],[ID da venda]],Tabela51415[Total]))</f>
        <v/>
      </c>
    </row>
    <row r="22" spans="2:13" x14ac:dyDescent="0.25">
      <c r="C22" s="28"/>
      <c r="E22" s="23" t="str">
        <f>IFERROR(VLOOKUP(Tabela51415[Produto],cálculos!$N$6:$Q$37,4,FALSE),"")</f>
        <v/>
      </c>
      <c r="G22" s="3">
        <f>IFERROR(VLOOKUP(Tabela51415[Produto],cálculos!$N$4:$Q$34,3,FALSE),0)</f>
        <v>0</v>
      </c>
      <c r="H22" s="4">
        <f t="shared" si="0"/>
        <v>0</v>
      </c>
      <c r="I22" s="5"/>
      <c r="K22" s="4">
        <f>IF(Tabela51415[[#This Row],[ID da venda]]=B23,0,VLOOKUP(Tabela51415[Entrega],cálculos!$C$7:$D$11,2,FALSE))</f>
        <v>0</v>
      </c>
      <c r="L22" s="3">
        <f>Tabela51415[[#This Row],[Subtotal]]*(1-Tabela51415[[#This Row],[Desconto]])+Tabela51415[[#This Row],[Valor de Entrega]]</f>
        <v>0</v>
      </c>
      <c r="M22" s="24" t="str">
        <f>IF(Tabela51415[[#This Row],[ID da venda]]=B23,"",SUMIF(Tabela51415[ID da venda],Tabela51415[[#This Row],[ID da venda]],Tabela51415[Total]))</f>
        <v/>
      </c>
    </row>
    <row r="23" spans="2:13" x14ac:dyDescent="0.25">
      <c r="C23" s="28"/>
      <c r="E23" s="23" t="str">
        <f>IFERROR(VLOOKUP(Tabela51415[Produto],cálculos!$N$6:$Q$37,4,FALSE),"")</f>
        <v/>
      </c>
      <c r="G23" s="3">
        <f>IFERROR(VLOOKUP(Tabela51415[Produto],cálculos!$N$4:$Q$34,3,FALSE),0)</f>
        <v>0</v>
      </c>
      <c r="H23" s="4">
        <f t="shared" si="0"/>
        <v>0</v>
      </c>
      <c r="I23" s="5"/>
      <c r="K23" s="4">
        <f>IF(Tabela51415[[#This Row],[ID da venda]]=B24,0,VLOOKUP(Tabela51415[Entrega],cálculos!$C$7:$D$11,2,FALSE))</f>
        <v>0</v>
      </c>
      <c r="L23" s="3">
        <f>Tabela51415[[#This Row],[Subtotal]]*(1-Tabela51415[[#This Row],[Desconto]])+Tabela51415[[#This Row],[Valor de Entrega]]</f>
        <v>0</v>
      </c>
      <c r="M23" s="24" t="str">
        <f>IF(Tabela51415[[#This Row],[ID da venda]]=B24,"",SUMIF(Tabela51415[ID da venda],Tabela51415[[#This Row],[ID da venda]],Tabela51415[Total]))</f>
        <v/>
      </c>
    </row>
    <row r="24" spans="2:13" x14ac:dyDescent="0.25">
      <c r="C24" s="28"/>
      <c r="E24" s="23" t="str">
        <f>IFERROR(VLOOKUP(Tabela51415[Produto],cálculos!$N$6:$Q$37,4,FALSE),"")</f>
        <v/>
      </c>
      <c r="G24" s="3">
        <f>IFERROR(VLOOKUP(Tabela51415[Produto],cálculos!$N$4:$Q$34,3,FALSE),0)</f>
        <v>0</v>
      </c>
      <c r="H24" s="4">
        <f t="shared" si="0"/>
        <v>0</v>
      </c>
      <c r="I24" s="5"/>
      <c r="K24" s="4">
        <f>IF(Tabela51415[[#This Row],[ID da venda]]=B25,0,VLOOKUP(Tabela51415[Entrega],cálculos!$C$7:$D$11,2,FALSE))</f>
        <v>0</v>
      </c>
      <c r="L24" s="3">
        <f>Tabela51415[[#This Row],[Subtotal]]*(1-Tabela51415[[#This Row],[Desconto]])+Tabela51415[[#This Row],[Valor de Entrega]]</f>
        <v>0</v>
      </c>
      <c r="M24" s="24" t="str">
        <f>IF(Tabela51415[[#This Row],[ID da venda]]=B25,"",SUMIF(Tabela51415[ID da venda],Tabela51415[[#This Row],[ID da venda]],Tabela51415[Total]))</f>
        <v/>
      </c>
    </row>
    <row r="25" spans="2:13" x14ac:dyDescent="0.25">
      <c r="C25" s="28"/>
      <c r="E25" s="23" t="str">
        <f>IFERROR(VLOOKUP(Tabela51415[Produto],cálculos!$N$6:$Q$37,4,FALSE),"")</f>
        <v/>
      </c>
      <c r="G25" s="3">
        <f>IFERROR(VLOOKUP(Tabela51415[Produto],cálculos!$N$4:$Q$34,3,FALSE),0)</f>
        <v>0</v>
      </c>
      <c r="H25" s="4">
        <f t="shared" si="0"/>
        <v>0</v>
      </c>
      <c r="I25" s="5"/>
      <c r="K25" s="4">
        <f>IF(Tabela51415[[#This Row],[ID da venda]]=B26,0,VLOOKUP(Tabela51415[Entrega],cálculos!$C$7:$D$11,2,FALSE))</f>
        <v>0</v>
      </c>
      <c r="L25" s="3">
        <f>Tabela51415[[#This Row],[Subtotal]]*(1-Tabela51415[[#This Row],[Desconto]])+Tabela51415[[#This Row],[Valor de Entrega]]</f>
        <v>0</v>
      </c>
      <c r="M25" s="24" t="str">
        <f>IF(Tabela51415[[#This Row],[ID da venda]]=B26,"",SUMIF(Tabela51415[ID da venda],Tabela51415[[#This Row],[ID da venda]],Tabela51415[Total]))</f>
        <v/>
      </c>
    </row>
    <row r="26" spans="2:13" x14ac:dyDescent="0.25">
      <c r="C26" s="28"/>
      <c r="E26" s="23" t="str">
        <f>IFERROR(VLOOKUP(Tabela51415[Produto],cálculos!$N$6:$Q$37,4,FALSE),"")</f>
        <v/>
      </c>
      <c r="G26" s="3">
        <f>IFERROR(VLOOKUP(Tabela51415[Produto],cálculos!$N$4:$Q$34,3,FALSE),0)</f>
        <v>0</v>
      </c>
      <c r="H26" s="4">
        <f t="shared" si="0"/>
        <v>0</v>
      </c>
      <c r="I26" s="5"/>
      <c r="K26" s="4">
        <f>IF(Tabela51415[[#This Row],[ID da venda]]=B27,0,VLOOKUP(Tabela51415[Entrega],cálculos!$C$7:$D$11,2,FALSE))</f>
        <v>0</v>
      </c>
      <c r="L26" s="3">
        <f>Tabela51415[[#This Row],[Subtotal]]*(1-Tabela51415[[#This Row],[Desconto]])+Tabela51415[[#This Row],[Valor de Entrega]]</f>
        <v>0</v>
      </c>
      <c r="M26" s="24" t="str">
        <f>IF(Tabela51415[[#This Row],[ID da venda]]=B27,"",SUMIF(Tabela51415[ID da venda],Tabela51415[[#This Row],[ID da venda]],Tabela51415[Total]))</f>
        <v/>
      </c>
    </row>
    <row r="27" spans="2:13" x14ac:dyDescent="0.25">
      <c r="C27" s="28"/>
      <c r="E27" s="23" t="str">
        <f>IFERROR(VLOOKUP(Tabela51415[Produto],cálculos!$N$6:$Q$37,4,FALSE),"")</f>
        <v/>
      </c>
      <c r="G27" s="3">
        <f>IFERROR(VLOOKUP(Tabela51415[Produto],cálculos!$N$4:$Q$34,3,FALSE),0)</f>
        <v>0</v>
      </c>
      <c r="H27" s="4">
        <f t="shared" si="0"/>
        <v>0</v>
      </c>
      <c r="I27" s="5"/>
      <c r="K27" s="4">
        <f>IF(Tabela51415[[#This Row],[ID da venda]]=B28,0,VLOOKUP(Tabela51415[Entrega],cálculos!$C$7:$D$11,2,FALSE))</f>
        <v>0</v>
      </c>
      <c r="L27" s="3">
        <f>Tabela51415[[#This Row],[Subtotal]]*(1-Tabela51415[[#This Row],[Desconto]])+Tabela51415[[#This Row],[Valor de Entrega]]</f>
        <v>0</v>
      </c>
      <c r="M27" s="24" t="str">
        <f>IF(Tabela51415[[#This Row],[ID da venda]]=B28,"",SUMIF(Tabela51415[ID da venda],Tabela51415[[#This Row],[ID da venda]],Tabela51415[Total]))</f>
        <v/>
      </c>
    </row>
    <row r="28" spans="2:13" x14ac:dyDescent="0.25">
      <c r="C28" s="28"/>
      <c r="E28" s="23" t="str">
        <f>IFERROR(VLOOKUP(Tabela51415[Produto],cálculos!$N$6:$Q$37,4,FALSE),"")</f>
        <v/>
      </c>
      <c r="G28" s="3">
        <f>IFERROR(VLOOKUP(Tabela51415[Produto],cálculos!$N$4:$Q$34,3,FALSE),0)</f>
        <v>0</v>
      </c>
      <c r="H28" s="4">
        <f t="shared" si="0"/>
        <v>0</v>
      </c>
      <c r="I28" s="5"/>
      <c r="K28" s="4">
        <f>IF(Tabela51415[[#This Row],[ID da venda]]=B29,0,VLOOKUP(Tabela51415[Entrega],cálculos!$C$7:$D$11,2,FALSE))</f>
        <v>0</v>
      </c>
      <c r="L28" s="3">
        <f>Tabela51415[[#This Row],[Subtotal]]*(1-Tabela51415[[#This Row],[Desconto]])+Tabela51415[[#This Row],[Valor de Entrega]]</f>
        <v>0</v>
      </c>
      <c r="M28" s="24" t="str">
        <f>IF(Tabela51415[[#This Row],[ID da venda]]=B29,"",SUMIF(Tabela51415[ID da venda],Tabela51415[[#This Row],[ID da venda]],Tabela51415[Total]))</f>
        <v/>
      </c>
    </row>
    <row r="29" spans="2:13" x14ac:dyDescent="0.25">
      <c r="C29" s="28"/>
      <c r="E29" s="23" t="str">
        <f>IFERROR(VLOOKUP(Tabela51415[Produto],cálculos!$N$6:$Q$37,4,FALSE),"")</f>
        <v/>
      </c>
      <c r="G29" s="3">
        <f>IFERROR(VLOOKUP(Tabela51415[Produto],cálculos!$N$4:$Q$34,3,FALSE),0)</f>
        <v>0</v>
      </c>
      <c r="H29" s="4">
        <f t="shared" si="0"/>
        <v>0</v>
      </c>
      <c r="I29" s="5"/>
      <c r="K29" s="4">
        <f>IF(Tabela51415[[#This Row],[ID da venda]]=B30,0,VLOOKUP(Tabela51415[Entrega],cálculos!$C$7:$D$11,2,FALSE))</f>
        <v>0</v>
      </c>
      <c r="L29" s="3">
        <f>Tabela51415[[#This Row],[Subtotal]]*(1-Tabela51415[[#This Row],[Desconto]])+Tabela51415[[#This Row],[Valor de Entrega]]</f>
        <v>0</v>
      </c>
      <c r="M29" s="24" t="str">
        <f>IF(Tabela51415[[#This Row],[ID da venda]]=B30,"",SUMIF(Tabela51415[ID da venda],Tabela51415[[#This Row],[ID da venda]],Tabela51415[Total]))</f>
        <v/>
      </c>
    </row>
    <row r="31" spans="2:13" ht="21" x14ac:dyDescent="0.35">
      <c r="B31" s="26" t="s">
        <v>116</v>
      </c>
      <c r="C31" s="26"/>
      <c r="D31" s="26"/>
      <c r="E31" s="27"/>
      <c r="F31" s="27"/>
      <c r="G31" s="27"/>
      <c r="H31" s="27"/>
      <c r="I31" s="27"/>
      <c r="J31" s="27"/>
      <c r="K31" s="27"/>
      <c r="L31" s="27"/>
      <c r="M31" s="27">
        <f>SUM(Tabela51415[Total])</f>
        <v>0</v>
      </c>
    </row>
    <row r="32" spans="2:13" ht="21" x14ac:dyDescent="0.35">
      <c r="B32" s="26" t="s">
        <v>117</v>
      </c>
      <c r="C32" s="26"/>
      <c r="D32" s="26"/>
      <c r="E32" s="27"/>
      <c r="F32" s="27"/>
      <c r="G32" s="27"/>
      <c r="H32" s="27"/>
      <c r="I32" s="27"/>
      <c r="J32" s="27"/>
      <c r="K32" s="27"/>
      <c r="L32" s="27"/>
      <c r="M32" s="27">
        <f>SUM(Tabela51415[Valor de Entrega])</f>
        <v>0</v>
      </c>
    </row>
    <row r="33" spans="2:13" ht="21" x14ac:dyDescent="0.35">
      <c r="B33" s="26" t="s">
        <v>133</v>
      </c>
      <c r="C33" s="26"/>
      <c r="D33" s="26"/>
      <c r="E33" s="27"/>
      <c r="F33" s="27"/>
      <c r="G33" s="27"/>
      <c r="H33" s="27"/>
      <c r="I33" s="27"/>
      <c r="J33" s="27"/>
      <c r="K33" s="27"/>
      <c r="L33" s="27"/>
      <c r="M33" s="59">
        <f>SUM(IF(FREQUENCY(Tabela51415[ID da venda],Tabela5[ID da venda])&gt;0,1,0))</f>
        <v>0</v>
      </c>
    </row>
    <row r="35" spans="2:13" x14ac:dyDescent="0.25">
      <c r="F35" s="2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[1]cálculos!#REF!</xm:f>
          </x14:formula1>
          <xm:sqref>J5:J29</xm:sqref>
        </x14:dataValidation>
        <x14:dataValidation type="list" allowBlank="1" showInputMessage="1" showErrorMessage="1">
          <x14:formula1>
            <xm:f>[1]cálculos!#REF!</xm:f>
          </x14:formula1>
          <xm:sqref>D5:D29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zoomScale="85" zoomScaleNormal="85" workbookViewId="0">
      <selection activeCell="A14" sqref="A14"/>
    </sheetView>
  </sheetViews>
  <sheetFormatPr defaultRowHeight="15" x14ac:dyDescent="0.25"/>
  <cols>
    <col min="1" max="1" width="29.7109375" customWidth="1"/>
    <col min="2" max="2" width="23.5703125" bestFit="1" customWidth="1"/>
    <col min="3" max="3" width="10.7109375" bestFit="1" customWidth="1"/>
    <col min="4" max="4" width="15.7109375" bestFit="1" customWidth="1"/>
    <col min="5" max="5" width="9.85546875" customWidth="1"/>
    <col min="6" max="6" width="13.5703125" customWidth="1"/>
    <col min="7" max="7" width="15.7109375" customWidth="1"/>
    <col min="8" max="8" width="10.5703125" customWidth="1"/>
    <col min="9" max="9" width="11.42578125" customWidth="1"/>
    <col min="10" max="10" width="15.42578125" customWidth="1"/>
    <col min="11" max="11" width="17.7109375" customWidth="1"/>
    <col min="12" max="12" width="15.5703125" customWidth="1"/>
    <col min="13" max="13" width="20.28515625" customWidth="1"/>
  </cols>
  <sheetData>
    <row r="2" spans="2:13" s="21" customFormat="1" ht="27.95" customHeight="1" x14ac:dyDescent="0.25">
      <c r="B2" s="20" t="s">
        <v>118</v>
      </c>
    </row>
    <row r="3" spans="2:13" ht="33.75" customHeight="1" x14ac:dyDescent="0.25"/>
    <row r="4" spans="2:13" x14ac:dyDescent="0.25">
      <c r="B4" t="s">
        <v>103</v>
      </c>
      <c r="C4" t="s">
        <v>42</v>
      </c>
      <c r="D4" t="s">
        <v>95</v>
      </c>
      <c r="E4" t="s">
        <v>56</v>
      </c>
      <c r="F4" t="s">
        <v>57</v>
      </c>
      <c r="G4" t="s">
        <v>58</v>
      </c>
      <c r="H4" t="s">
        <v>104</v>
      </c>
      <c r="I4" t="s">
        <v>59</v>
      </c>
      <c r="J4" t="s">
        <v>105</v>
      </c>
      <c r="K4" t="s">
        <v>106</v>
      </c>
      <c r="L4" t="s">
        <v>107</v>
      </c>
      <c r="M4" t="s">
        <v>108</v>
      </c>
    </row>
    <row r="5" spans="2:13" x14ac:dyDescent="0.25">
      <c r="C5" s="28"/>
      <c r="E5" s="23" t="str">
        <f>IFERROR(VLOOKUP(Tabela514[Produto],cálculos!$N$6:$Q$37,4,FALSE),"")</f>
        <v/>
      </c>
      <c r="G5" s="3">
        <f>IFERROR(VLOOKUP(Tabela514[Produto],cálculos!$N$4:$Q$34,3,FALSE),0)</f>
        <v>0</v>
      </c>
      <c r="H5" s="4">
        <f>F5*G5</f>
        <v>0</v>
      </c>
      <c r="I5" s="5"/>
      <c r="K5" s="4">
        <f>IF(Tabela514[[#This Row],[ID da venda]]=B6,0,VLOOKUP(Tabela514[Entrega],cálculos!$C$7:$D$11,2,FALSE))</f>
        <v>0</v>
      </c>
      <c r="L5" s="3">
        <f>Tabela514[[#This Row],[Subtotal]]*(1-Tabela514[[#This Row],[Desconto]])+Tabela514[[#This Row],[Valor de Entrega]]</f>
        <v>0</v>
      </c>
      <c r="M5" s="24" t="str">
        <f>IF(Tabela514[[#This Row],[ID da venda]]=B6,"",SUMIF(Tabela514[ID da venda],Tabela514[[#This Row],[ID da venda]],Tabela514[Total]))</f>
        <v/>
      </c>
    </row>
    <row r="6" spans="2:13" x14ac:dyDescent="0.25">
      <c r="C6" s="28"/>
      <c r="E6" t="str">
        <f>IFERROR(VLOOKUP(Tabela514[Produto],cálculos!$N$6:$Q$37,4,FALSE),"")</f>
        <v/>
      </c>
      <c r="G6" s="3">
        <f>IFERROR(VLOOKUP(Tabela514[Produto],cálculos!$N$4:$Q$34,3,FALSE),0)</f>
        <v>0</v>
      </c>
      <c r="H6" s="3">
        <f t="shared" ref="H6:H29" si="0">F6*G6</f>
        <v>0</v>
      </c>
      <c r="I6" s="5"/>
      <c r="K6" s="4">
        <f>IF(Tabela514[[#This Row],[ID da venda]]=B7,0,VLOOKUP(Tabela514[Entrega],cálculos!$C$7:$D$11,2,FALSE))</f>
        <v>0</v>
      </c>
      <c r="L6" s="3">
        <f>Tabela514[[#This Row],[Subtotal]]*(1-Tabela514[[#This Row],[Desconto]])+Tabela514[[#This Row],[Valor de Entrega]]</f>
        <v>0</v>
      </c>
      <c r="M6" s="24" t="str">
        <f>IF(Tabela514[[#This Row],[ID da venda]]=B7,"",SUMIF(Tabela514[ID da venda],Tabela514[[#This Row],[ID da venda]],Tabela514[Total]))</f>
        <v/>
      </c>
    </row>
    <row r="7" spans="2:13" x14ac:dyDescent="0.25">
      <c r="C7" s="28"/>
      <c r="E7" t="str">
        <f>IFERROR(VLOOKUP(Tabela514[Produto],cálculos!$N$6:$Q$37,4,FALSE),"")</f>
        <v/>
      </c>
      <c r="G7" s="3">
        <f>IFERROR(VLOOKUP(Tabela514[Produto],cálculos!$N$4:$Q$34,3,FALSE),0)</f>
        <v>0</v>
      </c>
      <c r="H7" s="3">
        <f t="shared" si="0"/>
        <v>0</v>
      </c>
      <c r="I7" s="5"/>
      <c r="K7" s="4">
        <f>IF(Tabela514[[#This Row],[ID da venda]]=B8,0,VLOOKUP(Tabela514[Entrega],cálculos!$C$7:$D$11,2,FALSE))</f>
        <v>0</v>
      </c>
      <c r="L7" s="3">
        <f>Tabela514[[#This Row],[Subtotal]]*(1-Tabela514[[#This Row],[Desconto]])+Tabela514[[#This Row],[Valor de Entrega]]</f>
        <v>0</v>
      </c>
      <c r="M7" s="24" t="str">
        <f>IF(Tabela514[[#This Row],[ID da venda]]=B8,"",SUMIF(Tabela514[ID da venda],Tabela514[[#This Row],[ID da venda]],Tabela514[Total]))</f>
        <v/>
      </c>
    </row>
    <row r="8" spans="2:13" x14ac:dyDescent="0.25">
      <c r="C8" s="28"/>
      <c r="E8" t="str">
        <f>IFERROR(VLOOKUP(Tabela514[Produto],cálculos!$N$6:$Q$37,4,FALSE),"")</f>
        <v/>
      </c>
      <c r="G8" s="3">
        <f>IFERROR(VLOOKUP(Tabela514[Produto],cálculos!$N$4:$Q$34,3,FALSE),0)</f>
        <v>0</v>
      </c>
      <c r="H8" s="3">
        <f t="shared" si="0"/>
        <v>0</v>
      </c>
      <c r="I8" s="5"/>
      <c r="K8" s="4">
        <f>IF(Tabela514[[#This Row],[ID da venda]]=B9,0,VLOOKUP(Tabela514[Entrega],cálculos!$C$7:$D$11,2,FALSE))</f>
        <v>0</v>
      </c>
      <c r="L8" s="3">
        <f>Tabela514[[#This Row],[Subtotal]]*(1-Tabela514[[#This Row],[Desconto]])+Tabela514[[#This Row],[Valor de Entrega]]</f>
        <v>0</v>
      </c>
      <c r="M8" s="24" t="str">
        <f>IF(Tabela514[[#This Row],[ID da venda]]=B9,"",SUMIF(Tabela514[ID da venda],Tabela514[[#This Row],[ID da venda]],Tabela514[Total]))</f>
        <v/>
      </c>
    </row>
    <row r="9" spans="2:13" x14ac:dyDescent="0.25">
      <c r="C9" s="28"/>
      <c r="E9" t="str">
        <f>IFERROR(VLOOKUP(Tabela514[Produto],cálculos!$N$6:$Q$37,4,FALSE),"")</f>
        <v/>
      </c>
      <c r="G9" s="3">
        <f>IFERROR(VLOOKUP(Tabela514[Produto],cálculos!$N$4:$Q$34,3,FALSE),0)</f>
        <v>0</v>
      </c>
      <c r="H9" s="3">
        <f t="shared" si="0"/>
        <v>0</v>
      </c>
      <c r="I9" s="5"/>
      <c r="K9" s="4">
        <f>IF(Tabela514[[#This Row],[ID da venda]]=B10,0,VLOOKUP(Tabela514[Entrega],cálculos!$C$7:$D$11,2,FALSE))</f>
        <v>0</v>
      </c>
      <c r="L9" s="3">
        <f>Tabela514[[#This Row],[Subtotal]]*(1-Tabela514[[#This Row],[Desconto]])+Tabela514[[#This Row],[Valor de Entrega]]</f>
        <v>0</v>
      </c>
      <c r="M9" s="24" t="str">
        <f>IF(Tabela514[[#This Row],[ID da venda]]=B10,"",SUMIF(Tabela514[ID da venda],Tabela514[[#This Row],[ID da venda]],Tabela514[Total]))</f>
        <v/>
      </c>
    </row>
    <row r="10" spans="2:13" x14ac:dyDescent="0.25">
      <c r="C10" s="28"/>
      <c r="E10" t="str">
        <f>IFERROR(VLOOKUP(Tabela514[Produto],cálculos!$N$6:$Q$37,4,FALSE),"")</f>
        <v/>
      </c>
      <c r="G10" s="3">
        <f>IFERROR(VLOOKUP(Tabela514[Produto],cálculos!$N$4:$Q$34,3,FALSE),0)</f>
        <v>0</v>
      </c>
      <c r="H10" s="3">
        <f t="shared" si="0"/>
        <v>0</v>
      </c>
      <c r="I10" s="5"/>
      <c r="K10" s="4">
        <f>IF(Tabela514[[#This Row],[ID da venda]]=B11,0,VLOOKUP(Tabela514[Entrega],cálculos!$C$7:$D$11,2,FALSE))</f>
        <v>0</v>
      </c>
      <c r="L10" s="3">
        <f>Tabela514[[#This Row],[Subtotal]]*(1-Tabela514[[#This Row],[Desconto]])+Tabela514[[#This Row],[Valor de Entrega]]</f>
        <v>0</v>
      </c>
      <c r="M10" s="24" t="str">
        <f>IF(Tabela514[[#This Row],[ID da venda]]=B11,"",SUMIF(Tabela514[ID da venda],Tabela514[[#This Row],[ID da venda]],Tabela514[Total]))</f>
        <v/>
      </c>
    </row>
    <row r="11" spans="2:13" x14ac:dyDescent="0.25">
      <c r="C11" s="28"/>
      <c r="E11" t="str">
        <f>IFERROR(VLOOKUP(Tabela514[Produto],cálculos!$N$6:$Q$37,4,FALSE),"")</f>
        <v/>
      </c>
      <c r="G11" s="3">
        <f>IFERROR(VLOOKUP(Tabela514[Produto],cálculos!$N$4:$Q$34,3,FALSE),0)</f>
        <v>0</v>
      </c>
      <c r="H11" s="3">
        <f t="shared" si="0"/>
        <v>0</v>
      </c>
      <c r="I11" s="5"/>
      <c r="K11" s="4">
        <f>IF(Tabela514[[#This Row],[ID da venda]]=B12,0,VLOOKUP(Tabela514[Entrega],cálculos!$C$7:$D$11,2,FALSE))</f>
        <v>0</v>
      </c>
      <c r="L11" s="3">
        <f>Tabela514[[#This Row],[Subtotal]]*(1-Tabela514[[#This Row],[Desconto]])+Tabela514[[#This Row],[Valor de Entrega]]</f>
        <v>0</v>
      </c>
      <c r="M11" s="24" t="str">
        <f>IF(Tabela514[[#This Row],[ID da venda]]=B12,"",SUMIF(Tabela514[ID da venda],Tabela514[[#This Row],[ID da venda]],Tabela514[Total]))</f>
        <v/>
      </c>
    </row>
    <row r="12" spans="2:13" x14ac:dyDescent="0.25">
      <c r="C12" s="28"/>
      <c r="E12" t="str">
        <f>IFERROR(VLOOKUP(Tabela514[Produto],cálculos!$N$6:$Q$37,4,FALSE),"")</f>
        <v/>
      </c>
      <c r="G12" s="3">
        <f>IFERROR(VLOOKUP(Tabela514[Produto],cálculos!$N$4:$Q$34,3,FALSE),0)</f>
        <v>0</v>
      </c>
      <c r="H12" s="3">
        <f t="shared" si="0"/>
        <v>0</v>
      </c>
      <c r="I12" s="5"/>
      <c r="K12" s="4">
        <f>IF(Tabela514[[#This Row],[ID da venda]]=B13,0,VLOOKUP(Tabela514[Entrega],cálculos!$C$7:$D$11,2,FALSE))</f>
        <v>0</v>
      </c>
      <c r="L12" s="3">
        <f>Tabela514[[#This Row],[Subtotal]]*(1-Tabela514[[#This Row],[Desconto]])+Tabela514[[#This Row],[Valor de Entrega]]</f>
        <v>0</v>
      </c>
      <c r="M12" s="24" t="str">
        <f>IF(Tabela514[[#This Row],[ID da venda]]=B13,"",SUMIF(Tabela514[ID da venda],Tabela514[[#This Row],[ID da venda]],Tabela514[Total]))</f>
        <v/>
      </c>
    </row>
    <row r="13" spans="2:13" x14ac:dyDescent="0.25">
      <c r="C13" s="28"/>
      <c r="E13" t="str">
        <f>IFERROR(VLOOKUP(Tabela514[Produto],cálculos!$N$6:$Q$37,4,FALSE),"")</f>
        <v/>
      </c>
      <c r="G13" s="3">
        <f>IFERROR(VLOOKUP(Tabela514[Produto],cálculos!$N$4:$Q$34,3,FALSE),0)</f>
        <v>0</v>
      </c>
      <c r="H13" s="3">
        <f t="shared" si="0"/>
        <v>0</v>
      </c>
      <c r="I13" s="5"/>
      <c r="K13" s="4">
        <f>IF(Tabela514[[#This Row],[ID da venda]]=B14,0,VLOOKUP(Tabela514[Entrega],cálculos!$C$7:$D$11,2,FALSE))</f>
        <v>0</v>
      </c>
      <c r="L13" s="3">
        <f>Tabela514[[#This Row],[Subtotal]]*(1-Tabela514[[#This Row],[Desconto]])+Tabela514[[#This Row],[Valor de Entrega]]</f>
        <v>0</v>
      </c>
      <c r="M13" s="24" t="str">
        <f>IF(Tabela514[[#This Row],[ID da venda]]=B14,"",SUMIF(Tabela514[ID da venda],Tabela514[[#This Row],[ID da venda]],Tabela514[Total]))</f>
        <v/>
      </c>
    </row>
    <row r="14" spans="2:13" x14ac:dyDescent="0.25">
      <c r="C14" s="28"/>
      <c r="E14" t="str">
        <f>IFERROR(VLOOKUP(Tabela514[Produto],cálculos!$N$6:$Q$37,4,FALSE),"")</f>
        <v/>
      </c>
      <c r="G14" s="3">
        <f>IFERROR(VLOOKUP(Tabela514[Produto],cálculos!$N$4:$Q$34,3,FALSE),0)</f>
        <v>0</v>
      </c>
      <c r="H14" s="3">
        <f t="shared" si="0"/>
        <v>0</v>
      </c>
      <c r="I14" s="5"/>
      <c r="K14" s="4">
        <f>IF(Tabela514[[#This Row],[ID da venda]]=B15,0,VLOOKUP(Tabela514[Entrega],cálculos!$C$7:$D$11,2,FALSE))</f>
        <v>0</v>
      </c>
      <c r="L14" s="3">
        <f>Tabela514[[#This Row],[Subtotal]]*(1-Tabela514[[#This Row],[Desconto]])+Tabela514[[#This Row],[Valor de Entrega]]</f>
        <v>0</v>
      </c>
      <c r="M14" s="24" t="str">
        <f>IF(Tabela514[[#This Row],[ID da venda]]=B15,"",SUMIF(Tabela514[ID da venda],Tabela514[[#This Row],[ID da venda]],Tabela514[Total]))</f>
        <v/>
      </c>
    </row>
    <row r="15" spans="2:13" x14ac:dyDescent="0.25">
      <c r="C15" s="28"/>
      <c r="E15" t="str">
        <f>IFERROR(VLOOKUP(Tabela514[Produto],cálculos!$N$6:$Q$37,4,FALSE),"")</f>
        <v/>
      </c>
      <c r="G15" s="3">
        <f>IFERROR(VLOOKUP(Tabela514[Produto],cálculos!$N$4:$Q$34,3,FALSE),0)</f>
        <v>0</v>
      </c>
      <c r="H15" s="3">
        <f t="shared" si="0"/>
        <v>0</v>
      </c>
      <c r="I15" s="5"/>
      <c r="K15" s="4">
        <f>IF(Tabela514[[#This Row],[ID da venda]]=B16,0,VLOOKUP(Tabela514[Entrega],cálculos!$C$7:$D$11,2,FALSE))</f>
        <v>0</v>
      </c>
      <c r="L15" s="3">
        <f>Tabela514[[#This Row],[Subtotal]]*(1-Tabela514[[#This Row],[Desconto]])+Tabela514[[#This Row],[Valor de Entrega]]</f>
        <v>0</v>
      </c>
      <c r="M15" s="24" t="str">
        <f>IF(Tabela514[[#This Row],[ID da venda]]=B16,"",SUMIF(Tabela514[ID da venda],Tabela514[[#This Row],[ID da venda]],Tabela514[Total]))</f>
        <v/>
      </c>
    </row>
    <row r="16" spans="2:13" x14ac:dyDescent="0.25">
      <c r="C16" s="28"/>
      <c r="E16" t="str">
        <f>IFERROR(VLOOKUP(Tabela514[Produto],cálculos!$N$6:$Q$37,4,FALSE),"")</f>
        <v/>
      </c>
      <c r="G16" s="3">
        <f>IFERROR(VLOOKUP(Tabela514[Produto],cálculos!$N$4:$Q$34,3,FALSE),0)</f>
        <v>0</v>
      </c>
      <c r="H16" s="3">
        <f t="shared" si="0"/>
        <v>0</v>
      </c>
      <c r="I16" s="5"/>
      <c r="K16" s="4">
        <f>IF(Tabela514[[#This Row],[ID da venda]]=B17,0,VLOOKUP(Tabela514[Entrega],cálculos!$C$7:$D$11,2,FALSE))</f>
        <v>0</v>
      </c>
      <c r="L16" s="3">
        <f>Tabela514[[#This Row],[Subtotal]]*(1-Tabela514[[#This Row],[Desconto]])+Tabela514[[#This Row],[Valor de Entrega]]</f>
        <v>0</v>
      </c>
      <c r="M16" s="24" t="str">
        <f>IF(Tabela514[[#This Row],[ID da venda]]=B17,"",SUMIF(Tabela514[ID da venda],Tabela514[[#This Row],[ID da venda]],Tabela514[Total]))</f>
        <v/>
      </c>
    </row>
    <row r="17" spans="2:13" x14ac:dyDescent="0.25">
      <c r="C17" s="28"/>
      <c r="E17" t="str">
        <f>IFERROR(VLOOKUP(Tabela514[Produto],cálculos!$N$6:$Q$37,4,FALSE),"")</f>
        <v/>
      </c>
      <c r="G17" s="3">
        <f>IFERROR(VLOOKUP(Tabela514[Produto],cálculos!$N$4:$Q$34,3,FALSE),0)</f>
        <v>0</v>
      </c>
      <c r="H17" s="3">
        <f t="shared" si="0"/>
        <v>0</v>
      </c>
      <c r="I17" s="5"/>
      <c r="K17" s="4">
        <f>IF(Tabela514[[#This Row],[ID da venda]]=B18,0,VLOOKUP(Tabela514[Entrega],cálculos!$C$7:$D$11,2,FALSE))</f>
        <v>0</v>
      </c>
      <c r="L17" s="3">
        <f>Tabela514[[#This Row],[Subtotal]]*(1-Tabela514[[#This Row],[Desconto]])+Tabela514[[#This Row],[Valor de Entrega]]</f>
        <v>0</v>
      </c>
      <c r="M17" s="24" t="str">
        <f>IF(Tabela514[[#This Row],[ID da venda]]=B18,"",SUMIF(Tabela514[ID da venda],Tabela514[[#This Row],[ID da venda]],Tabela514[Total]))</f>
        <v/>
      </c>
    </row>
    <row r="18" spans="2:13" x14ac:dyDescent="0.25">
      <c r="C18" s="28"/>
      <c r="E18" s="23" t="str">
        <f>IFERROR(VLOOKUP(Tabela514[Produto],cálculos!$N$6:$Q$37,4,FALSE),"")</f>
        <v/>
      </c>
      <c r="G18" s="3">
        <f>IFERROR(VLOOKUP(Tabela514[Produto],cálculos!$N$4:$Q$34,3,FALSE),0)</f>
        <v>0</v>
      </c>
      <c r="H18" s="4">
        <f t="shared" si="0"/>
        <v>0</v>
      </c>
      <c r="I18" s="5"/>
      <c r="K18" s="4">
        <f>IF(Tabela514[[#This Row],[ID da venda]]=B19,0,VLOOKUP(Tabela514[Entrega],cálculos!$C$7:$D$11,2,FALSE))</f>
        <v>0</v>
      </c>
      <c r="L18" s="3">
        <f>Tabela514[[#This Row],[Subtotal]]*(1-Tabela514[[#This Row],[Desconto]])+Tabela514[[#This Row],[Valor de Entrega]]</f>
        <v>0</v>
      </c>
      <c r="M18" s="24" t="str">
        <f>IF(Tabela514[[#This Row],[ID da venda]]=B19,"",SUMIF(Tabela514[ID da venda],Tabela514[[#This Row],[ID da venda]],Tabela514[Total]))</f>
        <v/>
      </c>
    </row>
    <row r="19" spans="2:13" s="25" customFormat="1" x14ac:dyDescent="0.25">
      <c r="B19"/>
      <c r="C19" s="28"/>
      <c r="D19"/>
      <c r="E19" s="23" t="str">
        <f>IFERROR(VLOOKUP(Tabela514[Produto],cálculos!$N$6:$Q$37,4,FALSE),"")</f>
        <v/>
      </c>
      <c r="F19"/>
      <c r="G19" s="3">
        <f>IFERROR(VLOOKUP(Tabela514[Produto],cálculos!$N$4:$Q$34,3,FALSE),0)</f>
        <v>0</v>
      </c>
      <c r="H19" s="4">
        <f t="shared" si="0"/>
        <v>0</v>
      </c>
      <c r="I19" s="5"/>
      <c r="J19"/>
      <c r="K19" s="4">
        <f>IF(Tabela514[[#This Row],[ID da venda]]=B20,0,VLOOKUP(Tabela514[Entrega],cálculos!$C$7:$D$11,2,FALSE))</f>
        <v>0</v>
      </c>
      <c r="L19" s="3">
        <f>Tabela514[[#This Row],[Subtotal]]*(1-Tabela514[[#This Row],[Desconto]])+Tabela514[[#This Row],[Valor de Entrega]]</f>
        <v>0</v>
      </c>
      <c r="M19" s="24" t="str">
        <f>IF(Tabela514[[#This Row],[ID da venda]]=B20,"",SUMIF(Tabela514[ID da venda],Tabela514[[#This Row],[ID da venda]],Tabela514[Total]))</f>
        <v/>
      </c>
    </row>
    <row r="20" spans="2:13" s="25" customFormat="1" x14ac:dyDescent="0.25">
      <c r="B20"/>
      <c r="C20" s="28"/>
      <c r="D20"/>
      <c r="E20" s="23" t="str">
        <f>IFERROR(VLOOKUP(Tabela514[Produto],cálculos!$N$6:$Q$37,4,FALSE),"")</f>
        <v/>
      </c>
      <c r="F20"/>
      <c r="G20" s="3">
        <f>IFERROR(VLOOKUP(Tabela514[Produto],cálculos!$N$4:$Q$34,3,FALSE),0)</f>
        <v>0</v>
      </c>
      <c r="H20" s="4">
        <f t="shared" si="0"/>
        <v>0</v>
      </c>
      <c r="I20" s="5"/>
      <c r="J20"/>
      <c r="K20" s="4">
        <f>IF(Tabela514[[#This Row],[ID da venda]]=B21,0,VLOOKUP(Tabela514[Entrega],cálculos!$C$7:$D$11,2,FALSE))</f>
        <v>0</v>
      </c>
      <c r="L20" s="3">
        <f>Tabela514[[#This Row],[Subtotal]]*(1-Tabela514[[#This Row],[Desconto]])+Tabela514[[#This Row],[Valor de Entrega]]</f>
        <v>0</v>
      </c>
      <c r="M20" s="24" t="str">
        <f>IF(Tabela514[[#This Row],[ID da venda]]=B21,"",SUMIF(Tabela514[ID da venda],Tabela514[[#This Row],[ID da venda]],Tabela514[Total]))</f>
        <v/>
      </c>
    </row>
    <row r="21" spans="2:13" x14ac:dyDescent="0.25">
      <c r="C21" s="28"/>
      <c r="E21" s="23" t="str">
        <f>IFERROR(VLOOKUP(Tabela514[Produto],cálculos!$N$6:$Q$37,4,FALSE),"")</f>
        <v/>
      </c>
      <c r="G21" s="3">
        <f>IFERROR(VLOOKUP(Tabela514[Produto],cálculos!$N$4:$Q$34,3,FALSE),0)</f>
        <v>0</v>
      </c>
      <c r="H21" s="4">
        <f t="shared" si="0"/>
        <v>0</v>
      </c>
      <c r="I21" s="5"/>
      <c r="K21" s="4">
        <f>IF(Tabela514[[#This Row],[ID da venda]]=B22,0,VLOOKUP(Tabela514[Entrega],cálculos!$C$7:$D$11,2,FALSE))</f>
        <v>0</v>
      </c>
      <c r="L21" s="3">
        <f>Tabela514[[#This Row],[Subtotal]]*(1-Tabela514[[#This Row],[Desconto]])+Tabela514[[#This Row],[Valor de Entrega]]</f>
        <v>0</v>
      </c>
      <c r="M21" s="24" t="str">
        <f>IF(Tabela514[[#This Row],[ID da venda]]=B22,"",SUMIF(Tabela514[ID da venda],Tabela514[[#This Row],[ID da venda]],Tabela514[Total]))</f>
        <v/>
      </c>
    </row>
    <row r="22" spans="2:13" x14ac:dyDescent="0.25">
      <c r="C22" s="28"/>
      <c r="E22" s="23" t="str">
        <f>IFERROR(VLOOKUP(Tabela514[Produto],cálculos!$N$6:$Q$37,4,FALSE),"")</f>
        <v/>
      </c>
      <c r="G22" s="3">
        <f>IFERROR(VLOOKUP(Tabela514[Produto],cálculos!$N$4:$Q$34,3,FALSE),0)</f>
        <v>0</v>
      </c>
      <c r="H22" s="4">
        <f t="shared" si="0"/>
        <v>0</v>
      </c>
      <c r="I22" s="5"/>
      <c r="K22" s="4">
        <f>IF(Tabela514[[#This Row],[ID da venda]]=B23,0,VLOOKUP(Tabela514[Entrega],cálculos!$C$7:$D$11,2,FALSE))</f>
        <v>0</v>
      </c>
      <c r="L22" s="3">
        <f>Tabela514[[#This Row],[Subtotal]]*(1-Tabela514[[#This Row],[Desconto]])+Tabela514[[#This Row],[Valor de Entrega]]</f>
        <v>0</v>
      </c>
      <c r="M22" s="24" t="str">
        <f>IF(Tabela514[[#This Row],[ID da venda]]=B23,"",SUMIF(Tabela514[ID da venda],Tabela514[[#This Row],[ID da venda]],Tabela514[Total]))</f>
        <v/>
      </c>
    </row>
    <row r="23" spans="2:13" x14ac:dyDescent="0.25">
      <c r="C23" s="28"/>
      <c r="E23" s="23" t="str">
        <f>IFERROR(VLOOKUP(Tabela514[Produto],cálculos!$N$6:$Q$37,4,FALSE),"")</f>
        <v/>
      </c>
      <c r="G23" s="3">
        <f>IFERROR(VLOOKUP(Tabela514[Produto],cálculos!$N$4:$Q$34,3,FALSE),0)</f>
        <v>0</v>
      </c>
      <c r="H23" s="4">
        <f t="shared" si="0"/>
        <v>0</v>
      </c>
      <c r="I23" s="5"/>
      <c r="K23" s="4">
        <f>IF(Tabela514[[#This Row],[ID da venda]]=B24,0,VLOOKUP(Tabela514[Entrega],cálculos!$C$7:$D$11,2,FALSE))</f>
        <v>0</v>
      </c>
      <c r="L23" s="3">
        <f>Tabela514[[#This Row],[Subtotal]]*(1-Tabela514[[#This Row],[Desconto]])+Tabela514[[#This Row],[Valor de Entrega]]</f>
        <v>0</v>
      </c>
      <c r="M23" s="24" t="str">
        <f>IF(Tabela514[[#This Row],[ID da venda]]=B24,"",SUMIF(Tabela514[ID da venda],Tabela514[[#This Row],[ID da venda]],Tabela514[Total]))</f>
        <v/>
      </c>
    </row>
    <row r="24" spans="2:13" x14ac:dyDescent="0.25">
      <c r="C24" s="28"/>
      <c r="E24" s="23" t="str">
        <f>IFERROR(VLOOKUP(Tabela514[Produto],cálculos!$N$6:$Q$37,4,FALSE),"")</f>
        <v/>
      </c>
      <c r="G24" s="3">
        <f>IFERROR(VLOOKUP(Tabela514[Produto],cálculos!$N$4:$Q$34,3,FALSE),0)</f>
        <v>0</v>
      </c>
      <c r="H24" s="4">
        <f t="shared" si="0"/>
        <v>0</v>
      </c>
      <c r="I24" s="5"/>
      <c r="K24" s="4">
        <f>IF(Tabela514[[#This Row],[ID da venda]]=B25,0,VLOOKUP(Tabela514[Entrega],cálculos!$C$7:$D$11,2,FALSE))</f>
        <v>0</v>
      </c>
      <c r="L24" s="3">
        <f>Tabela514[[#This Row],[Subtotal]]*(1-Tabela514[[#This Row],[Desconto]])+Tabela514[[#This Row],[Valor de Entrega]]</f>
        <v>0</v>
      </c>
      <c r="M24" s="24" t="str">
        <f>IF(Tabela514[[#This Row],[ID da venda]]=B25,"",SUMIF(Tabela514[ID da venda],Tabela514[[#This Row],[ID da venda]],Tabela514[Total]))</f>
        <v/>
      </c>
    </row>
    <row r="25" spans="2:13" x14ac:dyDescent="0.25">
      <c r="C25" s="28"/>
      <c r="E25" s="23" t="str">
        <f>IFERROR(VLOOKUP(Tabela514[Produto],cálculos!$N$6:$Q$37,4,FALSE),"")</f>
        <v/>
      </c>
      <c r="G25" s="3">
        <f>IFERROR(VLOOKUP(Tabela514[Produto],cálculos!$N$4:$Q$34,3,FALSE),0)</f>
        <v>0</v>
      </c>
      <c r="H25" s="4">
        <f t="shared" si="0"/>
        <v>0</v>
      </c>
      <c r="I25" s="5"/>
      <c r="K25" s="4">
        <f>IF(Tabela514[[#This Row],[ID da venda]]=B26,0,VLOOKUP(Tabela514[Entrega],cálculos!$C$7:$D$11,2,FALSE))</f>
        <v>0</v>
      </c>
      <c r="L25" s="3">
        <f>Tabela514[[#This Row],[Subtotal]]*(1-Tabela514[[#This Row],[Desconto]])+Tabela514[[#This Row],[Valor de Entrega]]</f>
        <v>0</v>
      </c>
      <c r="M25" s="24" t="str">
        <f>IF(Tabela514[[#This Row],[ID da venda]]=B26,"",SUMIF(Tabela514[ID da venda],Tabela514[[#This Row],[ID da venda]],Tabela514[Total]))</f>
        <v/>
      </c>
    </row>
    <row r="26" spans="2:13" x14ac:dyDescent="0.25">
      <c r="C26" s="28"/>
      <c r="E26" s="23" t="str">
        <f>IFERROR(VLOOKUP(Tabela514[Produto],cálculos!$N$6:$Q$37,4,FALSE),"")</f>
        <v/>
      </c>
      <c r="G26" s="3">
        <f>IFERROR(VLOOKUP(Tabela514[Produto],cálculos!$N$4:$Q$34,3,FALSE),0)</f>
        <v>0</v>
      </c>
      <c r="H26" s="4">
        <f t="shared" si="0"/>
        <v>0</v>
      </c>
      <c r="I26" s="5"/>
      <c r="K26" s="4">
        <f>IF(Tabela514[[#This Row],[ID da venda]]=B27,0,VLOOKUP(Tabela514[Entrega],cálculos!$C$7:$D$11,2,FALSE))</f>
        <v>0</v>
      </c>
      <c r="L26" s="3">
        <f>Tabela514[[#This Row],[Subtotal]]*(1-Tabela514[[#This Row],[Desconto]])+Tabela514[[#This Row],[Valor de Entrega]]</f>
        <v>0</v>
      </c>
      <c r="M26" s="24" t="str">
        <f>IF(Tabela514[[#This Row],[ID da venda]]=B27,"",SUMIF(Tabela514[ID da venda],Tabela514[[#This Row],[ID da venda]],Tabela514[Total]))</f>
        <v/>
      </c>
    </row>
    <row r="27" spans="2:13" x14ac:dyDescent="0.25">
      <c r="C27" s="28"/>
      <c r="E27" s="23" t="str">
        <f>IFERROR(VLOOKUP(Tabela514[Produto],cálculos!$N$6:$Q$37,4,FALSE),"")</f>
        <v/>
      </c>
      <c r="G27" s="3">
        <f>IFERROR(VLOOKUP(Tabela514[Produto],cálculos!$N$4:$Q$34,3,FALSE),0)</f>
        <v>0</v>
      </c>
      <c r="H27" s="4">
        <f t="shared" si="0"/>
        <v>0</v>
      </c>
      <c r="I27" s="5"/>
      <c r="K27" s="4">
        <f>IF(Tabela514[[#This Row],[ID da venda]]=B28,0,VLOOKUP(Tabela514[Entrega],cálculos!$C$7:$D$11,2,FALSE))</f>
        <v>0</v>
      </c>
      <c r="L27" s="3">
        <f>Tabela514[[#This Row],[Subtotal]]*(1-Tabela514[[#This Row],[Desconto]])+Tabela514[[#This Row],[Valor de Entrega]]</f>
        <v>0</v>
      </c>
      <c r="M27" s="24" t="str">
        <f>IF(Tabela514[[#This Row],[ID da venda]]=B28,"",SUMIF(Tabela514[ID da venda],Tabela514[[#This Row],[ID da venda]],Tabela514[Total]))</f>
        <v/>
      </c>
    </row>
    <row r="28" spans="2:13" x14ac:dyDescent="0.25">
      <c r="C28" s="28"/>
      <c r="E28" s="23" t="str">
        <f>IFERROR(VLOOKUP(Tabela514[Produto],cálculos!$N$6:$Q$37,4,FALSE),"")</f>
        <v/>
      </c>
      <c r="G28" s="3">
        <f>IFERROR(VLOOKUP(Tabela514[Produto],cálculos!$N$4:$Q$34,3,FALSE),0)</f>
        <v>0</v>
      </c>
      <c r="H28" s="4">
        <f t="shared" si="0"/>
        <v>0</v>
      </c>
      <c r="I28" s="5"/>
      <c r="K28" s="4">
        <f>IF(Tabela514[[#This Row],[ID da venda]]=B29,0,VLOOKUP(Tabela514[Entrega],cálculos!$C$7:$D$11,2,FALSE))</f>
        <v>0</v>
      </c>
      <c r="L28" s="3">
        <f>Tabela514[[#This Row],[Subtotal]]*(1-Tabela514[[#This Row],[Desconto]])+Tabela514[[#This Row],[Valor de Entrega]]</f>
        <v>0</v>
      </c>
      <c r="M28" s="24" t="str">
        <f>IF(Tabela514[[#This Row],[ID da venda]]=B29,"",SUMIF(Tabela514[ID da venda],Tabela514[[#This Row],[ID da venda]],Tabela514[Total]))</f>
        <v/>
      </c>
    </row>
    <row r="29" spans="2:13" x14ac:dyDescent="0.25">
      <c r="C29" s="28"/>
      <c r="E29" s="23" t="str">
        <f>IFERROR(VLOOKUP(Tabela514[Produto],cálculos!$N$6:$Q$37,4,FALSE),"")</f>
        <v/>
      </c>
      <c r="G29" s="3">
        <f>IFERROR(VLOOKUP(Tabela514[Produto],cálculos!$N$4:$Q$34,3,FALSE),0)</f>
        <v>0</v>
      </c>
      <c r="H29" s="4">
        <f t="shared" si="0"/>
        <v>0</v>
      </c>
      <c r="I29" s="5"/>
      <c r="K29" s="4">
        <f>IF(Tabela514[[#This Row],[ID da venda]]=B30,0,VLOOKUP(Tabela514[Entrega],cálculos!$C$7:$D$11,2,FALSE))</f>
        <v>0</v>
      </c>
      <c r="L29" s="3">
        <f>Tabela514[[#This Row],[Subtotal]]*(1-Tabela514[[#This Row],[Desconto]])+Tabela514[[#This Row],[Valor de Entrega]]</f>
        <v>0</v>
      </c>
      <c r="M29" s="24" t="str">
        <f>IF(Tabela514[[#This Row],[ID da venda]]=B30,"",SUMIF(Tabela514[ID da venda],Tabela514[[#This Row],[ID da venda]],Tabela514[Total]))</f>
        <v/>
      </c>
    </row>
    <row r="31" spans="2:13" ht="21" x14ac:dyDescent="0.35">
      <c r="B31" s="26" t="s">
        <v>116</v>
      </c>
      <c r="C31" s="26"/>
      <c r="D31" s="26"/>
      <c r="E31" s="27"/>
      <c r="F31" s="27"/>
      <c r="G31" s="27"/>
      <c r="H31" s="27"/>
      <c r="I31" s="27"/>
      <c r="J31" s="27"/>
      <c r="K31" s="27"/>
      <c r="L31" s="27"/>
      <c r="M31" s="27">
        <f>SUM(Tabela514[Total])</f>
        <v>0</v>
      </c>
    </row>
    <row r="32" spans="2:13" ht="21" x14ac:dyDescent="0.35">
      <c r="B32" s="26" t="s">
        <v>117</v>
      </c>
      <c r="C32" s="26"/>
      <c r="D32" s="26"/>
      <c r="E32" s="27"/>
      <c r="F32" s="27"/>
      <c r="G32" s="27"/>
      <c r="H32" s="27"/>
      <c r="I32" s="27"/>
      <c r="J32" s="27"/>
      <c r="K32" s="27"/>
      <c r="L32" s="27"/>
      <c r="M32" s="27">
        <f>SUM(Tabela514[Valor de Entrega])</f>
        <v>0</v>
      </c>
    </row>
    <row r="33" spans="2:13" ht="21" x14ac:dyDescent="0.35">
      <c r="B33" s="26" t="s">
        <v>133</v>
      </c>
      <c r="C33" s="26"/>
      <c r="D33" s="26"/>
      <c r="E33" s="27"/>
      <c r="F33" s="27"/>
      <c r="G33" s="27"/>
      <c r="H33" s="27"/>
      <c r="I33" s="27"/>
      <c r="J33" s="27"/>
      <c r="K33" s="27"/>
      <c r="L33" s="27"/>
      <c r="M33" s="59">
        <f>SUM(IF(FREQUENCY(Tabela514[ID da venda],Tabela5[ID da venda])&gt;0,1,0))</f>
        <v>0</v>
      </c>
    </row>
    <row r="35" spans="2:13" x14ac:dyDescent="0.25">
      <c r="F35" s="2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[1]cálculos!#REF!</xm:f>
          </x14:formula1>
          <xm:sqref>J5:J29</xm:sqref>
        </x14:dataValidation>
        <x14:dataValidation type="list" allowBlank="1" showInputMessage="1" showErrorMessage="1">
          <x14:formula1>
            <xm:f>[1]cálculos!#REF!</xm:f>
          </x14:formula1>
          <xm:sqref>D5:D29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29"/>
  <sheetViews>
    <sheetView topLeftCell="J1" workbookViewId="0">
      <selection activeCell="D17" sqref="D17"/>
    </sheetView>
  </sheetViews>
  <sheetFormatPr defaultRowHeight="15" x14ac:dyDescent="0.25"/>
  <cols>
    <col min="3" max="3" width="18.140625" bestFit="1" customWidth="1"/>
    <col min="4" max="4" width="8.140625" bestFit="1" customWidth="1"/>
    <col min="14" max="14" width="15.7109375" bestFit="1" customWidth="1"/>
    <col min="15" max="15" width="24.140625" bestFit="1" customWidth="1"/>
    <col min="16" max="16" width="23" bestFit="1" customWidth="1"/>
    <col min="17" max="17" width="8.42578125" bestFit="1" customWidth="1"/>
  </cols>
  <sheetData>
    <row r="5" spans="3:17" x14ac:dyDescent="0.25">
      <c r="N5" s="6" t="s">
        <v>61</v>
      </c>
      <c r="O5" s="6" t="s">
        <v>62</v>
      </c>
      <c r="P5" s="6" t="s">
        <v>63</v>
      </c>
      <c r="Q5" s="6" t="s">
        <v>56</v>
      </c>
    </row>
    <row r="6" spans="3:17" x14ac:dyDescent="0.25">
      <c r="C6" s="6" t="s">
        <v>109</v>
      </c>
      <c r="D6" s="6" t="s">
        <v>110</v>
      </c>
      <c r="N6" t="s">
        <v>21</v>
      </c>
      <c r="O6" s="3">
        <v>2.8405</v>
      </c>
      <c r="P6" s="3">
        <v>2.99</v>
      </c>
      <c r="Q6" t="s">
        <v>64</v>
      </c>
    </row>
    <row r="7" spans="3:17" x14ac:dyDescent="0.25">
      <c r="C7" t="s">
        <v>111</v>
      </c>
      <c r="D7" s="3">
        <v>5</v>
      </c>
      <c r="N7" t="s">
        <v>30</v>
      </c>
      <c r="O7" s="3">
        <v>1.0580000000000001</v>
      </c>
      <c r="P7" s="3">
        <v>1.1499999999999999</v>
      </c>
      <c r="Q7" t="s">
        <v>65</v>
      </c>
    </row>
    <row r="8" spans="3:17" x14ac:dyDescent="0.25">
      <c r="C8" t="s">
        <v>112</v>
      </c>
      <c r="D8" s="3">
        <v>0</v>
      </c>
      <c r="N8" t="s">
        <v>18</v>
      </c>
      <c r="O8" s="3">
        <v>2.3406000000000002</v>
      </c>
      <c r="P8" s="3">
        <v>2.4900000000000002</v>
      </c>
      <c r="Q8" t="s">
        <v>66</v>
      </c>
    </row>
    <row r="9" spans="3:17" x14ac:dyDescent="0.25">
      <c r="C9" t="s">
        <v>113</v>
      </c>
      <c r="D9" s="3">
        <v>6.5</v>
      </c>
      <c r="N9" t="s">
        <v>35</v>
      </c>
      <c r="O9" s="3">
        <v>1.8506999999999998</v>
      </c>
      <c r="P9" s="3">
        <v>1.99</v>
      </c>
      <c r="Q9" t="s">
        <v>65</v>
      </c>
    </row>
    <row r="10" spans="3:17" x14ac:dyDescent="0.25">
      <c r="C10" t="s">
        <v>114</v>
      </c>
      <c r="D10" s="3">
        <v>8</v>
      </c>
      <c r="N10" t="s">
        <v>38</v>
      </c>
      <c r="O10" s="3">
        <v>1.0924999999999998</v>
      </c>
      <c r="P10" s="3">
        <v>1.1499999999999999</v>
      </c>
      <c r="Q10" t="s">
        <v>65</v>
      </c>
    </row>
    <row r="11" spans="3:17" x14ac:dyDescent="0.25">
      <c r="C11" t="s">
        <v>115</v>
      </c>
      <c r="D11" s="3">
        <v>6.5</v>
      </c>
      <c r="N11" t="s">
        <v>34</v>
      </c>
      <c r="O11" s="3">
        <v>0.74260000000000004</v>
      </c>
      <c r="P11" s="3">
        <v>0.79</v>
      </c>
      <c r="Q11" t="s">
        <v>65</v>
      </c>
    </row>
    <row r="12" spans="3:17" x14ac:dyDescent="0.25">
      <c r="N12" t="s">
        <v>22</v>
      </c>
      <c r="O12" s="3">
        <v>14.469000000000001</v>
      </c>
      <c r="P12" s="3">
        <v>15.9</v>
      </c>
      <c r="Q12" t="s">
        <v>66</v>
      </c>
    </row>
    <row r="13" spans="3:17" x14ac:dyDescent="0.25">
      <c r="N13" t="s">
        <v>28</v>
      </c>
      <c r="O13" s="3">
        <v>3.6309000000000005</v>
      </c>
      <c r="P13" s="3">
        <v>3.99</v>
      </c>
      <c r="Q13" t="s">
        <v>66</v>
      </c>
    </row>
    <row r="14" spans="3:17" x14ac:dyDescent="0.25">
      <c r="N14" t="s">
        <v>31</v>
      </c>
      <c r="O14" s="3">
        <v>2.1023999999999998</v>
      </c>
      <c r="P14" s="3">
        <v>2.19</v>
      </c>
      <c r="Q14" t="s">
        <v>69</v>
      </c>
    </row>
    <row r="15" spans="3:17" x14ac:dyDescent="0.25">
      <c r="N15" t="s">
        <v>36</v>
      </c>
      <c r="O15" s="3">
        <v>4.5409000000000006</v>
      </c>
      <c r="P15" s="3">
        <v>4.99</v>
      </c>
      <c r="Q15" t="s">
        <v>70</v>
      </c>
    </row>
    <row r="16" spans="3:17" x14ac:dyDescent="0.25">
      <c r="N16" t="s">
        <v>37</v>
      </c>
      <c r="O16" s="3">
        <v>6.3449999999999998</v>
      </c>
      <c r="P16" s="3">
        <v>6.75</v>
      </c>
      <c r="Q16" t="s">
        <v>71</v>
      </c>
    </row>
    <row r="17" spans="14:17" x14ac:dyDescent="0.25">
      <c r="N17" t="s">
        <v>33</v>
      </c>
      <c r="O17" s="3">
        <v>2.3660000000000001</v>
      </c>
      <c r="P17" s="3">
        <v>2.6</v>
      </c>
      <c r="Q17" t="s">
        <v>64</v>
      </c>
    </row>
    <row r="18" spans="14:17" x14ac:dyDescent="0.25">
      <c r="N18" t="s">
        <v>19</v>
      </c>
      <c r="O18" s="3">
        <v>4.0659999999999998</v>
      </c>
      <c r="P18" s="3">
        <v>4.28</v>
      </c>
      <c r="Q18" t="s">
        <v>66</v>
      </c>
    </row>
    <row r="19" spans="14:17" x14ac:dyDescent="0.25">
      <c r="N19" t="s">
        <v>23</v>
      </c>
      <c r="O19" s="3">
        <v>6.4216000000000006</v>
      </c>
      <c r="P19" s="3">
        <v>6.98</v>
      </c>
      <c r="Q19" t="s">
        <v>66</v>
      </c>
    </row>
    <row r="20" spans="14:17" x14ac:dyDescent="0.25">
      <c r="N20" t="s">
        <v>67</v>
      </c>
      <c r="O20" s="3">
        <v>1.3708</v>
      </c>
      <c r="P20" s="3">
        <v>1.49</v>
      </c>
      <c r="Q20" t="s">
        <v>68</v>
      </c>
    </row>
    <row r="21" spans="14:17" x14ac:dyDescent="0.25">
      <c r="N21" t="s">
        <v>72</v>
      </c>
      <c r="O21" s="3">
        <v>2.6299000000000001</v>
      </c>
      <c r="P21" s="3">
        <v>2.89</v>
      </c>
      <c r="Q21" t="s">
        <v>64</v>
      </c>
    </row>
    <row r="22" spans="14:17" x14ac:dyDescent="0.25">
      <c r="N22" t="s">
        <v>24</v>
      </c>
      <c r="O22" s="3">
        <v>22.226999999999997</v>
      </c>
      <c r="P22" s="3">
        <v>23.9</v>
      </c>
      <c r="Q22" t="s">
        <v>66</v>
      </c>
    </row>
    <row r="23" spans="14:17" x14ac:dyDescent="0.25">
      <c r="N23" t="s">
        <v>25</v>
      </c>
      <c r="O23" s="3">
        <v>23.827999999999999</v>
      </c>
      <c r="P23" s="3">
        <v>25.9</v>
      </c>
      <c r="Q23" t="s">
        <v>66</v>
      </c>
    </row>
    <row r="24" spans="14:17" x14ac:dyDescent="0.25">
      <c r="N24" t="s">
        <v>73</v>
      </c>
      <c r="O24" s="3">
        <v>2.1749000000000001</v>
      </c>
      <c r="P24" s="3">
        <v>2.39</v>
      </c>
      <c r="Q24" t="s">
        <v>68</v>
      </c>
    </row>
    <row r="25" spans="14:17" x14ac:dyDescent="0.25">
      <c r="N25" t="s">
        <v>27</v>
      </c>
      <c r="O25" s="3">
        <v>3.2084999999999999</v>
      </c>
      <c r="P25" s="3">
        <v>3.45</v>
      </c>
      <c r="Q25" t="s">
        <v>68</v>
      </c>
    </row>
    <row r="26" spans="14:17" x14ac:dyDescent="0.25">
      <c r="N26" t="s">
        <v>20</v>
      </c>
      <c r="O26" s="3">
        <v>5.3544000000000009</v>
      </c>
      <c r="P26" s="3">
        <v>5.82</v>
      </c>
      <c r="Q26" t="s">
        <v>66</v>
      </c>
    </row>
    <row r="27" spans="14:17" x14ac:dyDescent="0.25">
      <c r="N27" t="s">
        <v>29</v>
      </c>
      <c r="O27" s="3">
        <v>9.1009999999999991</v>
      </c>
      <c r="P27" s="3">
        <v>9.58</v>
      </c>
      <c r="Q27" t="s">
        <v>66</v>
      </c>
    </row>
    <row r="28" spans="14:17" x14ac:dyDescent="0.25">
      <c r="N28" t="s">
        <v>26</v>
      </c>
      <c r="O28" s="3">
        <v>26.012999999999998</v>
      </c>
      <c r="P28" s="3">
        <v>29.9</v>
      </c>
      <c r="Q28" t="s">
        <v>74</v>
      </c>
    </row>
    <row r="29" spans="14:17" x14ac:dyDescent="0.25">
      <c r="N29" t="s">
        <v>32</v>
      </c>
      <c r="O29" s="3">
        <v>46.664999999999999</v>
      </c>
      <c r="P29" s="3">
        <v>54.9</v>
      </c>
      <c r="Q29" t="s">
        <v>74</v>
      </c>
    </row>
  </sheetData>
  <autoFilter ref="N5:Q5">
    <sortState ref="N6:Q29">
      <sortCondition ref="N5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33"/>
  <sheetViews>
    <sheetView showGridLines="0" zoomScaleNormal="100" workbookViewId="0">
      <selection activeCell="E3" sqref="E3"/>
    </sheetView>
  </sheetViews>
  <sheetFormatPr defaultRowHeight="15" x14ac:dyDescent="0.25"/>
  <cols>
    <col min="2" max="2" width="51.42578125" bestFit="1" customWidth="1"/>
    <col min="3" max="3" width="26.5703125" bestFit="1" customWidth="1"/>
    <col min="4" max="4" width="13.5703125" customWidth="1"/>
    <col min="5" max="5" width="26.140625" bestFit="1" customWidth="1"/>
    <col min="6" max="6" width="20.5703125" customWidth="1"/>
    <col min="7" max="7" width="21.140625" customWidth="1"/>
  </cols>
  <sheetData>
    <row r="2" spans="2:7" s="1" customFormat="1" ht="27.95" customHeight="1" x14ac:dyDescent="0.25">
      <c r="B2" s="2" t="s">
        <v>39</v>
      </c>
    </row>
    <row r="3" spans="2:7" ht="33.75" customHeight="1" x14ac:dyDescent="0.25"/>
    <row r="4" spans="2:7" x14ac:dyDescent="0.25"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</row>
    <row r="5" spans="2:7" x14ac:dyDescent="0.25">
      <c r="B5" t="s">
        <v>3</v>
      </c>
      <c r="F5" s="3"/>
      <c r="G5" s="3">
        <v>1000</v>
      </c>
    </row>
    <row r="6" spans="2:7" x14ac:dyDescent="0.25">
      <c r="B6" t="s">
        <v>46</v>
      </c>
      <c r="F6" s="3"/>
      <c r="G6" s="3">
        <f>SUM(F7:F11)</f>
        <v>17500</v>
      </c>
    </row>
    <row r="7" spans="2:7" x14ac:dyDescent="0.25">
      <c r="C7" t="s">
        <v>8</v>
      </c>
      <c r="F7" s="3">
        <v>10000</v>
      </c>
      <c r="G7" s="3"/>
    </row>
    <row r="8" spans="2:7" x14ac:dyDescent="0.25">
      <c r="C8" t="s">
        <v>9</v>
      </c>
      <c r="F8" s="3">
        <v>500</v>
      </c>
      <c r="G8" s="3"/>
    </row>
    <row r="9" spans="2:7" x14ac:dyDescent="0.25">
      <c r="C9" t="s">
        <v>1</v>
      </c>
      <c r="F9" s="3">
        <v>3000</v>
      </c>
      <c r="G9" s="3"/>
    </row>
    <row r="10" spans="2:7" x14ac:dyDescent="0.25">
      <c r="C10" t="s">
        <v>10</v>
      </c>
      <c r="F10" s="3">
        <v>2500</v>
      </c>
      <c r="G10" s="3"/>
    </row>
    <row r="11" spans="2:7" x14ac:dyDescent="0.25">
      <c r="C11" t="s">
        <v>5</v>
      </c>
      <c r="E11" t="s">
        <v>51</v>
      </c>
      <c r="F11" s="3">
        <v>1500</v>
      </c>
      <c r="G11" s="3"/>
    </row>
    <row r="12" spans="2:7" x14ac:dyDescent="0.25">
      <c r="B12" t="s">
        <v>0</v>
      </c>
      <c r="F12" s="3"/>
      <c r="G12" s="3">
        <v>900</v>
      </c>
    </row>
    <row r="13" spans="2:7" x14ac:dyDescent="0.25">
      <c r="B13" t="s">
        <v>1</v>
      </c>
      <c r="F13" s="3"/>
      <c r="G13" s="3">
        <v>6000</v>
      </c>
    </row>
    <row r="14" spans="2:7" x14ac:dyDescent="0.25">
      <c r="B14" t="s">
        <v>12</v>
      </c>
      <c r="F14" s="3"/>
      <c r="G14" s="3">
        <f>SUM(F15:F19)</f>
        <v>5300</v>
      </c>
    </row>
    <row r="15" spans="2:7" x14ac:dyDescent="0.25">
      <c r="C15" t="s">
        <v>47</v>
      </c>
      <c r="F15" s="3">
        <v>800</v>
      </c>
      <c r="G15" s="3"/>
    </row>
    <row r="16" spans="2:7" x14ac:dyDescent="0.25">
      <c r="C16" t="s">
        <v>48</v>
      </c>
      <c r="F16" s="3">
        <v>3200</v>
      </c>
      <c r="G16" s="3"/>
    </row>
    <row r="17" spans="2:7" x14ac:dyDescent="0.25">
      <c r="C17" t="s">
        <v>49</v>
      </c>
      <c r="F17" s="3">
        <v>500</v>
      </c>
      <c r="G17" s="3"/>
    </row>
    <row r="18" spans="2:7" x14ac:dyDescent="0.25">
      <c r="C18" t="s">
        <v>50</v>
      </c>
      <c r="F18" s="3">
        <v>800</v>
      </c>
      <c r="G18" s="3"/>
    </row>
    <row r="19" spans="2:7" x14ac:dyDescent="0.25">
      <c r="C19" t="s">
        <v>5</v>
      </c>
      <c r="F19" s="4">
        <v>0</v>
      </c>
      <c r="G19" s="3"/>
    </row>
    <row r="20" spans="2:7" x14ac:dyDescent="0.25">
      <c r="B20" t="s">
        <v>2</v>
      </c>
      <c r="F20" s="3"/>
      <c r="G20" s="3">
        <v>300</v>
      </c>
    </row>
    <row r="21" spans="2:7" x14ac:dyDescent="0.25">
      <c r="B21" t="s">
        <v>13</v>
      </c>
      <c r="F21" s="3"/>
      <c r="G21" s="3">
        <f>SUM(F22:F27)</f>
        <v>11950</v>
      </c>
    </row>
    <row r="22" spans="2:7" x14ac:dyDescent="0.25">
      <c r="C22" t="s">
        <v>14</v>
      </c>
      <c r="F22" s="3">
        <v>1650</v>
      </c>
      <c r="G22" s="3"/>
    </row>
    <row r="23" spans="2:7" x14ac:dyDescent="0.25">
      <c r="C23" t="s">
        <v>15</v>
      </c>
      <c r="F23" s="3">
        <v>3000</v>
      </c>
      <c r="G23" s="3"/>
    </row>
    <row r="24" spans="2:7" x14ac:dyDescent="0.25">
      <c r="C24" t="s">
        <v>16</v>
      </c>
      <c r="F24" s="3">
        <v>3000</v>
      </c>
      <c r="G24" s="3"/>
    </row>
    <row r="25" spans="2:7" x14ac:dyDescent="0.25">
      <c r="C25" t="s">
        <v>17</v>
      </c>
      <c r="F25" s="3">
        <v>2700</v>
      </c>
      <c r="G25" s="3"/>
    </row>
    <row r="26" spans="2:7" x14ac:dyDescent="0.25">
      <c r="C26" t="s">
        <v>11</v>
      </c>
      <c r="F26" s="3">
        <v>1500</v>
      </c>
      <c r="G26" s="3"/>
    </row>
    <row r="27" spans="2:7" x14ac:dyDescent="0.25">
      <c r="C27" t="s">
        <v>5</v>
      </c>
      <c r="F27" s="3">
        <v>100</v>
      </c>
      <c r="G27" s="3"/>
    </row>
    <row r="28" spans="2:7" x14ac:dyDescent="0.25">
      <c r="B28" t="s">
        <v>4</v>
      </c>
      <c r="F28" s="3"/>
      <c r="G28" s="3">
        <v>1500</v>
      </c>
    </row>
    <row r="29" spans="2:7" x14ac:dyDescent="0.25">
      <c r="B29" t="s">
        <v>5</v>
      </c>
      <c r="F29" s="3"/>
      <c r="G29" s="3">
        <v>957</v>
      </c>
    </row>
    <row r="31" spans="2:7" s="13" customFormat="1" ht="21" x14ac:dyDescent="0.35">
      <c r="B31" s="7" t="s">
        <v>52</v>
      </c>
      <c r="G31" s="14">
        <f>SUM(Tabela2[Valor Final])</f>
        <v>45407</v>
      </c>
    </row>
    <row r="32" spans="2:7" ht="21" x14ac:dyDescent="0.35">
      <c r="B32" s="8" t="s">
        <v>85</v>
      </c>
      <c r="C32" s="8"/>
      <c r="D32" s="8"/>
      <c r="E32" s="8"/>
      <c r="F32" s="8"/>
      <c r="G32" s="12">
        <f>'Compras Mercadorias'!I28</f>
        <v>13999.922</v>
      </c>
    </row>
    <row r="33" spans="2:7" ht="21" x14ac:dyDescent="0.35">
      <c r="B33" s="9" t="s">
        <v>86</v>
      </c>
      <c r="C33" s="9"/>
      <c r="D33" s="9"/>
      <c r="E33" s="9"/>
      <c r="F33" s="9"/>
      <c r="G33" s="15">
        <f>SUM(G31,G32)</f>
        <v>59406.921999999999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showGridLines="0" topLeftCell="A4" workbookViewId="0">
      <selection activeCell="B5" sqref="B5"/>
    </sheetView>
  </sheetViews>
  <sheetFormatPr defaultRowHeight="15" x14ac:dyDescent="0.25"/>
  <cols>
    <col min="2" max="2" width="42.5703125" bestFit="1" customWidth="1"/>
    <col min="3" max="3" width="30.85546875" bestFit="1" customWidth="1"/>
    <col min="4" max="4" width="15.7109375" bestFit="1" customWidth="1"/>
    <col min="5" max="5" width="9.85546875" customWidth="1"/>
    <col min="6" max="6" width="13.5703125" customWidth="1"/>
    <col min="7" max="7" width="16.140625" bestFit="1" customWidth="1"/>
    <col min="8" max="8" width="11.5703125" bestFit="1" customWidth="1"/>
    <col min="9" max="9" width="15.5703125" bestFit="1" customWidth="1"/>
  </cols>
  <sheetData>
    <row r="2" spans="2:16" s="1" customFormat="1" ht="27.95" customHeight="1" x14ac:dyDescent="0.25">
      <c r="B2" s="2" t="s">
        <v>53</v>
      </c>
    </row>
    <row r="3" spans="2:16" ht="33.75" customHeight="1" x14ac:dyDescent="0.25"/>
    <row r="4" spans="2:16" x14ac:dyDescent="0.25">
      <c r="B4" t="s">
        <v>42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</row>
    <row r="5" spans="2:16" x14ac:dyDescent="0.25">
      <c r="B5" s="11">
        <v>42190</v>
      </c>
      <c r="C5" t="s">
        <v>75</v>
      </c>
      <c r="D5" t="s">
        <v>33</v>
      </c>
      <c r="E5" t="str">
        <f>IFERROR(VLOOKUP(Tabela4[[#This Row],[Mercadoria]],cálculos!$N$6:$Q$29,4,0),"")</f>
        <v>Unidade</v>
      </c>
      <c r="F5">
        <v>50</v>
      </c>
      <c r="G5" s="3">
        <f>IFERROR(VLOOKUP(Tabela4[[#This Row],[Mercadoria]],cálculos!$N$6:$Q$29,2,0),0)</f>
        <v>2.3660000000000001</v>
      </c>
      <c r="H5" s="5">
        <v>0.05</v>
      </c>
      <c r="I5" s="3">
        <f>Tabela4[[#This Row],[Quantidade]]*Tabela4[[#This Row],[Preço Unitário]]*(1-Tabela4[[#This Row],[Desconto]])</f>
        <v>112.38500000000001</v>
      </c>
    </row>
    <row r="6" spans="2:16" x14ac:dyDescent="0.25">
      <c r="B6" s="11">
        <v>42190</v>
      </c>
      <c r="C6" t="s">
        <v>76</v>
      </c>
      <c r="D6" t="s">
        <v>19</v>
      </c>
      <c r="E6" t="str">
        <f>VLOOKUP(Tabela4[[#This Row],[Mercadoria]],cálculos!$N$6:$Q$29,4,0)</f>
        <v>Kg</v>
      </c>
      <c r="F6">
        <v>120</v>
      </c>
      <c r="G6" s="3">
        <f>IFERROR(VLOOKUP(Tabela4[[#This Row],[Mercadoria]],cálculos!$N$6:$Q$29,2,0),0)</f>
        <v>4.0659999999999998</v>
      </c>
      <c r="H6" s="5"/>
      <c r="I6" s="3">
        <f>Tabela4[[#This Row],[Quantidade]]*Tabela4[[#This Row],[Preço Unitário]]*(1-Tabela4[[#This Row],[Desconto]])</f>
        <v>487.91999999999996</v>
      </c>
    </row>
    <row r="7" spans="2:16" x14ac:dyDescent="0.25">
      <c r="B7" s="11">
        <v>42189</v>
      </c>
      <c r="C7" t="s">
        <v>76</v>
      </c>
      <c r="D7" t="s">
        <v>19</v>
      </c>
      <c r="E7" t="str">
        <f>VLOOKUP(Tabela4[[#This Row],[Mercadoria]],cálculos!$N$6:$Q$29,4,0)</f>
        <v>Kg</v>
      </c>
      <c r="F7">
        <v>150</v>
      </c>
      <c r="G7" s="3">
        <f>IFERROR(VLOOKUP(Tabela4[[#This Row],[Mercadoria]],cálculos!$N$6:$Q$29,2,0),0)</f>
        <v>4.0659999999999998</v>
      </c>
      <c r="H7" s="5"/>
      <c r="I7" s="3">
        <f>Tabela4[[#This Row],[Quantidade]]*Tabela4[[#This Row],[Preço Unitário]]*(1-Tabela4[[#This Row],[Desconto]])</f>
        <v>609.9</v>
      </c>
    </row>
    <row r="8" spans="2:16" x14ac:dyDescent="0.25">
      <c r="B8" s="11">
        <v>42189</v>
      </c>
      <c r="C8" t="s">
        <v>76</v>
      </c>
      <c r="D8" t="s">
        <v>18</v>
      </c>
      <c r="E8" t="str">
        <f>VLOOKUP(Tabela4[[#This Row],[Mercadoria]],cálculos!$N$6:$Q$29,4,0)</f>
        <v>Kg</v>
      </c>
      <c r="F8">
        <v>150</v>
      </c>
      <c r="G8" s="3">
        <f>IFERROR(VLOOKUP(Tabela4[[#This Row],[Mercadoria]],cálculos!$N$6:$Q$29,2,0),0)</f>
        <v>2.3406000000000002</v>
      </c>
      <c r="H8" s="5"/>
      <c r="I8" s="3">
        <f>Tabela4[[#This Row],[Quantidade]]*Tabela4[[#This Row],[Preço Unitário]]*(1-Tabela4[[#This Row],[Desconto]])</f>
        <v>351.09000000000003</v>
      </c>
    </row>
    <row r="9" spans="2:16" x14ac:dyDescent="0.25">
      <c r="B9" s="11">
        <v>42189</v>
      </c>
      <c r="C9" t="s">
        <v>77</v>
      </c>
      <c r="D9" t="s">
        <v>31</v>
      </c>
      <c r="E9" t="str">
        <f>VLOOKUP(Tabela4[[#This Row],[Mercadoria]],cálculos!$N$6:$Q$29,4,0)</f>
        <v>Lata</v>
      </c>
      <c r="F9">
        <v>100</v>
      </c>
      <c r="G9" s="3">
        <f>IFERROR(VLOOKUP(Tabela4[[#This Row],[Mercadoria]],cálculos!$N$6:$Q$29,2,0),0)</f>
        <v>2.1023999999999998</v>
      </c>
      <c r="H9" s="5"/>
      <c r="I9" s="3">
        <f>Tabela4[[#This Row],[Quantidade]]*Tabela4[[#This Row],[Preço Unitário]]*(1-Tabela4[[#This Row],[Desconto]])</f>
        <v>210.23999999999998</v>
      </c>
    </row>
    <row r="10" spans="2:16" x14ac:dyDescent="0.25">
      <c r="B10" s="11">
        <v>42189</v>
      </c>
      <c r="C10" t="s">
        <v>77</v>
      </c>
      <c r="D10" t="s">
        <v>27</v>
      </c>
      <c r="E10" t="str">
        <f>VLOOKUP(Tabela4[[#This Row],[Mercadoria]],cálculos!$N$6:$Q$29,4,0)</f>
        <v>Litro</v>
      </c>
      <c r="F10">
        <v>200</v>
      </c>
      <c r="G10" s="3">
        <f>IFERROR(VLOOKUP(Tabela4[[#This Row],[Mercadoria]],cálculos!$N$6:$Q$29,2,0),0)</f>
        <v>3.2084999999999999</v>
      </c>
      <c r="H10" s="5"/>
      <c r="I10" s="3">
        <f>Tabela4[[#This Row],[Quantidade]]*Tabela4[[#This Row],[Preço Unitário]]*(1-Tabela4[[#This Row],[Desconto]])</f>
        <v>641.69999999999993</v>
      </c>
    </row>
    <row r="11" spans="2:16" x14ac:dyDescent="0.25">
      <c r="B11" s="11">
        <v>42188</v>
      </c>
      <c r="C11" t="s">
        <v>78</v>
      </c>
      <c r="D11" t="s">
        <v>37</v>
      </c>
      <c r="E11" t="str">
        <f>VLOOKUP(Tabela4[[#This Row],[Mercadoria]],cálculos!$N$6:$Q$29,4,0)</f>
        <v>Maço</v>
      </c>
      <c r="F11">
        <v>100</v>
      </c>
      <c r="G11" s="3">
        <f>IFERROR(VLOOKUP(Tabela4[[#This Row],[Mercadoria]],cálculos!$N$6:$Q$29,2,0),0)</f>
        <v>6.3449999999999998</v>
      </c>
      <c r="H11" s="5"/>
      <c r="I11" s="3">
        <f>Tabela4[[#This Row],[Quantidade]]*Tabela4[[#This Row],[Preço Unitário]]*(1-Tabela4[[#This Row],[Desconto]])</f>
        <v>634.5</v>
      </c>
    </row>
    <row r="12" spans="2:16" x14ac:dyDescent="0.25">
      <c r="B12" s="11">
        <v>42188</v>
      </c>
      <c r="C12" t="s">
        <v>79</v>
      </c>
      <c r="D12" t="s">
        <v>36</v>
      </c>
      <c r="E12" t="str">
        <f>VLOOKUP(Tabela4[[#This Row],[Mercadoria]],cálculos!$N$6:$Q$29,4,0)</f>
        <v>Barra</v>
      </c>
      <c r="F12">
        <v>100</v>
      </c>
      <c r="G12" s="3">
        <f>IFERROR(VLOOKUP(Tabela4[[#This Row],[Mercadoria]],cálculos!$N$6:$Q$29,2,0),0)</f>
        <v>4.5409000000000006</v>
      </c>
      <c r="H12" s="5"/>
      <c r="I12" s="3">
        <f>Tabela4[[#This Row],[Quantidade]]*Tabela4[[#This Row],[Preço Unitário]]*(1-Tabela4[[#This Row],[Desconto]])</f>
        <v>454.09000000000003</v>
      </c>
    </row>
    <row r="13" spans="2:16" x14ac:dyDescent="0.25">
      <c r="B13" s="11">
        <v>42188</v>
      </c>
      <c r="C13" t="s">
        <v>76</v>
      </c>
      <c r="D13" t="s">
        <v>19</v>
      </c>
      <c r="E13" t="str">
        <f>VLOOKUP(Tabela4[[#This Row],[Mercadoria]],cálculos!$N$6:$Q$29,4,0)</f>
        <v>Kg</v>
      </c>
      <c r="F13">
        <v>300</v>
      </c>
      <c r="G13" s="3">
        <f>IFERROR(VLOOKUP(Tabela4[[#This Row],[Mercadoria]],cálculos!$N$6:$Q$29,2,0),0)</f>
        <v>4.0659999999999998</v>
      </c>
      <c r="H13" s="5">
        <v>0.03</v>
      </c>
      <c r="I13" s="3">
        <f>Tabela4[[#This Row],[Quantidade]]*Tabela4[[#This Row],[Preço Unitário]]*(1-Tabela4[[#This Row],[Desconto]])</f>
        <v>1183.2059999999999</v>
      </c>
    </row>
    <row r="14" spans="2:16" x14ac:dyDescent="0.25">
      <c r="B14" s="11">
        <v>42188</v>
      </c>
      <c r="C14" t="s">
        <v>76</v>
      </c>
      <c r="D14" t="s">
        <v>30</v>
      </c>
      <c r="E14" t="str">
        <f>VLOOKUP(Tabela4[[#This Row],[Mercadoria]],cálculos!$N$6:$Q$29,4,0)</f>
        <v>Pacote</v>
      </c>
      <c r="F14">
        <v>50</v>
      </c>
      <c r="G14" s="3">
        <f>IFERROR(VLOOKUP(Tabela4[[#This Row],[Mercadoria]],cálculos!$N$6:$Q$29,2,0),0)</f>
        <v>1.0580000000000001</v>
      </c>
      <c r="H14" s="5"/>
      <c r="I14" s="3">
        <f>Tabela4[[#This Row],[Quantidade]]*Tabela4[[#This Row],[Preço Unitário]]*(1-Tabela4[[#This Row],[Desconto]])</f>
        <v>52.900000000000006</v>
      </c>
    </row>
    <row r="15" spans="2:16" x14ac:dyDescent="0.25">
      <c r="B15" s="11">
        <v>42188</v>
      </c>
      <c r="C15" t="s">
        <v>80</v>
      </c>
      <c r="D15" t="s">
        <v>72</v>
      </c>
      <c r="E15" t="str">
        <f>VLOOKUP(Tabela4[[#This Row],[Mercadoria]],cálculos!$N$6:$Q$29,4,0)</f>
        <v>Unidade</v>
      </c>
      <c r="F15">
        <v>300</v>
      </c>
      <c r="G15" s="3">
        <f>IFERROR(VLOOKUP(Tabela4[[#This Row],[Mercadoria]],cálculos!$N$6:$Q$29,2,0),0)</f>
        <v>2.6299000000000001</v>
      </c>
      <c r="H15" s="5"/>
      <c r="I15" s="3">
        <f>Tabela4[[#This Row],[Quantidade]]*Tabela4[[#This Row],[Preço Unitário]]*(1-Tabela4[[#This Row],[Desconto]])</f>
        <v>788.97</v>
      </c>
      <c r="P15" s="10"/>
    </row>
    <row r="16" spans="2:16" x14ac:dyDescent="0.25">
      <c r="B16" s="11">
        <v>42188</v>
      </c>
      <c r="C16" t="s">
        <v>79</v>
      </c>
      <c r="D16" t="s">
        <v>35</v>
      </c>
      <c r="E16" t="str">
        <f>VLOOKUP(Tabela4[[#This Row],[Mercadoria]],cálculos!$N$6:$Q$29,4,0)</f>
        <v>Pacote</v>
      </c>
      <c r="F16">
        <v>100</v>
      </c>
      <c r="G16" s="3">
        <f>IFERROR(VLOOKUP(Tabela4[[#This Row],[Mercadoria]],cálculos!$N$6:$Q$29,2,0),0)</f>
        <v>1.8506999999999998</v>
      </c>
      <c r="H16" s="5"/>
      <c r="I16" s="3">
        <f>Tabela4[[#This Row],[Quantidade]]*Tabela4[[#This Row],[Preço Unitário]]*(1-Tabela4[[#This Row],[Desconto]])</f>
        <v>185.07</v>
      </c>
    </row>
    <row r="17" spans="2:9" x14ac:dyDescent="0.25">
      <c r="B17" s="11">
        <v>42188</v>
      </c>
      <c r="C17" t="s">
        <v>77</v>
      </c>
      <c r="D17" t="s">
        <v>31</v>
      </c>
      <c r="E17" t="str">
        <f>VLOOKUP(Tabela4[[#This Row],[Mercadoria]],cálculos!$N$6:$Q$29,4,0)</f>
        <v>Lata</v>
      </c>
      <c r="F17">
        <v>100</v>
      </c>
      <c r="G17" s="3">
        <f>IFERROR(VLOOKUP(Tabela4[[#This Row],[Mercadoria]],cálculos!$N$6:$Q$29,2,0),0)</f>
        <v>2.1023999999999998</v>
      </c>
      <c r="H17" s="5"/>
      <c r="I17" s="3">
        <f>Tabela4[[#This Row],[Quantidade]]*Tabela4[[#This Row],[Preço Unitário]]*(1-Tabela4[[#This Row],[Desconto]])</f>
        <v>210.23999999999998</v>
      </c>
    </row>
    <row r="18" spans="2:9" x14ac:dyDescent="0.25">
      <c r="B18" s="11">
        <v>42188</v>
      </c>
      <c r="C18" t="s">
        <v>81</v>
      </c>
      <c r="D18" t="s">
        <v>23</v>
      </c>
      <c r="E18" t="str">
        <f>VLOOKUP(Tabela4[[#This Row],[Mercadoria]],cálculos!$N$6:$Q$29,4,0)</f>
        <v>Kg</v>
      </c>
      <c r="F18">
        <v>110</v>
      </c>
      <c r="G18" s="3">
        <f>IFERROR(VLOOKUP(Tabela4[[#This Row],[Mercadoria]],cálculos!$N$6:$Q$29,2,0),0)</f>
        <v>6.4216000000000006</v>
      </c>
      <c r="H18" s="5"/>
      <c r="I18" s="3">
        <f>Tabela4[[#This Row],[Quantidade]]*Tabela4[[#This Row],[Preço Unitário]]*(1-Tabela4[[#This Row],[Desconto]])</f>
        <v>706.37600000000009</v>
      </c>
    </row>
    <row r="19" spans="2:9" x14ac:dyDescent="0.25">
      <c r="B19" s="11">
        <v>42188</v>
      </c>
      <c r="C19" t="s">
        <v>82</v>
      </c>
      <c r="D19" t="s">
        <v>24</v>
      </c>
      <c r="E19" t="str">
        <f>VLOOKUP(Tabela4[[#This Row],[Mercadoria]],cálculos!$N$6:$Q$29,4,0)</f>
        <v>Kg</v>
      </c>
      <c r="F19">
        <v>50</v>
      </c>
      <c r="G19" s="3">
        <f>IFERROR(VLOOKUP(Tabela4[[#This Row],[Mercadoria]],cálculos!$N$6:$Q$29,2,0),0)</f>
        <v>22.226999999999997</v>
      </c>
      <c r="H19" s="5">
        <v>0.1</v>
      </c>
      <c r="I19" s="3">
        <f>Tabela4[[#This Row],[Quantidade]]*Tabela4[[#This Row],[Preço Unitário]]*(1-Tabela4[[#This Row],[Desconto]])</f>
        <v>1000.2149999999999</v>
      </c>
    </row>
    <row r="20" spans="2:9" x14ac:dyDescent="0.25">
      <c r="B20" s="11">
        <v>42187</v>
      </c>
      <c r="C20" t="s">
        <v>76</v>
      </c>
      <c r="D20" t="s">
        <v>18</v>
      </c>
      <c r="E20" t="str">
        <f>VLOOKUP(Tabela4[[#This Row],[Mercadoria]],cálculos!$N$6:$Q$29,4,0)</f>
        <v>Kg</v>
      </c>
      <c r="F20">
        <v>300</v>
      </c>
      <c r="G20" s="3">
        <f>IFERROR(VLOOKUP(Tabela4[[#This Row],[Mercadoria]],cálculos!$N$6:$Q$29,2,0),0)</f>
        <v>2.3406000000000002</v>
      </c>
      <c r="H20" s="5"/>
      <c r="I20" s="3">
        <f>Tabela4[[#This Row],[Quantidade]]*Tabela4[[#This Row],[Preço Unitário]]*(1-Tabela4[[#This Row],[Desconto]])</f>
        <v>702.18000000000006</v>
      </c>
    </row>
    <row r="21" spans="2:9" x14ac:dyDescent="0.25">
      <c r="B21" s="11">
        <v>42187</v>
      </c>
      <c r="C21" t="s">
        <v>75</v>
      </c>
      <c r="D21" t="s">
        <v>21</v>
      </c>
      <c r="E21" t="str">
        <f>VLOOKUP(Tabela4[[#This Row],[Mercadoria]],cálculos!$N$6:$Q$29,4,0)</f>
        <v>Unidade</v>
      </c>
      <c r="F21">
        <v>150</v>
      </c>
      <c r="G21" s="3">
        <f>IFERROR(VLOOKUP(Tabela4[[#This Row],[Mercadoria]],cálculos!$N$6:$Q$29,2,0),0)</f>
        <v>2.8405</v>
      </c>
      <c r="H21" s="5"/>
      <c r="I21" s="3">
        <f>Tabela4[[#This Row],[Quantidade]]*Tabela4[[#This Row],[Preço Unitário]]*(1-Tabela4[[#This Row],[Desconto]])</f>
        <v>426.07499999999999</v>
      </c>
    </row>
    <row r="22" spans="2:9" x14ac:dyDescent="0.25">
      <c r="B22" s="11">
        <v>42187</v>
      </c>
      <c r="C22" t="s">
        <v>83</v>
      </c>
      <c r="D22" t="s">
        <v>28</v>
      </c>
      <c r="E22" t="str">
        <f>VLOOKUP(Tabela4[[#This Row],[Mercadoria]],cálculos!$N$6:$Q$29,4,0)</f>
        <v>Kg</v>
      </c>
      <c r="F22">
        <v>150</v>
      </c>
      <c r="G22" s="3">
        <f>IFERROR(VLOOKUP(Tabela4[[#This Row],[Mercadoria]],cálculos!$N$6:$Q$29,2,0),0)</f>
        <v>3.6309000000000005</v>
      </c>
      <c r="H22" s="5"/>
      <c r="I22" s="3">
        <f>Tabela4[[#This Row],[Quantidade]]*Tabela4[[#This Row],[Preço Unitário]]*(1-Tabela4[[#This Row],[Desconto]])</f>
        <v>544.6350000000001</v>
      </c>
    </row>
    <row r="23" spans="2:9" x14ac:dyDescent="0.25">
      <c r="B23" s="11">
        <v>42187</v>
      </c>
      <c r="C23" t="s">
        <v>84</v>
      </c>
      <c r="D23" t="s">
        <v>22</v>
      </c>
      <c r="E23" t="str">
        <f>VLOOKUP(Tabela4[[#This Row],[Mercadoria]],cálculos!$N$6:$Q$29,4,0)</f>
        <v>Kg</v>
      </c>
      <c r="F23">
        <v>150</v>
      </c>
      <c r="G23" s="3">
        <f>IFERROR(VLOOKUP(Tabela4[[#This Row],[Mercadoria]],cálculos!$N$6:$Q$29,2,0),0)</f>
        <v>14.469000000000001</v>
      </c>
      <c r="H23" s="5"/>
      <c r="I23" s="3">
        <f>Tabela4[[#This Row],[Quantidade]]*Tabela4[[#This Row],[Preço Unitário]]*(1-Tabela4[[#This Row],[Desconto]])</f>
        <v>2170.3500000000004</v>
      </c>
    </row>
    <row r="24" spans="2:9" x14ac:dyDescent="0.25">
      <c r="B24" s="11">
        <v>42187</v>
      </c>
      <c r="C24" t="s">
        <v>77</v>
      </c>
      <c r="D24" t="s">
        <v>31</v>
      </c>
      <c r="E24" t="str">
        <f>VLOOKUP(Tabela4[[#This Row],[Mercadoria]],cálculos!$N$6:$Q$29,4,0)</f>
        <v>Lata</v>
      </c>
      <c r="F24">
        <v>100</v>
      </c>
      <c r="G24" s="3">
        <f>IFERROR(VLOOKUP(Tabela4[[#This Row],[Mercadoria]],cálculos!$N$6:$Q$29,2,0),0)</f>
        <v>2.1023999999999998</v>
      </c>
      <c r="H24" s="5"/>
      <c r="I24" s="3">
        <f>Tabela4[[#This Row],[Quantidade]]*Tabela4[[#This Row],[Preço Unitário]]*(1-Tabela4[[#This Row],[Desconto]])</f>
        <v>210.23999999999998</v>
      </c>
    </row>
    <row r="25" spans="2:9" x14ac:dyDescent="0.25">
      <c r="B25" s="11">
        <v>42187</v>
      </c>
      <c r="C25" t="s">
        <v>77</v>
      </c>
      <c r="D25" t="s">
        <v>26</v>
      </c>
      <c r="E25" t="str">
        <f>VLOOKUP(Tabela4[[#This Row],[Mercadoria]],cálculos!$N$6:$Q$29,4,0)</f>
        <v>Garrafa</v>
      </c>
      <c r="F25">
        <v>80</v>
      </c>
      <c r="G25" s="3">
        <f>IFERROR(VLOOKUP(Tabela4[[#This Row],[Mercadoria]],cálculos!$N$6:$Q$29,2,0),0)</f>
        <v>26.012999999999998</v>
      </c>
      <c r="H25" s="5"/>
      <c r="I25" s="3">
        <f>Tabela4[[#This Row],[Quantidade]]*Tabela4[[#This Row],[Preço Unitário]]*(1-Tabela4[[#This Row],[Desconto]])</f>
        <v>2081.04</v>
      </c>
    </row>
    <row r="26" spans="2:9" x14ac:dyDescent="0.25">
      <c r="B26" s="11">
        <v>42187</v>
      </c>
      <c r="C26" t="s">
        <v>75</v>
      </c>
      <c r="D26" t="s">
        <v>33</v>
      </c>
      <c r="E26" t="str">
        <f>VLOOKUP(Tabela4[[#This Row],[Mercadoria]],cálculos!$N$6:$Q$29,4,0)</f>
        <v>Unidade</v>
      </c>
      <c r="F26">
        <v>100</v>
      </c>
      <c r="G26" s="3">
        <f>IFERROR(VLOOKUP(Tabela4[[#This Row],[Mercadoria]],cálculos!$N$6:$Q$29,2,0),0)</f>
        <v>2.3660000000000001</v>
      </c>
      <c r="H26" s="5"/>
      <c r="I26" s="3">
        <f>Tabela4[[#This Row],[Quantidade]]*Tabela4[[#This Row],[Preço Unitário]]*(1-Tabela4[[#This Row],[Desconto]])</f>
        <v>236.60000000000002</v>
      </c>
    </row>
    <row r="28" spans="2:9" s="9" customFormat="1" ht="21" x14ac:dyDescent="0.35">
      <c r="B28" s="8" t="s">
        <v>85</v>
      </c>
      <c r="C28" s="8"/>
      <c r="D28" s="8"/>
      <c r="E28" s="8"/>
      <c r="F28" s="8"/>
      <c r="G28" s="8"/>
      <c r="H28" s="8"/>
      <c r="I28" s="8">
        <f>SUM(Tabela4[Valor Pago])</f>
        <v>13999.922</v>
      </c>
    </row>
  </sheetData>
  <dataValidations count="2">
    <dataValidation type="list" allowBlank="1" showInputMessage="1" showErrorMessage="1" sqref="D7">
      <formula1>#REF!</formula1>
    </dataValidation>
    <dataValidation type="list" allowBlank="1" showInputMessage="1" showErrorMessage="1" sqref="D8:D26">
      <formula1>#REF!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zoomScale="85" zoomScaleNormal="85" workbookViewId="0">
      <selection activeCell="D2" sqref="D2"/>
    </sheetView>
  </sheetViews>
  <sheetFormatPr defaultRowHeight="15" x14ac:dyDescent="0.25"/>
  <cols>
    <col min="2" max="2" width="57.5703125" bestFit="1" customWidth="1"/>
    <col min="3" max="3" width="18" customWidth="1"/>
    <col min="4" max="4" width="85.140625" customWidth="1"/>
    <col min="5" max="5" width="26.5703125" customWidth="1"/>
  </cols>
  <sheetData>
    <row r="2" spans="2:5" s="1" customFormat="1" ht="27.95" customHeight="1" x14ac:dyDescent="0.25">
      <c r="B2" s="2" t="s">
        <v>87</v>
      </c>
    </row>
    <row r="3" spans="2:5" ht="33.75" customHeight="1" x14ac:dyDescent="0.25"/>
    <row r="4" spans="2:5" x14ac:dyDescent="0.25">
      <c r="B4" t="s">
        <v>87</v>
      </c>
      <c r="C4" t="s">
        <v>42</v>
      </c>
      <c r="D4" t="s">
        <v>91</v>
      </c>
      <c r="E4" t="s">
        <v>92</v>
      </c>
    </row>
    <row r="5" spans="2:5" ht="45.75" customHeight="1" x14ac:dyDescent="0.25">
      <c r="B5" t="s">
        <v>88</v>
      </c>
      <c r="C5" s="16">
        <v>42129</v>
      </c>
      <c r="D5" s="17" t="s">
        <v>93</v>
      </c>
      <c r="E5" s="3">
        <v>400000</v>
      </c>
    </row>
    <row r="6" spans="2:5" ht="45.75" customHeight="1" x14ac:dyDescent="0.25">
      <c r="B6" t="s">
        <v>11</v>
      </c>
      <c r="C6" s="16"/>
      <c r="D6" s="17"/>
      <c r="E6" s="3">
        <v>0</v>
      </c>
    </row>
    <row r="7" spans="2:5" ht="45.75" customHeight="1" x14ac:dyDescent="0.25">
      <c r="B7" t="s">
        <v>89</v>
      </c>
      <c r="C7" s="16"/>
      <c r="D7" s="17"/>
      <c r="E7" s="3">
        <v>0</v>
      </c>
    </row>
    <row r="8" spans="2:5" ht="45.75" customHeight="1" x14ac:dyDescent="0.25">
      <c r="B8" t="s">
        <v>90</v>
      </c>
      <c r="C8" s="16"/>
      <c r="D8" s="17"/>
      <c r="E8" s="3">
        <v>0</v>
      </c>
    </row>
    <row r="9" spans="2:5" ht="45.75" customHeight="1" x14ac:dyDescent="0.25">
      <c r="B9" t="s">
        <v>5</v>
      </c>
      <c r="C9" s="16"/>
      <c r="D9" s="17"/>
      <c r="E9" s="3">
        <v>0</v>
      </c>
    </row>
    <row r="11" spans="2:5" ht="21" x14ac:dyDescent="0.35">
      <c r="B11" s="8" t="s">
        <v>147</v>
      </c>
      <c r="C11" s="8"/>
      <c r="D11" s="8"/>
      <c r="E11" s="12">
        <f>SUM(Tabela1[Valor])</f>
        <v>400000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showGridLines="0" workbookViewId="0">
      <selection activeCell="F6" sqref="F6"/>
    </sheetView>
  </sheetViews>
  <sheetFormatPr defaultRowHeight="15" x14ac:dyDescent="0.25"/>
  <cols>
    <col min="2" max="2" width="26.85546875" bestFit="1" customWidth="1"/>
    <col min="3" max="3" width="22.85546875" customWidth="1"/>
    <col min="4" max="4" width="19.28515625" customWidth="1"/>
    <col min="5" max="5" width="23" customWidth="1"/>
    <col min="6" max="6" width="21.42578125" customWidth="1"/>
    <col min="7" max="7" width="18.7109375" customWidth="1"/>
    <col min="8" max="8" width="10.5703125" customWidth="1"/>
  </cols>
  <sheetData>
    <row r="2" spans="2:8" s="18" customFormat="1" ht="27.95" customHeight="1" x14ac:dyDescent="0.25">
      <c r="B2" s="19" t="s">
        <v>94</v>
      </c>
    </row>
    <row r="3" spans="2:8" ht="33.75" customHeight="1" x14ac:dyDescent="0.25"/>
    <row r="4" spans="2:8" x14ac:dyDescent="0.25"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</row>
    <row r="5" spans="2:8" x14ac:dyDescent="0.25">
      <c r="B5" t="s">
        <v>21</v>
      </c>
      <c r="C5" s="16">
        <f>IFERROR(INDEX(Tabela4[],MATCH(Tabela3[[#This Row],[Produto]],Tabela4[Mercadoria],0),1),"")</f>
        <v>42187</v>
      </c>
      <c r="D5">
        <v>15</v>
      </c>
      <c r="E5">
        <f>SUMIF(Tabela4[Mercadoria],Tabela3[[#This Row],[Produto]],Tabela4[Quantidade])</f>
        <v>150</v>
      </c>
      <c r="F5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3</v>
      </c>
      <c r="G5">
        <f>Tabela3[[#This Row],[Quantidade Inicial]]+Tabela3[[#This Row],[Quantidade Comprada]]-Tabela3[[#This Row],[Quantidade Vendida]]</f>
        <v>162</v>
      </c>
      <c r="H5" t="str">
        <f>IF(Tabela3[[#This Row],[Quantidade Atual]]&gt;=50,"OK",IF(Tabela3[[#This Row],[Quantidade Atual]]&gt;20,"ATENÇÃO","COMPRAR"))</f>
        <v>OK</v>
      </c>
    </row>
    <row r="6" spans="2:8" x14ac:dyDescent="0.25">
      <c r="B6" t="s">
        <v>30</v>
      </c>
      <c r="C6" s="16">
        <f>IFERROR(INDEX(Tabela4[],MATCH(Tabela3[[#This Row],[Produto]],Tabela4[Mercadoria],0),1),"")</f>
        <v>42188</v>
      </c>
      <c r="D6">
        <v>10</v>
      </c>
      <c r="E6">
        <f>SUMIF(Tabela4[Mercadoria],Tabela3[[#This Row],[Produto]],Tabela4[Quantidade])</f>
        <v>50</v>
      </c>
      <c r="F6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13</v>
      </c>
      <c r="G6">
        <f>Tabela3[[#This Row],[Quantidade Inicial]]+Tabela3[[#This Row],[Quantidade Comprada]]-Tabela3[[#This Row],[Quantidade Vendida]]</f>
        <v>47</v>
      </c>
      <c r="H6" t="str">
        <f>IF(Tabela3[[#This Row],[Quantidade Atual]]&gt;=50,"OK",IF(Tabela3[[#This Row],[Quantidade Atual]]&gt;20,"ATENÇÃO","COMPRAR"))</f>
        <v>ATENÇÃO</v>
      </c>
    </row>
    <row r="7" spans="2:8" x14ac:dyDescent="0.25">
      <c r="B7" t="s">
        <v>18</v>
      </c>
      <c r="C7" s="16">
        <f>IFERROR(INDEX(Tabela4[],MATCH(Tabela3[[#This Row],[Produto]],Tabela4[Mercadoria],0),1),"")</f>
        <v>42189</v>
      </c>
      <c r="D7">
        <v>0</v>
      </c>
      <c r="E7">
        <f>SUMIF(Tabela4[Mercadoria],Tabela3[[#This Row],[Produto]],Tabela4[Quantidade])</f>
        <v>450</v>
      </c>
      <c r="F7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7</v>
      </c>
      <c r="G7">
        <f>Tabela3[[#This Row],[Quantidade Inicial]]+Tabela3[[#This Row],[Quantidade Comprada]]-Tabela3[[#This Row],[Quantidade Vendida]]</f>
        <v>443</v>
      </c>
      <c r="H7" t="str">
        <f>IF(Tabela3[[#This Row],[Quantidade Atual]]&gt;=50,"OK",IF(Tabela3[[#This Row],[Quantidade Atual]]&gt;20,"ATENÇÃO","COMPRAR"))</f>
        <v>OK</v>
      </c>
    </row>
    <row r="8" spans="2:8" x14ac:dyDescent="0.25">
      <c r="B8" t="s">
        <v>35</v>
      </c>
      <c r="C8" s="16">
        <f>IFERROR(INDEX(Tabela4[],MATCH(Tabela3[[#This Row],[Produto]],Tabela4[Mercadoria],0),1),"")</f>
        <v>42188</v>
      </c>
      <c r="D8">
        <v>0</v>
      </c>
      <c r="E8">
        <f>SUMIF(Tabela4[Mercadoria],Tabela3[[#This Row],[Produto]],Tabela4[Quantidade])</f>
        <v>100</v>
      </c>
      <c r="F8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4</v>
      </c>
      <c r="G8">
        <f>Tabela3[[#This Row],[Quantidade Inicial]]+Tabela3[[#This Row],[Quantidade Comprada]]-Tabela3[[#This Row],[Quantidade Vendida]]</f>
        <v>96</v>
      </c>
      <c r="H8" t="str">
        <f>IF(Tabela3[[#This Row],[Quantidade Atual]]&gt;=50,"OK",IF(Tabela3[[#This Row],[Quantidade Atual]]&gt;20,"ATENÇÃO","COMPRAR"))</f>
        <v>OK</v>
      </c>
    </row>
    <row r="9" spans="2:8" x14ac:dyDescent="0.25">
      <c r="B9" t="s">
        <v>38</v>
      </c>
      <c r="C9" s="16" t="str">
        <f>IFERROR(INDEX(Tabela4[],MATCH(Tabela3[[#This Row],[Produto]],Tabela4[Mercadoria],0),1),"")</f>
        <v/>
      </c>
      <c r="D9">
        <v>150</v>
      </c>
      <c r="E9">
        <f>SUMIF(Tabela4[Mercadoria],Tabela3[[#This Row],[Produto]],Tabela4[Quantidade])</f>
        <v>0</v>
      </c>
      <c r="F9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0</v>
      </c>
      <c r="G9">
        <f>Tabela3[[#This Row],[Quantidade Inicial]]+Tabela3[[#This Row],[Quantidade Comprada]]-Tabela3[[#This Row],[Quantidade Vendida]]</f>
        <v>150</v>
      </c>
      <c r="H9" t="str">
        <f>IF(Tabela3[[#This Row],[Quantidade Atual]]&gt;=50,"OK",IF(Tabela3[[#This Row],[Quantidade Atual]]&gt;20,"ATENÇÃO","COMPRAR"))</f>
        <v>OK</v>
      </c>
    </row>
    <row r="10" spans="2:8" x14ac:dyDescent="0.25">
      <c r="B10" t="s">
        <v>34</v>
      </c>
      <c r="C10" s="16" t="str">
        <f>IFERROR(INDEX(Tabela4[],MATCH(Tabela3[[#This Row],[Produto]],Tabela4[Mercadoria],0),1),"")</f>
        <v/>
      </c>
      <c r="D10">
        <v>15</v>
      </c>
      <c r="E10">
        <f>SUMIF(Tabela4[Mercadoria],Tabela3[[#This Row],[Produto]],Tabela4[Quantidade])</f>
        <v>0</v>
      </c>
      <c r="F10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3</v>
      </c>
      <c r="G10">
        <f>Tabela3[[#This Row],[Quantidade Inicial]]+Tabela3[[#This Row],[Quantidade Comprada]]-Tabela3[[#This Row],[Quantidade Vendida]]</f>
        <v>12</v>
      </c>
      <c r="H10" t="str">
        <f>IF(Tabela3[[#This Row],[Quantidade Atual]]&gt;=50,"OK",IF(Tabela3[[#This Row],[Quantidade Atual]]&gt;20,"ATENÇÃO","COMPRAR"))</f>
        <v>COMPRAR</v>
      </c>
    </row>
    <row r="11" spans="2:8" x14ac:dyDescent="0.25">
      <c r="B11" t="s">
        <v>22</v>
      </c>
      <c r="C11" s="16">
        <f>IFERROR(INDEX(Tabela4[],MATCH(Tabela3[[#This Row],[Produto]],Tabela4[Mercadoria],0),1),"")</f>
        <v>42187</v>
      </c>
      <c r="D11">
        <v>25</v>
      </c>
      <c r="E11">
        <f>SUMIF(Tabela4[Mercadoria],Tabela3[[#This Row],[Produto]],Tabela4[Quantidade])</f>
        <v>150</v>
      </c>
      <c r="F11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16</v>
      </c>
      <c r="G11">
        <f>Tabela3[[#This Row],[Quantidade Inicial]]+Tabela3[[#This Row],[Quantidade Comprada]]-Tabela3[[#This Row],[Quantidade Vendida]]</f>
        <v>159</v>
      </c>
      <c r="H11" t="str">
        <f>IF(Tabela3[[#This Row],[Quantidade Atual]]&gt;=50,"OK",IF(Tabela3[[#This Row],[Quantidade Atual]]&gt;20,"ATENÇÃO","COMPRAR"))</f>
        <v>OK</v>
      </c>
    </row>
    <row r="12" spans="2:8" x14ac:dyDescent="0.25">
      <c r="B12" t="s">
        <v>28</v>
      </c>
      <c r="C12" s="16">
        <f>IFERROR(INDEX(Tabela4[],MATCH(Tabela3[[#This Row],[Produto]],Tabela4[Mercadoria],0),1),"")</f>
        <v>42187</v>
      </c>
      <c r="D12">
        <v>0</v>
      </c>
      <c r="E12">
        <f>SUMIF(Tabela4[Mercadoria],Tabela3[[#This Row],[Produto]],Tabela4[Quantidade])</f>
        <v>150</v>
      </c>
      <c r="F12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0</v>
      </c>
      <c r="G12">
        <f>Tabela3[[#This Row],[Quantidade Inicial]]+Tabela3[[#This Row],[Quantidade Comprada]]-Tabela3[[#This Row],[Quantidade Vendida]]</f>
        <v>150</v>
      </c>
      <c r="H12" t="str">
        <f>IF(Tabela3[[#This Row],[Quantidade Atual]]&gt;=50,"OK",IF(Tabela3[[#This Row],[Quantidade Atual]]&gt;20,"ATENÇÃO","COMPRAR"))</f>
        <v>OK</v>
      </c>
    </row>
    <row r="13" spans="2:8" x14ac:dyDescent="0.25">
      <c r="B13" t="s">
        <v>31</v>
      </c>
      <c r="C13" s="16">
        <f>IFERROR(INDEX(Tabela4[],MATCH(Tabela3[[#This Row],[Produto]],Tabela4[Mercadoria],0),1),"")</f>
        <v>42189</v>
      </c>
      <c r="D13">
        <v>0</v>
      </c>
      <c r="E13">
        <f>SUMIF(Tabela4[Mercadoria],Tabela3[[#This Row],[Produto]],Tabela4[Quantidade])</f>
        <v>300</v>
      </c>
      <c r="F13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87</v>
      </c>
      <c r="G13">
        <f>Tabela3[[#This Row],[Quantidade Inicial]]+Tabela3[[#This Row],[Quantidade Comprada]]-Tabela3[[#This Row],[Quantidade Vendida]]</f>
        <v>213</v>
      </c>
      <c r="H13" t="str">
        <f>IF(Tabela3[[#This Row],[Quantidade Atual]]&gt;=50,"OK",IF(Tabela3[[#This Row],[Quantidade Atual]]&gt;20,"ATENÇÃO","COMPRAR"))</f>
        <v>OK</v>
      </c>
    </row>
    <row r="14" spans="2:8" x14ac:dyDescent="0.25">
      <c r="B14" t="s">
        <v>36</v>
      </c>
      <c r="C14" s="16">
        <f>IFERROR(INDEX(Tabela4[],MATCH(Tabela3[[#This Row],[Produto]],Tabela4[Mercadoria],0),1),"")</f>
        <v>42188</v>
      </c>
      <c r="D14">
        <v>30</v>
      </c>
      <c r="E14">
        <f>SUMIF(Tabela4[Mercadoria],Tabela3[[#This Row],[Produto]],Tabela4[Quantidade])</f>
        <v>100</v>
      </c>
      <c r="F14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0</v>
      </c>
      <c r="G14">
        <f>Tabela3[[#This Row],[Quantidade Inicial]]+Tabela3[[#This Row],[Quantidade Comprada]]-Tabela3[[#This Row],[Quantidade Vendida]]</f>
        <v>130</v>
      </c>
      <c r="H14" t="str">
        <f>IF(Tabela3[[#This Row],[Quantidade Atual]]&gt;=50,"OK",IF(Tabela3[[#This Row],[Quantidade Atual]]&gt;20,"ATENÇÃO","COMPRAR"))</f>
        <v>OK</v>
      </c>
    </row>
    <row r="15" spans="2:8" x14ac:dyDescent="0.25">
      <c r="B15" t="s">
        <v>37</v>
      </c>
      <c r="C15" s="16">
        <f>IFERROR(INDEX(Tabela4[],MATCH(Tabela3[[#This Row],[Produto]],Tabela4[Mercadoria],0),1),"")</f>
        <v>42188</v>
      </c>
      <c r="D15">
        <v>0</v>
      </c>
      <c r="E15">
        <f>SUMIF(Tabela4[Mercadoria],Tabela3[[#This Row],[Produto]],Tabela4[Quantidade])</f>
        <v>100</v>
      </c>
      <c r="F15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0</v>
      </c>
      <c r="G15">
        <f>Tabela3[[#This Row],[Quantidade Inicial]]+Tabela3[[#This Row],[Quantidade Comprada]]-Tabela3[[#This Row],[Quantidade Vendida]]</f>
        <v>100</v>
      </c>
      <c r="H15" t="str">
        <f>IF(Tabela3[[#This Row],[Quantidade Atual]]&gt;=50,"OK",IF(Tabela3[[#This Row],[Quantidade Atual]]&gt;20,"ATENÇÃO","COMPRAR"))</f>
        <v>OK</v>
      </c>
    </row>
    <row r="16" spans="2:8" x14ac:dyDescent="0.25">
      <c r="B16" t="s">
        <v>33</v>
      </c>
      <c r="C16" s="16">
        <f>IFERROR(INDEX(Tabela4[],MATCH(Tabela3[[#This Row],[Produto]],Tabela4[Mercadoria],0),1),"")</f>
        <v>42190</v>
      </c>
      <c r="D16">
        <v>0</v>
      </c>
      <c r="E16">
        <f>SUMIF(Tabela4[Mercadoria],Tabela3[[#This Row],[Produto]],Tabela4[Quantidade])</f>
        <v>150</v>
      </c>
      <c r="F16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0</v>
      </c>
      <c r="G16">
        <f>Tabela3[[#This Row],[Quantidade Inicial]]+Tabela3[[#This Row],[Quantidade Comprada]]-Tabela3[[#This Row],[Quantidade Vendida]]</f>
        <v>150</v>
      </c>
      <c r="H16" t="str">
        <f>IF(Tabela3[[#This Row],[Quantidade Atual]]&gt;=50,"OK",IF(Tabela3[[#This Row],[Quantidade Atual]]&gt;20,"ATENÇÃO","COMPRAR"))</f>
        <v>OK</v>
      </c>
    </row>
    <row r="17" spans="2:8" x14ac:dyDescent="0.25">
      <c r="B17" t="s">
        <v>19</v>
      </c>
      <c r="C17" s="16">
        <f>IFERROR(INDEX(Tabela4[],MATCH(Tabela3[[#This Row],[Produto]],Tabela4[Mercadoria],0),1),"")</f>
        <v>42190</v>
      </c>
      <c r="D17">
        <v>0</v>
      </c>
      <c r="E17">
        <f>SUMIF(Tabela4[Mercadoria],Tabela3[[#This Row],[Produto]],Tabela4[Quantidade])</f>
        <v>570</v>
      </c>
      <c r="F17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10</v>
      </c>
      <c r="G17">
        <f>Tabela3[[#This Row],[Quantidade Inicial]]+Tabela3[[#This Row],[Quantidade Comprada]]-Tabela3[[#This Row],[Quantidade Vendida]]</f>
        <v>560</v>
      </c>
      <c r="H17" t="str">
        <f>IF(Tabela3[[#This Row],[Quantidade Atual]]&gt;=50,"OK",IF(Tabela3[[#This Row],[Quantidade Atual]]&gt;20,"ATENÇÃO","COMPRAR"))</f>
        <v>OK</v>
      </c>
    </row>
    <row r="18" spans="2:8" x14ac:dyDescent="0.25">
      <c r="B18" t="s">
        <v>23</v>
      </c>
      <c r="C18" s="16">
        <f>IFERROR(INDEX(Tabela4[],MATCH(Tabela3[[#This Row],[Produto]],Tabela4[Mercadoria],0),1),"")</f>
        <v>42188</v>
      </c>
      <c r="D18">
        <v>0</v>
      </c>
      <c r="E18">
        <f>SUMIF(Tabela4[Mercadoria],Tabela3[[#This Row],[Produto]],Tabela4[Quantidade])</f>
        <v>110</v>
      </c>
      <c r="F18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0</v>
      </c>
      <c r="G18">
        <f>Tabela3[[#This Row],[Quantidade Inicial]]+Tabela3[[#This Row],[Quantidade Comprada]]-Tabela3[[#This Row],[Quantidade Vendida]]</f>
        <v>110</v>
      </c>
      <c r="H18" t="str">
        <f>IF(Tabela3[[#This Row],[Quantidade Atual]]&gt;=50,"OK",IF(Tabela3[[#This Row],[Quantidade Atual]]&gt;20,"ATENÇÃO","COMPRAR"))</f>
        <v>OK</v>
      </c>
    </row>
    <row r="19" spans="2:8" x14ac:dyDescent="0.25">
      <c r="B19" t="s">
        <v>67</v>
      </c>
      <c r="C19" s="16" t="str">
        <f>IFERROR(INDEX(Tabela4[],MATCH(Tabela3[[#This Row],[Produto]],Tabela4[Mercadoria],0),1),"")</f>
        <v/>
      </c>
      <c r="D19">
        <v>39</v>
      </c>
      <c r="E19">
        <f>SUMIF(Tabela4[Mercadoria],Tabela3[[#This Row],[Produto]],Tabela4[Quantidade])</f>
        <v>0</v>
      </c>
      <c r="F19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6</v>
      </c>
      <c r="G19">
        <f>Tabela3[[#This Row],[Quantidade Inicial]]+Tabela3[[#This Row],[Quantidade Comprada]]-Tabela3[[#This Row],[Quantidade Vendida]]</f>
        <v>33</v>
      </c>
      <c r="H19" t="str">
        <f>IF(Tabela3[[#This Row],[Quantidade Atual]]&gt;=50,"OK",IF(Tabela3[[#This Row],[Quantidade Atual]]&gt;20,"ATENÇÃO","COMPRAR"))</f>
        <v>ATENÇÃO</v>
      </c>
    </row>
    <row r="20" spans="2:8" x14ac:dyDescent="0.25">
      <c r="B20" t="s">
        <v>72</v>
      </c>
      <c r="C20" s="16">
        <f>IFERROR(INDEX(Tabela4[],MATCH(Tabela3[[#This Row],[Produto]],Tabela4[Mercadoria],0),1),"")</f>
        <v>42188</v>
      </c>
      <c r="D20">
        <v>0</v>
      </c>
      <c r="E20">
        <f>SUMIF(Tabela4[Mercadoria],Tabela3[[#This Row],[Produto]],Tabela4[Quantidade])</f>
        <v>300</v>
      </c>
      <c r="F20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5</v>
      </c>
      <c r="G20">
        <f>Tabela3[[#This Row],[Quantidade Inicial]]+Tabela3[[#This Row],[Quantidade Comprada]]-Tabela3[[#This Row],[Quantidade Vendida]]</f>
        <v>295</v>
      </c>
      <c r="H20" t="str">
        <f>IF(Tabela3[[#This Row],[Quantidade Atual]]&gt;=50,"OK",IF(Tabela3[[#This Row],[Quantidade Atual]]&gt;20,"ATENÇÃO","COMPRAR"))</f>
        <v>OK</v>
      </c>
    </row>
    <row r="21" spans="2:8" x14ac:dyDescent="0.25">
      <c r="B21" t="s">
        <v>24</v>
      </c>
      <c r="C21" s="16">
        <f>IFERROR(INDEX(Tabela4[],MATCH(Tabela3[[#This Row],[Produto]],Tabela4[Mercadoria],0),1),"")</f>
        <v>42188</v>
      </c>
      <c r="D21">
        <v>0</v>
      </c>
      <c r="E21">
        <f>SUMIF(Tabela4[Mercadoria],Tabela3[[#This Row],[Produto]],Tabela4[Quantidade])</f>
        <v>50</v>
      </c>
      <c r="F21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0</v>
      </c>
      <c r="G21">
        <f>Tabela3[[#This Row],[Quantidade Inicial]]+Tabela3[[#This Row],[Quantidade Comprada]]-Tabela3[[#This Row],[Quantidade Vendida]]</f>
        <v>50</v>
      </c>
      <c r="H21" t="str">
        <f>IF(Tabela3[[#This Row],[Quantidade Atual]]&gt;=50,"OK",IF(Tabela3[[#This Row],[Quantidade Atual]]&gt;20,"ATENÇÃO","COMPRAR"))</f>
        <v>OK</v>
      </c>
    </row>
    <row r="22" spans="2:8" x14ac:dyDescent="0.25">
      <c r="B22" t="s">
        <v>25</v>
      </c>
      <c r="C22" s="16" t="str">
        <f>IFERROR(INDEX(Tabela4[],MATCH(Tabela3[[#This Row],[Produto]],Tabela4[Mercadoria],0),1),"")</f>
        <v/>
      </c>
      <c r="D22">
        <v>10</v>
      </c>
      <c r="E22">
        <f>SUMIF(Tabela4[Mercadoria],Tabela3[[#This Row],[Produto]],Tabela4[Quantidade])</f>
        <v>0</v>
      </c>
      <c r="F22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1.5</v>
      </c>
      <c r="G22">
        <f>Tabela3[[#This Row],[Quantidade Inicial]]+Tabela3[[#This Row],[Quantidade Comprada]]-Tabela3[[#This Row],[Quantidade Vendida]]</f>
        <v>8.5</v>
      </c>
      <c r="H22" t="str">
        <f>IF(Tabela3[[#This Row],[Quantidade Atual]]&gt;=50,"OK",IF(Tabela3[[#This Row],[Quantidade Atual]]&gt;20,"ATENÇÃO","COMPRAR"))</f>
        <v>COMPRAR</v>
      </c>
    </row>
    <row r="23" spans="2:8" x14ac:dyDescent="0.25">
      <c r="B23" t="s">
        <v>73</v>
      </c>
      <c r="C23" s="16" t="str">
        <f>IFERROR(INDEX(Tabela4[],MATCH(Tabela3[[#This Row],[Produto]],Tabela4[Mercadoria],0),1),"")</f>
        <v/>
      </c>
      <c r="D23">
        <v>100</v>
      </c>
      <c r="E23">
        <f>SUMIF(Tabela4[Mercadoria],Tabela3[[#This Row],[Produto]],Tabela4[Quantidade])</f>
        <v>0</v>
      </c>
      <c r="F23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4</v>
      </c>
      <c r="G23">
        <f>Tabela3[[#This Row],[Quantidade Inicial]]+Tabela3[[#This Row],[Quantidade Comprada]]-Tabela3[[#This Row],[Quantidade Vendida]]</f>
        <v>96</v>
      </c>
      <c r="H23" t="str">
        <f>IF(Tabela3[[#This Row],[Quantidade Atual]]&gt;=50,"OK",IF(Tabela3[[#This Row],[Quantidade Atual]]&gt;20,"ATENÇÃO","COMPRAR"))</f>
        <v>OK</v>
      </c>
    </row>
    <row r="24" spans="2:8" x14ac:dyDescent="0.25">
      <c r="B24" t="s">
        <v>27</v>
      </c>
      <c r="C24" s="16">
        <f>IFERROR(INDEX(Tabela4[],MATCH(Tabela3[[#This Row],[Produto]],Tabela4[Mercadoria],0),1),"")</f>
        <v>42189</v>
      </c>
      <c r="D24">
        <v>0</v>
      </c>
      <c r="E24">
        <f>SUMIF(Tabela4[Mercadoria],Tabela3[[#This Row],[Produto]],Tabela4[Quantidade])</f>
        <v>200</v>
      </c>
      <c r="F24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0</v>
      </c>
      <c r="G24">
        <f>Tabela3[[#This Row],[Quantidade Inicial]]+Tabela3[[#This Row],[Quantidade Comprada]]-Tabela3[[#This Row],[Quantidade Vendida]]</f>
        <v>200</v>
      </c>
      <c r="H24" t="str">
        <f>IF(Tabela3[[#This Row],[Quantidade Atual]]&gt;=50,"OK",IF(Tabela3[[#This Row],[Quantidade Atual]]&gt;20,"ATENÇÃO","COMPRAR"))</f>
        <v>OK</v>
      </c>
    </row>
    <row r="25" spans="2:8" x14ac:dyDescent="0.25">
      <c r="B25" t="s">
        <v>20</v>
      </c>
      <c r="C25" s="16" t="str">
        <f>IFERROR(INDEX(Tabela4[],MATCH(Tabela3[[#This Row],[Produto]],Tabela4[Mercadoria],0),1),"")</f>
        <v/>
      </c>
      <c r="D25">
        <v>30</v>
      </c>
      <c r="E25">
        <f>SUMIF(Tabela4[Mercadoria],Tabela3[[#This Row],[Produto]],Tabela4[Quantidade])</f>
        <v>0</v>
      </c>
      <c r="F25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0</v>
      </c>
      <c r="G25">
        <f>Tabela3[[#This Row],[Quantidade Inicial]]+Tabela3[[#This Row],[Quantidade Comprada]]-Tabela3[[#This Row],[Quantidade Vendida]]</f>
        <v>30</v>
      </c>
      <c r="H25" t="str">
        <f>IF(Tabela3[[#This Row],[Quantidade Atual]]&gt;=50,"OK",IF(Tabela3[[#This Row],[Quantidade Atual]]&gt;20,"ATENÇÃO","COMPRAR"))</f>
        <v>ATENÇÃO</v>
      </c>
    </row>
    <row r="26" spans="2:8" x14ac:dyDescent="0.25">
      <c r="B26" t="s">
        <v>29</v>
      </c>
      <c r="C26" s="16" t="str">
        <f>IFERROR(INDEX(Tabela4[],MATCH(Tabela3[[#This Row],[Produto]],Tabela4[Mercadoria],0),1),"")</f>
        <v/>
      </c>
      <c r="D26">
        <v>50</v>
      </c>
      <c r="E26">
        <f>SUMIF(Tabela4[Mercadoria],Tabela3[[#This Row],[Produto]],Tabela4[Quantidade])</f>
        <v>0</v>
      </c>
      <c r="F26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2</v>
      </c>
      <c r="G26">
        <f>Tabela3[[#This Row],[Quantidade Inicial]]+Tabela3[[#This Row],[Quantidade Comprada]]-Tabela3[[#This Row],[Quantidade Vendida]]</f>
        <v>48</v>
      </c>
      <c r="H26" t="str">
        <f>IF(Tabela3[[#This Row],[Quantidade Atual]]&gt;=50,"OK",IF(Tabela3[[#This Row],[Quantidade Atual]]&gt;20,"ATENÇÃO","COMPRAR"))</f>
        <v>ATENÇÃO</v>
      </c>
    </row>
    <row r="27" spans="2:8" x14ac:dyDescent="0.25">
      <c r="B27" t="s">
        <v>26</v>
      </c>
      <c r="C27" s="16">
        <f>IFERROR(INDEX(Tabela4[],MATCH(Tabela3[[#This Row],[Produto]],Tabela4[Mercadoria],0),1),"")</f>
        <v>42187</v>
      </c>
      <c r="D27">
        <v>0</v>
      </c>
      <c r="E27">
        <f>SUMIF(Tabela4[Mercadoria],Tabela3[[#This Row],[Produto]],Tabela4[Quantidade])</f>
        <v>80</v>
      </c>
      <c r="F27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0</v>
      </c>
      <c r="G27">
        <f>Tabela3[[#This Row],[Quantidade Inicial]]+Tabela3[[#This Row],[Quantidade Comprada]]-Tabela3[[#This Row],[Quantidade Vendida]]</f>
        <v>80</v>
      </c>
      <c r="H27" t="str">
        <f>IF(Tabela3[[#This Row],[Quantidade Atual]]&gt;=50,"OK",IF(Tabela3[[#This Row],[Quantidade Atual]]&gt;20,"ATENÇÃO","COMPRAR"))</f>
        <v>OK</v>
      </c>
    </row>
    <row r="28" spans="2:8" x14ac:dyDescent="0.25">
      <c r="B28" t="s">
        <v>32</v>
      </c>
      <c r="C28" s="16" t="str">
        <f>IFERROR(INDEX(Tabela4[],MATCH(Tabela3[[#This Row],[Produto]],Tabela4[Mercadoria],0),1),"")</f>
        <v/>
      </c>
      <c r="D28">
        <v>20</v>
      </c>
      <c r="E28">
        <f>SUMIF(Tabela4[Mercadoria],Tabela3[[#This Row],[Produto]],Tabela4[Quantidade])</f>
        <v>0</v>
      </c>
      <c r="F28">
        <f>SUMIF(Tabela5[Produto],Tabela3[[#This Row],[Produto]],Tabela5[Quantidade])+SUMIF(Tabela514[Produto],Tabela3[[#This Row],[Produto]],Tabela514[Quantidade])+SUMIF(Tabela51415[Produto],Tabela3[[#This Row],[Produto]],Tabela51415[Quantidade])+SUMIF(Tabela5141516[Produto],Tabela3[[#This Row],[Produto]],Tabela5141516[Quantidade])+SUMIF(Tabela514151617[Produto],Tabela3[[#This Row],[Produto]],Tabela514151617[Quantidade])</f>
        <v>0</v>
      </c>
      <c r="G28">
        <f>Tabela3[[#This Row],[Quantidade Inicial]]+Tabela3[[#This Row],[Quantidade Comprada]]-Tabela3[[#This Row],[Quantidade Vendida]]</f>
        <v>20</v>
      </c>
      <c r="H28" t="str">
        <f>IF(Tabela3[[#This Row],[Quantidade Atual]]&gt;=50,"OK",IF(Tabela3[[#This Row],[Quantidade Atual]]&gt;20,"ATENÇÃO","COMPRAR"))</f>
        <v>COMPRAR</v>
      </c>
    </row>
  </sheetData>
  <conditionalFormatting sqref="H5:H28">
    <cfRule type="containsText" dxfId="1" priority="1" operator="containsText" text="ATENÇÃO">
      <formula>NOT(ISERROR(SEARCH("ATENÇÃO",H5)))</formula>
    </cfRule>
    <cfRule type="containsText" dxfId="0" priority="2" operator="containsText" text="COMPRAR">
      <formula>NOT(ISERROR(SEARCH("COMPRAR",H5)))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25"/>
  <sheetViews>
    <sheetView showGridLines="0" topLeftCell="A12" workbookViewId="0">
      <selection activeCell="F25" sqref="F25"/>
    </sheetView>
  </sheetViews>
  <sheetFormatPr defaultRowHeight="15" x14ac:dyDescent="0.25"/>
  <cols>
    <col min="2" max="2" width="10.28515625" bestFit="1" customWidth="1"/>
    <col min="3" max="3" width="9.140625" customWidth="1"/>
    <col min="4" max="4" width="10" customWidth="1"/>
    <col min="5" max="5" width="9.140625" customWidth="1"/>
    <col min="6" max="6" width="27.28515625" customWidth="1"/>
    <col min="7" max="7" width="21.7109375" customWidth="1"/>
    <col min="8" max="8" width="27.140625" customWidth="1"/>
  </cols>
  <sheetData>
    <row r="2" spans="2:8" s="21" customFormat="1" ht="27.95" customHeight="1" x14ac:dyDescent="0.25">
      <c r="B2" s="20" t="s">
        <v>148</v>
      </c>
    </row>
    <row r="3" spans="2:8" ht="33.75" customHeight="1" x14ac:dyDescent="0.25"/>
    <row r="4" spans="2:8" x14ac:dyDescent="0.25">
      <c r="F4" s="66" t="s">
        <v>135</v>
      </c>
      <c r="G4" s="66"/>
      <c r="H4" s="67">
        <f>SUM(H5,H6)</f>
        <v>670.84630000000016</v>
      </c>
    </row>
    <row r="5" spans="2:8" x14ac:dyDescent="0.25">
      <c r="F5" s="64"/>
      <c r="G5" s="64" t="s">
        <v>136</v>
      </c>
      <c r="H5" s="65">
        <f>Vendas!D17 -Resultados!H6</f>
        <v>630.34630000000016</v>
      </c>
    </row>
    <row r="6" spans="2:8" x14ac:dyDescent="0.25">
      <c r="F6" s="64"/>
      <c r="G6" s="64" t="s">
        <v>137</v>
      </c>
      <c r="H6" s="65">
        <f>Vendas!D31</f>
        <v>40.5</v>
      </c>
    </row>
    <row r="7" spans="2:8" x14ac:dyDescent="0.25">
      <c r="F7" s="64" t="s">
        <v>138</v>
      </c>
      <c r="G7" s="64"/>
      <c r="H7" s="65">
        <f>0.15*H4</f>
        <v>100.62694500000002</v>
      </c>
    </row>
    <row r="8" spans="2:8" ht="15.75" thickBot="1" x14ac:dyDescent="0.3">
      <c r="F8" s="68" t="s">
        <v>7</v>
      </c>
      <c r="G8" s="68"/>
      <c r="H8" s="69">
        <f>H4-H7</f>
        <v>570.21935500000018</v>
      </c>
    </row>
    <row r="9" spans="2:8" x14ac:dyDescent="0.25">
      <c r="F9" s="64"/>
      <c r="G9" s="64"/>
      <c r="H9" s="65"/>
    </row>
    <row r="10" spans="2:8" x14ac:dyDescent="0.25">
      <c r="F10" s="66" t="s">
        <v>86</v>
      </c>
      <c r="G10" s="66"/>
      <c r="H10" s="67">
        <f>SUM(H11,H12)</f>
        <v>59406.921999999999</v>
      </c>
    </row>
    <row r="11" spans="2:8" x14ac:dyDescent="0.25">
      <c r="F11" s="64"/>
      <c r="G11" s="64" t="s">
        <v>139</v>
      </c>
      <c r="H11" s="65">
        <f>'Compras Mercadorias'!I28</f>
        <v>13999.922</v>
      </c>
    </row>
    <row r="12" spans="2:8" x14ac:dyDescent="0.25">
      <c r="F12" s="64"/>
      <c r="G12" s="64" t="s">
        <v>140</v>
      </c>
      <c r="H12" s="65">
        <f>Despesas!G31</f>
        <v>45407</v>
      </c>
    </row>
    <row r="13" spans="2:8" x14ac:dyDescent="0.25">
      <c r="F13" s="64"/>
      <c r="G13" s="64"/>
      <c r="H13" s="65"/>
    </row>
    <row r="14" spans="2:8" ht="15.75" thickBot="1" x14ac:dyDescent="0.3">
      <c r="F14" s="70" t="s">
        <v>141</v>
      </c>
      <c r="G14" s="70"/>
      <c r="H14" s="71">
        <f>H8-H10</f>
        <v>-58836.702644999998</v>
      </c>
    </row>
    <row r="15" spans="2:8" ht="15.75" thickTop="1" x14ac:dyDescent="0.25">
      <c r="F15" s="64"/>
      <c r="G15" s="64"/>
      <c r="H15" s="65"/>
    </row>
    <row r="16" spans="2:8" x14ac:dyDescent="0.25">
      <c r="F16" s="64" t="s">
        <v>142</v>
      </c>
      <c r="G16" s="64"/>
      <c r="H16" s="65">
        <f>Investimentos!E11</f>
        <v>400000</v>
      </c>
    </row>
    <row r="17" spans="6:8" x14ac:dyDescent="0.25">
      <c r="F17" s="64"/>
      <c r="G17" s="64"/>
      <c r="H17" s="65"/>
    </row>
    <row r="18" spans="6:8" x14ac:dyDescent="0.25">
      <c r="F18" s="64" t="s">
        <v>143</v>
      </c>
      <c r="G18" s="64"/>
      <c r="H18" s="65">
        <v>300</v>
      </c>
    </row>
    <row r="19" spans="6:8" x14ac:dyDescent="0.25">
      <c r="F19" s="64"/>
      <c r="G19" s="64"/>
      <c r="H19" s="65"/>
    </row>
    <row r="20" spans="6:8" ht="15.75" thickBot="1" x14ac:dyDescent="0.3">
      <c r="F20" s="68" t="s">
        <v>144</v>
      </c>
      <c r="G20" s="68"/>
      <c r="H20" s="69">
        <f>H14-H16-H18</f>
        <v>-459136.70264500001</v>
      </c>
    </row>
    <row r="21" spans="6:8" x14ac:dyDescent="0.25">
      <c r="F21" s="64"/>
      <c r="G21" s="64"/>
      <c r="H21" s="65"/>
    </row>
    <row r="22" spans="6:8" x14ac:dyDescent="0.25">
      <c r="F22" s="64" t="s">
        <v>145</v>
      </c>
      <c r="G22" s="64"/>
      <c r="H22" s="65">
        <f>IF(H20 &gt; 1000, 0.3 * H20,0)</f>
        <v>0</v>
      </c>
    </row>
    <row r="23" spans="6:8" x14ac:dyDescent="0.25">
      <c r="F23" s="64"/>
      <c r="G23" s="64"/>
      <c r="H23" s="65"/>
    </row>
    <row r="24" spans="6:8" ht="15.75" thickBot="1" x14ac:dyDescent="0.3">
      <c r="F24" s="70" t="s">
        <v>146</v>
      </c>
      <c r="G24" s="70"/>
      <c r="H24" s="71">
        <f>H20-H22</f>
        <v>-459136.70264500001</v>
      </c>
    </row>
    <row r="25" spans="6:8" ht="15.75" thickTop="1" x14ac:dyDescent="0.25"/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4"/>
  <sheetViews>
    <sheetView showGridLines="0" zoomScale="85" zoomScaleNormal="85" workbookViewId="0">
      <selection sqref="A1:XFD3"/>
    </sheetView>
  </sheetViews>
  <sheetFormatPr defaultRowHeight="15" x14ac:dyDescent="0.25"/>
  <cols>
    <col min="2" max="3" width="30.85546875" bestFit="1" customWidth="1"/>
    <col min="4" max="4" width="28.7109375" bestFit="1" customWidth="1"/>
    <col min="5" max="5" width="18.140625" customWidth="1"/>
    <col min="6" max="6" width="14.7109375" customWidth="1"/>
    <col min="7" max="7" width="14.42578125" customWidth="1"/>
    <col min="8" max="8" width="14.5703125" customWidth="1"/>
    <col min="9" max="9" width="18.28515625" customWidth="1"/>
    <col min="10" max="10" width="13.42578125" customWidth="1"/>
    <col min="11" max="11" width="15.140625" customWidth="1"/>
  </cols>
  <sheetData>
    <row r="2" spans="2:11" s="21" customFormat="1" ht="27.95" customHeight="1" x14ac:dyDescent="0.25">
      <c r="B2" s="20" t="s">
        <v>6</v>
      </c>
    </row>
    <row r="3" spans="2:11" ht="33.75" customHeight="1" x14ac:dyDescent="0.25"/>
    <row r="4" spans="2:11" ht="18.75" x14ac:dyDescent="0.3">
      <c r="K4" s="51" t="s">
        <v>129</v>
      </c>
    </row>
    <row r="6" spans="2:11" x14ac:dyDescent="0.25">
      <c r="B6" s="29"/>
      <c r="C6" s="30"/>
      <c r="D6" s="30"/>
      <c r="E6" s="30"/>
      <c r="F6" s="30"/>
      <c r="G6" s="30"/>
      <c r="H6" s="30"/>
      <c r="I6" s="30"/>
      <c r="J6" s="30"/>
      <c r="K6" s="31"/>
    </row>
    <row r="7" spans="2:11" x14ac:dyDescent="0.25">
      <c r="B7" s="32"/>
      <c r="E7" s="33"/>
      <c r="F7" s="33"/>
      <c r="G7" s="33"/>
      <c r="H7" s="33"/>
      <c r="I7" s="33"/>
      <c r="J7" s="33"/>
      <c r="K7" s="34"/>
    </row>
    <row r="8" spans="2:11" x14ac:dyDescent="0.25">
      <c r="B8" s="32"/>
      <c r="E8" s="33"/>
      <c r="F8" s="33"/>
      <c r="G8" s="33"/>
      <c r="H8" s="33"/>
      <c r="I8" s="33"/>
      <c r="J8" s="33"/>
      <c r="K8" s="34"/>
    </row>
    <row r="9" spans="2:11" ht="18.75" x14ac:dyDescent="0.3">
      <c r="B9" s="32"/>
      <c r="C9" s="43" t="s">
        <v>124</v>
      </c>
      <c r="D9" s="44">
        <f>'Semana 1'!M31</f>
        <v>670.84630000000016</v>
      </c>
      <c r="E9" s="33"/>
      <c r="F9" s="33"/>
      <c r="G9" s="33"/>
      <c r="H9" s="33"/>
      <c r="I9" s="33"/>
      <c r="J9" s="33"/>
      <c r="K9" s="34"/>
    </row>
    <row r="10" spans="2:11" ht="18.75" x14ac:dyDescent="0.3">
      <c r="B10" s="32"/>
      <c r="C10" s="45" t="s">
        <v>125</v>
      </c>
      <c r="D10" s="46">
        <f>'Semana 2'!M31</f>
        <v>0</v>
      </c>
      <c r="E10" s="33"/>
      <c r="F10" s="33"/>
      <c r="G10" s="33"/>
      <c r="H10" s="33"/>
      <c r="I10" s="33"/>
      <c r="J10" s="33"/>
      <c r="K10" s="34"/>
    </row>
    <row r="11" spans="2:11" ht="18.75" x14ac:dyDescent="0.3">
      <c r="B11" s="32"/>
      <c r="C11" s="45" t="s">
        <v>126</v>
      </c>
      <c r="D11" s="46">
        <f>'Semana 3'!M31</f>
        <v>0</v>
      </c>
      <c r="E11" s="33"/>
      <c r="F11" s="33"/>
      <c r="G11" s="33"/>
      <c r="H11" s="33"/>
      <c r="I11" s="33"/>
      <c r="J11" s="33"/>
      <c r="K11" s="34"/>
    </row>
    <row r="12" spans="2:11" ht="18.75" x14ac:dyDescent="0.3">
      <c r="B12" s="32"/>
      <c r="C12" s="45" t="s">
        <v>127</v>
      </c>
      <c r="D12" s="46">
        <f>'Semana 4'!M31</f>
        <v>0</v>
      </c>
      <c r="E12" s="33"/>
      <c r="F12" s="33"/>
      <c r="G12" s="33"/>
      <c r="H12" s="33"/>
      <c r="I12" s="33"/>
      <c r="J12" s="33"/>
      <c r="K12" s="34"/>
    </row>
    <row r="13" spans="2:11" ht="18.75" x14ac:dyDescent="0.3">
      <c r="B13" s="32"/>
      <c r="C13" s="47" t="s">
        <v>128</v>
      </c>
      <c r="D13" s="48">
        <f>'Semana 5'!M31</f>
        <v>0</v>
      </c>
      <c r="E13" s="33"/>
      <c r="F13" s="33"/>
      <c r="G13" s="33"/>
      <c r="H13" s="33"/>
      <c r="I13" s="33"/>
      <c r="J13" s="33"/>
      <c r="K13" s="34"/>
    </row>
    <row r="14" spans="2:11" x14ac:dyDescent="0.25">
      <c r="B14" s="52"/>
      <c r="F14" s="33"/>
      <c r="G14" s="33"/>
      <c r="H14" s="33"/>
      <c r="I14" s="33"/>
      <c r="J14" s="33"/>
      <c r="K14" s="34"/>
    </row>
    <row r="15" spans="2:11" x14ac:dyDescent="0.25">
      <c r="B15" s="52"/>
      <c r="F15" s="33"/>
      <c r="G15" s="33"/>
      <c r="H15" s="33"/>
      <c r="I15" s="33"/>
      <c r="J15" s="33"/>
      <c r="K15" s="34"/>
    </row>
    <row r="16" spans="2:11" x14ac:dyDescent="0.25">
      <c r="B16" s="32"/>
      <c r="C16" s="38"/>
      <c r="D16" s="38"/>
      <c r="E16" s="33"/>
      <c r="F16" s="33"/>
      <c r="G16" s="33"/>
      <c r="H16" s="33"/>
      <c r="I16" s="33"/>
      <c r="J16" s="33"/>
      <c r="K16" s="34"/>
    </row>
    <row r="17" spans="2:11" ht="18.75" x14ac:dyDescent="0.3">
      <c r="B17" s="32"/>
      <c r="C17" s="49" t="str">
        <f>"Total de vendas de "&amp;K4</f>
        <v>Total de vendas de Julho</v>
      </c>
      <c r="D17" s="50">
        <f>SUM(D9:D13)</f>
        <v>670.84630000000016</v>
      </c>
      <c r="E17" s="33"/>
      <c r="F17" s="33"/>
      <c r="G17" s="33"/>
      <c r="H17" s="33"/>
      <c r="I17" s="33"/>
      <c r="J17" s="33"/>
      <c r="K17" s="34"/>
    </row>
    <row r="18" spans="2:11" x14ac:dyDescent="0.25">
      <c r="B18" s="32"/>
      <c r="C18" s="33"/>
      <c r="D18" s="33"/>
      <c r="E18" s="33"/>
      <c r="F18" s="33"/>
      <c r="G18" s="33"/>
      <c r="H18" s="33"/>
      <c r="I18" s="33"/>
      <c r="J18" s="33"/>
      <c r="K18" s="34"/>
    </row>
    <row r="19" spans="2:11" x14ac:dyDescent="0.25">
      <c r="B19" s="32"/>
      <c r="C19" s="33"/>
      <c r="D19" s="33"/>
      <c r="E19" s="33"/>
      <c r="F19" s="33"/>
      <c r="G19" s="33"/>
      <c r="H19" s="33"/>
      <c r="I19" s="33"/>
      <c r="J19" s="33"/>
      <c r="K19" s="34"/>
    </row>
    <row r="20" spans="2:11" x14ac:dyDescent="0.25">
      <c r="B20" s="32"/>
      <c r="C20" s="33"/>
      <c r="D20" s="33"/>
      <c r="E20" s="33"/>
      <c r="F20" s="33"/>
      <c r="G20" s="33"/>
      <c r="H20" s="33"/>
      <c r="I20" s="33"/>
      <c r="J20" s="33"/>
      <c r="K20" s="34"/>
    </row>
    <row r="21" spans="2:11" x14ac:dyDescent="0.25">
      <c r="B21" s="35"/>
      <c r="C21" s="36"/>
      <c r="D21" s="36"/>
      <c r="E21" s="36"/>
      <c r="F21" s="36"/>
      <c r="G21" s="36"/>
      <c r="H21" s="36"/>
      <c r="I21" s="36"/>
      <c r="J21" s="36"/>
      <c r="K21" s="37"/>
    </row>
    <row r="27" spans="2:11" x14ac:dyDescent="0.25">
      <c r="B27" s="53"/>
      <c r="C27" s="54"/>
      <c r="D27" s="54"/>
      <c r="E27" s="54"/>
      <c r="F27" s="54"/>
      <c r="G27" s="54"/>
      <c r="H27" s="54"/>
      <c r="I27" s="54"/>
      <c r="J27" s="54"/>
      <c r="K27" s="55"/>
    </row>
    <row r="28" spans="2:11" x14ac:dyDescent="0.25">
      <c r="B28" s="52"/>
      <c r="C28" s="33"/>
      <c r="D28" s="33"/>
      <c r="K28" s="10"/>
    </row>
    <row r="29" spans="2:11" x14ac:dyDescent="0.25">
      <c r="B29" s="52"/>
      <c r="C29" s="39" t="s">
        <v>131</v>
      </c>
      <c r="D29" s="61">
        <f>SUM(COUNTIF(Tabela5[Valor de Entrega],"&gt;0"),COUNTIF(Tabela514151617[Valor de Entrega],"&gt;0"),COUNTIF(Tabela5141516[Valor de Entrega],"&gt;0"),COUNTIF(Tabela51415[Valor de Entrega],"&gt;0"),COUNTIF(Tabela514[Valor de Entrega],"&gt;0"))/SUM('Semana 1'!M33,'Semana 2'!M33,'Semana 3'!M33,'Semana 4'!M33,'Semana 5'!M33)</f>
        <v>0.46153846153846156</v>
      </c>
      <c r="K29" s="10"/>
    </row>
    <row r="30" spans="2:11" x14ac:dyDescent="0.25">
      <c r="B30" s="52"/>
      <c r="C30" s="40" t="s">
        <v>132</v>
      </c>
      <c r="D30" s="62">
        <f>SUMIF(Tabela5[Valor de Entrega],"&gt;0",Tabela5[Total para o Cliente])+SUMIF(Tabela514[Valor de Entrega],"&gt;0",Tabela514[Total para o Cliente])+SUMIF(Tabela51415[Valor de Entrega],"&gt;0",Tabela51415[Total para o Cliente])+SUMIF(Tabela5141516[Valor de Entrega],"&gt;0",Tabela5141516[Total para o Cliente])+SUMIF(Tabela514151617[Valor de Entrega],"&gt;0",Tabela514151617[Total para o Cliente])</f>
        <v>344.45630000000006</v>
      </c>
      <c r="K30" s="10"/>
    </row>
    <row r="31" spans="2:11" x14ac:dyDescent="0.25">
      <c r="B31" s="52"/>
      <c r="C31" s="41" t="s">
        <v>130</v>
      </c>
      <c r="D31" s="42">
        <f>SUM('Semana 1'!M32,'Semana 3'!M32,'Semana 2'!M32,'Semana 4'!M32,'Semana 5'!M32)</f>
        <v>40.5</v>
      </c>
      <c r="K31" s="10"/>
    </row>
    <row r="32" spans="2:11" x14ac:dyDescent="0.25">
      <c r="B32" s="52"/>
      <c r="C32" s="33"/>
      <c r="D32" s="33"/>
      <c r="K32" s="10"/>
    </row>
    <row r="33" spans="2:11" x14ac:dyDescent="0.25">
      <c r="B33" s="52"/>
      <c r="C33" s="33"/>
      <c r="D33" s="33"/>
      <c r="K33" s="10"/>
    </row>
    <row r="34" spans="2:11" x14ac:dyDescent="0.25">
      <c r="B34" s="52"/>
      <c r="C34" s="33"/>
      <c r="D34" s="33"/>
      <c r="E34" s="33"/>
      <c r="F34" s="33"/>
      <c r="G34" s="33"/>
      <c r="H34" s="33"/>
      <c r="I34" s="33"/>
      <c r="J34" s="33"/>
      <c r="K34" s="10"/>
    </row>
    <row r="35" spans="2:11" x14ac:dyDescent="0.25">
      <c r="B35" s="52"/>
      <c r="C35" s="33"/>
      <c r="D35" s="33"/>
      <c r="E35" s="33"/>
      <c r="F35" s="33"/>
      <c r="G35" s="33"/>
      <c r="H35" s="33"/>
      <c r="I35" s="33"/>
      <c r="J35" s="33"/>
      <c r="K35" s="10"/>
    </row>
    <row r="36" spans="2:11" x14ac:dyDescent="0.25">
      <c r="B36" s="52"/>
      <c r="C36" s="33"/>
      <c r="D36" s="33"/>
      <c r="E36" s="33"/>
      <c r="F36" s="33"/>
      <c r="G36" s="33"/>
      <c r="H36" s="33"/>
      <c r="I36" s="33"/>
      <c r="J36" s="33"/>
      <c r="K36" s="10"/>
    </row>
    <row r="37" spans="2:11" ht="18.75" x14ac:dyDescent="0.3">
      <c r="B37" s="52"/>
      <c r="C37" s="49" t="s">
        <v>122</v>
      </c>
      <c r="D37" s="60">
        <f>SUM('Semana 1'!M31,'Semana 2'!M31,'Semana 3'!M31,'Semana 4'!M31,'Semana 5'!M31)/SUM('Semana 1'!M33,'Semana 2'!M33,'Semana 3'!M33,'Semana 4'!M33,'Semana 5'!M33)</f>
        <v>51.603561538461548</v>
      </c>
      <c r="E37" s="33"/>
      <c r="F37" s="33"/>
      <c r="G37" s="33"/>
      <c r="H37" s="33"/>
      <c r="I37" s="33"/>
      <c r="J37" s="33"/>
      <c r="K37" s="10"/>
    </row>
    <row r="38" spans="2:11" x14ac:dyDescent="0.25">
      <c r="B38" s="52"/>
      <c r="C38" s="33"/>
      <c r="D38" s="33"/>
      <c r="E38" s="33"/>
      <c r="F38" s="33"/>
      <c r="G38" s="33"/>
      <c r="H38" s="33"/>
      <c r="I38" s="33"/>
      <c r="J38" s="33"/>
      <c r="K38" s="10"/>
    </row>
    <row r="39" spans="2:11" x14ac:dyDescent="0.25">
      <c r="B39" s="52"/>
      <c r="C39" s="33"/>
      <c r="D39" s="33"/>
      <c r="E39" s="33"/>
      <c r="F39" s="33"/>
      <c r="G39" s="33"/>
      <c r="H39" s="33"/>
      <c r="I39" s="33"/>
      <c r="J39" s="33"/>
      <c r="K39" s="10"/>
    </row>
    <row r="40" spans="2:11" x14ac:dyDescent="0.25">
      <c r="B40" s="56"/>
      <c r="C40" s="57"/>
      <c r="D40" s="57"/>
      <c r="E40" s="57"/>
      <c r="F40" s="57"/>
      <c r="G40" s="57"/>
      <c r="H40" s="57"/>
      <c r="I40" s="57"/>
      <c r="J40" s="57"/>
      <c r="K40" s="58"/>
    </row>
    <row r="42" spans="2:11" x14ac:dyDescent="0.25">
      <c r="B42" s="29"/>
      <c r="C42" s="30"/>
      <c r="D42" s="30"/>
      <c r="E42" s="30"/>
      <c r="F42" s="30"/>
      <c r="G42" s="30"/>
      <c r="H42" s="30"/>
      <c r="I42" s="30"/>
      <c r="J42" s="30"/>
      <c r="K42" s="31"/>
    </row>
    <row r="43" spans="2:11" x14ac:dyDescent="0.25">
      <c r="B43" s="32"/>
      <c r="C43" s="38" t="s">
        <v>123</v>
      </c>
      <c r="D43" s="33"/>
      <c r="E43" s="33"/>
      <c r="F43" s="33"/>
      <c r="G43" s="33"/>
      <c r="H43" s="33"/>
      <c r="I43" s="33"/>
      <c r="J43" s="33"/>
      <c r="K43" s="34"/>
    </row>
    <row r="44" spans="2:11" x14ac:dyDescent="0.25">
      <c r="B44" s="32"/>
      <c r="D44" s="33"/>
      <c r="E44" s="33"/>
      <c r="F44" s="33"/>
      <c r="G44" s="33"/>
      <c r="H44" s="33"/>
      <c r="I44" s="33"/>
      <c r="J44" s="33"/>
      <c r="K44" s="34"/>
    </row>
    <row r="45" spans="2:11" x14ac:dyDescent="0.25">
      <c r="B45" s="32"/>
      <c r="C45" s="33"/>
      <c r="E45" s="33"/>
      <c r="F45" s="33"/>
      <c r="G45" s="33"/>
      <c r="H45" s="33"/>
      <c r="I45" s="33"/>
      <c r="J45" s="33"/>
      <c r="K45" s="34"/>
    </row>
    <row r="46" spans="2:11" x14ac:dyDescent="0.25">
      <c r="B46" s="32"/>
      <c r="C46" s="33"/>
      <c r="E46" s="33"/>
      <c r="F46" s="33"/>
      <c r="G46" s="33"/>
      <c r="H46" s="33"/>
      <c r="I46" s="33"/>
      <c r="J46" s="33"/>
      <c r="K46" s="34"/>
    </row>
    <row r="47" spans="2:11" x14ac:dyDescent="0.25">
      <c r="B47" s="32"/>
      <c r="C47" s="33"/>
      <c r="D47" s="63" t="s">
        <v>134</v>
      </c>
      <c r="E47" s="33"/>
      <c r="F47" s="33"/>
      <c r="G47" s="33"/>
      <c r="H47" s="33"/>
      <c r="I47" s="33"/>
      <c r="J47" s="33"/>
      <c r="K47" s="34"/>
    </row>
    <row r="48" spans="2:11" x14ac:dyDescent="0.25">
      <c r="B48" s="32"/>
      <c r="C48" s="39" t="s">
        <v>112</v>
      </c>
      <c r="D48" s="39">
        <f>COUNTIFS(Tabela5[Entrega],Vendas!C48,Tabela5[Total para o Cliente],"&gt;0")</f>
        <v>7</v>
      </c>
      <c r="E48" s="33"/>
      <c r="F48" s="33"/>
      <c r="G48" s="33"/>
      <c r="H48" s="33"/>
      <c r="I48" s="33"/>
      <c r="J48" s="33"/>
      <c r="K48" s="34"/>
    </row>
    <row r="49" spans="2:11" x14ac:dyDescent="0.25">
      <c r="B49" s="32"/>
      <c r="C49" s="40" t="s">
        <v>111</v>
      </c>
      <c r="D49" s="40">
        <f>COUNTIFS(Tabela5[Entrega],Vendas!C49,Tabela5[Total para o Cliente],"&gt;0")</f>
        <v>0</v>
      </c>
      <c r="E49" s="33"/>
      <c r="F49" s="33"/>
      <c r="G49" s="33"/>
      <c r="H49" s="33"/>
      <c r="I49" s="33"/>
      <c r="J49" s="33"/>
      <c r="K49" s="34"/>
    </row>
    <row r="50" spans="2:11" x14ac:dyDescent="0.25">
      <c r="B50" s="32"/>
      <c r="C50" s="40" t="s">
        <v>113</v>
      </c>
      <c r="D50" s="40">
        <f>COUNTIFS(Tabela5[Entrega],Vendas!C50,Tabela5[Total para o Cliente],"&gt;0")</f>
        <v>2</v>
      </c>
      <c r="E50" s="33"/>
      <c r="F50" s="33"/>
      <c r="G50" s="33"/>
      <c r="H50" s="33"/>
      <c r="I50" s="33"/>
      <c r="J50" s="33"/>
      <c r="K50" s="34"/>
    </row>
    <row r="51" spans="2:11" x14ac:dyDescent="0.25">
      <c r="B51" s="32"/>
      <c r="C51" s="38" t="s">
        <v>114</v>
      </c>
      <c r="D51" s="38">
        <f>COUNTIFS(Tabela5[Entrega],Vendas!C51,Tabela5[Total para o Cliente],"&gt;0")</f>
        <v>1</v>
      </c>
      <c r="E51" s="33"/>
      <c r="F51" s="33"/>
      <c r="G51" s="33"/>
      <c r="H51" s="33"/>
      <c r="I51" s="33"/>
      <c r="J51" s="33"/>
      <c r="K51" s="34"/>
    </row>
    <row r="52" spans="2:11" x14ac:dyDescent="0.25">
      <c r="B52" s="32"/>
      <c r="C52" s="41" t="s">
        <v>115</v>
      </c>
      <c r="D52" s="41">
        <f>COUNTIFS(Tabela5[Entrega],Vendas!C52,Tabela5[Total para o Cliente],"&gt;0")</f>
        <v>3</v>
      </c>
      <c r="E52" s="33"/>
      <c r="F52" s="33"/>
      <c r="G52" s="33"/>
      <c r="H52" s="33"/>
      <c r="I52" s="33"/>
      <c r="J52" s="33"/>
      <c r="K52" s="34"/>
    </row>
    <row r="53" spans="2:11" x14ac:dyDescent="0.25">
      <c r="B53" s="32"/>
      <c r="C53" s="33"/>
      <c r="D53" s="33"/>
      <c r="E53" s="33"/>
      <c r="F53" s="33"/>
      <c r="G53" s="33"/>
      <c r="H53" s="33"/>
      <c r="I53" s="33"/>
      <c r="J53" s="33"/>
      <c r="K53" s="34"/>
    </row>
    <row r="54" spans="2:11" x14ac:dyDescent="0.25">
      <c r="B54" s="35"/>
      <c r="C54" s="36"/>
      <c r="D54" s="36"/>
      <c r="E54" s="36"/>
      <c r="F54" s="36"/>
      <c r="G54" s="36"/>
      <c r="H54" s="36"/>
      <c r="I54" s="36"/>
      <c r="J54" s="36"/>
      <c r="K54" s="3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abSelected="1" zoomScale="85" zoomScaleNormal="85" workbookViewId="0">
      <selection activeCell="B5" sqref="B5:M5"/>
    </sheetView>
  </sheetViews>
  <sheetFormatPr defaultRowHeight="15" x14ac:dyDescent="0.25"/>
  <cols>
    <col min="1" max="1" width="24.5703125" customWidth="1"/>
    <col min="2" max="2" width="23.5703125" bestFit="1" customWidth="1"/>
    <col min="3" max="3" width="10.7109375" bestFit="1" customWidth="1"/>
    <col min="4" max="4" width="15.7109375" bestFit="1" customWidth="1"/>
    <col min="5" max="5" width="9.85546875" customWidth="1"/>
    <col min="6" max="6" width="13.5703125" customWidth="1"/>
    <col min="7" max="7" width="15.7109375" customWidth="1"/>
    <col min="8" max="8" width="10.5703125" customWidth="1"/>
    <col min="9" max="9" width="11.42578125" customWidth="1"/>
    <col min="10" max="10" width="15.42578125" customWidth="1"/>
    <col min="11" max="11" width="17.7109375" customWidth="1"/>
    <col min="12" max="12" width="15.5703125" customWidth="1"/>
    <col min="13" max="13" width="20.28515625" customWidth="1"/>
  </cols>
  <sheetData>
    <row r="2" spans="2:13" s="21" customFormat="1" ht="27.95" customHeight="1" x14ac:dyDescent="0.25">
      <c r="B2" s="20" t="s">
        <v>102</v>
      </c>
    </row>
    <row r="3" spans="2:13" ht="33.75" customHeight="1" x14ac:dyDescent="0.25"/>
    <row r="4" spans="2:13" x14ac:dyDescent="0.25">
      <c r="B4" t="s">
        <v>103</v>
      </c>
      <c r="C4" t="s">
        <v>42</v>
      </c>
      <c r="D4" t="s">
        <v>95</v>
      </c>
      <c r="E4" t="s">
        <v>56</v>
      </c>
      <c r="F4" t="s">
        <v>57</v>
      </c>
      <c r="G4" t="s">
        <v>58</v>
      </c>
      <c r="H4" t="s">
        <v>104</v>
      </c>
      <c r="I4" t="s">
        <v>59</v>
      </c>
      <c r="J4" t="s">
        <v>105</v>
      </c>
      <c r="K4" t="s">
        <v>106</v>
      </c>
      <c r="L4" t="s">
        <v>107</v>
      </c>
      <c r="M4" t="s">
        <v>108</v>
      </c>
    </row>
    <row r="5" spans="2:13" x14ac:dyDescent="0.25">
      <c r="B5">
        <v>13</v>
      </c>
      <c r="C5" s="28">
        <v>42190</v>
      </c>
      <c r="D5" t="s">
        <v>30</v>
      </c>
      <c r="E5" s="23" t="str">
        <f>IFERROR(VLOOKUP(Tabela5[Produto],cálculos!$N$6:$Q$37,4,FALSE),"")</f>
        <v>Pacote</v>
      </c>
      <c r="F5">
        <v>10</v>
      </c>
      <c r="G5" s="3">
        <f>IFERROR(VLOOKUP(Tabela5[Produto],cálculos!$N$4:$Q$34,3,FALSE),0)</f>
        <v>1.1499999999999999</v>
      </c>
      <c r="H5" s="4">
        <f>F5*G5</f>
        <v>11.5</v>
      </c>
      <c r="I5" s="5"/>
      <c r="J5" t="s">
        <v>115</v>
      </c>
      <c r="K5" s="4">
        <f>IFERROR(IF(Tabela5[[#This Row],[ID da venda]]=B6,0,VLOOKUP(Tabela5[Entrega],cálculos!$C$7:$D$11,2,FALSE)),0)</f>
        <v>0</v>
      </c>
      <c r="L5" s="3">
        <f>Tabela5[[#This Row],[Subtotal]]*(1-Tabela5[[#This Row],[Desconto]])+Tabela5[[#This Row],[Valor de Entrega]]</f>
        <v>11.5</v>
      </c>
      <c r="M5" s="24" t="str">
        <f>IF(Tabela5[[#This Row],[ID da venda]]=B6,"",SUMIF(Tabela5[ID da venda],Tabela5[[#This Row],[ID da venda]],Tabela5[Total]))</f>
        <v/>
      </c>
    </row>
    <row r="6" spans="2:13" x14ac:dyDescent="0.25">
      <c r="B6">
        <v>13</v>
      </c>
      <c r="C6" s="28">
        <v>42190</v>
      </c>
      <c r="D6" t="s">
        <v>34</v>
      </c>
      <c r="E6" t="str">
        <f>IFERROR(VLOOKUP(Tabela5[Produto],cálculos!$N$6:$Q$37,4,FALSE),"")</f>
        <v>Pacote</v>
      </c>
      <c r="F6">
        <v>1</v>
      </c>
      <c r="G6" s="3">
        <f>IFERROR(VLOOKUP(Tabela5[Produto],cálculos!$N$4:$Q$34,3,FALSE),0)</f>
        <v>0.79</v>
      </c>
      <c r="H6" s="3">
        <f t="shared" ref="H6:H17" si="0">F6*G6</f>
        <v>0.79</v>
      </c>
      <c r="I6" s="5">
        <v>0.03</v>
      </c>
      <c r="J6" t="s">
        <v>115</v>
      </c>
      <c r="K6" s="4">
        <f>IFERROR(IF(Tabela5[[#This Row],[ID da venda]]=B7,0,VLOOKUP(Tabela5[Entrega],cálculos!$C$7:$D$11,2,FALSE)),0)</f>
        <v>0</v>
      </c>
      <c r="L6" s="3">
        <f>Tabela5[[#This Row],[Subtotal]]*(1-Tabela5[[#This Row],[Desconto]])+Tabela5[[#This Row],[Valor de Entrega]]</f>
        <v>0.76629999999999998</v>
      </c>
      <c r="M6" s="24" t="str">
        <f>IF(Tabela5[[#This Row],[ID da venda]]=B7,"",SUMIF(Tabela5[ID da venda],Tabela5[[#This Row],[ID da venda]],Tabela5[Total]))</f>
        <v/>
      </c>
    </row>
    <row r="7" spans="2:13" x14ac:dyDescent="0.25">
      <c r="B7">
        <v>13</v>
      </c>
      <c r="C7" s="28">
        <v>42190</v>
      </c>
      <c r="D7" t="s">
        <v>22</v>
      </c>
      <c r="E7" t="str">
        <f>IFERROR(VLOOKUP(Tabela5[Produto],cálculos!$N$6:$Q$37,4,FALSE),"")</f>
        <v>Kg</v>
      </c>
      <c r="F7">
        <v>10</v>
      </c>
      <c r="G7" s="3">
        <f>IFERROR(VLOOKUP(Tabela5[Produto],cálculos!$N$4:$Q$34,3,FALSE),0)</f>
        <v>15.9</v>
      </c>
      <c r="H7" s="3">
        <f t="shared" si="0"/>
        <v>159</v>
      </c>
      <c r="I7" s="5"/>
      <c r="J7" t="s">
        <v>115</v>
      </c>
      <c r="K7" s="4">
        <f>IFERROR(IF(Tabela5[[#This Row],[ID da venda]]=B8,0,VLOOKUP(Tabela5[Entrega],cálculos!$C$7:$D$11,2,FALSE)),0)</f>
        <v>0</v>
      </c>
      <c r="L7" s="3">
        <f>Tabela5[[#This Row],[Subtotal]]*(1-Tabela5[[#This Row],[Desconto]])+Tabela5[[#This Row],[Valor de Entrega]]</f>
        <v>159</v>
      </c>
      <c r="M7" s="24" t="str">
        <f>IF(Tabela5[[#This Row],[ID da venda]]=B8,"",SUMIF(Tabela5[ID da venda],Tabela5[[#This Row],[ID da venda]],Tabela5[Total]))</f>
        <v/>
      </c>
    </row>
    <row r="8" spans="2:13" x14ac:dyDescent="0.25">
      <c r="B8">
        <v>13</v>
      </c>
      <c r="C8" s="28">
        <v>42190</v>
      </c>
      <c r="D8" t="s">
        <v>31</v>
      </c>
      <c r="E8" t="str">
        <f>IFERROR(VLOOKUP(Tabela5[Produto],cálculos!$N$6:$Q$37,4,FALSE),"")</f>
        <v>Lata</v>
      </c>
      <c r="F8">
        <v>24</v>
      </c>
      <c r="G8" s="3">
        <f>IFERROR(VLOOKUP(Tabela5[Produto],cálculos!$N$4:$Q$34,3,FALSE),0)</f>
        <v>2.19</v>
      </c>
      <c r="H8" s="3">
        <f t="shared" si="0"/>
        <v>52.56</v>
      </c>
      <c r="I8" s="5"/>
      <c r="J8" t="s">
        <v>115</v>
      </c>
      <c r="K8" s="4">
        <f>IFERROR(IF(Tabela5[[#This Row],[ID da venda]]=B9,0,VLOOKUP(Tabela5[Entrega],cálculos!$C$7:$D$11,2,FALSE)),0)</f>
        <v>6.5</v>
      </c>
      <c r="L8" s="3">
        <f>Tabela5[[#This Row],[Subtotal]]*(1-Tabela5[[#This Row],[Desconto]])+Tabela5[[#This Row],[Valor de Entrega]]</f>
        <v>59.06</v>
      </c>
      <c r="M8" s="24">
        <f>IF(Tabela5[[#This Row],[ID da venda]]=B9,"",SUMIF(Tabela5[ID da venda],Tabela5[[#This Row],[ID da venda]],Tabela5[Total]))</f>
        <v>230.3263</v>
      </c>
    </row>
    <row r="9" spans="2:13" x14ac:dyDescent="0.25">
      <c r="B9">
        <v>12</v>
      </c>
      <c r="C9" s="28">
        <v>42189</v>
      </c>
      <c r="D9" t="s">
        <v>31</v>
      </c>
      <c r="E9" t="str">
        <f>IFERROR(VLOOKUP(Tabela5[Produto],cálculos!$N$6:$Q$37,4,FALSE),"")</f>
        <v>Lata</v>
      </c>
      <c r="F9">
        <v>1</v>
      </c>
      <c r="G9" s="3">
        <f>IFERROR(VLOOKUP(Tabela5[Produto],cálculos!$N$4:$Q$34,3,FALSE),0)</f>
        <v>2.19</v>
      </c>
      <c r="H9" s="3">
        <f t="shared" si="0"/>
        <v>2.19</v>
      </c>
      <c r="I9" s="5"/>
      <c r="J9" t="s">
        <v>112</v>
      </c>
      <c r="K9" s="4">
        <f>IFERROR(IF(Tabela5[[#This Row],[ID da venda]]=B10,0,VLOOKUP(Tabela5[Entrega],cálculos!$C$7:$D$11,2,FALSE)),0)</f>
        <v>0</v>
      </c>
      <c r="L9" s="3">
        <f>Tabela5[[#This Row],[Subtotal]]*(1-Tabela5[[#This Row],[Desconto]])+Tabela5[[#This Row],[Valor de Entrega]]</f>
        <v>2.19</v>
      </c>
      <c r="M9" s="24">
        <f>IF(Tabela5[[#This Row],[ID da venda]]=B10,"",SUMIF(Tabela5[ID da venda],Tabela5[[#This Row],[ID da venda]],Tabela5[Total]))</f>
        <v>2.19</v>
      </c>
    </row>
    <row r="10" spans="2:13" x14ac:dyDescent="0.25">
      <c r="B10">
        <v>11</v>
      </c>
      <c r="C10" s="28">
        <v>42189</v>
      </c>
      <c r="D10" t="s">
        <v>31</v>
      </c>
      <c r="E10" t="str">
        <f>IFERROR(VLOOKUP(Tabela5[Produto],cálculos!$N$6:$Q$37,4,FALSE),"")</f>
        <v>Lata</v>
      </c>
      <c r="F10">
        <v>10</v>
      </c>
      <c r="G10" s="3">
        <f>IFERROR(VLOOKUP(Tabela5[Produto],cálculos!$N$4:$Q$34,3,FALSE),0)</f>
        <v>2.19</v>
      </c>
      <c r="H10" s="3">
        <f t="shared" si="0"/>
        <v>21.9</v>
      </c>
      <c r="I10" s="5"/>
      <c r="J10" t="s">
        <v>112</v>
      </c>
      <c r="K10" s="4">
        <f>IFERROR(IF(Tabela5[[#This Row],[ID da venda]]=B11,0,VLOOKUP(Tabela5[Entrega],cálculos!$C$7:$D$11,2,FALSE)),0)</f>
        <v>0</v>
      </c>
      <c r="L10" s="3">
        <f>Tabela5[[#This Row],[Subtotal]]*(1-Tabela5[[#This Row],[Desconto]])+Tabela5[[#This Row],[Valor de Entrega]]</f>
        <v>21.9</v>
      </c>
      <c r="M10" s="24">
        <f>IF(Tabela5[[#This Row],[ID da venda]]=B11,"",SUMIF(Tabela5[ID da venda],Tabela5[[#This Row],[ID da venda]],Tabela5[Total]))</f>
        <v>21.9</v>
      </c>
    </row>
    <row r="11" spans="2:13" x14ac:dyDescent="0.25">
      <c r="B11">
        <v>10</v>
      </c>
      <c r="C11" s="28">
        <v>42189</v>
      </c>
      <c r="D11" t="s">
        <v>19</v>
      </c>
      <c r="E11" t="str">
        <f>IFERROR(VLOOKUP(Tabela5[Produto],cálculos!$N$6:$Q$37,4,FALSE),"")</f>
        <v>Kg</v>
      </c>
      <c r="F11">
        <v>6</v>
      </c>
      <c r="G11" s="3">
        <f>IFERROR(VLOOKUP(Tabela5[Produto],cálculos!$N$4:$Q$34,3,FALSE),0)</f>
        <v>4.28</v>
      </c>
      <c r="H11" s="3">
        <f t="shared" si="0"/>
        <v>25.68</v>
      </c>
      <c r="I11" s="5"/>
      <c r="J11" t="s">
        <v>112</v>
      </c>
      <c r="K11" s="4">
        <f>IFERROR(IF(Tabela5[[#This Row],[ID da venda]]=B12,0,VLOOKUP(Tabela5[Entrega],cálculos!$C$7:$D$11,2,FALSE)),0)</f>
        <v>0</v>
      </c>
      <c r="L11" s="3">
        <f>Tabela5[[#This Row],[Subtotal]]*(1-Tabela5[[#This Row],[Desconto]])+Tabela5[[#This Row],[Valor de Entrega]]</f>
        <v>25.68</v>
      </c>
      <c r="M11" s="24" t="str">
        <f>IF(Tabela5[[#This Row],[ID da venda]]=B12,"",SUMIF(Tabela5[ID da venda],Tabela5[[#This Row],[ID da venda]],Tabela5[Total]))</f>
        <v/>
      </c>
    </row>
    <row r="12" spans="2:13" x14ac:dyDescent="0.25">
      <c r="B12">
        <v>10</v>
      </c>
      <c r="C12" s="28">
        <v>42189</v>
      </c>
      <c r="D12" t="s">
        <v>73</v>
      </c>
      <c r="E12" t="str">
        <f>IFERROR(VLOOKUP(Tabela5[Produto],cálculos!$N$6:$Q$37,4,FALSE),"")</f>
        <v>Litro</v>
      </c>
      <c r="F12">
        <v>4</v>
      </c>
      <c r="G12" s="3">
        <f>IFERROR(VLOOKUP(Tabela5[Produto],cálculos!$N$4:$Q$34,3,FALSE),0)</f>
        <v>2.39</v>
      </c>
      <c r="H12" s="3">
        <f t="shared" si="0"/>
        <v>9.56</v>
      </c>
      <c r="I12" s="5"/>
      <c r="J12" t="s">
        <v>112</v>
      </c>
      <c r="K12" s="4">
        <f>IFERROR(IF(Tabela5[[#This Row],[ID da venda]]=B13,0,VLOOKUP(Tabela5[Entrega],cálculos!$C$7:$D$11,2,FALSE)),0)</f>
        <v>0</v>
      </c>
      <c r="L12" s="3">
        <f>Tabela5[[#This Row],[Subtotal]]*(1-Tabela5[[#This Row],[Desconto]])+Tabela5[[#This Row],[Valor de Entrega]]</f>
        <v>9.56</v>
      </c>
      <c r="M12" s="24">
        <f>IF(Tabela5[[#This Row],[ID da venda]]=B13,"",SUMIF(Tabela5[ID da venda],Tabela5[[#This Row],[ID da venda]],Tabela5[Total]))</f>
        <v>35.24</v>
      </c>
    </row>
    <row r="13" spans="2:13" x14ac:dyDescent="0.25">
      <c r="B13">
        <v>9</v>
      </c>
      <c r="C13" s="28">
        <v>42188</v>
      </c>
      <c r="D13" t="s">
        <v>72</v>
      </c>
      <c r="E13" t="str">
        <f>IFERROR(VLOOKUP(Tabela5[Produto],cálculos!$N$6:$Q$37,4,FALSE),"")</f>
        <v>Unidade</v>
      </c>
      <c r="F13">
        <v>5</v>
      </c>
      <c r="G13" s="3">
        <f>IFERROR(VLOOKUP(Tabela5[Produto],cálculos!$N$4:$Q$34,3,FALSE),0)</f>
        <v>2.89</v>
      </c>
      <c r="H13" s="3">
        <f t="shared" si="0"/>
        <v>14.450000000000001</v>
      </c>
      <c r="I13" s="5"/>
      <c r="J13" t="s">
        <v>112</v>
      </c>
      <c r="K13" s="4">
        <f>IFERROR(IF(Tabela5[[#This Row],[ID da venda]]=B14,0,VLOOKUP(Tabela5[Entrega],cálculos!$C$7:$D$11,2,FALSE)),0)</f>
        <v>0</v>
      </c>
      <c r="L13" s="3">
        <f>Tabela5[[#This Row],[Subtotal]]*(1-Tabela5[[#This Row],[Desconto]])+Tabela5[[#This Row],[Valor de Entrega]]</f>
        <v>14.450000000000001</v>
      </c>
      <c r="M13" s="24" t="str">
        <f>IF(Tabela5[[#This Row],[ID da venda]]=B14,"",SUMIF(Tabela5[ID da venda],Tabela5[[#This Row],[ID da venda]],Tabela5[Total]))</f>
        <v/>
      </c>
    </row>
    <row r="14" spans="2:13" x14ac:dyDescent="0.25">
      <c r="B14">
        <v>9</v>
      </c>
      <c r="C14" s="28">
        <v>42188</v>
      </c>
      <c r="D14" t="s">
        <v>29</v>
      </c>
      <c r="E14" t="str">
        <f>IFERROR(VLOOKUP(Tabela5[Produto],cálculos!$N$6:$Q$37,4,FALSE),"")</f>
        <v>Kg</v>
      </c>
      <c r="F14">
        <v>2</v>
      </c>
      <c r="G14" s="3">
        <f>IFERROR(VLOOKUP(Tabela5[Produto],cálculos!$N$4:$Q$34,3,FALSE),0)</f>
        <v>9.58</v>
      </c>
      <c r="H14" s="3">
        <f t="shared" si="0"/>
        <v>19.16</v>
      </c>
      <c r="I14" s="5"/>
      <c r="J14" t="s">
        <v>112</v>
      </c>
      <c r="K14" s="4">
        <f>IFERROR(IF(Tabela5[[#This Row],[ID da venda]]=B15,0,VLOOKUP(Tabela5[Entrega],cálculos!$C$7:$D$11,2,FALSE)),0)</f>
        <v>0</v>
      </c>
      <c r="L14" s="3">
        <f>Tabela5[[#This Row],[Subtotal]]*(1-Tabela5[[#This Row],[Desconto]])+Tabela5[[#This Row],[Valor de Entrega]]</f>
        <v>19.16</v>
      </c>
      <c r="M14" s="24" t="str">
        <f>IF(Tabela5[[#This Row],[ID da venda]]=B15,"",SUMIF(Tabela5[ID da venda],Tabela5[[#This Row],[ID da venda]],Tabela5[Total]))</f>
        <v/>
      </c>
    </row>
    <row r="15" spans="2:13" x14ac:dyDescent="0.25">
      <c r="B15">
        <v>9</v>
      </c>
      <c r="C15" s="28">
        <v>42188</v>
      </c>
      <c r="D15" t="s">
        <v>25</v>
      </c>
      <c r="E15" t="str">
        <f>IFERROR(VLOOKUP(Tabela5[Produto],cálculos!$N$6:$Q$37,4,FALSE),"")</f>
        <v>Kg</v>
      </c>
      <c r="F15">
        <v>1.5</v>
      </c>
      <c r="G15" s="3">
        <f>IFERROR(VLOOKUP(Tabela5[Produto],cálculos!$N$4:$Q$34,3,FALSE),0)</f>
        <v>25.9</v>
      </c>
      <c r="H15" s="3">
        <f t="shared" si="0"/>
        <v>38.849999999999994</v>
      </c>
      <c r="I15" s="5"/>
      <c r="J15" t="s">
        <v>112</v>
      </c>
      <c r="K15" s="4">
        <f>IFERROR(IF(Tabela5[[#This Row],[ID da venda]]=B16,0,VLOOKUP(Tabela5[Entrega],cálculos!$C$7:$D$11,2,FALSE)),0)</f>
        <v>0</v>
      </c>
      <c r="L15" s="3">
        <f>Tabela5[[#This Row],[Subtotal]]*(1-Tabela5[[#This Row],[Desconto]])+Tabela5[[#This Row],[Valor de Entrega]]</f>
        <v>38.849999999999994</v>
      </c>
      <c r="M15" s="24" t="str">
        <f>IF(Tabela5[[#This Row],[ID da venda]]=B16,"",SUMIF(Tabela5[ID da venda],Tabela5[[#This Row],[ID da venda]],Tabela5[Total]))</f>
        <v/>
      </c>
    </row>
    <row r="16" spans="2:13" x14ac:dyDescent="0.25">
      <c r="B16">
        <v>9</v>
      </c>
      <c r="C16" s="28">
        <v>42188</v>
      </c>
      <c r="D16" t="s">
        <v>19</v>
      </c>
      <c r="E16" t="str">
        <f>IFERROR(VLOOKUP(Tabela5[Produto],cálculos!$N$6:$Q$37,4,FALSE),"")</f>
        <v>Kg</v>
      </c>
      <c r="F16">
        <v>4</v>
      </c>
      <c r="G16" s="3">
        <f>IFERROR(VLOOKUP(Tabela5[Produto],cálculos!$N$4:$Q$34,3,FALSE),0)</f>
        <v>4.28</v>
      </c>
      <c r="H16" s="3">
        <f t="shared" si="0"/>
        <v>17.12</v>
      </c>
      <c r="I16" s="5"/>
      <c r="J16" t="s">
        <v>112</v>
      </c>
      <c r="K16" s="4">
        <f>IFERROR(IF(Tabela5[[#This Row],[ID da venda]]=B17,0,VLOOKUP(Tabela5[Entrega],cálculos!$C$7:$D$11,2,FALSE)),0)</f>
        <v>0</v>
      </c>
      <c r="L16" s="3">
        <f>Tabela5[[#This Row],[Subtotal]]*(1-Tabela5[[#This Row],[Desconto]])+Tabela5[[#This Row],[Valor de Entrega]]</f>
        <v>17.12</v>
      </c>
      <c r="M16" s="24">
        <f>IF(Tabela5[[#This Row],[ID da venda]]=B17,"",SUMIF(Tabela5[ID da venda],Tabela5[[#This Row],[ID da venda]],Tabela5[Total]))</f>
        <v>89.58</v>
      </c>
    </row>
    <row r="17" spans="2:13" x14ac:dyDescent="0.25">
      <c r="B17">
        <v>8</v>
      </c>
      <c r="C17" s="28">
        <v>42188</v>
      </c>
      <c r="D17" t="s">
        <v>31</v>
      </c>
      <c r="E17" t="str">
        <f>IFERROR(VLOOKUP(Tabela5[Produto],cálculos!$N$6:$Q$37,4,FALSE),"")</f>
        <v>Lata</v>
      </c>
      <c r="F17">
        <v>20</v>
      </c>
      <c r="G17" s="3">
        <f>IFERROR(VLOOKUP(Tabela5[Produto],cálculos!$N$4:$Q$34,3,FALSE),0)</f>
        <v>2.19</v>
      </c>
      <c r="H17" s="3">
        <f t="shared" si="0"/>
        <v>43.8</v>
      </c>
      <c r="I17" s="5"/>
      <c r="J17" t="s">
        <v>115</v>
      </c>
      <c r="K17" s="4">
        <f>IFERROR(IF(Tabela5[[#This Row],[ID da venda]]=B18,0,VLOOKUP(Tabela5[Entrega],cálculos!$C$7:$D$11,2,FALSE)),0)</f>
        <v>6.5</v>
      </c>
      <c r="L17" s="3">
        <f>Tabela5[[#This Row],[Subtotal]]*(1-Tabela5[[#This Row],[Desconto]])+Tabela5[[#This Row],[Valor de Entrega]]</f>
        <v>50.3</v>
      </c>
      <c r="M17" s="24">
        <f>IF(Tabela5[[#This Row],[ID da venda]]=B18,"",SUMIF(Tabela5[ID da venda],Tabela5[[#This Row],[ID da venda]],Tabela5[Total]))</f>
        <v>50.3</v>
      </c>
    </row>
    <row r="18" spans="2:13" x14ac:dyDescent="0.25">
      <c r="B18">
        <v>7</v>
      </c>
      <c r="C18" s="28">
        <v>42188</v>
      </c>
      <c r="D18" t="s">
        <v>31</v>
      </c>
      <c r="E18" s="23" t="str">
        <f>IFERROR(VLOOKUP(Tabela5[Produto],cálculos!$N$6:$Q$37,4,FALSE),"")</f>
        <v>Lata</v>
      </c>
      <c r="F18">
        <v>20</v>
      </c>
      <c r="G18" s="3">
        <f>IFERROR(VLOOKUP(Tabela5[Produto],cálculos!$N$4:$Q$34,3,FALSE),0)</f>
        <v>2.19</v>
      </c>
      <c r="H18" s="4">
        <f t="shared" ref="H18:H29" si="1">F18*G18</f>
        <v>43.8</v>
      </c>
      <c r="I18" s="5"/>
      <c r="J18" t="s">
        <v>112</v>
      </c>
      <c r="K18" s="4">
        <f>IFERROR(IF(Tabela5[[#This Row],[ID da venda]]=B19,0,VLOOKUP(Tabela5[Entrega],cálculos!$C$7:$D$11,2,FALSE)),0)</f>
        <v>0</v>
      </c>
      <c r="L18" s="3">
        <f>Tabela5[[#This Row],[Subtotal]]*(1-Tabela5[[#This Row],[Desconto]])+Tabela5[[#This Row],[Valor de Entrega]]</f>
        <v>43.8</v>
      </c>
      <c r="M18" s="24">
        <f>IF(Tabela5[[#This Row],[ID da venda]]=B19,"",SUMIF(Tabela5[ID da venda],Tabela5[[#This Row],[ID da venda]],Tabela5[Total]))</f>
        <v>43.8</v>
      </c>
    </row>
    <row r="19" spans="2:13" x14ac:dyDescent="0.25">
      <c r="B19">
        <v>6</v>
      </c>
      <c r="C19" s="28">
        <v>42188</v>
      </c>
      <c r="D19" t="s">
        <v>34</v>
      </c>
      <c r="E19" s="23" t="str">
        <f>IFERROR(VLOOKUP(Tabela5[Produto],cálculos!$N$6:$Q$37,4,FALSE),"")</f>
        <v>Pacote</v>
      </c>
      <c r="F19">
        <v>2</v>
      </c>
      <c r="G19" s="3">
        <f>IFERROR(VLOOKUP(Tabela5[Produto],cálculos!$N$4:$Q$34,3,FALSE),0)</f>
        <v>0.79</v>
      </c>
      <c r="H19" s="4">
        <f t="shared" si="1"/>
        <v>1.58</v>
      </c>
      <c r="I19" s="5"/>
      <c r="J19" t="s">
        <v>112</v>
      </c>
      <c r="K19" s="4">
        <f>IFERROR(IF(Tabela5[[#This Row],[ID da venda]]=B20,0,VLOOKUP(Tabela5[Entrega],cálculos!$C$7:$D$11,2,FALSE)),0)</f>
        <v>0</v>
      </c>
      <c r="L19" s="3">
        <f>Tabela5[[#This Row],[Subtotal]]*(1-Tabela5[[#This Row],[Desconto]])+Tabela5[[#This Row],[Valor de Entrega]]</f>
        <v>1.58</v>
      </c>
      <c r="M19" s="24" t="str">
        <f>IF(Tabela5[[#This Row],[ID da venda]]=B20,"",SUMIF(Tabela5[ID da venda],Tabela5[[#This Row],[ID da venda]],Tabela5[Total]))</f>
        <v/>
      </c>
    </row>
    <row r="20" spans="2:13" s="25" customFormat="1" x14ac:dyDescent="0.25">
      <c r="B20">
        <v>6</v>
      </c>
      <c r="C20" s="28">
        <v>42188</v>
      </c>
      <c r="D20" t="s">
        <v>22</v>
      </c>
      <c r="E20" s="23" t="str">
        <f>IFERROR(VLOOKUP(Tabela5[Produto],cálculos!$N$6:$Q$37,4,FALSE),"")</f>
        <v>Kg</v>
      </c>
      <c r="F20">
        <v>6</v>
      </c>
      <c r="G20" s="3">
        <f>IFERROR(VLOOKUP(Tabela5[Produto],cálculos!$N$4:$Q$34,3,FALSE),0)</f>
        <v>15.9</v>
      </c>
      <c r="H20" s="4">
        <f t="shared" si="1"/>
        <v>95.4</v>
      </c>
      <c r="I20" s="5"/>
      <c r="J20" t="s">
        <v>112</v>
      </c>
      <c r="K20" s="4">
        <f>IFERROR(IF(Tabela5[[#This Row],[ID da venda]]=B21,0,VLOOKUP(Tabela5[Entrega],cálculos!$C$7:$D$11,2,FALSE)),0)</f>
        <v>0</v>
      </c>
      <c r="L20" s="3">
        <f>Tabela5[[#This Row],[Subtotal]]*(1-Tabela5[[#This Row],[Desconto]])+Tabela5[[#This Row],[Valor de Entrega]]</f>
        <v>95.4</v>
      </c>
      <c r="M20" s="24" t="str">
        <f>IF(Tabela5[[#This Row],[ID da venda]]=B21,"",SUMIF(Tabela5[ID da venda],Tabela5[[#This Row],[ID da venda]],Tabela5[Total]))</f>
        <v/>
      </c>
    </row>
    <row r="21" spans="2:13" s="25" customFormat="1" x14ac:dyDescent="0.25">
      <c r="B21">
        <v>6</v>
      </c>
      <c r="C21" s="28">
        <v>42188</v>
      </c>
      <c r="D21" t="s">
        <v>31</v>
      </c>
      <c r="E21" s="23" t="str">
        <f>IFERROR(VLOOKUP(Tabela5[Produto],cálculos!$N$6:$Q$37,4,FALSE),"")</f>
        <v>Lata</v>
      </c>
      <c r="F21">
        <v>12</v>
      </c>
      <c r="G21" s="3">
        <f>IFERROR(VLOOKUP(Tabela5[Produto],cálculos!$N$4:$Q$34,3,FALSE),0)</f>
        <v>2.19</v>
      </c>
      <c r="H21" s="4">
        <f t="shared" si="1"/>
        <v>26.28</v>
      </c>
      <c r="I21" s="5"/>
      <c r="J21" t="s">
        <v>112</v>
      </c>
      <c r="K21" s="4">
        <f>IFERROR(IF(Tabela5[[#This Row],[ID da venda]]=B22,0,VLOOKUP(Tabela5[Entrega],cálculos!$C$7:$D$11,2,FALSE)),0)</f>
        <v>0</v>
      </c>
      <c r="L21" s="3">
        <f>Tabela5[[#This Row],[Subtotal]]*(1-Tabela5[[#This Row],[Desconto]])+Tabela5[[#This Row],[Valor de Entrega]]</f>
        <v>26.28</v>
      </c>
      <c r="M21" s="24">
        <f>IF(Tabela5[[#This Row],[ID da venda]]=B22,"",SUMIF(Tabela5[ID da venda],Tabela5[[#This Row],[ID da venda]],Tabela5[Total]))</f>
        <v>123.26</v>
      </c>
    </row>
    <row r="22" spans="2:13" x14ac:dyDescent="0.25">
      <c r="B22">
        <v>5</v>
      </c>
      <c r="C22" s="28">
        <v>42187</v>
      </c>
      <c r="D22" t="s">
        <v>21</v>
      </c>
      <c r="E22" s="23" t="str">
        <f>IFERROR(VLOOKUP(Tabela5[Produto],cálculos!$N$6:$Q$37,4,FALSE),"")</f>
        <v>Unidade</v>
      </c>
      <c r="F22">
        <v>3</v>
      </c>
      <c r="G22" s="3">
        <f>IFERROR(VLOOKUP(Tabela5[Produto],cálculos!$N$4:$Q$34,3,FALSE),0)</f>
        <v>2.99</v>
      </c>
      <c r="H22" s="4">
        <f t="shared" si="1"/>
        <v>8.9700000000000006</v>
      </c>
      <c r="I22" s="5"/>
      <c r="J22" t="s">
        <v>115</v>
      </c>
      <c r="K22" s="4">
        <f>IFERROR(IF(Tabela5[[#This Row],[ID da venda]]=B23,0,VLOOKUP(Tabela5[Entrega],cálculos!$C$7:$D$11,2,FALSE)),0)</f>
        <v>6.5</v>
      </c>
      <c r="L22" s="3">
        <f>Tabela5[[#This Row],[Subtotal]]*(1-Tabela5[[#This Row],[Desconto]])+Tabela5[[#This Row],[Valor de Entrega]]</f>
        <v>15.47</v>
      </c>
      <c r="M22" s="24">
        <f>IF(Tabela5[[#This Row],[ID da venda]]=B23,"",SUMIF(Tabela5[ID da venda],Tabela5[[#This Row],[ID da venda]],Tabela5[Total]))</f>
        <v>15.47</v>
      </c>
    </row>
    <row r="23" spans="2:13" x14ac:dyDescent="0.25">
      <c r="B23">
        <v>4</v>
      </c>
      <c r="C23" s="28">
        <v>42187</v>
      </c>
      <c r="D23" t="s">
        <v>35</v>
      </c>
      <c r="E23" s="23" t="str">
        <f>IFERROR(VLOOKUP(Tabela5[Produto],cálculos!$N$6:$Q$37,4,FALSE),"")</f>
        <v>Pacote</v>
      </c>
      <c r="F23">
        <v>2</v>
      </c>
      <c r="G23" s="3">
        <f>IFERROR(VLOOKUP(Tabela5[Produto],cálculos!$N$4:$Q$34,3,FALSE),0)</f>
        <v>1.99</v>
      </c>
      <c r="H23" s="4">
        <f t="shared" si="1"/>
        <v>3.98</v>
      </c>
      <c r="I23" s="5"/>
      <c r="J23" t="s">
        <v>113</v>
      </c>
      <c r="K23" s="4">
        <f>IFERROR(IF(Tabela5[[#This Row],[ID da venda]]=B24,0,VLOOKUP(Tabela5[Entrega],cálculos!$C$7:$D$11,2,FALSE)),0)</f>
        <v>0</v>
      </c>
      <c r="L23" s="3">
        <f>Tabela5[[#This Row],[Subtotal]]*(1-Tabela5[[#This Row],[Desconto]])+Tabela5[[#This Row],[Valor de Entrega]]</f>
        <v>3.98</v>
      </c>
      <c r="M23" s="24" t="str">
        <f>IF(Tabela5[[#This Row],[ID da venda]]=B24,"",SUMIF(Tabela5[ID da venda],Tabela5[[#This Row],[ID da venda]],Tabela5[Total]))</f>
        <v/>
      </c>
    </row>
    <row r="24" spans="2:13" x14ac:dyDescent="0.25">
      <c r="B24">
        <v>4</v>
      </c>
      <c r="C24" s="28">
        <v>42187</v>
      </c>
      <c r="D24" t="s">
        <v>18</v>
      </c>
      <c r="E24" s="23" t="str">
        <f>IFERROR(VLOOKUP(Tabela5[Produto],cálculos!$N$6:$Q$37,4,FALSE),"")</f>
        <v>Kg</v>
      </c>
      <c r="F24">
        <v>5</v>
      </c>
      <c r="G24" s="3">
        <f>IFERROR(VLOOKUP(Tabela5[Produto],cálculos!$N$4:$Q$34,3,FALSE),0)</f>
        <v>2.4900000000000002</v>
      </c>
      <c r="H24" s="4">
        <f t="shared" si="1"/>
        <v>12.450000000000001</v>
      </c>
      <c r="I24" s="5"/>
      <c r="J24" t="s">
        <v>113</v>
      </c>
      <c r="K24" s="4">
        <f>IFERROR(IF(Tabela5[[#This Row],[ID da venda]]=B25,0,VLOOKUP(Tabela5[Entrega],cálculos!$C$7:$D$11,2,FALSE)),0)</f>
        <v>6.5</v>
      </c>
      <c r="L24" s="3">
        <f>Tabela5[[#This Row],[Subtotal]]*(1-Tabela5[[#This Row],[Desconto]])+Tabela5[[#This Row],[Valor de Entrega]]</f>
        <v>18.950000000000003</v>
      </c>
      <c r="M24" s="24">
        <f>IF(Tabela5[[#This Row],[ID da venda]]=B25,"",SUMIF(Tabela5[ID da venda],Tabela5[[#This Row],[ID da venda]],Tabela5[Total]))</f>
        <v>22.930000000000003</v>
      </c>
    </row>
    <row r="25" spans="2:13" x14ac:dyDescent="0.25">
      <c r="B25">
        <v>3</v>
      </c>
      <c r="C25" s="28">
        <v>42187</v>
      </c>
      <c r="D25" t="s">
        <v>67</v>
      </c>
      <c r="E25" s="23" t="str">
        <f>IFERROR(VLOOKUP(Tabela5[Produto],cálculos!$N$6:$Q$37,4,FALSE),"")</f>
        <v>Litro</v>
      </c>
      <c r="F25">
        <v>6</v>
      </c>
      <c r="G25" s="3">
        <f>IFERROR(VLOOKUP(Tabela5[Produto],cálculos!$N$4:$Q$34,3,FALSE),0)</f>
        <v>1.49</v>
      </c>
      <c r="H25" s="4">
        <f t="shared" si="1"/>
        <v>8.94</v>
      </c>
      <c r="I25" s="5"/>
      <c r="J25" t="s">
        <v>114</v>
      </c>
      <c r="K25" s="4">
        <f>IFERROR(IF(Tabela5[[#This Row],[ID da venda]]=B26,0,VLOOKUP(Tabela5[Entrega],cálculos!$C$7:$D$11,2,FALSE)),0)</f>
        <v>8</v>
      </c>
      <c r="L25" s="3">
        <f>Tabela5[[#This Row],[Subtotal]]*(1-Tabela5[[#This Row],[Desconto]])+Tabela5[[#This Row],[Valor de Entrega]]</f>
        <v>16.939999999999998</v>
      </c>
      <c r="M25" s="24">
        <f>IF(Tabela5[[#This Row],[ID da venda]]=B26,"",SUMIF(Tabela5[ID da venda],Tabela5[[#This Row],[ID da venda]],Tabela5[Total]))</f>
        <v>16.939999999999998</v>
      </c>
    </row>
    <row r="26" spans="2:13" x14ac:dyDescent="0.25">
      <c r="B26">
        <v>2</v>
      </c>
      <c r="C26" s="28">
        <v>42187</v>
      </c>
      <c r="D26" t="s">
        <v>35</v>
      </c>
      <c r="E26" s="23" t="str">
        <f>IFERROR(VLOOKUP(Tabela5[Produto],cálculos!$N$6:$Q$37,4,FALSE),"")</f>
        <v>Pacote</v>
      </c>
      <c r="F26">
        <v>1</v>
      </c>
      <c r="G26" s="3">
        <f>IFERROR(VLOOKUP(Tabela5[Produto],cálculos!$N$4:$Q$34,3,FALSE),0)</f>
        <v>1.99</v>
      </c>
      <c r="H26" s="4">
        <f t="shared" si="1"/>
        <v>1.99</v>
      </c>
      <c r="I26" s="5"/>
      <c r="J26" t="s">
        <v>113</v>
      </c>
      <c r="K26" s="4">
        <f>IFERROR(IF(Tabela5[[#This Row],[ID da venda]]=B27,0,VLOOKUP(Tabela5[Entrega],cálculos!$C$7:$D$11,2,FALSE)),0)</f>
        <v>6.5</v>
      </c>
      <c r="L26" s="3">
        <f>Tabela5[[#This Row],[Subtotal]]*(1-Tabela5[[#This Row],[Desconto]])+Tabela5[[#This Row],[Valor de Entrega]]</f>
        <v>8.49</v>
      </c>
      <c r="M26" s="24">
        <f>IF(Tabela5[[#This Row],[ID da venda]]=B27,"",SUMIF(Tabela5[ID da venda],Tabela5[[#This Row],[ID da venda]],Tabela5[Total]))</f>
        <v>8.49</v>
      </c>
    </row>
    <row r="27" spans="2:13" x14ac:dyDescent="0.25">
      <c r="B27">
        <v>1</v>
      </c>
      <c r="C27" s="28">
        <v>42187</v>
      </c>
      <c r="D27" t="s">
        <v>18</v>
      </c>
      <c r="E27" s="23" t="str">
        <f>IFERROR(VLOOKUP(Tabela5[Produto],cálculos!$N$6:$Q$37,4,FALSE),"")</f>
        <v>Kg</v>
      </c>
      <c r="F27">
        <v>2</v>
      </c>
      <c r="G27" s="3">
        <f>IFERROR(VLOOKUP(Tabela5[Produto],cálculos!$N$4:$Q$34,3,FALSE),0)</f>
        <v>2.4900000000000002</v>
      </c>
      <c r="H27" s="4">
        <f t="shared" si="1"/>
        <v>4.9800000000000004</v>
      </c>
      <c r="I27" s="5"/>
      <c r="J27" t="s">
        <v>112</v>
      </c>
      <c r="K27" s="4">
        <f>IFERROR(IF(Tabela5[[#This Row],[ID da venda]]=B28,0,VLOOKUP(Tabela5[Entrega],cálculos!$C$7:$D$11,2,FALSE)),0)</f>
        <v>0</v>
      </c>
      <c r="L27" s="3">
        <f>Tabela5[[#This Row],[Subtotal]]*(1-Tabela5[[#This Row],[Desconto]])+Tabela5[[#This Row],[Valor de Entrega]]</f>
        <v>4.9800000000000004</v>
      </c>
      <c r="M27" s="24" t="str">
        <f>IF(Tabela5[[#This Row],[ID da venda]]=B28,"",SUMIF(Tabela5[ID da venda],Tabela5[[#This Row],[ID da venda]],Tabela5[Total]))</f>
        <v/>
      </c>
    </row>
    <row r="28" spans="2:13" x14ac:dyDescent="0.25">
      <c r="B28">
        <v>1</v>
      </c>
      <c r="C28" s="28">
        <v>42187</v>
      </c>
      <c r="D28" t="s">
        <v>30</v>
      </c>
      <c r="E28" s="23" t="str">
        <f>IFERROR(VLOOKUP(Tabela5[Produto],cálculos!$N$6:$Q$37,4,FALSE),"")</f>
        <v>Pacote</v>
      </c>
      <c r="F28">
        <v>3</v>
      </c>
      <c r="G28" s="3">
        <f>IFERROR(VLOOKUP(Tabela5[Produto],cálculos!$N$4:$Q$34,3,FALSE),0)</f>
        <v>1.1499999999999999</v>
      </c>
      <c r="H28" s="4">
        <f t="shared" si="1"/>
        <v>3.4499999999999997</v>
      </c>
      <c r="I28" s="5"/>
      <c r="J28" t="s">
        <v>112</v>
      </c>
      <c r="K28" s="4">
        <f>IFERROR(IF(Tabela5[[#This Row],[ID da venda]]=B29,0,VLOOKUP(Tabela5[Entrega],cálculos!$C$7:$D$11,2,FALSE)),0)</f>
        <v>0</v>
      </c>
      <c r="L28" s="3">
        <f>Tabela5[[#This Row],[Subtotal]]*(1-Tabela5[[#This Row],[Desconto]])+Tabela5[[#This Row],[Valor de Entrega]]</f>
        <v>3.4499999999999997</v>
      </c>
      <c r="M28" s="24" t="str">
        <f>IF(Tabela5[[#This Row],[ID da venda]]=B29,"",SUMIF(Tabela5[ID da venda],Tabela5[[#This Row],[ID da venda]],Tabela5[Total]))</f>
        <v/>
      </c>
    </row>
    <row r="29" spans="2:13" x14ac:dyDescent="0.25">
      <c r="B29">
        <v>1</v>
      </c>
      <c r="C29" s="28">
        <v>42187</v>
      </c>
      <c r="D29" t="s">
        <v>35</v>
      </c>
      <c r="E29" s="23" t="str">
        <f>IFERROR(VLOOKUP(Tabela5[Produto],cálculos!$N$6:$Q$37,4,FALSE),"")</f>
        <v>Pacote</v>
      </c>
      <c r="F29">
        <v>1</v>
      </c>
      <c r="G29" s="3">
        <f>IFERROR(VLOOKUP(Tabela5[Produto],cálculos!$N$4:$Q$34,3,FALSE),0)</f>
        <v>1.99</v>
      </c>
      <c r="H29" s="4">
        <f t="shared" si="1"/>
        <v>1.99</v>
      </c>
      <c r="I29" s="5"/>
      <c r="J29" t="s">
        <v>112</v>
      </c>
      <c r="K29" s="4">
        <f>IFERROR(IF(Tabela5[[#This Row],[ID da venda]]=B30,0,VLOOKUP(Tabela5[Entrega],cálculos!$C$7:$D$11,2,FALSE)),0)</f>
        <v>0</v>
      </c>
      <c r="L29" s="3">
        <f>Tabela5[[#This Row],[Subtotal]]*(1-Tabela5[[#This Row],[Desconto]])+Tabela5[[#This Row],[Valor de Entrega]]</f>
        <v>1.99</v>
      </c>
      <c r="M29" s="24">
        <f>IF(Tabela5[[#This Row],[ID da venda]]=B30,"",SUMIF(Tabela5[ID da venda],Tabela5[[#This Row],[ID da venda]],Tabela5[Total]))</f>
        <v>10.42</v>
      </c>
    </row>
    <row r="31" spans="2:13" ht="21" x14ac:dyDescent="0.35">
      <c r="B31" s="26" t="s">
        <v>116</v>
      </c>
      <c r="C31" s="26"/>
      <c r="D31" s="26"/>
      <c r="E31" s="27"/>
      <c r="F31" s="27"/>
      <c r="G31" s="27"/>
      <c r="H31" s="27"/>
      <c r="I31" s="27"/>
      <c r="J31" s="27"/>
      <c r="K31" s="27"/>
      <c r="L31" s="27"/>
      <c r="M31" s="27">
        <f>SUM(Tabela5[Total])</f>
        <v>670.84630000000016</v>
      </c>
    </row>
    <row r="32" spans="2:13" ht="21" x14ac:dyDescent="0.35">
      <c r="B32" s="26" t="s">
        <v>117</v>
      </c>
      <c r="C32" s="26"/>
      <c r="D32" s="26"/>
      <c r="E32" s="27"/>
      <c r="F32" s="27"/>
      <c r="G32" s="27"/>
      <c r="H32" s="27"/>
      <c r="I32" s="27"/>
      <c r="J32" s="27"/>
      <c r="K32" s="27"/>
      <c r="L32" s="27"/>
      <c r="M32" s="27">
        <f>SUM(Tabela5[Valor de Entrega])</f>
        <v>40.5</v>
      </c>
    </row>
    <row r="33" spans="2:13" ht="21" x14ac:dyDescent="0.35">
      <c r="B33" s="26" t="s">
        <v>133</v>
      </c>
      <c r="C33" s="26"/>
      <c r="D33" s="26"/>
      <c r="E33" s="27"/>
      <c r="F33" s="27"/>
      <c r="G33" s="27"/>
      <c r="H33" s="27"/>
      <c r="I33" s="27"/>
      <c r="J33" s="27"/>
      <c r="K33" s="27"/>
      <c r="L33" s="27"/>
      <c r="M33" s="59">
        <f>SUM(IF(FREQUENCY(Tabela5[ID da venda],Tabela5[ID da venda])&gt;0,1,0))</f>
        <v>13</v>
      </c>
    </row>
    <row r="35" spans="2:13" x14ac:dyDescent="0.25">
      <c r="F35" s="2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[1]cálculos!#REF!</xm:f>
          </x14:formula1>
          <xm:sqref>D5:D29</xm:sqref>
        </x14:dataValidation>
        <x14:dataValidation type="list" allowBlank="1" showInputMessage="1" showErrorMessage="1">
          <x14:formula1>
            <xm:f>[1]cálculos!#REF!</xm:f>
          </x14:formula1>
          <xm:sqref>J5:J29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showGridLines="0" workbookViewId="0">
      <selection activeCell="D11" sqref="D11"/>
    </sheetView>
  </sheetViews>
  <sheetFormatPr defaultRowHeight="15" x14ac:dyDescent="0.25"/>
  <cols>
    <col min="1" max="1" width="19.42578125" bestFit="1" customWidth="1"/>
    <col min="2" max="2" width="19.7109375" bestFit="1" customWidth="1"/>
    <col min="3" max="3" width="13.5703125" bestFit="1" customWidth="1"/>
    <col min="6" max="6" width="18" bestFit="1" customWidth="1"/>
    <col min="7" max="7" width="19.7109375" bestFit="1" customWidth="1"/>
    <col min="8" max="8" width="24" bestFit="1" customWidth="1"/>
    <col min="9" max="9" width="13.5703125" bestFit="1" customWidth="1"/>
  </cols>
  <sheetData>
    <row r="3" spans="1:9" x14ac:dyDescent="0.25">
      <c r="A3" s="72" t="s">
        <v>149</v>
      </c>
      <c r="B3" t="s">
        <v>151</v>
      </c>
      <c r="C3" t="s">
        <v>152</v>
      </c>
      <c r="F3" s="72" t="s">
        <v>149</v>
      </c>
      <c r="G3" t="s">
        <v>151</v>
      </c>
      <c r="H3" t="s">
        <v>153</v>
      </c>
      <c r="I3" t="s">
        <v>152</v>
      </c>
    </row>
    <row r="4" spans="1:9" x14ac:dyDescent="0.25">
      <c r="A4" s="73">
        <v>42187</v>
      </c>
      <c r="B4" s="23">
        <v>23</v>
      </c>
      <c r="C4" s="74">
        <v>74.25</v>
      </c>
      <c r="F4" s="76" t="s">
        <v>112</v>
      </c>
      <c r="G4" s="23">
        <v>79.5</v>
      </c>
      <c r="H4" s="74">
        <v>0</v>
      </c>
      <c r="I4" s="74">
        <v>326.39000000000004</v>
      </c>
    </row>
    <row r="5" spans="1:9" x14ac:dyDescent="0.25">
      <c r="A5" s="75" t="s">
        <v>21</v>
      </c>
      <c r="B5" s="23">
        <v>3</v>
      </c>
      <c r="C5" s="74">
        <v>15.47</v>
      </c>
      <c r="F5" s="76" t="s">
        <v>113</v>
      </c>
      <c r="G5" s="23">
        <v>8</v>
      </c>
      <c r="H5" s="74">
        <v>13</v>
      </c>
      <c r="I5" s="74">
        <v>31.42</v>
      </c>
    </row>
    <row r="6" spans="1:9" x14ac:dyDescent="0.25">
      <c r="A6" s="75" t="s">
        <v>30</v>
      </c>
      <c r="B6" s="23">
        <v>3</v>
      </c>
      <c r="C6" s="74">
        <v>3.4499999999999997</v>
      </c>
      <c r="F6" s="76" t="s">
        <v>114</v>
      </c>
      <c r="G6" s="23">
        <v>6</v>
      </c>
      <c r="H6" s="74">
        <v>8</v>
      </c>
      <c r="I6" s="74">
        <v>16.939999999999998</v>
      </c>
    </row>
    <row r="7" spans="1:9" x14ac:dyDescent="0.25">
      <c r="A7" s="75" t="s">
        <v>18</v>
      </c>
      <c r="B7" s="23">
        <v>7</v>
      </c>
      <c r="C7" s="74">
        <v>23.930000000000003</v>
      </c>
      <c r="F7" s="76" t="s">
        <v>115</v>
      </c>
      <c r="G7" s="23">
        <v>68</v>
      </c>
      <c r="H7" s="74">
        <v>19.5</v>
      </c>
      <c r="I7" s="74">
        <v>296.09630000000004</v>
      </c>
    </row>
    <row r="8" spans="1:9" x14ac:dyDescent="0.25">
      <c r="A8" s="75" t="s">
        <v>35</v>
      </c>
      <c r="B8" s="23">
        <v>4</v>
      </c>
      <c r="C8" s="74">
        <v>14.46</v>
      </c>
      <c r="F8" s="76" t="s">
        <v>150</v>
      </c>
      <c r="G8" s="23">
        <v>161.5</v>
      </c>
      <c r="H8" s="74">
        <v>40.5</v>
      </c>
      <c r="I8" s="74">
        <v>670.84630000000016</v>
      </c>
    </row>
    <row r="9" spans="1:9" x14ac:dyDescent="0.25">
      <c r="A9" s="75" t="s">
        <v>67</v>
      </c>
      <c r="B9" s="23">
        <v>6</v>
      </c>
      <c r="C9" s="74">
        <v>16.939999999999998</v>
      </c>
    </row>
    <row r="10" spans="1:9" x14ac:dyDescent="0.25">
      <c r="A10" s="73">
        <v>42188</v>
      </c>
      <c r="B10" s="23">
        <v>72.5</v>
      </c>
      <c r="C10" s="74">
        <v>306.94</v>
      </c>
    </row>
    <row r="11" spans="1:9" x14ac:dyDescent="0.25">
      <c r="A11" s="75" t="s">
        <v>34</v>
      </c>
      <c r="B11" s="23">
        <v>2</v>
      </c>
      <c r="C11" s="74">
        <v>1.58</v>
      </c>
    </row>
    <row r="12" spans="1:9" x14ac:dyDescent="0.25">
      <c r="A12" s="75" t="s">
        <v>22</v>
      </c>
      <c r="B12" s="23">
        <v>6</v>
      </c>
      <c r="C12" s="74">
        <v>95.4</v>
      </c>
    </row>
    <row r="13" spans="1:9" x14ac:dyDescent="0.25">
      <c r="A13" s="75" t="s">
        <v>31</v>
      </c>
      <c r="B13" s="23">
        <v>52</v>
      </c>
      <c r="C13" s="74">
        <v>120.38</v>
      </c>
    </row>
    <row r="14" spans="1:9" x14ac:dyDescent="0.25">
      <c r="A14" s="75" t="s">
        <v>19</v>
      </c>
      <c r="B14" s="23">
        <v>4</v>
      </c>
      <c r="C14" s="74">
        <v>17.12</v>
      </c>
    </row>
    <row r="15" spans="1:9" x14ac:dyDescent="0.25">
      <c r="A15" s="75" t="s">
        <v>72</v>
      </c>
      <c r="B15" s="23">
        <v>5</v>
      </c>
      <c r="C15" s="74">
        <v>14.450000000000001</v>
      </c>
    </row>
    <row r="16" spans="1:9" x14ac:dyDescent="0.25">
      <c r="A16" s="75" t="s">
        <v>25</v>
      </c>
      <c r="B16" s="23">
        <v>1.5</v>
      </c>
      <c r="C16" s="74">
        <v>38.849999999999994</v>
      </c>
    </row>
    <row r="17" spans="1:3" x14ac:dyDescent="0.25">
      <c r="A17" s="75" t="s">
        <v>29</v>
      </c>
      <c r="B17" s="23">
        <v>2</v>
      </c>
      <c r="C17" s="74">
        <v>19.16</v>
      </c>
    </row>
    <row r="18" spans="1:3" x14ac:dyDescent="0.25">
      <c r="A18" s="73">
        <v>42189</v>
      </c>
      <c r="B18" s="23">
        <v>21</v>
      </c>
      <c r="C18" s="74">
        <v>59.33</v>
      </c>
    </row>
    <row r="19" spans="1:3" x14ac:dyDescent="0.25">
      <c r="A19" s="75" t="s">
        <v>31</v>
      </c>
      <c r="B19" s="23">
        <v>11</v>
      </c>
      <c r="C19" s="74">
        <v>24.09</v>
      </c>
    </row>
    <row r="20" spans="1:3" x14ac:dyDescent="0.25">
      <c r="A20" s="75" t="s">
        <v>19</v>
      </c>
      <c r="B20" s="23">
        <v>6</v>
      </c>
      <c r="C20" s="74">
        <v>25.68</v>
      </c>
    </row>
    <row r="21" spans="1:3" x14ac:dyDescent="0.25">
      <c r="A21" s="75" t="s">
        <v>73</v>
      </c>
      <c r="B21" s="23">
        <v>4</v>
      </c>
      <c r="C21" s="74">
        <v>9.56</v>
      </c>
    </row>
    <row r="22" spans="1:3" x14ac:dyDescent="0.25">
      <c r="A22" s="73">
        <v>42190</v>
      </c>
      <c r="B22" s="23">
        <v>45</v>
      </c>
      <c r="C22" s="74">
        <v>230.3263</v>
      </c>
    </row>
    <row r="23" spans="1:3" x14ac:dyDescent="0.25">
      <c r="A23" s="75" t="s">
        <v>30</v>
      </c>
      <c r="B23" s="23">
        <v>10</v>
      </c>
      <c r="C23" s="74">
        <v>11.5</v>
      </c>
    </row>
    <row r="24" spans="1:3" x14ac:dyDescent="0.25">
      <c r="A24" s="75" t="s">
        <v>34</v>
      </c>
      <c r="B24" s="23">
        <v>1</v>
      </c>
      <c r="C24" s="74">
        <v>0.76629999999999998</v>
      </c>
    </row>
    <row r="25" spans="1:3" x14ac:dyDescent="0.25">
      <c r="A25" s="75" t="s">
        <v>22</v>
      </c>
      <c r="B25" s="23">
        <v>10</v>
      </c>
      <c r="C25" s="74">
        <v>159</v>
      </c>
    </row>
    <row r="26" spans="1:3" x14ac:dyDescent="0.25">
      <c r="A26" s="75" t="s">
        <v>31</v>
      </c>
      <c r="B26" s="23">
        <v>24</v>
      </c>
      <c r="C26" s="74">
        <v>59.06</v>
      </c>
    </row>
    <row r="27" spans="1:3" x14ac:dyDescent="0.25">
      <c r="A27" s="73" t="s">
        <v>150</v>
      </c>
      <c r="B27" s="23">
        <v>161.5</v>
      </c>
      <c r="C27" s="74">
        <v>670.84629999999993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Menu</vt:lpstr>
      <vt:lpstr>Despesas</vt:lpstr>
      <vt:lpstr>Compras Mercadorias</vt:lpstr>
      <vt:lpstr>Investimentos</vt:lpstr>
      <vt:lpstr>Controle de Estoque</vt:lpstr>
      <vt:lpstr>Resultados</vt:lpstr>
      <vt:lpstr>Vendas</vt:lpstr>
      <vt:lpstr>Semana 1</vt:lpstr>
      <vt:lpstr>Analise Semana 1</vt:lpstr>
      <vt:lpstr>Semana 2</vt:lpstr>
      <vt:lpstr>Semana 3</vt:lpstr>
      <vt:lpstr>Semana 4</vt:lpstr>
      <vt:lpstr>Semana 5</vt:lpstr>
      <vt:lpstr>cálculos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Cliente</cp:lastModifiedBy>
  <dcterms:created xsi:type="dcterms:W3CDTF">2015-06-24T19:21:22Z</dcterms:created>
  <dcterms:modified xsi:type="dcterms:W3CDTF">2020-03-15T19:37:40Z</dcterms:modified>
</cp:coreProperties>
</file>