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AS 2023\ADS-III\ESTATISTICA-APLICADA\"/>
    </mc:Choice>
  </mc:AlternateContent>
  <xr:revisionPtr revIDLastSave="0" documentId="13_ncr:1_{80D0113E-DA34-49D2-A3C5-DDF9BE90ABAF}" xr6:coauthVersionLast="47" xr6:coauthVersionMax="47" xr10:uidLastSave="{00000000-0000-0000-0000-000000000000}"/>
  <bookViews>
    <workbookView xWindow="-120" yWindow="-120" windowWidth="28110" windowHeight="16440" tabRatio="500" activeTab="13" xr2:uid="{00000000-000D-0000-FFFF-FFFF00000000}"/>
  </bookViews>
  <sheets>
    <sheet name="Ex01" sheetId="1" r:id="rId1"/>
    <sheet name="Ex02" sheetId="2" r:id="rId2"/>
    <sheet name="Ex03" sheetId="3" r:id="rId3"/>
    <sheet name="Ex04" sheetId="8" r:id="rId4"/>
    <sheet name="Ex05" sheetId="9" r:id="rId5"/>
    <sheet name="Ex06" sheetId="10" r:id="rId6"/>
    <sheet name="Ex07" sheetId="11" r:id="rId7"/>
    <sheet name="Ex08" sheetId="4" r:id="rId8"/>
    <sheet name="Ex09" sheetId="12" r:id="rId9"/>
    <sheet name="Ex10" sheetId="5" r:id="rId10"/>
    <sheet name="Ex11" sheetId="13" r:id="rId11"/>
    <sheet name="Ex12" sheetId="6" r:id="rId12"/>
    <sheet name="Ex13" sheetId="7" r:id="rId13"/>
    <sheet name="Ex14" sheetId="14" r:id="rId1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7" l="1"/>
  <c r="E12" i="6"/>
  <c r="C16" i="6"/>
  <c r="C13" i="6"/>
  <c r="C14" i="6"/>
  <c r="C15" i="6"/>
  <c r="C11" i="6"/>
  <c r="C12" i="6"/>
  <c r="N16" i="13"/>
  <c r="M16" i="13"/>
  <c r="L16" i="13"/>
  <c r="K16" i="13"/>
  <c r="J16" i="13"/>
  <c r="D17" i="5"/>
  <c r="D16" i="5"/>
  <c r="D15" i="5"/>
  <c r="D14" i="5"/>
  <c r="D13" i="5"/>
  <c r="D12" i="5"/>
  <c r="D18" i="5" s="1"/>
  <c r="D10" i="4"/>
  <c r="D11" i="4"/>
  <c r="D12" i="4" s="1"/>
  <c r="D13" i="4" s="1"/>
  <c r="D14" i="4" s="1"/>
  <c r="D15" i="4" s="1"/>
  <c r="D16" i="4" s="1"/>
  <c r="D17" i="4" s="1"/>
  <c r="D9" i="4"/>
  <c r="C9" i="4"/>
  <c r="C10" i="4"/>
  <c r="C11" i="4"/>
  <c r="C12" i="4"/>
  <c r="C13" i="4"/>
  <c r="C14" i="4"/>
  <c r="C15" i="4"/>
  <c r="C16" i="4"/>
  <c r="C17" i="4"/>
  <c r="C8" i="4"/>
  <c r="M20" i="11"/>
  <c r="M21" i="11"/>
  <c r="M22" i="11"/>
  <c r="M23" i="11"/>
  <c r="M19" i="11"/>
  <c r="G18" i="10"/>
  <c r="F17" i="10"/>
  <c r="G15" i="8"/>
  <c r="D20" i="8"/>
  <c r="D16" i="8"/>
  <c r="D17" i="8"/>
  <c r="D18" i="8"/>
  <c r="D19" i="8"/>
  <c r="C20" i="8"/>
  <c r="F31" i="2"/>
  <c r="J31" i="2"/>
  <c r="D31" i="2"/>
  <c r="H31" i="2"/>
  <c r="H17" i="7"/>
  <c r="H16" i="7"/>
  <c r="B16" i="6"/>
  <c r="B18" i="4"/>
  <c r="C17" i="3"/>
  <c r="D18" i="3" s="1"/>
  <c r="L17" i="1"/>
  <c r="L16" i="1"/>
  <c r="L15" i="1"/>
  <c r="L14" i="1"/>
  <c r="L13" i="1"/>
  <c r="M12" i="1"/>
  <c r="L12" i="1"/>
  <c r="L11" i="1"/>
  <c r="L10" i="1"/>
  <c r="L9" i="1"/>
  <c r="L8" i="1"/>
  <c r="L7" i="1"/>
  <c r="D7" i="1"/>
  <c r="M17" i="1" s="1"/>
  <c r="L6" i="1"/>
  <c r="E6" i="1"/>
  <c r="E7" i="1" s="1"/>
  <c r="D8" i="1" s="1"/>
  <c r="M5" i="1"/>
  <c r="L5" i="1"/>
  <c r="E5" i="1"/>
  <c r="L4" i="1"/>
  <c r="E4" i="1"/>
  <c r="L3" i="1"/>
  <c r="E3" i="1"/>
  <c r="G4" i="1" l="1"/>
  <c r="H4" i="1" s="1"/>
  <c r="I4" i="1" s="1"/>
  <c r="F3" i="1"/>
  <c r="G5" i="1"/>
  <c r="H5" i="1" s="1"/>
  <c r="I5" i="1" s="1"/>
  <c r="F4" i="1"/>
  <c r="G6" i="1"/>
  <c r="H6" i="1" s="1"/>
  <c r="I6" i="1" s="1"/>
  <c r="F5" i="1"/>
  <c r="G3" i="1"/>
  <c r="H3" i="1" s="1"/>
  <c r="F6" i="1"/>
  <c r="M15" i="1"/>
  <c r="M11" i="1"/>
  <c r="M8" i="1"/>
  <c r="M4" i="1"/>
  <c r="M14" i="1"/>
  <c r="M3" i="1"/>
  <c r="M9" i="1"/>
  <c r="M10" i="1"/>
  <c r="M16" i="1"/>
  <c r="M7" i="1"/>
  <c r="M13" i="1"/>
  <c r="M6" i="1"/>
  <c r="H7" i="1" l="1"/>
  <c r="I3" i="1"/>
  <c r="I7" i="1" s="1"/>
  <c r="F7" i="1"/>
  <c r="D11" i="1" s="1"/>
  <c r="D14" i="1" l="1"/>
  <c r="D12" i="1"/>
  <c r="D13" i="1"/>
</calcChain>
</file>

<file path=xl/sharedStrings.xml><?xml version="1.0" encoding="utf-8"?>
<sst xmlns="http://schemas.openxmlformats.org/spreadsheetml/2006/main" count="249" uniqueCount="202">
  <si>
    <t>xi</t>
  </si>
  <si>
    <t>Notas</t>
  </si>
  <si>
    <t>fi de alunos</t>
  </si>
  <si>
    <t>xi*fi</t>
  </si>
  <si>
    <t>(Xi-xm)*fi</t>
  </si>
  <si>
    <t>(Xi-xm)</t>
  </si>
  <si>
    <t>(Xi-xm)²</t>
  </si>
  <si>
    <t>(Xi-xm)²*fi</t>
  </si>
  <si>
    <t>Média</t>
  </si>
  <si>
    <t>Erro padrão</t>
  </si>
  <si>
    <t>Modo</t>
  </si>
  <si>
    <t>Mediana</t>
  </si>
  <si>
    <t>n=</t>
  </si>
  <si>
    <t>Primeiro quartil</t>
  </si>
  <si>
    <t>media=</t>
  </si>
  <si>
    <t>Terceiro quartil</t>
  </si>
  <si>
    <t>mediana=</t>
  </si>
  <si>
    <t>Variância</t>
  </si>
  <si>
    <t>moda=</t>
  </si>
  <si>
    <t>Desvio padrão</t>
  </si>
  <si>
    <t>dms=</t>
  </si>
  <si>
    <t>Curtose</t>
  </si>
  <si>
    <t>desPadPop=</t>
  </si>
  <si>
    <t>Inclinação</t>
  </si>
  <si>
    <t>desPadAm=</t>
  </si>
  <si>
    <t>Intervalo</t>
  </si>
  <si>
    <t>var=</t>
  </si>
  <si>
    <t>Mínimo</t>
  </si>
  <si>
    <t>a)</t>
  </si>
  <si>
    <t>sim</t>
  </si>
  <si>
    <t>Máximo</t>
  </si>
  <si>
    <t>b)</t>
  </si>
  <si>
    <t>não</t>
  </si>
  <si>
    <t>Soma</t>
  </si>
  <si>
    <t>c)</t>
  </si>
  <si>
    <t>Contagem</t>
  </si>
  <si>
    <t>d)</t>
  </si>
  <si>
    <t>2)</t>
  </si>
  <si>
    <t>3)</t>
  </si>
  <si>
    <t>RESPOSTA LETRA C</t>
  </si>
  <si>
    <t>mês</t>
  </si>
  <si>
    <t>n de equip com defeito</t>
  </si>
  <si>
    <t>firel</t>
  </si>
  <si>
    <t>Fi</t>
  </si>
  <si>
    <t>curso</t>
  </si>
  <si>
    <t>n de vagas oferecidas</t>
  </si>
  <si>
    <t>n de candidatos por vaga</t>
  </si>
  <si>
    <t>fi</t>
  </si>
  <si>
    <t>adm</t>
  </si>
  <si>
    <t>ciencias contabeis</t>
  </si>
  <si>
    <t>eng eletria</t>
  </si>
  <si>
    <t>historia</t>
  </si>
  <si>
    <t>letras</t>
  </si>
  <si>
    <t>pedagogia</t>
  </si>
  <si>
    <t>n de interrupções</t>
  </si>
  <si>
    <t>n de dias</t>
  </si>
  <si>
    <t xml:space="preserve">moda= </t>
  </si>
  <si>
    <t>total</t>
  </si>
  <si>
    <t>petroleo e gas</t>
  </si>
  <si>
    <t>construção civil</t>
  </si>
  <si>
    <t>Turismo</t>
  </si>
  <si>
    <t>energia</t>
  </si>
  <si>
    <t>varejo</t>
  </si>
  <si>
    <t>petroleo e gas + Turismo</t>
  </si>
  <si>
    <t>30+15</t>
  </si>
  <si>
    <t>x</t>
  </si>
  <si>
    <t>Os gráficos abaixo ilustram o número de casos confirmados de dengue nos municípios A e B, nos anos de 2017 a 2021.</t>
  </si>
  <si>
    <t xml:space="preserve">Com base na análise e interpretação dos gráficos, assinale a alternativa INCORRETA. 
Para analisar as alternativas, considere:
  O número de casos confirmados de dengue no município A em 2022  
  O número de casos confirmados de dengue no município B em 2022. </t>
  </si>
  <si>
    <t xml:space="preserve">a) Se considerarmos que   então a média anual de casos confirmados de dengue no município A será igual à média anual de casos confirmados de dengue no município B, no período de 2017 a 2022.   </t>
  </si>
  <si>
    <t xml:space="preserve">b) A média anual de casos confirmados de dengue no município A é, aproximadamente, 21,95% superior à média anual de casos confirmados de dengue no município B, no período de 2017 a 2021.   </t>
  </si>
  <si>
    <t xml:space="preserve">c) No município B, o ano de 2019 apresentou um aumento de 150% em relação ao ano de 2018, no que diz respeito ao número de casos confirmados de dengue.   </t>
  </si>
  <si>
    <t xml:space="preserve">d) No município A nos anos de 2019 e 2021, o número de casos confirmados de dengue está acima da média calculada para o município A, no período de 2017 a 2021, e no município B, nos anos de 2017, 2018 e 2019, o número de casos confirmados de dengue está abaixo da média calculada para o município B, no período de 2017 a 2021.    </t>
  </si>
  <si>
    <t xml:space="preserve">e) Se considerarmos que   e   então a média anual de casos confirmados de dengue no município B será maior que a média anual de casos confirmados de dengue no município A, no período de 2017 a 2022.   </t>
  </si>
  <si>
    <t>ano</t>
  </si>
  <si>
    <t>casos</t>
  </si>
  <si>
    <t>mun A</t>
  </si>
  <si>
    <t>mun B</t>
  </si>
  <si>
    <t xml:space="preserve">media= </t>
  </si>
  <si>
    <t>Alternativa A</t>
  </si>
  <si>
    <r>
      <t>]</t>
    </r>
    <r>
      <rPr>
        <b/>
        <sz val="10"/>
        <color rgb="FF000000"/>
        <rFont val="Arial"/>
        <family val="2"/>
      </rPr>
      <t>.</t>
    </r>
    <r>
      <rPr>
        <sz val="10"/>
        <color rgb="FF000000"/>
        <rFont val="Arial"/>
        <family val="2"/>
      </rPr>
      <t xml:space="preserve">   As notas obtidas por 10 alunos foram registradas no gráfico:</t>
    </r>
  </si>
  <si>
    <t xml:space="preserve">Em relação às notas obtidas pelos alunos, a média, a moda e a mediana são, respectivamente, </t>
  </si>
  <si>
    <t xml:space="preserve">a) 8; 6; 7.   </t>
  </si>
  <si>
    <t xml:space="preserve">b) 7,1; 7; 8.   </t>
  </si>
  <si>
    <t xml:space="preserve">c) 8; 7,1; 7.   </t>
  </si>
  <si>
    <t xml:space="preserve">d) 7; 6; 7.   </t>
  </si>
  <si>
    <t xml:space="preserve">e) 7,1; 6; 7.   </t>
  </si>
  <si>
    <t>n</t>
  </si>
  <si>
    <t>Alternativa e</t>
  </si>
  <si>
    <t>Tabela – Estatística Descritiva das Dimensões do EAP</t>
  </si>
  <si>
    <t>Dimensões do EAP</t>
  </si>
  <si>
    <t xml:space="preserve">Mínimo </t>
  </si>
  <si>
    <t xml:space="preserve">Máximo </t>
  </si>
  <si>
    <t xml:space="preserve">Média </t>
  </si>
  <si>
    <t xml:space="preserve">Desvio padrão </t>
  </si>
  <si>
    <t>Ciências Exatas</t>
  </si>
  <si>
    <t>Artes e Comunicação</t>
  </si>
  <si>
    <t>Ciências Biológicas e da Saúde</t>
  </si>
  <si>
    <t>Ciências Agrárias e Ambientais</t>
  </si>
  <si>
    <t>Atividades Burocráticas</t>
  </si>
  <si>
    <t>Ciências Humanas e Sociais Aplicadas</t>
  </si>
  <si>
    <t>Entretenimento</t>
  </si>
  <si>
    <t xml:space="preserve">   A Orientação Profissional (OP) tem, dentre seus objetivos, promover a reflexão sobre possíveis carreiras para um indivíduo.
Entre os instrumentos utilizados pela OP, está a Escala de Aconselhamento Profissional (EAP) que parte do pressuposto de que as profissões são escolhidas em função das preferências das pessoas em relação a diferentes situações.
Essa escala está organizada em sete dimensões, como mostrado na tabela.</t>
  </si>
  <si>
    <t xml:space="preserve">a) As preferências dos entrevistados, em relação à dimensão Atividades Burocráticas, são as mais dispersas em torno da média.   </t>
  </si>
  <si>
    <t xml:space="preserve">b) Apesar de as médias serem diferentes, as preferências dos entrevistados são mais homogêneas em relação à dimensão Atividades Burocráticas do que à dimensão Artes e Comunicação.   </t>
  </si>
  <si>
    <t xml:space="preserve">c) As preferências dos entrevistados, em relação às dimensões Ciências Exatas e Ciências Biológicas e da Saúde, têm o mesmo nível de heterogeneidade, visto que possuem a mesma amplitude.   </t>
  </si>
  <si>
    <t xml:space="preserve">d) Apesar de as médias serem diferentes, as preferências dos entrevistados são mais homogêneas em relação à dimensão Ciências Exatas do que à dimensão Artes e Comunicação.   </t>
  </si>
  <si>
    <t xml:space="preserve">e) As preferências dos entrevistados, em relação à dimensão Ciências Biológicas e da Saúde, são as menos dispersas em torno da média.   </t>
  </si>
  <si>
    <t xml:space="preserve"> =errado, pois a atividades burocraticas tem o menor desvio padrão dentre todas as dimensões</t>
  </si>
  <si>
    <t xml:space="preserve"> = certo pq o desvio é menor das atividades burocratica tornando-a mais homogenea</t>
  </si>
  <si>
    <t xml:space="preserve">A despesa mensal de uma família foi de R$ 6.240,00 durante os primeiros 3 meses, R$ 6.780,00 durante os próximos 4 meses e R$ 7.236,00 durante os últimos 5 meses de um ano. Se a economia total durante o ano foi de R$ 7.080,00, qual foi a renda média mensal da família? </t>
  </si>
  <si>
    <t>jan</t>
  </si>
  <si>
    <t>meses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</si>
  <si>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</si>
  <si>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</si>
  <si>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</si>
  <si>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</si>
  <si>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</si>
  <si>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</si>
  <si>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</si>
  <si>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</si>
  <si>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</si>
  <si>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</si>
  <si>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</si>
  <si>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despesas</t>
  </si>
  <si>
    <t>No período de 2005 a 2013, o valor de venda dos imóveis em uma cidade apresentou alta, o, que resultou no aumento dos aluguéis. Os gráficos apresentam a evolução desses valores, para um mesmo imóvel, no mercado imobiliário dessa cidade.</t>
  </si>
  <si>
    <t>A rentabilidade do aluguel de um imóvel é calculada pela razão entre o valor mensal de aluguel e o valor de mercado desse imóvel.</t>
  </si>
  <si>
    <t xml:space="preserve">Com base nos dados fornecidos, em que ano a rentabilidade do aluguel foi maior? </t>
  </si>
  <si>
    <t xml:space="preserve">a) 2005   </t>
  </si>
  <si>
    <t xml:space="preserve">b) 2007   </t>
  </si>
  <si>
    <t xml:space="preserve">c) 2009   </t>
  </si>
  <si>
    <t xml:space="preserve">d) 2011   </t>
  </si>
  <si>
    <t xml:space="preserve">e) 2013   </t>
  </si>
  <si>
    <t xml:space="preserve"> </t>
  </si>
  <si>
    <t>anos</t>
  </si>
  <si>
    <t>valor de mercado</t>
  </si>
  <si>
    <t>valor do aluguel</t>
  </si>
  <si>
    <t>rentab</t>
  </si>
  <si>
    <t>alternativa D</t>
  </si>
  <si>
    <t>alternativa B</t>
  </si>
  <si>
    <t>alternativa C</t>
  </si>
  <si>
    <t>Uma empresa produz um equipamento para aquecimento de banheiras de hidromassagem.
Por meio de uma amostra representativa de seus produtos, registrou em um quadro a quantidade desses equipamentos que apresentaram algum defeito e em quanto tempo isso ocorreu.</t>
  </si>
  <si>
    <t>Essa empresa pretende estabelecer um tempo de garantia para esse equipamento, trocando-o caso não dure o tempo de garantia estabelecido. No entanto, a empresa não deseja trocar mais do que 3% dos equipamentos.</t>
  </si>
  <si>
    <t xml:space="preserve">Com base nessas informações, o tempo de garantia deve ser de </t>
  </si>
  <si>
    <t xml:space="preserve">a) 3 meses.   </t>
  </si>
  <si>
    <t xml:space="preserve">b) 6 meses.   </t>
  </si>
  <si>
    <t xml:space="preserve">c) 12 meses.   </t>
  </si>
  <si>
    <t xml:space="preserve">d) 20 meses.   </t>
  </si>
  <si>
    <t xml:space="preserve">e) 24 meses.   </t>
  </si>
  <si>
    <t>firel=fi*100%/n</t>
  </si>
  <si>
    <t>alternativa A</t>
  </si>
  <si>
    <t>].   O Índice Nacional de Preços ao Consumidor Amplo (IPCA) é um índice oficial de inflação do Brasil usado pelo Governo Federal. O objetivo do IPCA é medir a inflação de um conjunto de produtos e serviços comercializados no varejo, tais como transporte, educação, alimentação e outros. Ele serve de referência para as metas de inflação e para as alterações na taxa de juros.</t>
  </si>
  <si>
    <t xml:space="preserve">De acordo com as informações do gráfico e analisando as variações em períodos mensais, é correto afirmar que houve </t>
  </si>
  <si>
    <t xml:space="preserve">a) mais decrescimento que crescimento do IPCA.   </t>
  </si>
  <si>
    <t xml:space="preserve">b) crescimento do IPCA em, exatamente, 7 períodos.   </t>
  </si>
  <si>
    <t xml:space="preserve">c) crescimento do IPCA maior que 1% em pelo menos um período.   </t>
  </si>
  <si>
    <t xml:space="preserve">d) apenas, períodos de crescimento ou de decrescimento da taxa percentual do IPCA.   </t>
  </si>
  <si>
    <t>inflação</t>
  </si>
  <si>
    <t>crescimento</t>
  </si>
  <si>
    <t>decrescimento</t>
  </si>
  <si>
    <t>Uma instituição de ensino superior ofereceu vagas em um processo seletivo de acesso a seus cursos. Finalizadas as inscrições, foi divulgada a relação do número de candidatos por vaga em cada um dos cursos oferecidos. Esses dados são apresentados no quadro.</t>
  </si>
  <si>
    <t xml:space="preserve">Qual foi o número total de candidatos inscritos nesse processo seletivo? </t>
  </si>
  <si>
    <t xml:space="preserve">a) 200   </t>
  </si>
  <si>
    <t xml:space="preserve">b) 400   </t>
  </si>
  <si>
    <t xml:space="preserve">c) 1.200   </t>
  </si>
  <si>
    <t xml:space="preserve">d) 1.235   </t>
  </si>
  <si>
    <t xml:space="preserve">e) 7.200   </t>
  </si>
  <si>
    <t>O gráfico a seguir mostra como está a comercialização antecipada de soja na safra 2020/2021. Em dígitos pretos, estão sinalizados os volumes totais de produção projetados pela consultoria Safras &amp; Mercado para cada estado em milhões de toneladas.</t>
  </si>
  <si>
    <t xml:space="preserve">Observa-se que o total estimado da produção em Mato Grosso é, aproximadamente </t>
  </si>
  <si>
    <t xml:space="preserve">a) cinco vezes maior que o valor da produção estimada da Bahia.   </t>
  </si>
  <si>
    <t xml:space="preserve">b) três vezes maior que o valor da produção estimada do Paraná.   </t>
  </si>
  <si>
    <t xml:space="preserve">c) igual ao valor estimado da produção do Rio Grande do Sul e Minas Gerais juntos.   </t>
  </si>
  <si>
    <t xml:space="preserve">d) igual à média da produção estimada entre os estados de Goiás, Rio Grande do Sul e São Paulo juntos.   </t>
  </si>
  <si>
    <t xml:space="preserve">e) onze vezes maior que o valor da média da produção estimada de Santa Catarina, Maranhão, Piauí e Tocantins juntos.   </t>
  </si>
  <si>
    <t>a</t>
  </si>
  <si>
    <t>b</t>
  </si>
  <si>
    <t>c</t>
  </si>
  <si>
    <t>d</t>
  </si>
  <si>
    <t>e</t>
  </si>
  <si>
    <t>alternativa e</t>
  </si>
  <si>
    <t>alternativa a</t>
  </si>
  <si>
    <t>Descargas atmosféricas, objetos estranhos e quedas de árvores, entre outros motivos, podem gerar interrupções na rede elétrica. Em certo município, um levantamento realizado pela companhia de fornecimento de energia relacionou, durante 30 dias, o número de interrupções na rede elétrica com o número de dias em que elas ocorreram.</t>
  </si>
  <si>
    <t xml:space="preserve">A moda e a média diária do número de interrupções são, respectivamente, iguais a </t>
  </si>
  <si>
    <t xml:space="preserve">a) 3 e 2,0.   </t>
  </si>
  <si>
    <t xml:space="preserve">b) 3 e 2,4.   </t>
  </si>
  <si>
    <t xml:space="preserve">c) 3 e 6,0.   </t>
  </si>
  <si>
    <t xml:space="preserve">d) 10 e 2,0.   </t>
  </si>
  <si>
    <t xml:space="preserve">e) 10 e 2,4.   </t>
  </si>
  <si>
    <t>fi*xi</t>
  </si>
  <si>
    <t>Um investidor iniciante aplicou uma certa quantia (Q) na Bolsa de Valores. Para montar a sua carteira de ações, optou por investir em empresas de cinco setores distintos, Varejo, Construção Civil, Turismo, Energia e Petróleo e Gás. O gráfico abaixo mostra a porcentagem do capital investido em cada setor.</t>
  </si>
  <si>
    <t xml:space="preserve">Considerando que o valor total investido nos setores de Turismo e de Petróleo e Gás foi de R$11.250,00, e analisando o gráfico apresentado, qual é a quantia investida (Q) em reais? </t>
  </si>
  <si>
    <t xml:space="preserve">a) 5.062,50   </t>
  </si>
  <si>
    <t xml:space="preserve">b) 7.500,00   </t>
  </si>
  <si>
    <t xml:space="preserve">c) 20.454,54   </t>
  </si>
  <si>
    <t xml:space="preserve">d) 25.000,00   </t>
  </si>
  <si>
    <t>Os preços médios da gasolina, etanol e diesel sofreram variações que foram registradas pela Agência Nacional de Petróleo, Gás Natural e Biocombustíveis (ANP), para a gasolina, em seis datas compreendidas no período entre 15 de outubro de 2015 e 13 de janeiro de 2016, conforme o gráfico.</t>
  </si>
  <si>
    <t xml:space="preserve">Considerando-se os intervalos do período com valores informados no gráfico, o maior aumento, em valor absoluto do preço da gasolina, ocorreu no intervalo de </t>
  </si>
  <si>
    <t xml:space="preserve">a) 15/out. a 5/nov.   </t>
  </si>
  <si>
    <t xml:space="preserve">b) 5/nov. a 3/dez.   </t>
  </si>
  <si>
    <t xml:space="preserve">c) 3/dez. a 9/dez.   </t>
  </si>
  <si>
    <t xml:space="preserve">d) 9/dez. a 30/dez.   </t>
  </si>
  <si>
    <t xml:space="preserve">e) 30/dez. a 13/jan./16.   </t>
  </si>
  <si>
    <t>alternativa 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</si>
</sst>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 &quot;* #,##0.00_-;&quot;-R$ &quot;* #,##0.00_-;_-&quot;R$ &quot;* \-??_-;_-@_-"/>
    <numFmt numFmtId="174" formatCode="0.0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trike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Border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9" fontId="3" fillId="0" borderId="0" xfId="2" applyBorder="1" applyProtection="1"/>
    <xf numFmtId="9" fontId="0" fillId="0" borderId="0" xfId="0" applyNumberFormat="1"/>
    <xf numFmtId="164" fontId="3" fillId="0" borderId="0" xfId="1" applyBorder="1" applyProtection="1"/>
    <xf numFmtId="9" fontId="3" fillId="0" borderId="0" xfId="2" applyBorder="1" applyAlignment="1" applyProtection="1">
      <alignment horizontal="center" vertical="center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74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8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3</xdr:row>
      <xdr:rowOff>95250</xdr:rowOff>
    </xdr:from>
    <xdr:to>
      <xdr:col>7</xdr:col>
      <xdr:colOff>95249</xdr:colOff>
      <xdr:row>22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BA6457-626B-4FC6-8796-B5101EBE9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673554"/>
          <a:ext cx="3116035" cy="3657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452437</xdr:colOff>
      <xdr:row>3</xdr:row>
      <xdr:rowOff>35719</xdr:rowOff>
    </xdr:from>
    <xdr:to>
      <xdr:col>7</xdr:col>
      <xdr:colOff>457200</xdr:colOff>
      <xdr:row>12</xdr:row>
      <xdr:rowOff>91678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732BE6-F350-4AF2-6342-374A25ACA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56" y="607219"/>
          <a:ext cx="3648075" cy="2038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7</xdr:col>
      <xdr:colOff>228600</xdr:colOff>
      <xdr:row>14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8C40D-9939-1CC4-0F61-232A03A45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3000"/>
          <a:ext cx="2667000" cy="156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7</xdr:col>
      <xdr:colOff>314325</xdr:colOff>
      <xdr:row>27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65EE8D-018A-AB02-CA48-14B3311C9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"/>
          <a:ext cx="2752725" cy="1533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168519</xdr:colOff>
      <xdr:row>6</xdr:row>
      <xdr:rowOff>124558</xdr:rowOff>
    </xdr:from>
    <xdr:to>
      <xdr:col>9</xdr:col>
      <xdr:colOff>102155</xdr:colOff>
      <xdr:row>16</xdr:row>
      <xdr:rowOff>117231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1FEE95-1569-5223-A3B4-B930E55A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654" y="1267558"/>
          <a:ext cx="4798713" cy="18976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8</xdr:col>
      <xdr:colOff>18317</xdr:colOff>
      <xdr:row>19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C9A83A-5DCC-0357-0021-487AB1DA4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269" y="1143000"/>
          <a:ext cx="3667125" cy="2543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156483</xdr:colOff>
      <xdr:row>1</xdr:row>
      <xdr:rowOff>13607</xdr:rowOff>
    </xdr:from>
    <xdr:to>
      <xdr:col>17</xdr:col>
      <xdr:colOff>327933</xdr:colOff>
      <xdr:row>7</xdr:row>
      <xdr:rowOff>146957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24A887-C71C-8408-179C-16A5D1FFC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644" y="204107"/>
          <a:ext cx="2457450" cy="2466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5</xdr:row>
      <xdr:rowOff>19050</xdr:rowOff>
    </xdr:from>
    <xdr:to>
      <xdr:col>7</xdr:col>
      <xdr:colOff>76200</xdr:colOff>
      <xdr:row>21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6BFFDC-11DD-C8BF-902A-C0E975A7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550"/>
          <a:ext cx="3152775" cy="3133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5163C-935A-4B09-9A44-A83B678F3F72}" name="Tabela1" displayName="Tabela1" ref="B15:D20" totalsRowCount="1" headerRowDxfId="7" dataDxfId="6">
  <autoFilter ref="B15:D19" xr:uid="{6E25163C-935A-4B09-9A44-A83B678F3F72}"/>
  <tableColumns count="3">
    <tableColumn id="1" xr3:uid="{9D4E39AB-AA0F-4F0A-BA84-E0B4C8E91C3B}" name="n" dataDxfId="5" totalsRowDxfId="4"/>
    <tableColumn id="2" xr3:uid="{8927D935-A269-484B-BD80-302EA0515398}" name="fi" totalsRowFunction="custom" dataDxfId="3" totalsRowDxfId="2">
      <totalsRowFormula>SUM(C16:C19)</totalsRowFormula>
    </tableColumn>
    <tableColumn id="3" xr3:uid="{CBAD5B98-2A45-4490-857A-9844F908E766}" name="xi*fi" totalsRowFunction="custom" dataDxfId="1" totalsRowDxfId="0">
      <calculatedColumnFormula>Tabela1[[#This Row],[fi]]*Tabela1[[#This Row],[n]]</calculatedColumnFormula>
      <totalsRowFormula>SUM(D16:D19)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8"/>
  <sheetViews>
    <sheetView zoomScale="140" zoomScaleNormal="140" workbookViewId="0">
      <selection activeCell="F13" sqref="F13"/>
    </sheetView>
  </sheetViews>
  <sheetFormatPr defaultColWidth="8.5703125" defaultRowHeight="15"/>
  <cols>
    <col min="3" max="3" width="12" customWidth="1"/>
    <col min="4" max="4" width="14.140625" customWidth="1"/>
  </cols>
  <sheetData>
    <row r="1" spans="3:13">
      <c r="C1" t="s">
        <v>0</v>
      </c>
    </row>
    <row r="2" spans="3:13">
      <c r="C2" s="1" t="s">
        <v>1</v>
      </c>
      <c r="D2" s="1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" t="s">
        <v>1</v>
      </c>
      <c r="M2" s="2" t="s">
        <v>2</v>
      </c>
    </row>
    <row r="3" spans="3:13">
      <c r="C3" s="1">
        <v>6</v>
      </c>
      <c r="D3" s="1">
        <v>5</v>
      </c>
      <c r="E3">
        <f>D3*C3</f>
        <v>30</v>
      </c>
      <c r="F3">
        <f>ABS((C3-$D$8)*D3)</f>
        <v>5</v>
      </c>
      <c r="G3">
        <f>C3-$D$8</f>
        <v>-1</v>
      </c>
      <c r="H3">
        <f>G3*G3</f>
        <v>1</v>
      </c>
      <c r="I3">
        <f>H3*D3</f>
        <v>5</v>
      </c>
      <c r="K3" t="s">
        <v>8</v>
      </c>
      <c r="L3">
        <f>AVERAGE($C$2:$C$7)</f>
        <v>7.5</v>
      </c>
      <c r="M3">
        <f>AVERAGE($D$2:$D$7)</f>
        <v>4</v>
      </c>
    </row>
    <row r="4" spans="3:13">
      <c r="C4" s="1">
        <v>7</v>
      </c>
      <c r="D4" s="1">
        <v>1</v>
      </c>
      <c r="E4">
        <f>D4*C4</f>
        <v>7</v>
      </c>
      <c r="F4">
        <f>ABS((C4-$D$8)*D4)</f>
        <v>0</v>
      </c>
      <c r="G4">
        <f>C4-$D$8</f>
        <v>0</v>
      </c>
      <c r="H4">
        <f>G4*G4</f>
        <v>0</v>
      </c>
      <c r="I4">
        <f>H4*D4</f>
        <v>0</v>
      </c>
      <c r="K4" t="s">
        <v>9</v>
      </c>
      <c r="L4">
        <f>SQRT(VAR($C$2:$C$7)/COUNT($C$2:$C$7))</f>
        <v>0.6454972243679028</v>
      </c>
      <c r="M4">
        <f>SQRT(VAR($D$2:$D$7)/COUNT($D$2:$D$7))</f>
        <v>1.6733200530681511</v>
      </c>
    </row>
    <row r="5" spans="3:13">
      <c r="C5" s="1">
        <v>8</v>
      </c>
      <c r="D5" s="1">
        <v>3</v>
      </c>
      <c r="E5">
        <f>D5*C5</f>
        <v>24</v>
      </c>
      <c r="F5">
        <f>ABS((C5-$D$8)*D5)</f>
        <v>3</v>
      </c>
      <c r="G5">
        <f>C5-$D$8</f>
        <v>1</v>
      </c>
      <c r="H5">
        <f>G5*G5</f>
        <v>1</v>
      </c>
      <c r="I5">
        <f>H5*D5</f>
        <v>3</v>
      </c>
      <c r="K5" t="s">
        <v>10</v>
      </c>
      <c r="L5" t="e">
        <f>MODE($C$2:$C$7)</f>
        <v>#N/A</v>
      </c>
      <c r="M5">
        <f>MODE($D$2:$D$7)</f>
        <v>1</v>
      </c>
    </row>
    <row r="6" spans="3:13">
      <c r="C6" s="1">
        <v>9</v>
      </c>
      <c r="D6" s="1">
        <v>1</v>
      </c>
      <c r="E6">
        <f>D6*C6</f>
        <v>9</v>
      </c>
      <c r="F6">
        <f>ABS((C6-$D$8)*D6)</f>
        <v>2</v>
      </c>
      <c r="G6">
        <f>C6-$D$8</f>
        <v>2</v>
      </c>
      <c r="H6">
        <f>G6*G6</f>
        <v>4</v>
      </c>
      <c r="I6">
        <f>H6*D6</f>
        <v>4</v>
      </c>
      <c r="K6" t="s">
        <v>11</v>
      </c>
      <c r="L6">
        <f>MEDIAN($C$2:$C$7)</f>
        <v>7.5</v>
      </c>
      <c r="M6">
        <f>MEDIAN($D$2:$D$7)</f>
        <v>3</v>
      </c>
    </row>
    <row r="7" spans="3:13">
      <c r="C7" s="1" t="s">
        <v>12</v>
      </c>
      <c r="D7" s="1">
        <f>SUM(D3:D6)</f>
        <v>10</v>
      </c>
      <c r="E7" s="3">
        <f>SUM(E3:E6)</f>
        <v>70</v>
      </c>
      <c r="F7">
        <f>SUM(F3:F6)</f>
        <v>10</v>
      </c>
      <c r="H7">
        <f>SUM(H3:H6)</f>
        <v>6</v>
      </c>
      <c r="I7">
        <f>SUM(I3:I6)</f>
        <v>12</v>
      </c>
      <c r="K7" t="s">
        <v>13</v>
      </c>
      <c r="L7">
        <f>QUARTILE($C$2:$C$7, 1)</f>
        <v>6.75</v>
      </c>
      <c r="M7">
        <f>QUARTILE($D$2:$D$7, 1)</f>
        <v>1</v>
      </c>
    </row>
    <row r="8" spans="3:13">
      <c r="C8" t="s">
        <v>14</v>
      </c>
      <c r="D8">
        <f>E7/D7</f>
        <v>7</v>
      </c>
      <c r="K8" t="s">
        <v>15</v>
      </c>
      <c r="L8">
        <f>QUARTILE($C$2:$C$7, 3)</f>
        <v>8.25</v>
      </c>
      <c r="M8">
        <f>QUARTILE($D$2:$D$7, 3)</f>
        <v>5</v>
      </c>
    </row>
    <row r="9" spans="3:13">
      <c r="C9" t="s">
        <v>16</v>
      </c>
      <c r="D9">
        <v>6</v>
      </c>
      <c r="K9" t="s">
        <v>17</v>
      </c>
      <c r="L9">
        <f>VAR($C$2:$C$7)</f>
        <v>1.6666666666666667</v>
      </c>
      <c r="M9">
        <f>VAR($D$2:$D$7)</f>
        <v>14</v>
      </c>
    </row>
    <row r="10" spans="3:13">
      <c r="C10" t="s">
        <v>18</v>
      </c>
      <c r="D10">
        <v>6</v>
      </c>
      <c r="K10" t="s">
        <v>19</v>
      </c>
      <c r="L10">
        <f>STDEV($C$2:$C$7)</f>
        <v>1.2909944487358056</v>
      </c>
      <c r="M10">
        <f>STDEV($D$2:$D$7)</f>
        <v>3.7416573867739413</v>
      </c>
    </row>
    <row r="11" spans="3:13">
      <c r="C11" t="s">
        <v>20</v>
      </c>
      <c r="D11">
        <f>F7/D7</f>
        <v>1</v>
      </c>
      <c r="K11" t="s">
        <v>21</v>
      </c>
      <c r="L11">
        <f>KURT($C$2:$C$7)</f>
        <v>-1.1999999999999975</v>
      </c>
      <c r="M11">
        <f>KURT($D$2:$D$7)</f>
        <v>1.3112244897959187</v>
      </c>
    </row>
    <row r="12" spans="3:13">
      <c r="C12" t="s">
        <v>22</v>
      </c>
      <c r="D12">
        <f>SQRT(I7/D7)</f>
        <v>1.0954451150103321</v>
      </c>
      <c r="K12" t="s">
        <v>23</v>
      </c>
      <c r="L12">
        <f>SKEW($C$2:$C$7)</f>
        <v>0</v>
      </c>
      <c r="M12">
        <f>SKEW($D$2:$D$7)</f>
        <v>1.2885809877920462</v>
      </c>
    </row>
    <row r="13" spans="3:13">
      <c r="C13" t="s">
        <v>24</v>
      </c>
      <c r="D13">
        <f>SQRT(I7/D7-1)</f>
        <v>0.44721359549995787</v>
      </c>
      <c r="K13" t="s">
        <v>25</v>
      </c>
      <c r="L13">
        <f>MAX($C$2:$C$7)-MIN($C$2:$C$7)</f>
        <v>3</v>
      </c>
      <c r="M13">
        <f>MAX($D$2:$D$7)-MIN($D$2:$D$7)</f>
        <v>9</v>
      </c>
    </row>
    <row r="14" spans="3:13">
      <c r="C14" t="s">
        <v>26</v>
      </c>
      <c r="D14">
        <f>SQRT(I7/D7)</f>
        <v>1.0954451150103321</v>
      </c>
      <c r="K14" t="s">
        <v>27</v>
      </c>
      <c r="L14">
        <f>MIN($C$2:$C$7)</f>
        <v>6</v>
      </c>
      <c r="M14">
        <f>MIN($D$2:$D$7)</f>
        <v>1</v>
      </c>
    </row>
    <row r="15" spans="3:13">
      <c r="C15" t="s">
        <v>28</v>
      </c>
      <c r="D15" t="s">
        <v>29</v>
      </c>
      <c r="K15" t="s">
        <v>30</v>
      </c>
      <c r="L15">
        <f>MAX($C$2:$C$7)</f>
        <v>9</v>
      </c>
      <c r="M15">
        <f>MAX($D$2:$D$7)</f>
        <v>10</v>
      </c>
    </row>
    <row r="16" spans="3:13">
      <c r="C16" t="s">
        <v>31</v>
      </c>
      <c r="D16" t="s">
        <v>32</v>
      </c>
      <c r="K16" t="s">
        <v>33</v>
      </c>
      <c r="L16">
        <f>SUM($C$2:$C$7)</f>
        <v>30</v>
      </c>
      <c r="M16">
        <f>SUM($D$2:$D$7)</f>
        <v>20</v>
      </c>
    </row>
    <row r="17" spans="3:13">
      <c r="C17" t="s">
        <v>34</v>
      </c>
      <c r="D17" t="s">
        <v>32</v>
      </c>
      <c r="K17" t="s">
        <v>35</v>
      </c>
      <c r="L17">
        <f>COUNT($C$2:$C$7)</f>
        <v>4</v>
      </c>
      <c r="M17">
        <f>COUNT($D$2:$D$7)</f>
        <v>5</v>
      </c>
    </row>
    <row r="18" spans="3:13">
      <c r="C18" t="s">
        <v>36</v>
      </c>
      <c r="D18" t="s">
        <v>32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8"/>
  <sheetViews>
    <sheetView zoomScale="140" zoomScaleNormal="140" workbookViewId="0">
      <selection activeCell="J19" sqref="J19"/>
    </sheetView>
  </sheetViews>
  <sheetFormatPr defaultColWidth="8.5703125" defaultRowHeight="15"/>
  <cols>
    <col min="1" max="1" width="17.28515625" customWidth="1"/>
    <col min="2" max="2" width="20.140625" customWidth="1"/>
    <col min="3" max="3" width="23.140625" customWidth="1"/>
    <col min="7" max="7" width="11.28515625" customWidth="1"/>
  </cols>
  <sheetData>
    <row r="2" spans="1:15">
      <c r="B2">
        <v>10</v>
      </c>
      <c r="C2" s="31" t="s">
        <v>159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9" spans="1:15">
      <c r="G9" s="12" t="s">
        <v>160</v>
      </c>
    </row>
    <row r="10" spans="1:15">
      <c r="G10" s="13" t="s">
        <v>161</v>
      </c>
    </row>
    <row r="11" spans="1:15">
      <c r="A11" t="s">
        <v>44</v>
      </c>
      <c r="B11" t="s">
        <v>45</v>
      </c>
      <c r="C11" t="s">
        <v>46</v>
      </c>
      <c r="D11" t="s">
        <v>47</v>
      </c>
      <c r="G11" s="13" t="s">
        <v>162</v>
      </c>
    </row>
    <row r="12" spans="1:15">
      <c r="A12" t="s">
        <v>48</v>
      </c>
      <c r="B12">
        <v>30</v>
      </c>
      <c r="C12">
        <v>6</v>
      </c>
      <c r="D12">
        <f t="shared" ref="D12:D17" si="0">C12*B12</f>
        <v>180</v>
      </c>
      <c r="G12" s="13" t="s">
        <v>163</v>
      </c>
    </row>
    <row r="13" spans="1:15">
      <c r="A13" t="s">
        <v>49</v>
      </c>
      <c r="B13">
        <v>40</v>
      </c>
      <c r="C13">
        <v>6</v>
      </c>
      <c r="D13">
        <f t="shared" si="0"/>
        <v>240</v>
      </c>
      <c r="G13" s="13" t="s">
        <v>164</v>
      </c>
      <c r="H13" t="s">
        <v>137</v>
      </c>
    </row>
    <row r="14" spans="1:15">
      <c r="A14" t="s">
        <v>50</v>
      </c>
      <c r="B14">
        <v>50</v>
      </c>
      <c r="C14">
        <v>7</v>
      </c>
      <c r="D14">
        <f t="shared" si="0"/>
        <v>350</v>
      </c>
      <c r="G14" s="13" t="s">
        <v>165</v>
      </c>
    </row>
    <row r="15" spans="1:15">
      <c r="A15" t="s">
        <v>51</v>
      </c>
      <c r="B15">
        <v>30</v>
      </c>
      <c r="C15">
        <v>8</v>
      </c>
      <c r="D15">
        <f t="shared" si="0"/>
        <v>240</v>
      </c>
      <c r="G15" s="12" t="s">
        <v>132</v>
      </c>
    </row>
    <row r="16" spans="1:15">
      <c r="A16" t="s">
        <v>52</v>
      </c>
      <c r="B16">
        <v>25</v>
      </c>
      <c r="C16">
        <v>4</v>
      </c>
      <c r="D16">
        <f t="shared" si="0"/>
        <v>100</v>
      </c>
    </row>
    <row r="17" spans="1:4">
      <c r="A17" t="s">
        <v>53</v>
      </c>
      <c r="B17">
        <v>25</v>
      </c>
      <c r="C17">
        <v>5</v>
      </c>
      <c r="D17">
        <f t="shared" si="0"/>
        <v>125</v>
      </c>
    </row>
    <row r="18" spans="1:4">
      <c r="D18">
        <f>SUM(D12:D17)</f>
        <v>1235</v>
      </c>
    </row>
  </sheetData>
  <mergeCells count="1">
    <mergeCell ref="C2:O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841E-DE58-4CE4-99F5-F6FA51C91585}">
  <dimension ref="B2:U16"/>
  <sheetViews>
    <sheetView zoomScale="130" zoomScaleNormal="130" workbookViewId="0">
      <selection activeCell="U13" sqref="U13"/>
    </sheetView>
  </sheetViews>
  <sheetFormatPr defaultRowHeight="15"/>
  <sheetData>
    <row r="2" spans="2:21">
      <c r="B2">
        <v>11</v>
      </c>
      <c r="C2" s="31" t="s">
        <v>166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21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21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21"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2:21">
      <c r="I6" s="12" t="s">
        <v>167</v>
      </c>
    </row>
    <row r="8" spans="2:21">
      <c r="J8" s="13" t="s">
        <v>168</v>
      </c>
      <c r="P8" t="s">
        <v>65</v>
      </c>
    </row>
    <row r="9" spans="2:21">
      <c r="J9" s="13" t="s">
        <v>169</v>
      </c>
      <c r="P9" t="s">
        <v>65</v>
      </c>
    </row>
    <row r="10" spans="2:21">
      <c r="J10" s="13" t="s">
        <v>170</v>
      </c>
      <c r="Q10" t="s">
        <v>65</v>
      </c>
    </row>
    <row r="11" spans="2:21">
      <c r="J11" s="13" t="s">
        <v>171</v>
      </c>
      <c r="S11" t="s">
        <v>65</v>
      </c>
    </row>
    <row r="12" spans="2:21">
      <c r="J12" s="13" t="s">
        <v>172</v>
      </c>
      <c r="U12" t="s">
        <v>178</v>
      </c>
    </row>
    <row r="15" spans="2:21">
      <c r="J15" s="13" t="s">
        <v>173</v>
      </c>
      <c r="K15" t="s">
        <v>174</v>
      </c>
      <c r="L15" t="s">
        <v>175</v>
      </c>
      <c r="M15" t="s">
        <v>176</v>
      </c>
      <c r="N15" t="s">
        <v>177</v>
      </c>
    </row>
    <row r="16" spans="2:21">
      <c r="J16">
        <f>5.6*5</f>
        <v>28</v>
      </c>
      <c r="K16">
        <f>20.7*3</f>
        <v>62.099999999999994</v>
      </c>
      <c r="L16">
        <f>19.7+6.3</f>
        <v>26</v>
      </c>
      <c r="M16">
        <f>AVERAGE(13.4,19.7,3.8)</f>
        <v>12.299999999999999</v>
      </c>
      <c r="N16">
        <f>AVERAGE(2.7,3.3,2.6,3.5)*11</f>
        <v>33.274999999999999</v>
      </c>
    </row>
  </sheetData>
  <mergeCells count="1">
    <mergeCell ref="C2:R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6"/>
  <sheetViews>
    <sheetView zoomScale="140" zoomScaleNormal="140" workbookViewId="0">
      <selection activeCell="F16" sqref="F16"/>
    </sheetView>
  </sheetViews>
  <sheetFormatPr defaultColWidth="8.5703125" defaultRowHeight="15"/>
  <cols>
    <col min="1" max="1" width="16.7109375" customWidth="1"/>
    <col min="2" max="2" width="8.85546875" customWidth="1"/>
    <col min="4" max="4" width="9.42578125" customWidth="1"/>
  </cols>
  <sheetData>
    <row r="2" spans="1:14">
      <c r="B2">
        <v>12</v>
      </c>
      <c r="C2" s="23" t="s">
        <v>180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6" spans="1:14">
      <c r="H6" s="12" t="s">
        <v>181</v>
      </c>
    </row>
    <row r="7" spans="1:14">
      <c r="H7" s="13" t="s">
        <v>182</v>
      </c>
      <c r="J7" t="s">
        <v>179</v>
      </c>
    </row>
    <row r="8" spans="1:14">
      <c r="H8" s="13" t="s">
        <v>183</v>
      </c>
    </row>
    <row r="9" spans="1:14">
      <c r="H9" s="13" t="s">
        <v>184</v>
      </c>
    </row>
    <row r="10" spans="1:14">
      <c r="A10" s="1" t="s">
        <v>54</v>
      </c>
      <c r="B10" s="1" t="s">
        <v>55</v>
      </c>
      <c r="C10" s="1" t="s">
        <v>187</v>
      </c>
      <c r="D10" s="1"/>
      <c r="E10" s="1"/>
      <c r="H10" s="13" t="s">
        <v>185</v>
      </c>
    </row>
    <row r="11" spans="1:14">
      <c r="A11" s="1">
        <v>0</v>
      </c>
      <c r="B11" s="1">
        <v>5</v>
      </c>
      <c r="C11" s="1">
        <f>B11*A11</f>
        <v>0</v>
      </c>
      <c r="D11" s="1" t="s">
        <v>56</v>
      </c>
      <c r="E11" s="1">
        <v>3</v>
      </c>
      <c r="H11" s="13" t="s">
        <v>186</v>
      </c>
    </row>
    <row r="12" spans="1:14">
      <c r="A12" s="1">
        <v>1</v>
      </c>
      <c r="B12" s="1">
        <v>6</v>
      </c>
      <c r="C12" s="1">
        <f>B12*A12</f>
        <v>6</v>
      </c>
      <c r="D12" s="1" t="s">
        <v>14</v>
      </c>
      <c r="E12" s="34">
        <f>C16/B16</f>
        <v>2</v>
      </c>
      <c r="H12" s="12" t="s">
        <v>132</v>
      </c>
    </row>
    <row r="13" spans="1:14">
      <c r="A13" s="1">
        <v>2</v>
      </c>
      <c r="B13" s="1">
        <v>6</v>
      </c>
      <c r="C13" s="1">
        <f t="shared" ref="C13:C16" si="0">B13*A13</f>
        <v>12</v>
      </c>
      <c r="D13" s="1"/>
      <c r="E13" s="1"/>
    </row>
    <row r="14" spans="1:14">
      <c r="A14" s="1">
        <v>3</v>
      </c>
      <c r="B14" s="1">
        <v>10</v>
      </c>
      <c r="C14" s="1">
        <f t="shared" si="0"/>
        <v>30</v>
      </c>
      <c r="D14" s="1"/>
      <c r="E14" s="1"/>
    </row>
    <row r="15" spans="1:14">
      <c r="A15" s="1">
        <v>4</v>
      </c>
      <c r="B15" s="1">
        <v>3</v>
      </c>
      <c r="C15" s="1">
        <f t="shared" si="0"/>
        <v>12</v>
      </c>
      <c r="D15" s="1"/>
      <c r="E15" s="1"/>
    </row>
    <row r="16" spans="1:14">
      <c r="A16" s="1" t="s">
        <v>57</v>
      </c>
      <c r="B16" s="1">
        <f>SUM(B11:B15)</f>
        <v>30</v>
      </c>
      <c r="C16" s="1">
        <f>SUM(C11:C15)</f>
        <v>60</v>
      </c>
      <c r="D16" s="1"/>
      <c r="E16" s="1"/>
    </row>
  </sheetData>
  <mergeCells count="1">
    <mergeCell ref="C2:N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25"/>
  <sheetViews>
    <sheetView zoomScale="140" zoomScaleNormal="140" workbookViewId="0">
      <selection activeCell="B12" sqref="B12"/>
    </sheetView>
  </sheetViews>
  <sheetFormatPr defaultColWidth="8.5703125" defaultRowHeight="15"/>
  <cols>
    <col min="1" max="1" width="13.7109375" customWidth="1"/>
    <col min="2" max="2" width="14.7109375" customWidth="1"/>
    <col min="7" max="7" width="23" customWidth="1"/>
    <col min="8" max="8" width="13.28515625" customWidth="1"/>
  </cols>
  <sheetData>
    <row r="2" spans="1:13">
      <c r="B2">
        <v>13</v>
      </c>
      <c r="C2" s="23" t="s">
        <v>188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27" customHeight="1"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33" customHeight="1"/>
    <row r="7" spans="1:13" ht="78.75" customHeight="1">
      <c r="A7" s="33" t="s">
        <v>189</v>
      </c>
      <c r="B7" s="33"/>
      <c r="C7" s="33"/>
      <c r="D7" s="33"/>
      <c r="E7" s="33"/>
      <c r="F7" s="33"/>
      <c r="G7" s="33"/>
      <c r="H7" s="33"/>
      <c r="I7" s="33"/>
    </row>
    <row r="8" spans="1:13">
      <c r="A8" s="13" t="s">
        <v>190</v>
      </c>
    </row>
    <row r="9" spans="1:13">
      <c r="A9" s="13" t="s">
        <v>191</v>
      </c>
      <c r="D9" s="6">
        <v>0.45</v>
      </c>
      <c r="E9">
        <v>11250</v>
      </c>
      <c r="F9">
        <f>11250*100%/45%</f>
        <v>25000</v>
      </c>
    </row>
    <row r="10" spans="1:13">
      <c r="A10" s="13" t="s">
        <v>192</v>
      </c>
      <c r="D10" s="6">
        <v>1</v>
      </c>
      <c r="E10" t="s">
        <v>65</v>
      </c>
    </row>
    <row r="11" spans="1:13">
      <c r="A11" s="13" t="s">
        <v>193</v>
      </c>
      <c r="B11" t="s">
        <v>137</v>
      </c>
    </row>
    <row r="12" spans="1:13">
      <c r="G12" s="12" t="s">
        <v>132</v>
      </c>
    </row>
    <row r="15" spans="1:13">
      <c r="A15" t="s">
        <v>58</v>
      </c>
      <c r="B15" t="s">
        <v>59</v>
      </c>
      <c r="C15" t="s">
        <v>60</v>
      </c>
      <c r="D15" t="s">
        <v>61</v>
      </c>
      <c r="E15" t="s">
        <v>62</v>
      </c>
    </row>
    <row r="16" spans="1:13">
      <c r="A16" s="5">
        <v>0.3</v>
      </c>
      <c r="B16" s="5">
        <v>0.18</v>
      </c>
      <c r="C16" s="5">
        <v>0.15</v>
      </c>
      <c r="D16" s="5">
        <v>0.17</v>
      </c>
      <c r="E16" s="5">
        <v>0.2</v>
      </c>
      <c r="G16" t="s">
        <v>63</v>
      </c>
      <c r="H16" s="7">
        <f>11250</f>
        <v>11250</v>
      </c>
      <c r="I16" t="s">
        <v>64</v>
      </c>
    </row>
    <row r="17" spans="1:8">
      <c r="G17" s="5">
        <v>0.45</v>
      </c>
      <c r="H17" s="7">
        <f>11250</f>
        <v>11250</v>
      </c>
    </row>
    <row r="18" spans="1:8">
      <c r="G18" s="6">
        <v>1</v>
      </c>
      <c r="H18" t="s">
        <v>65</v>
      </c>
    </row>
    <row r="20" spans="1:8">
      <c r="A20" s="4"/>
      <c r="B20" s="4" t="s">
        <v>42</v>
      </c>
    </row>
    <row r="21" spans="1:8">
      <c r="A21" s="4" t="s">
        <v>58</v>
      </c>
      <c r="B21" s="8">
        <v>0.3</v>
      </c>
    </row>
    <row r="22" spans="1:8">
      <c r="A22" s="4" t="s">
        <v>59</v>
      </c>
      <c r="B22" s="8">
        <v>0.18</v>
      </c>
    </row>
    <row r="23" spans="1:8">
      <c r="A23" s="4" t="s">
        <v>60</v>
      </c>
      <c r="B23" s="8">
        <v>0.15</v>
      </c>
    </row>
    <row r="24" spans="1:8">
      <c r="A24" s="4" t="s">
        <v>61</v>
      </c>
      <c r="B24" s="8">
        <v>0.17</v>
      </c>
    </row>
    <row r="25" spans="1:8">
      <c r="A25" s="4" t="s">
        <v>62</v>
      </c>
      <c r="B25" s="8">
        <v>0.2</v>
      </c>
    </row>
  </sheetData>
  <mergeCells count="2">
    <mergeCell ref="C2:M5"/>
    <mergeCell ref="A7:I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6F4D-29AB-48D2-8D94-92B19EA7A21D}">
  <dimension ref="B2:W12"/>
  <sheetViews>
    <sheetView tabSelected="1" zoomScale="115" zoomScaleNormal="115" workbookViewId="0">
      <selection activeCell="L18" sqref="L18"/>
    </sheetView>
  </sheetViews>
  <sheetFormatPr defaultRowHeight="15"/>
  <sheetData>
    <row r="2" spans="2:23">
      <c r="B2">
        <v>14</v>
      </c>
      <c r="C2" s="31" t="s">
        <v>194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23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2:23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6" spans="2:23">
      <c r="J6" s="35" t="s">
        <v>195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2:23"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2:23">
      <c r="J8" s="13" t="s">
        <v>196</v>
      </c>
    </row>
    <row r="9" spans="2:23">
      <c r="J9" s="13" t="s">
        <v>197</v>
      </c>
    </row>
    <row r="10" spans="2:23">
      <c r="J10" s="13" t="s">
        <v>198</v>
      </c>
    </row>
    <row r="11" spans="2:23">
      <c r="J11" s="13" t="s">
        <v>199</v>
      </c>
      <c r="M11" t="s">
        <v>201</v>
      </c>
    </row>
    <row r="12" spans="2:23">
      <c r="J12" s="13" t="s">
        <v>200</v>
      </c>
    </row>
  </sheetData>
  <mergeCells count="2">
    <mergeCell ref="C2:R4"/>
    <mergeCell ref="J6:W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1"/>
  <sheetViews>
    <sheetView zoomScale="140" zoomScaleNormal="140" workbookViewId="0">
      <selection activeCell="H13" sqref="H13"/>
    </sheetView>
  </sheetViews>
  <sheetFormatPr defaultColWidth="9.140625" defaultRowHeight="15"/>
  <cols>
    <col min="10" max="10" width="9.140625" customWidth="1"/>
  </cols>
  <sheetData>
    <row r="2" spans="2:19" ht="15.75">
      <c r="B2" t="s">
        <v>37</v>
      </c>
      <c r="C2" s="9" t="s">
        <v>66</v>
      </c>
    </row>
    <row r="4" spans="2:19">
      <c r="J4" s="20" t="s">
        <v>67</v>
      </c>
      <c r="K4" s="21"/>
      <c r="L4" s="21"/>
      <c r="M4" s="21"/>
      <c r="N4" s="21"/>
      <c r="O4" s="21"/>
      <c r="P4" s="21"/>
      <c r="Q4" s="21"/>
      <c r="R4" s="21"/>
      <c r="S4" s="21"/>
    </row>
    <row r="5" spans="2:19"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2:19"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2:19"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2:19"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2:19">
      <c r="J9" s="21"/>
      <c r="K9" s="21"/>
      <c r="L9" s="21"/>
      <c r="M9" s="21"/>
      <c r="N9" s="21"/>
      <c r="O9" s="21"/>
      <c r="P9" s="21"/>
      <c r="Q9" s="21"/>
      <c r="R9" s="21"/>
      <c r="S9" s="21"/>
    </row>
    <row r="11" spans="2:19">
      <c r="J11" s="20" t="s">
        <v>68</v>
      </c>
      <c r="K11" s="20"/>
      <c r="L11" s="20"/>
      <c r="M11" s="20"/>
      <c r="N11" s="20"/>
      <c r="O11" s="20"/>
      <c r="P11" s="20"/>
      <c r="Q11" s="20"/>
      <c r="R11" s="20"/>
      <c r="S11" s="20"/>
    </row>
    <row r="12" spans="2:19"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4" spans="2:19">
      <c r="J14" s="20" t="s">
        <v>69</v>
      </c>
      <c r="K14" s="20"/>
      <c r="L14" s="20"/>
      <c r="M14" s="20"/>
      <c r="N14" s="20"/>
      <c r="O14" s="20"/>
      <c r="P14" s="20"/>
      <c r="Q14" s="20"/>
      <c r="R14" s="20"/>
      <c r="S14" s="20"/>
    </row>
    <row r="15" spans="2:19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7" spans="2:19">
      <c r="J17" s="20" t="s">
        <v>70</v>
      </c>
      <c r="K17" s="20"/>
      <c r="L17" s="20"/>
      <c r="M17" s="20"/>
      <c r="N17" s="20"/>
      <c r="O17" s="20"/>
      <c r="P17" s="20"/>
      <c r="Q17" s="20"/>
      <c r="R17" s="20"/>
      <c r="S17" s="20"/>
    </row>
    <row r="18" spans="2:19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20" spans="2:19" ht="15" customHeight="1">
      <c r="J20" s="20" t="s">
        <v>71</v>
      </c>
      <c r="K20" s="20"/>
      <c r="L20" s="20"/>
      <c r="M20" s="20"/>
      <c r="N20" s="20"/>
      <c r="O20" s="20"/>
      <c r="P20" s="20"/>
      <c r="Q20" s="20"/>
      <c r="R20" s="20"/>
      <c r="S20" s="20"/>
    </row>
    <row r="21" spans="2:19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2:19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2:19">
      <c r="B24" t="s">
        <v>75</v>
      </c>
      <c r="F24" t="s">
        <v>76</v>
      </c>
    </row>
    <row r="25" spans="2:19">
      <c r="C25" s="4" t="s">
        <v>73</v>
      </c>
      <c r="D25" s="4" t="s">
        <v>74</v>
      </c>
      <c r="G25" s="4" t="s">
        <v>73</v>
      </c>
      <c r="H25" s="4" t="s">
        <v>74</v>
      </c>
      <c r="I25" s="4"/>
      <c r="J25" s="20" t="s">
        <v>72</v>
      </c>
      <c r="K25" s="20"/>
      <c r="L25" s="20"/>
      <c r="M25" s="20"/>
      <c r="N25" s="20"/>
      <c r="O25" s="20"/>
      <c r="P25" s="20"/>
      <c r="Q25" s="20"/>
      <c r="R25" s="20"/>
      <c r="S25" s="20"/>
    </row>
    <row r="26" spans="2:19">
      <c r="C26" s="4">
        <v>2017</v>
      </c>
      <c r="D26" s="4">
        <v>78</v>
      </c>
      <c r="G26" s="4">
        <v>2017</v>
      </c>
      <c r="H26" s="4">
        <v>29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2:19">
      <c r="C27" s="4">
        <v>2018</v>
      </c>
      <c r="D27" s="4">
        <v>37</v>
      </c>
      <c r="G27" s="4">
        <v>2018</v>
      </c>
      <c r="H27" s="4">
        <v>22</v>
      </c>
    </row>
    <row r="28" spans="2:19">
      <c r="C28" s="4">
        <v>2019</v>
      </c>
      <c r="D28" s="4">
        <v>120</v>
      </c>
      <c r="G28" s="4">
        <v>2019</v>
      </c>
      <c r="H28" s="4">
        <v>55</v>
      </c>
      <c r="J28" t="s">
        <v>78</v>
      </c>
    </row>
    <row r="29" spans="2:19">
      <c r="C29" s="4">
        <v>2020</v>
      </c>
      <c r="D29" s="4">
        <v>65</v>
      </c>
      <c r="G29" s="4">
        <v>2020</v>
      </c>
      <c r="H29" s="4">
        <v>125</v>
      </c>
    </row>
    <row r="30" spans="2:19">
      <c r="C30" s="4">
        <v>2021</v>
      </c>
      <c r="D30" s="4">
        <v>200</v>
      </c>
      <c r="G30" s="4">
        <v>2021</v>
      </c>
      <c r="H30" s="4">
        <v>89</v>
      </c>
    </row>
    <row r="31" spans="2:19">
      <c r="D31" s="4">
        <f>SUM(D26:D30)</f>
        <v>500</v>
      </c>
      <c r="E31" s="4" t="s">
        <v>77</v>
      </c>
      <c r="F31" s="4">
        <f>AVERAGE(D26:D30)</f>
        <v>100</v>
      </c>
      <c r="G31" s="4"/>
      <c r="H31" s="4">
        <f>SUM(H26:H30)</f>
        <v>320</v>
      </c>
      <c r="I31" t="s">
        <v>14</v>
      </c>
      <c r="J31">
        <f>AVERAGE(H26:H30)</f>
        <v>64</v>
      </c>
    </row>
  </sheetData>
  <mergeCells count="6">
    <mergeCell ref="J4:S9"/>
    <mergeCell ref="J11:S12"/>
    <mergeCell ref="J14:S15"/>
    <mergeCell ref="J17:S18"/>
    <mergeCell ref="J25:S26"/>
    <mergeCell ref="J20:S2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9"/>
  <sheetViews>
    <sheetView zoomScale="140" zoomScaleNormal="140" workbookViewId="0">
      <selection activeCell="F19" sqref="F19"/>
    </sheetView>
  </sheetViews>
  <sheetFormatPr defaultColWidth="9.140625" defaultRowHeight="15"/>
  <sheetData>
    <row r="2" spans="2:5">
      <c r="B2" t="s">
        <v>38</v>
      </c>
    </row>
    <row r="3" spans="2:5">
      <c r="C3" s="1">
        <v>26</v>
      </c>
      <c r="D3" s="1"/>
      <c r="E3" s="1"/>
    </row>
    <row r="4" spans="2:5">
      <c r="C4" s="1">
        <v>26</v>
      </c>
      <c r="D4" s="1"/>
      <c r="E4" s="1"/>
    </row>
    <row r="5" spans="2:5">
      <c r="C5" s="1">
        <v>26</v>
      </c>
      <c r="E5" s="1"/>
    </row>
    <row r="6" spans="2:5">
      <c r="C6" s="1">
        <v>28</v>
      </c>
      <c r="E6" s="1"/>
    </row>
    <row r="7" spans="2:5">
      <c r="C7" s="1">
        <v>28</v>
      </c>
      <c r="E7" s="1"/>
    </row>
    <row r="8" spans="2:5">
      <c r="C8" s="1">
        <v>28</v>
      </c>
      <c r="E8" s="1"/>
    </row>
    <row r="9" spans="2:5">
      <c r="C9" s="1">
        <v>28</v>
      </c>
    </row>
    <row r="10" spans="2:5">
      <c r="C10" s="1">
        <v>29</v>
      </c>
      <c r="D10" s="1"/>
    </row>
    <row r="11" spans="2:5">
      <c r="C11" s="1">
        <v>29</v>
      </c>
      <c r="D11" s="1"/>
    </row>
    <row r="12" spans="2:5">
      <c r="C12" s="1">
        <v>29</v>
      </c>
      <c r="D12" s="1"/>
    </row>
    <row r="13" spans="2:5">
      <c r="C13" s="1">
        <v>35</v>
      </c>
      <c r="D13" s="1"/>
    </row>
    <row r="14" spans="2:5">
      <c r="C14" s="1">
        <v>35</v>
      </c>
      <c r="D14" s="1"/>
    </row>
    <row r="15" spans="2:5">
      <c r="C15" s="1">
        <v>35</v>
      </c>
      <c r="D15" s="1"/>
    </row>
    <row r="16" spans="2:5">
      <c r="C16" s="1">
        <v>35</v>
      </c>
      <c r="D16" s="1"/>
      <c r="E16" s="1"/>
    </row>
    <row r="17" spans="3:5">
      <c r="C17" s="1">
        <f>SUM(C3:C16)</f>
        <v>417</v>
      </c>
      <c r="D17" s="1"/>
      <c r="E17" s="1"/>
    </row>
    <row r="18" spans="3:5">
      <c r="C18" t="s">
        <v>14</v>
      </c>
      <c r="D18">
        <f>C17/14</f>
        <v>29.785714285714285</v>
      </c>
    </row>
    <row r="19" spans="3:5">
      <c r="D19" t="s">
        <v>39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0E8B-EBBA-4ED1-A797-4FB0C7FCEFB5}">
  <dimension ref="B2:J26"/>
  <sheetViews>
    <sheetView zoomScale="160" zoomScaleNormal="160" workbookViewId="0">
      <selection activeCell="J24" sqref="J24"/>
    </sheetView>
  </sheetViews>
  <sheetFormatPr defaultRowHeight="15"/>
  <cols>
    <col min="10" max="10" width="45.7109375" customWidth="1"/>
  </cols>
  <sheetData>
    <row r="2" spans="2:10">
      <c r="B2">
        <v>4</v>
      </c>
      <c r="C2" s="12" t="s">
        <v>79</v>
      </c>
    </row>
    <row r="5" spans="2:10" ht="36" customHeight="1">
      <c r="J5" s="14" t="s">
        <v>80</v>
      </c>
    </row>
    <row r="6" spans="2:10">
      <c r="J6" s="13" t="s">
        <v>81</v>
      </c>
    </row>
    <row r="7" spans="2:10">
      <c r="J7" s="13" t="s">
        <v>82</v>
      </c>
    </row>
    <row r="8" spans="2:10">
      <c r="J8" s="13" t="s">
        <v>83</v>
      </c>
    </row>
    <row r="9" spans="2:10">
      <c r="J9" s="13" t="s">
        <v>84</v>
      </c>
    </row>
    <row r="10" spans="2:10">
      <c r="J10" s="13" t="s">
        <v>85</v>
      </c>
    </row>
    <row r="12" spans="2:10">
      <c r="J12" s="13" t="s">
        <v>87</v>
      </c>
    </row>
    <row r="15" spans="2:10">
      <c r="B15" s="4" t="s">
        <v>86</v>
      </c>
      <c r="C15" s="4" t="s">
        <v>47</v>
      </c>
      <c r="D15" s="4" t="s">
        <v>3</v>
      </c>
      <c r="F15" t="s">
        <v>14</v>
      </c>
      <c r="G15">
        <f>Tabela1[[#Totals],[xi*fi]]/Tabela1[[#Totals],[fi]]</f>
        <v>7.1</v>
      </c>
    </row>
    <row r="16" spans="2:10">
      <c r="B16" s="4">
        <v>6</v>
      </c>
      <c r="C16" s="4">
        <v>4</v>
      </c>
      <c r="D16" s="4">
        <f>Tabela1[[#This Row],[fi]]*Tabela1[[#This Row],[n]]</f>
        <v>24</v>
      </c>
      <c r="F16" t="s">
        <v>18</v>
      </c>
      <c r="G16">
        <v>6</v>
      </c>
    </row>
    <row r="17" spans="2:9">
      <c r="B17" s="4">
        <v>7</v>
      </c>
      <c r="C17" s="4">
        <v>3</v>
      </c>
      <c r="D17" s="4">
        <f>Tabela1[[#This Row],[fi]]*Tabela1[[#This Row],[n]]</f>
        <v>21</v>
      </c>
      <c r="F17" t="s">
        <v>16</v>
      </c>
      <c r="G17">
        <v>7</v>
      </c>
      <c r="I17">
        <v>6</v>
      </c>
    </row>
    <row r="18" spans="2:9">
      <c r="B18" s="4">
        <v>8</v>
      </c>
      <c r="C18" s="4">
        <v>1</v>
      </c>
      <c r="D18" s="4">
        <f>Tabela1[[#This Row],[fi]]*Tabela1[[#This Row],[n]]</f>
        <v>8</v>
      </c>
      <c r="I18">
        <v>6</v>
      </c>
    </row>
    <row r="19" spans="2:9">
      <c r="B19" s="4">
        <v>9</v>
      </c>
      <c r="C19" s="4">
        <v>2</v>
      </c>
      <c r="D19" s="4">
        <f>Tabela1[[#This Row],[fi]]*Tabela1[[#This Row],[n]]</f>
        <v>18</v>
      </c>
      <c r="I19">
        <v>6</v>
      </c>
    </row>
    <row r="20" spans="2:9">
      <c r="B20" s="4"/>
      <c r="C20" s="4">
        <f>SUM(C16:C19)</f>
        <v>10</v>
      </c>
      <c r="D20" s="4">
        <f>SUM(D16:D19)</f>
        <v>71</v>
      </c>
      <c r="I20">
        <v>6</v>
      </c>
    </row>
    <row r="21" spans="2:9">
      <c r="I21">
        <v>7</v>
      </c>
    </row>
    <row r="22" spans="2:9">
      <c r="I22">
        <v>7</v>
      </c>
    </row>
    <row r="23" spans="2:9">
      <c r="I23">
        <v>7</v>
      </c>
    </row>
    <row r="24" spans="2:9">
      <c r="I24">
        <v>8</v>
      </c>
    </row>
    <row r="25" spans="2:9">
      <c r="I25">
        <v>9</v>
      </c>
    </row>
    <row r="26" spans="2:9">
      <c r="I26">
        <v>9</v>
      </c>
    </row>
  </sheetData>
  <dataConsolidate function="average">
    <dataRefs count="1">
      <dataRef ref="B15:C19" sheet="Ex04"/>
    </dataRefs>
  </dataConsolidate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2759-F421-4B4B-BC13-2B95CA77A84A}">
  <dimension ref="B2:S19"/>
  <sheetViews>
    <sheetView zoomScale="130" zoomScaleNormal="130" workbookViewId="0">
      <selection activeCell="I7" sqref="I7:S7"/>
    </sheetView>
  </sheetViews>
  <sheetFormatPr defaultRowHeight="15"/>
  <cols>
    <col min="3" max="3" width="22.28515625" customWidth="1"/>
  </cols>
  <sheetData>
    <row r="2" spans="2:19">
      <c r="B2" s="15">
        <v>5</v>
      </c>
      <c r="C2" s="20" t="s">
        <v>101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2:19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9" ht="15.75" thickBot="1"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2:19" ht="10.5" customHeight="1" thickBot="1">
      <c r="C5" s="24" t="s">
        <v>88</v>
      </c>
      <c r="D5" s="25"/>
      <c r="E5" s="25"/>
      <c r="F5" s="25"/>
      <c r="G5" s="26"/>
      <c r="I5" s="22" t="s">
        <v>102</v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2:19" ht="28.5" customHeight="1" thickBot="1">
      <c r="C6" s="16" t="s">
        <v>89</v>
      </c>
      <c r="D6" s="17" t="s">
        <v>90</v>
      </c>
      <c r="E6" s="17" t="s">
        <v>91</v>
      </c>
      <c r="F6" s="17" t="s">
        <v>92</v>
      </c>
      <c r="G6" s="17" t="s">
        <v>93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2:19" ht="15.75" thickBot="1">
      <c r="C7" s="18" t="s">
        <v>94</v>
      </c>
      <c r="D7" s="19">
        <v>1</v>
      </c>
      <c r="E7" s="19">
        <v>5</v>
      </c>
      <c r="F7" s="19">
        <v>2.58</v>
      </c>
      <c r="G7" s="19">
        <v>1.05</v>
      </c>
      <c r="I7" s="23" t="s">
        <v>107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 ht="15.75" thickBot="1">
      <c r="C8" s="18" t="s">
        <v>95</v>
      </c>
      <c r="D8" s="19">
        <v>1</v>
      </c>
      <c r="E8" s="19">
        <v>4.71</v>
      </c>
      <c r="F8" s="19">
        <v>2.64</v>
      </c>
      <c r="G8" s="19">
        <v>0.88</v>
      </c>
      <c r="I8" s="22" t="s">
        <v>103</v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2:19" ht="26.25" thickBot="1">
      <c r="C9" s="18" t="s">
        <v>96</v>
      </c>
      <c r="D9" s="19">
        <v>1</v>
      </c>
      <c r="E9" s="19">
        <v>5</v>
      </c>
      <c r="F9" s="19">
        <v>2.91</v>
      </c>
      <c r="G9" s="19">
        <v>1.1299999999999999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19" ht="26.25" thickBot="1">
      <c r="C10" s="18" t="s">
        <v>97</v>
      </c>
      <c r="D10" s="19">
        <v>1</v>
      </c>
      <c r="E10" s="19">
        <v>5</v>
      </c>
      <c r="F10" s="19">
        <v>2.91</v>
      </c>
      <c r="G10" s="19">
        <v>1.1299999999999999</v>
      </c>
      <c r="I10" s="23" t="s">
        <v>108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2:19" ht="15.75" thickBot="1">
      <c r="C11" s="18" t="s">
        <v>98</v>
      </c>
      <c r="D11" s="19">
        <v>1.1499999999999999</v>
      </c>
      <c r="E11" s="19">
        <v>5</v>
      </c>
      <c r="F11" s="19">
        <v>2.87</v>
      </c>
      <c r="G11" s="19">
        <v>0.81</v>
      </c>
      <c r="I11" s="22" t="s">
        <v>104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26.25" thickBot="1">
      <c r="C12" s="18" t="s">
        <v>99</v>
      </c>
      <c r="D12" s="19">
        <v>1</v>
      </c>
      <c r="E12" s="19">
        <v>4.9000000000000004</v>
      </c>
      <c r="F12" s="19">
        <v>2.93</v>
      </c>
      <c r="G12" s="19">
        <v>0.85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19" ht="15.75" thickBot="1">
      <c r="C13" s="18" t="s">
        <v>100</v>
      </c>
      <c r="D13" s="19">
        <v>1</v>
      </c>
      <c r="E13" s="19">
        <v>4.83</v>
      </c>
      <c r="F13" s="19">
        <v>2.42</v>
      </c>
      <c r="G13" s="19">
        <v>0.95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2:19">
      <c r="I14" s="22" t="s">
        <v>105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19"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19"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9:19">
      <c r="I17" s="22" t="s">
        <v>106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9:19"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9:19"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mergeCells count="9">
    <mergeCell ref="I17:S18"/>
    <mergeCell ref="I7:S7"/>
    <mergeCell ref="I10:S10"/>
    <mergeCell ref="C5:G5"/>
    <mergeCell ref="C2:P4"/>
    <mergeCell ref="I5:S6"/>
    <mergeCell ref="I8:S9"/>
    <mergeCell ref="I11:S12"/>
    <mergeCell ref="I14:S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9CEA-632E-444D-BF70-7484B2802404}">
  <dimension ref="B2:H18"/>
  <sheetViews>
    <sheetView zoomScale="130" zoomScaleNormal="130" workbookViewId="0">
      <selection activeCell="G18" sqref="G18"/>
    </sheetView>
  </sheetViews>
  <sheetFormatPr defaultRowHeight="15"/>
  <cols>
    <col min="3" max="3" width="92.28515625" customWidth="1"/>
  </cols>
  <sheetData>
    <row r="2" spans="2:7" ht="39">
      <c r="B2" s="4">
        <v>6</v>
      </c>
      <c r="C2" s="27" t="s">
        <v>109</v>
      </c>
    </row>
    <row r="4" spans="2:7">
      <c r="E4" s="4" t="s">
        <v>111</v>
      </c>
      <c r="F4" s="4" t="s">
        <v>123</v>
      </c>
      <c r="G4" s="4" t="s">
        <v>65</v>
      </c>
    </row>
    <row r="5" spans="2:7">
      <c r="E5" s="4" t="s">
        <v>110</v>
      </c>
      <c r="F5" s="4">
        <v>6240</v>
      </c>
    </row>
    <row r="6" spans="2:7">
      <c r="E6" s="4" t="s">
        <v>112</v>
      </c>
      <c r="F6" s="4">
        <v>6240</v>
      </c>
    </row>
    <row r="7" spans="2:7">
      <c r="E7" s="4" t="s">
        <v>113</v>
      </c>
      <c r="F7" s="4">
        <v>6240</v>
      </c>
    </row>
    <row r="8" spans="2:7">
      <c r="E8" s="4" t="s">
        <v>114</v>
      </c>
      <c r="F8" s="4">
        <v>6780</v>
      </c>
    </row>
    <row r="9" spans="2:7">
      <c r="E9" s="4" t="s">
        <v>115</v>
      </c>
      <c r="F9" s="4">
        <v>6780</v>
      </c>
    </row>
    <row r="10" spans="2:7">
      <c r="E10" s="4" t="s">
        <v>116</v>
      </c>
      <c r="F10" s="4">
        <v>6780</v>
      </c>
    </row>
    <row r="11" spans="2:7">
      <c r="E11" s="4" t="s">
        <v>117</v>
      </c>
      <c r="F11" s="4">
        <v>6780</v>
      </c>
    </row>
    <row r="12" spans="2:7">
      <c r="E12" s="4" t="s">
        <v>118</v>
      </c>
      <c r="F12" s="4">
        <v>7236</v>
      </c>
    </row>
    <row r="13" spans="2:7">
      <c r="E13" s="4" t="s">
        <v>119</v>
      </c>
      <c r="F13" s="4">
        <v>7236</v>
      </c>
    </row>
    <row r="14" spans="2:7">
      <c r="E14" s="4" t="s">
        <v>120</v>
      </c>
      <c r="F14" s="4">
        <v>7236</v>
      </c>
    </row>
    <row r="15" spans="2:7">
      <c r="E15" s="4" t="s">
        <v>121</v>
      </c>
      <c r="F15" s="4">
        <v>7236</v>
      </c>
    </row>
    <row r="16" spans="2:7">
      <c r="E16" s="4" t="s">
        <v>122</v>
      </c>
      <c r="F16" s="4">
        <v>7236</v>
      </c>
    </row>
    <row r="17" spans="6:8">
      <c r="F17">
        <f>SUM(F5:F16)</f>
        <v>82020</v>
      </c>
    </row>
    <row r="18" spans="6:8">
      <c r="G18">
        <f>(F17+7080)/12</f>
        <v>7425</v>
      </c>
      <c r="H18" t="s">
        <v>87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619D-C4BC-457E-9C1C-52A8A2E30137}">
  <dimension ref="B2:M23"/>
  <sheetViews>
    <sheetView zoomScale="130" zoomScaleNormal="130" workbookViewId="0">
      <selection activeCell="L13" sqref="L13"/>
    </sheetView>
  </sheetViews>
  <sheetFormatPr defaultRowHeight="15"/>
  <cols>
    <col min="11" max="11" width="16.42578125" bestFit="1" customWidth="1"/>
    <col min="12" max="12" width="15.28515625" bestFit="1" customWidth="1"/>
    <col min="13" max="13" width="10.42578125" bestFit="1" customWidth="1"/>
  </cols>
  <sheetData>
    <row r="2" spans="2:11" ht="15" customHeight="1">
      <c r="B2">
        <v>7</v>
      </c>
      <c r="C2" s="29" t="s">
        <v>124</v>
      </c>
      <c r="D2" s="29"/>
      <c r="E2" s="29"/>
      <c r="F2" s="29"/>
      <c r="G2" s="29"/>
      <c r="H2" s="29"/>
      <c r="I2" s="29"/>
      <c r="J2" s="29"/>
      <c r="K2" s="29"/>
    </row>
    <row r="3" spans="2:11">
      <c r="C3" s="29"/>
      <c r="D3" s="29"/>
      <c r="E3" s="29"/>
      <c r="F3" s="29"/>
      <c r="G3" s="29"/>
      <c r="H3" s="29"/>
      <c r="I3" s="29"/>
      <c r="J3" s="29"/>
      <c r="K3" s="29"/>
    </row>
    <row r="4" spans="2:11">
      <c r="C4" s="29"/>
      <c r="D4" s="29"/>
      <c r="E4" s="29"/>
      <c r="F4" s="29"/>
      <c r="G4" s="29"/>
      <c r="H4" s="29"/>
      <c r="I4" s="29"/>
      <c r="J4" s="29"/>
      <c r="K4" s="29"/>
    </row>
    <row r="5" spans="2:11">
      <c r="C5" s="29"/>
      <c r="D5" s="29"/>
      <c r="E5" s="29"/>
      <c r="F5" s="29"/>
      <c r="G5" s="29"/>
      <c r="H5" s="29"/>
      <c r="I5" s="29"/>
      <c r="J5" s="29"/>
      <c r="K5" s="29"/>
    </row>
    <row r="9" spans="2:11">
      <c r="J9" s="12" t="s">
        <v>125</v>
      </c>
    </row>
    <row r="10" spans="2:11">
      <c r="J10" s="12"/>
    </row>
    <row r="11" spans="2:11">
      <c r="J11" s="12" t="s">
        <v>126</v>
      </c>
    </row>
    <row r="12" spans="2:11">
      <c r="J12" s="13" t="s">
        <v>127</v>
      </c>
    </row>
    <row r="13" spans="2:11">
      <c r="J13" s="13" t="s">
        <v>128</v>
      </c>
      <c r="K13" t="s">
        <v>138</v>
      </c>
    </row>
    <row r="14" spans="2:11">
      <c r="J14" s="13" t="s">
        <v>129</v>
      </c>
    </row>
    <row r="15" spans="2:11">
      <c r="J15" s="13" t="s">
        <v>130</v>
      </c>
    </row>
    <row r="16" spans="2:11">
      <c r="J16" s="13" t="s">
        <v>131</v>
      </c>
    </row>
    <row r="17" spans="10:13">
      <c r="J17" s="12" t="s">
        <v>132</v>
      </c>
    </row>
    <row r="18" spans="10:13">
      <c r="J18" s="30" t="s">
        <v>133</v>
      </c>
      <c r="K18" s="4" t="s">
        <v>135</v>
      </c>
      <c r="L18" s="4" t="s">
        <v>134</v>
      </c>
      <c r="M18" t="s">
        <v>136</v>
      </c>
    </row>
    <row r="19" spans="10:13">
      <c r="J19" s="4">
        <v>2005</v>
      </c>
      <c r="K19" s="4">
        <v>630</v>
      </c>
      <c r="L19" s="4">
        <v>90</v>
      </c>
      <c r="M19">
        <f>K19/L19</f>
        <v>7</v>
      </c>
    </row>
    <row r="20" spans="10:13">
      <c r="J20" s="4">
        <v>2007</v>
      </c>
      <c r="K20" s="4">
        <v>960</v>
      </c>
      <c r="L20" s="4">
        <v>120</v>
      </c>
      <c r="M20">
        <f t="shared" ref="M20:M23" si="0">K20/L20</f>
        <v>8</v>
      </c>
    </row>
    <row r="21" spans="10:13">
      <c r="J21" s="4">
        <v>2009</v>
      </c>
      <c r="K21" s="4">
        <v>1350</v>
      </c>
      <c r="L21" s="4">
        <v>270</v>
      </c>
      <c r="M21">
        <f t="shared" si="0"/>
        <v>5</v>
      </c>
    </row>
    <row r="22" spans="10:13">
      <c r="J22" s="4">
        <v>2011</v>
      </c>
      <c r="K22" s="4">
        <v>1800</v>
      </c>
      <c r="L22" s="4">
        <v>450</v>
      </c>
      <c r="M22">
        <f t="shared" si="0"/>
        <v>4</v>
      </c>
    </row>
    <row r="23" spans="10:13">
      <c r="J23" s="4">
        <v>2013</v>
      </c>
      <c r="K23" s="4">
        <v>3240</v>
      </c>
      <c r="L23" s="4">
        <v>540</v>
      </c>
      <c r="M23">
        <f t="shared" si="0"/>
        <v>6</v>
      </c>
    </row>
  </sheetData>
  <mergeCells count="1">
    <mergeCell ref="C2:K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0"/>
  <sheetViews>
    <sheetView zoomScale="130" zoomScaleNormal="130" workbookViewId="0">
      <selection activeCell="J16" sqref="J16"/>
    </sheetView>
  </sheetViews>
  <sheetFormatPr defaultColWidth="8.5703125" defaultRowHeight="15"/>
  <cols>
    <col min="2" max="2" width="22" customWidth="1"/>
  </cols>
  <sheetData>
    <row r="2" spans="1:18">
      <c r="B2">
        <v>8</v>
      </c>
      <c r="C2" s="31" t="s">
        <v>140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8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8"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8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8">
      <c r="A6" t="s">
        <v>86</v>
      </c>
      <c r="B6" t="s">
        <v>47</v>
      </c>
    </row>
    <row r="7" spans="1:18">
      <c r="A7" s="4" t="s">
        <v>40</v>
      </c>
      <c r="B7" s="4" t="s">
        <v>41</v>
      </c>
      <c r="C7" s="4" t="s">
        <v>42</v>
      </c>
      <c r="D7" s="4" t="s">
        <v>43</v>
      </c>
    </row>
    <row r="8" spans="1:18">
      <c r="A8" s="4">
        <v>1</v>
      </c>
      <c r="B8" s="4">
        <v>5</v>
      </c>
      <c r="C8" s="5">
        <f>B8*100%/$B$18</f>
        <v>1.2500000000000001E-2</v>
      </c>
      <c r="D8" s="5">
        <v>0.01</v>
      </c>
    </row>
    <row r="9" spans="1:18">
      <c r="A9" s="4">
        <v>3</v>
      </c>
      <c r="B9" s="4">
        <v>7</v>
      </c>
      <c r="C9" s="5">
        <f t="shared" ref="C9:C17" si="0">B9*100%/$B$18</f>
        <v>1.7500000000000002E-2</v>
      </c>
      <c r="D9" s="6">
        <f>D8+C9</f>
        <v>2.7500000000000004E-2</v>
      </c>
      <c r="G9" s="33" t="s">
        <v>141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18">
      <c r="A10" s="4">
        <v>5</v>
      </c>
      <c r="B10" s="4">
        <v>38</v>
      </c>
      <c r="C10" s="5">
        <f t="shared" si="0"/>
        <v>9.5000000000000001E-2</v>
      </c>
      <c r="D10" s="6">
        <f t="shared" ref="D10:D17" si="1">D9+C10</f>
        <v>0.1225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spans="1:18">
      <c r="A11" s="4">
        <v>6</v>
      </c>
      <c r="B11" s="4">
        <v>12</v>
      </c>
      <c r="C11" s="5">
        <f t="shared" si="0"/>
        <v>0.03</v>
      </c>
      <c r="D11" s="6">
        <f t="shared" si="1"/>
        <v>0.1525</v>
      </c>
      <c r="G11" s="12" t="s">
        <v>142</v>
      </c>
    </row>
    <row r="12" spans="1:18">
      <c r="A12" s="4">
        <v>9</v>
      </c>
      <c r="B12" s="4">
        <v>102</v>
      </c>
      <c r="C12" s="5">
        <f t="shared" si="0"/>
        <v>0.255</v>
      </c>
      <c r="D12" s="6">
        <f t="shared" si="1"/>
        <v>0.40749999999999997</v>
      </c>
      <c r="G12" s="13" t="s">
        <v>143</v>
      </c>
      <c r="I12" t="s">
        <v>149</v>
      </c>
    </row>
    <row r="13" spans="1:18">
      <c r="A13" s="4">
        <v>12</v>
      </c>
      <c r="B13" s="4">
        <v>24</v>
      </c>
      <c r="C13" s="5">
        <f t="shared" si="0"/>
        <v>0.06</v>
      </c>
      <c r="D13" s="6">
        <f t="shared" si="1"/>
        <v>0.46749999999999997</v>
      </c>
      <c r="G13" s="13" t="s">
        <v>144</v>
      </c>
    </row>
    <row r="14" spans="1:18">
      <c r="A14" s="4">
        <v>15</v>
      </c>
      <c r="B14" s="4">
        <v>90</v>
      </c>
      <c r="C14" s="5">
        <f t="shared" si="0"/>
        <v>0.22500000000000001</v>
      </c>
      <c r="D14" s="6">
        <f t="shared" si="1"/>
        <v>0.6925</v>
      </c>
      <c r="G14" s="13" t="s">
        <v>145</v>
      </c>
    </row>
    <row r="15" spans="1:18">
      <c r="A15" s="4">
        <v>18</v>
      </c>
      <c r="B15" s="4">
        <v>110</v>
      </c>
      <c r="C15" s="5">
        <f t="shared" si="0"/>
        <v>0.27500000000000002</v>
      </c>
      <c r="D15" s="6">
        <f t="shared" si="1"/>
        <v>0.96750000000000003</v>
      </c>
      <c r="G15" s="13" t="s">
        <v>146</v>
      </c>
    </row>
    <row r="16" spans="1:18">
      <c r="A16" s="4">
        <v>20</v>
      </c>
      <c r="B16" s="4">
        <v>2</v>
      </c>
      <c r="C16" s="5">
        <f t="shared" si="0"/>
        <v>5.0000000000000001E-3</v>
      </c>
      <c r="D16" s="6">
        <f t="shared" si="1"/>
        <v>0.97250000000000003</v>
      </c>
      <c r="G16" s="13" t="s">
        <v>147</v>
      </c>
    </row>
    <row r="17" spans="1:6">
      <c r="A17" s="4">
        <v>24</v>
      </c>
      <c r="B17" s="4">
        <v>10</v>
      </c>
      <c r="C17" s="5">
        <f t="shared" si="0"/>
        <v>2.5000000000000001E-2</v>
      </c>
      <c r="D17" s="6">
        <f t="shared" si="1"/>
        <v>0.99750000000000005</v>
      </c>
    </row>
    <row r="18" spans="1:6">
      <c r="A18" s="4"/>
      <c r="B18" s="4">
        <f>SUM(B8:B17)</f>
        <v>400</v>
      </c>
    </row>
    <row r="20" spans="1:6">
      <c r="F20" t="s">
        <v>148</v>
      </c>
    </row>
  </sheetData>
  <mergeCells count="2">
    <mergeCell ref="C2:P5"/>
    <mergeCell ref="G9:R10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0D51-3DD3-44F4-B6C2-9F386287531A}">
  <dimension ref="B2:Q27"/>
  <sheetViews>
    <sheetView zoomScale="130" zoomScaleNormal="130" workbookViewId="0">
      <selection activeCell="N22" sqref="N22"/>
    </sheetView>
  </sheetViews>
  <sheetFormatPr defaultRowHeight="15"/>
  <cols>
    <col min="15" max="15" width="11.85546875" bestFit="1" customWidth="1"/>
    <col min="16" max="16" width="14.28515625" bestFit="1" customWidth="1"/>
  </cols>
  <sheetData>
    <row r="2" spans="2:17" ht="15" customHeight="1">
      <c r="B2">
        <v>9</v>
      </c>
      <c r="C2" s="31" t="s">
        <v>150</v>
      </c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2:17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2:17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2:17"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2:17"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8" spans="2:17">
      <c r="K8" s="12" t="s">
        <v>151</v>
      </c>
    </row>
    <row r="9" spans="2:17">
      <c r="K9" s="13" t="s">
        <v>152</v>
      </c>
    </row>
    <row r="10" spans="2:17">
      <c r="K10" s="13" t="s">
        <v>153</v>
      </c>
      <c r="P10" t="s">
        <v>138</v>
      </c>
    </row>
    <row r="11" spans="2:17">
      <c r="K11" s="13" t="s">
        <v>154</v>
      </c>
      <c r="Q11" t="s">
        <v>139</v>
      </c>
    </row>
    <row r="12" spans="2:17">
      <c r="E12" s="28"/>
      <c r="K12" s="13" t="s">
        <v>155</v>
      </c>
    </row>
    <row r="13" spans="2:17">
      <c r="E13" s="28"/>
    </row>
    <row r="15" spans="2:17">
      <c r="K15" s="30" t="s">
        <v>111</v>
      </c>
      <c r="L15" s="1" t="s">
        <v>156</v>
      </c>
    </row>
    <row r="16" spans="2:17">
      <c r="K16" s="30" t="s">
        <v>114</v>
      </c>
      <c r="L16" s="1">
        <v>-0.31</v>
      </c>
    </row>
    <row r="17" spans="11:16">
      <c r="K17" s="30" t="s">
        <v>115</v>
      </c>
      <c r="L17" s="1">
        <v>-0.38</v>
      </c>
      <c r="O17" t="s">
        <v>157</v>
      </c>
      <c r="P17" t="s">
        <v>158</v>
      </c>
    </row>
    <row r="18" spans="11:16">
      <c r="K18" s="30" t="s">
        <v>116</v>
      </c>
      <c r="L18" s="1">
        <v>0.26</v>
      </c>
      <c r="O18">
        <v>1</v>
      </c>
      <c r="P18">
        <v>1</v>
      </c>
    </row>
    <row r="19" spans="11:16">
      <c r="K19" s="30" t="s">
        <v>117</v>
      </c>
      <c r="L19" s="1">
        <v>0.36</v>
      </c>
      <c r="O19">
        <v>1</v>
      </c>
      <c r="P19">
        <v>1</v>
      </c>
    </row>
    <row r="20" spans="11:16">
      <c r="K20" s="30" t="s">
        <v>118</v>
      </c>
      <c r="L20" s="1">
        <v>0.24</v>
      </c>
      <c r="O20">
        <v>1</v>
      </c>
    </row>
    <row r="21" spans="11:16">
      <c r="K21" s="30" t="s">
        <v>119</v>
      </c>
      <c r="L21" s="1">
        <v>0.64</v>
      </c>
      <c r="O21">
        <v>1</v>
      </c>
    </row>
    <row r="22" spans="11:16">
      <c r="K22" s="30" t="s">
        <v>120</v>
      </c>
      <c r="L22" s="1">
        <v>0.86</v>
      </c>
      <c r="O22">
        <v>1</v>
      </c>
      <c r="P22">
        <v>1</v>
      </c>
    </row>
    <row r="23" spans="11:16">
      <c r="K23" s="30" t="s">
        <v>121</v>
      </c>
      <c r="L23" s="1">
        <v>0.86</v>
      </c>
      <c r="O23">
        <v>1</v>
      </c>
    </row>
    <row r="24" spans="11:16">
      <c r="K24" s="30" t="s">
        <v>122</v>
      </c>
      <c r="L24" s="1">
        <v>1.35</v>
      </c>
      <c r="O24">
        <v>1</v>
      </c>
    </row>
    <row r="25" spans="11:16">
      <c r="K25" s="30" t="s">
        <v>110</v>
      </c>
      <c r="L25" s="1">
        <v>0.25</v>
      </c>
    </row>
    <row r="26" spans="11:16">
      <c r="K26" s="30" t="s">
        <v>112</v>
      </c>
      <c r="L26" s="1">
        <v>0.86</v>
      </c>
    </row>
    <row r="27" spans="11:16">
      <c r="K27" s="30" t="s">
        <v>113</v>
      </c>
      <c r="L27" s="1">
        <v>0.93</v>
      </c>
    </row>
  </sheetData>
  <mergeCells count="1">
    <mergeCell ref="C2:M6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G 5 E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C c b k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5 E V y i K R 7 g O A A A A E Q A A A B M A H A B G b 3 J t d W x h c y 9 T Z W N 0 a W 9 u M S 5 t I K I Y A C i g F A A A A A A A A A A A A A A A A A A A A A A A A A A A A C t O T S 7 J z M 9 T C I b Q h t Y A U E s B A i 0 A F A A C A A g A n G 5 E V z w r b i + j A A A A 9 g A A A B I A A A A A A A A A A A A A A A A A A A A A A E N v b m Z p Z y 9 Q Y W N r Y W d l L n h t b F B L A Q I t A B Q A A g A I A J x u R F c P y u m r p A A A A O k A A A A T A A A A A A A A A A A A A A A A A O 8 A A A B b Q 2 9 u d G V u d F 9 U e X B l c 1 0 u e G 1 s U E s B A i 0 A F A A C A A g A n G 5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y 3 W 0 A o 2 V R B m y W w y h D G G u o A A A A A A g A A A A A A E G Y A A A A B A A A g A A A A h X / L E H a A i b u u N 0 A 0 N K K 2 r P T l D z o a a 2 c H T l h y V y 7 C E f k A A A A A D o A A A A A C A A A g A A A A o H m 9 E K 9 R e g u / u 9 9 t U f 2 e U a K j C 8 e v B / o O g r A 3 x P v H j V t Q A A A A 3 7 x E 1 l S I m J D R x H K x e z 0 i h O Z N 5 9 r u f I w 2 H r d J R o U Y o E 0 E t U b c k c j q J K x g p N 7 j + a Q U h Y U 2 / C X Y 2 t O + a h u U K z f J G 8 C h J R P m / + 8 m g E f d s D g j D 3 N A A A A A g 6 M N r f g 3 f m B o r o S b E l d z k O T x R a j p a q I M W 6 M 0 z S k m i Q v a 6 8 6 x C F J 7 v D O G D Y 4 Q P A Q k j j M t 4 N V E e B 3 V A U X L u Y / R p w = = < / D a t a M a s h u p > 
</file>

<file path=customXml/itemProps1.xml><?xml version="1.0" encoding="utf-8"?>
<ds:datastoreItem xmlns:ds="http://schemas.openxmlformats.org/officeDocument/2006/customXml" ds:itemID="{D2C52DC9-F5F5-4BB9-B831-0479F6FBC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Ex01</vt:lpstr>
      <vt:lpstr>Ex02</vt:lpstr>
      <vt:lpstr>Ex03</vt:lpstr>
      <vt:lpstr>Ex04</vt:lpstr>
      <vt:lpstr>Ex05</vt:lpstr>
      <vt:lpstr>Ex06</vt:lpstr>
      <vt:lpstr>Ex07</vt:lpstr>
      <vt:lpstr>Ex08</vt:lpstr>
      <vt:lpstr>Ex09</vt:lpstr>
      <vt:lpstr>Ex10</vt:lpstr>
      <vt:lpstr>Ex11</vt:lpstr>
      <vt:lpstr>Ex12</vt:lpstr>
      <vt:lpstr>Ex13</vt:lpstr>
      <vt:lpstr>Ex14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Kendy</dc:creator>
  <dc:description/>
  <cp:lastModifiedBy>Lucas Kendy</cp:lastModifiedBy>
  <cp:revision>1</cp:revision>
  <dcterms:created xsi:type="dcterms:W3CDTF">2023-09-29T14:23:34Z</dcterms:created>
  <dcterms:modified xsi:type="dcterms:W3CDTF">2023-10-05T14:58:13Z</dcterms:modified>
  <dc:language>pt-BR</dc:language>
</cp:coreProperties>
</file>