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rnalitica.sharepoint.com/sites/Suez-Calibraes/Documentos Compartilhados/General/"/>
    </mc:Choice>
  </mc:AlternateContent>
  <xr:revisionPtr revIDLastSave="170" documentId="13_ncr:1_{D1B9681B-B452-49DE-87C0-A50DA186E385}" xr6:coauthVersionLast="47" xr6:coauthVersionMax="47" xr10:uidLastSave="{48358192-ED7C-4AD4-BD9F-1ACFEBE5699D}"/>
  <bookViews>
    <workbookView xWindow="-120" yWindow="-120" windowWidth="20730" windowHeight="11160" tabRatio="748" activeTab="6" xr2:uid="{7C125AF2-AC92-4BC0-8663-B193B63C57D4}"/>
  </bookViews>
  <sheets>
    <sheet name="KPIs" sheetId="3" r:id="rId1"/>
    <sheet name="Obs Tecnicas" sheetId="2" r:id="rId2"/>
    <sheet name="Planilha1" sheetId="1" r:id="rId3"/>
    <sheet name="Não Encontrado" sheetId="11" r:id="rId4"/>
    <sheet name="Distritos" sheetId="4" r:id="rId5"/>
    <sheet name="Equipamentos Desativados" sheetId="10" r:id="rId6"/>
    <sheet name="Adicionados" sheetId="12" r:id="rId7"/>
  </sheets>
  <externalReferences>
    <externalReference r:id="rId8"/>
  </externalReferences>
  <definedNames>
    <definedName name="_xlnm._FilterDatabase" localSheetId="6" hidden="1">Adicionados!$G$1:$G$45</definedName>
    <definedName name="_xlnm._FilterDatabase" localSheetId="5" hidden="1">'Equipamentos Desativados'!$A$1:$T$3</definedName>
    <definedName name="_xlnm._FilterDatabase" localSheetId="1" hidden="1">'Obs Tecnicas'!$A$1:$J$122</definedName>
    <definedName name="_xlnm._FilterDatabase" localSheetId="2" hidden="1">Planilha1!$A$1:$AF$289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2" i="2" l="1"/>
  <c r="J122" i="2"/>
  <c r="J121" i="2"/>
  <c r="I121" i="2"/>
  <c r="J120" i="2"/>
  <c r="J119" i="2"/>
  <c r="J118" i="2"/>
  <c r="J117" i="2"/>
  <c r="J115" i="2"/>
  <c r="J112" i="2"/>
  <c r="J113" i="2"/>
  <c r="J114" i="2"/>
  <c r="J116" i="2"/>
  <c r="J107" i="2"/>
  <c r="J108" i="2"/>
  <c r="J109" i="2"/>
  <c r="J110" i="2"/>
  <c r="J111" i="2"/>
  <c r="I114" i="2"/>
  <c r="I115" i="2"/>
  <c r="I116" i="2"/>
  <c r="I117" i="2"/>
  <c r="I118" i="2"/>
  <c r="I119" i="2"/>
  <c r="I120" i="2"/>
  <c r="P289" i="1"/>
  <c r="Q289" i="1" s="1"/>
  <c r="P197" i="1"/>
  <c r="Q197" i="1" s="1"/>
  <c r="J56" i="12"/>
  <c r="X19" i="11"/>
  <c r="W19" i="11"/>
  <c r="T19" i="11"/>
  <c r="S19" i="11"/>
  <c r="R19" i="11"/>
  <c r="P19" i="11"/>
  <c r="V19" i="11" s="1"/>
  <c r="J55" i="12"/>
  <c r="J54" i="12"/>
  <c r="J53" i="12"/>
  <c r="S197" i="1"/>
  <c r="S196" i="1"/>
  <c r="S37" i="1"/>
  <c r="S36" i="1"/>
  <c r="I113" i="2"/>
  <c r="I112" i="2"/>
  <c r="I111" i="2"/>
  <c r="I110" i="2"/>
  <c r="I109" i="2"/>
  <c r="J90" i="2"/>
  <c r="J91" i="2"/>
  <c r="J92" i="2"/>
  <c r="J93" i="2"/>
  <c r="R92" i="1"/>
  <c r="S92" i="1"/>
  <c r="T92" i="1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X18" i="11"/>
  <c r="W18" i="11"/>
  <c r="T18" i="11"/>
  <c r="S18" i="11"/>
  <c r="R18" i="11"/>
  <c r="P18" i="11"/>
  <c r="V18" i="11" s="1"/>
  <c r="J105" i="2"/>
  <c r="X17" i="11"/>
  <c r="W17" i="11"/>
  <c r="T17" i="11"/>
  <c r="S17" i="11"/>
  <c r="R17" i="11"/>
  <c r="P17" i="11"/>
  <c r="V17" i="11" s="1"/>
  <c r="J104" i="2"/>
  <c r="J106" i="2"/>
  <c r="J100" i="2"/>
  <c r="J101" i="2"/>
  <c r="J102" i="2"/>
  <c r="J103" i="2"/>
  <c r="J94" i="2"/>
  <c r="J95" i="2"/>
  <c r="J96" i="2"/>
  <c r="J97" i="2"/>
  <c r="J98" i="2"/>
  <c r="J99" i="2"/>
  <c r="P96" i="1"/>
  <c r="J85" i="2"/>
  <c r="J86" i="2"/>
  <c r="J87" i="2"/>
  <c r="J88" i="2"/>
  <c r="J89" i="2"/>
  <c r="I88" i="2"/>
  <c r="I87" i="2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J84" i="2"/>
  <c r="I85" i="2"/>
  <c r="I86" i="2"/>
  <c r="I84" i="2"/>
  <c r="K46" i="12"/>
  <c r="X46" i="12"/>
  <c r="W46" i="12"/>
  <c r="T46" i="12"/>
  <c r="S46" i="12"/>
  <c r="R46" i="12"/>
  <c r="R217" i="1"/>
  <c r="S217" i="1"/>
  <c r="T217" i="1"/>
  <c r="P217" i="1"/>
  <c r="Q217" i="1" s="1"/>
  <c r="W217" i="1"/>
  <c r="X217" i="1"/>
  <c r="X16" i="11"/>
  <c r="W16" i="11"/>
  <c r="T16" i="11"/>
  <c r="S16" i="11"/>
  <c r="R16" i="11"/>
  <c r="P16" i="11"/>
  <c r="V16" i="11" s="1"/>
  <c r="J83" i="2"/>
  <c r="I83" i="2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59" i="1"/>
  <c r="P260" i="1"/>
  <c r="P261" i="1"/>
  <c r="P262" i="1"/>
  <c r="P263" i="1"/>
  <c r="P264" i="1"/>
  <c r="P265" i="1"/>
  <c r="P266" i="1"/>
  <c r="P267" i="1"/>
  <c r="P268" i="1"/>
  <c r="I79" i="2"/>
  <c r="I80" i="2"/>
  <c r="I81" i="2"/>
  <c r="I82" i="2"/>
  <c r="J82" i="2"/>
  <c r="J81" i="2"/>
  <c r="P115" i="1"/>
  <c r="J79" i="2"/>
  <c r="J80" i="2"/>
  <c r="Q19" i="11" l="1"/>
  <c r="Q18" i="11"/>
  <c r="Q17" i="11"/>
  <c r="Q16" i="11"/>
  <c r="Q281" i="1"/>
  <c r="Q280" i="1"/>
  <c r="Q279" i="1"/>
  <c r="Q278" i="1"/>
  <c r="Q277" i="1"/>
  <c r="Q276" i="1"/>
  <c r="Q275" i="1"/>
  <c r="Q274" i="1"/>
  <c r="Q273" i="1"/>
  <c r="Q272" i="1"/>
  <c r="S67" i="1"/>
  <c r="Q271" i="1"/>
  <c r="Q270" i="1"/>
  <c r="Q269" i="1"/>
  <c r="P157" i="1"/>
  <c r="Q157" i="1" s="1"/>
  <c r="B3" i="4"/>
  <c r="B4" i="4"/>
  <c r="B5" i="4"/>
  <c r="B6" i="4"/>
  <c r="B7" i="4"/>
  <c r="B8" i="4"/>
  <c r="B9" i="4"/>
  <c r="B10" i="4"/>
  <c r="B2" i="4"/>
  <c r="V76" i="1"/>
  <c r="P11" i="10"/>
  <c r="T11" i="10"/>
  <c r="R11" i="10"/>
  <c r="P3" i="1"/>
  <c r="Q3" i="1" s="1"/>
  <c r="P5" i="10"/>
  <c r="P6" i="10"/>
  <c r="V6" i="10" s="1"/>
  <c r="P7" i="10"/>
  <c r="P8" i="10"/>
  <c r="P9" i="10"/>
  <c r="P10" i="10"/>
  <c r="X14" i="11"/>
  <c r="W14" i="11"/>
  <c r="S14" i="11"/>
  <c r="R14" i="11"/>
  <c r="P14" i="11"/>
  <c r="V14" i="11" s="1"/>
  <c r="X13" i="11"/>
  <c r="W13" i="11"/>
  <c r="S13" i="11"/>
  <c r="R13" i="11"/>
  <c r="P13" i="11"/>
  <c r="V13" i="11" s="1"/>
  <c r="I78" i="2"/>
  <c r="J76" i="2"/>
  <c r="J77" i="2"/>
  <c r="J78" i="2"/>
  <c r="I74" i="2"/>
  <c r="I75" i="2"/>
  <c r="I76" i="2"/>
  <c r="I77" i="2"/>
  <c r="J73" i="2"/>
  <c r="J74" i="2"/>
  <c r="J75" i="2"/>
  <c r="I73" i="2"/>
  <c r="J72" i="2"/>
  <c r="I72" i="2"/>
  <c r="X12" i="11"/>
  <c r="W12" i="11"/>
  <c r="S12" i="11"/>
  <c r="R12" i="11"/>
  <c r="P12" i="11"/>
  <c r="V12" i="11" s="1"/>
  <c r="X11" i="11"/>
  <c r="W11" i="11"/>
  <c r="S11" i="11"/>
  <c r="R11" i="11"/>
  <c r="P11" i="11"/>
  <c r="V11" i="11" s="1"/>
  <c r="X10" i="11"/>
  <c r="W10" i="11"/>
  <c r="S10" i="11"/>
  <c r="R10" i="11"/>
  <c r="P10" i="11"/>
  <c r="V10" i="11" s="1"/>
  <c r="J69" i="2"/>
  <c r="J70" i="2"/>
  <c r="J71" i="2"/>
  <c r="I71" i="2"/>
  <c r="I70" i="2"/>
  <c r="I69" i="2"/>
  <c r="X9" i="11"/>
  <c r="W9" i="11"/>
  <c r="R9" i="11"/>
  <c r="P9" i="11"/>
  <c r="V9" i="11" s="1"/>
  <c r="J65" i="2"/>
  <c r="J66" i="2"/>
  <c r="J67" i="2"/>
  <c r="J68" i="2"/>
  <c r="I65" i="2"/>
  <c r="I66" i="2"/>
  <c r="I67" i="2"/>
  <c r="I68" i="2"/>
  <c r="R10" i="10"/>
  <c r="R9" i="10"/>
  <c r="I63" i="2"/>
  <c r="J63" i="2"/>
  <c r="I64" i="2"/>
  <c r="J64" i="2"/>
  <c r="J62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I4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6" i="2"/>
  <c r="J47" i="2"/>
  <c r="J48" i="2"/>
  <c r="T219" i="1"/>
  <c r="S268" i="1"/>
  <c r="S219" i="1"/>
  <c r="R219" i="1"/>
  <c r="Q268" i="1"/>
  <c r="P219" i="1"/>
  <c r="Q219" i="1" s="1"/>
  <c r="P20" i="3"/>
  <c r="P21" i="3"/>
  <c r="V8" i="10"/>
  <c r="X7" i="11"/>
  <c r="W7" i="11"/>
  <c r="R7" i="11"/>
  <c r="P7" i="11"/>
  <c r="V7" i="11" s="1"/>
  <c r="R179" i="1"/>
  <c r="R180" i="1"/>
  <c r="X8" i="10"/>
  <c r="W8" i="10"/>
  <c r="T8" i="10"/>
  <c r="R8" i="10"/>
  <c r="I43" i="2"/>
  <c r="I44" i="2"/>
  <c r="I45" i="2"/>
  <c r="I46" i="2"/>
  <c r="I47" i="2"/>
  <c r="I48" i="2"/>
  <c r="I42" i="2"/>
  <c r="I41" i="2"/>
  <c r="X6" i="11"/>
  <c r="W6" i="11"/>
  <c r="R6" i="11"/>
  <c r="P6" i="11"/>
  <c r="V6" i="11" s="1"/>
  <c r="X5" i="11"/>
  <c r="W5" i="11"/>
  <c r="R5" i="11"/>
  <c r="P5" i="11"/>
  <c r="V5" i="11" s="1"/>
  <c r="X4" i="11"/>
  <c r="W4" i="11"/>
  <c r="R4" i="11"/>
  <c r="P4" i="11"/>
  <c r="V4" i="11" s="1"/>
  <c r="X3" i="11"/>
  <c r="W3" i="11"/>
  <c r="R3" i="11"/>
  <c r="P3" i="11"/>
  <c r="V3" i="11" s="1"/>
  <c r="X7" i="10"/>
  <c r="W7" i="10"/>
  <c r="T7" i="10"/>
  <c r="R7" i="10"/>
  <c r="V7" i="10"/>
  <c r="X6" i="10"/>
  <c r="W6" i="10"/>
  <c r="T6" i="10"/>
  <c r="R6" i="10"/>
  <c r="P145" i="1"/>
  <c r="Q145" i="1" s="1"/>
  <c r="P144" i="1"/>
  <c r="Q144" i="1" s="1"/>
  <c r="P143" i="1"/>
  <c r="Q143" i="1" s="1"/>
  <c r="P4" i="10"/>
  <c r="V4" i="10" s="1"/>
  <c r="X5" i="10"/>
  <c r="W5" i="10"/>
  <c r="T5" i="10"/>
  <c r="S5" i="10"/>
  <c r="R5" i="10"/>
  <c r="T241" i="1"/>
  <c r="T242" i="1"/>
  <c r="S242" i="1"/>
  <c r="R241" i="1"/>
  <c r="R242" i="1"/>
  <c r="P242" i="1"/>
  <c r="Q242" i="1" s="1"/>
  <c r="S241" i="1"/>
  <c r="P241" i="1"/>
  <c r="V241" i="1" s="1"/>
  <c r="T4" i="10"/>
  <c r="T243" i="1"/>
  <c r="W266" i="1"/>
  <c r="X266" i="1"/>
  <c r="S141" i="1"/>
  <c r="T141" i="1"/>
  <c r="R141" i="1"/>
  <c r="P141" i="1"/>
  <c r="V141" i="1" s="1"/>
  <c r="I40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8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8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X2" i="1"/>
  <c r="W2" i="1"/>
  <c r="T132" i="1"/>
  <c r="T265" i="1"/>
  <c r="T83" i="1"/>
  <c r="T60" i="1"/>
  <c r="T133" i="1"/>
  <c r="T61" i="1"/>
  <c r="T134" i="1"/>
  <c r="T135" i="1"/>
  <c r="T117" i="1"/>
  <c r="T136" i="1"/>
  <c r="T118" i="1"/>
  <c r="T137" i="1"/>
  <c r="T138" i="1"/>
  <c r="T139" i="1"/>
  <c r="T140" i="1"/>
  <c r="S132" i="1"/>
  <c r="S265" i="1"/>
  <c r="S83" i="1"/>
  <c r="S266" i="1"/>
  <c r="S60" i="1"/>
  <c r="S267" i="1"/>
  <c r="S133" i="1"/>
  <c r="S61" i="1"/>
  <c r="S134" i="1"/>
  <c r="S135" i="1"/>
  <c r="S117" i="1"/>
  <c r="S136" i="1"/>
  <c r="S118" i="1"/>
  <c r="S137" i="1"/>
  <c r="S138" i="1"/>
  <c r="S139" i="1"/>
  <c r="S140" i="1"/>
  <c r="R172" i="1"/>
  <c r="R173" i="1"/>
  <c r="R174" i="1"/>
  <c r="R38" i="1"/>
  <c r="R39" i="1"/>
  <c r="R40" i="1"/>
  <c r="R41" i="1"/>
  <c r="R42" i="1"/>
  <c r="R43" i="1"/>
  <c r="R106" i="1"/>
  <c r="R107" i="1"/>
  <c r="R98" i="1"/>
  <c r="R262" i="1"/>
  <c r="R263" i="1"/>
  <c r="R264" i="1"/>
  <c r="R5" i="1"/>
  <c r="R6" i="1"/>
  <c r="R7" i="1"/>
  <c r="R165" i="1"/>
  <c r="R8" i="1"/>
  <c r="R9" i="1"/>
  <c r="R185" i="1"/>
  <c r="R234" i="1"/>
  <c r="R235" i="1"/>
  <c r="R216" i="1"/>
  <c r="R218" i="1"/>
  <c r="R35" i="1"/>
  <c r="R36" i="1"/>
  <c r="R37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181" i="1"/>
  <c r="R182" i="1"/>
  <c r="R183" i="1"/>
  <c r="R184" i="1"/>
  <c r="R132" i="1"/>
  <c r="R265" i="1"/>
  <c r="R83" i="1"/>
  <c r="R266" i="1"/>
  <c r="R60" i="1"/>
  <c r="R267" i="1"/>
  <c r="R133" i="1"/>
  <c r="R61" i="1"/>
  <c r="R134" i="1"/>
  <c r="R135" i="1"/>
  <c r="R117" i="1"/>
  <c r="R136" i="1"/>
  <c r="R118" i="1"/>
  <c r="R137" i="1"/>
  <c r="R138" i="1"/>
  <c r="R139" i="1"/>
  <c r="R140" i="1"/>
  <c r="P132" i="1"/>
  <c r="V132" i="1" s="1"/>
  <c r="Q265" i="1"/>
  <c r="P83" i="1"/>
  <c r="V83" i="1" s="1"/>
  <c r="Q266" i="1"/>
  <c r="P60" i="1"/>
  <c r="Q60" i="1" s="1"/>
  <c r="Q267" i="1"/>
  <c r="P133" i="1"/>
  <c r="V133" i="1" s="1"/>
  <c r="P61" i="1"/>
  <c r="Q61" i="1" s="1"/>
  <c r="P134" i="1"/>
  <c r="V134" i="1" s="1"/>
  <c r="P135" i="1"/>
  <c r="Q135" i="1" s="1"/>
  <c r="P117" i="1"/>
  <c r="V117" i="1" s="1"/>
  <c r="P136" i="1"/>
  <c r="Q136" i="1" s="1"/>
  <c r="P118" i="1"/>
  <c r="Q118" i="1" s="1"/>
  <c r="P137" i="1"/>
  <c r="Q137" i="1" s="1"/>
  <c r="P138" i="1"/>
  <c r="V138" i="1" s="1"/>
  <c r="P139" i="1"/>
  <c r="Q139" i="1" s="1"/>
  <c r="P140" i="1"/>
  <c r="V140" i="1" s="1"/>
  <c r="J3" i="2"/>
  <c r="J2" i="2"/>
  <c r="P3" i="10"/>
  <c r="V3" i="10" s="1"/>
  <c r="P2" i="10"/>
  <c r="V2" i="10" s="1"/>
  <c r="I2" i="2"/>
  <c r="P121" i="1"/>
  <c r="Q121" i="1" s="1"/>
  <c r="P71" i="1"/>
  <c r="Q71" i="1" s="1"/>
  <c r="P244" i="1"/>
  <c r="Q244" i="1" s="1"/>
  <c r="P245" i="1"/>
  <c r="Q245" i="1" s="1"/>
  <c r="P72" i="1"/>
  <c r="Q72" i="1" s="1"/>
  <c r="P73" i="1"/>
  <c r="Q73" i="1" s="1"/>
  <c r="P74" i="1"/>
  <c r="Q74" i="1" s="1"/>
  <c r="P75" i="1"/>
  <c r="Q75" i="1" s="1"/>
  <c r="P220" i="1"/>
  <c r="Q220" i="1" s="1"/>
  <c r="P253" i="1"/>
  <c r="Q253" i="1" s="1"/>
  <c r="P237" i="1"/>
  <c r="Q237" i="1" s="1"/>
  <c r="P238" i="1"/>
  <c r="Q238" i="1" s="1"/>
  <c r="P239" i="1"/>
  <c r="Q239" i="1" s="1"/>
  <c r="P240" i="1"/>
  <c r="Q240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54" i="1"/>
  <c r="Q254" i="1" s="1"/>
  <c r="P255" i="1"/>
  <c r="Q255" i="1" s="1"/>
  <c r="P256" i="1"/>
  <c r="Q256" i="1" s="1"/>
  <c r="P257" i="1"/>
  <c r="Q257" i="1" s="1"/>
  <c r="P258" i="1"/>
  <c r="Q258" i="1" s="1"/>
  <c r="P62" i="1"/>
  <c r="Q62" i="1" s="1"/>
  <c r="P63" i="1"/>
  <c r="Q63" i="1" s="1"/>
  <c r="P64" i="1"/>
  <c r="Q64" i="1" s="1"/>
  <c r="P65" i="1"/>
  <c r="Q65" i="1" s="1"/>
  <c r="P44" i="1"/>
  <c r="Q44" i="1" s="1"/>
  <c r="P45" i="1"/>
  <c r="Q45" i="1" s="1"/>
  <c r="Q259" i="1"/>
  <c r="Q260" i="1"/>
  <c r="Q261" i="1"/>
  <c r="P167" i="1"/>
  <c r="Q167" i="1" s="1"/>
  <c r="P168" i="1"/>
  <c r="Q168" i="1" s="1"/>
  <c r="P169" i="1"/>
  <c r="Q169" i="1" s="1"/>
  <c r="P170" i="1"/>
  <c r="Q170" i="1" s="1"/>
  <c r="P171" i="1"/>
  <c r="Q17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84" i="1"/>
  <c r="Q84" i="1" s="1"/>
  <c r="P186" i="1"/>
  <c r="Q186" i="1" s="1"/>
  <c r="P166" i="1"/>
  <c r="Q166" i="1" s="1"/>
  <c r="P155" i="1"/>
  <c r="Q155" i="1" s="1"/>
  <c r="P156" i="1"/>
  <c r="Q156" i="1" s="1"/>
  <c r="P158" i="1"/>
  <c r="Q158" i="1" s="1"/>
  <c r="P159" i="1"/>
  <c r="Q159" i="1" s="1"/>
  <c r="P160" i="1"/>
  <c r="Q160" i="1" s="1"/>
  <c r="P161" i="1"/>
  <c r="Q161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Q96" i="1"/>
  <c r="P236" i="1"/>
  <c r="Q236" i="1" s="1"/>
  <c r="P113" i="1"/>
  <c r="Q113" i="1" s="1"/>
  <c r="P114" i="1"/>
  <c r="Q114" i="1" s="1"/>
  <c r="Q115" i="1"/>
  <c r="P116" i="1"/>
  <c r="Q116" i="1" s="1"/>
  <c r="P142" i="1"/>
  <c r="Q142" i="1" s="1"/>
  <c r="P2" i="1"/>
  <c r="Q2" i="1" s="1"/>
  <c r="P4" i="1"/>
  <c r="Q4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62" i="1"/>
  <c r="Q162" i="1" s="1"/>
  <c r="P163" i="1"/>
  <c r="Q163" i="1" s="1"/>
  <c r="P164" i="1"/>
  <c r="Q164" i="1" s="1"/>
  <c r="P194" i="1"/>
  <c r="Q194" i="1" s="1"/>
  <c r="P195" i="1"/>
  <c r="Q195" i="1" s="1"/>
  <c r="P146" i="1"/>
  <c r="Q146" i="1" s="1"/>
  <c r="P147" i="1"/>
  <c r="Q147" i="1" s="1"/>
  <c r="P148" i="1"/>
  <c r="Q148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108" i="1"/>
  <c r="Q108" i="1" s="1"/>
  <c r="P109" i="1"/>
  <c r="Q109" i="1" s="1"/>
  <c r="P110" i="1"/>
  <c r="Q110" i="1" s="1"/>
  <c r="P111" i="1"/>
  <c r="Q111" i="1" s="1"/>
  <c r="P112" i="1"/>
  <c r="Q112" i="1" s="1"/>
  <c r="P85" i="1"/>
  <c r="Q85" i="1" s="1"/>
  <c r="P86" i="1"/>
  <c r="Q86" i="1" s="1"/>
  <c r="P87" i="1"/>
  <c r="Q87" i="1" s="1"/>
  <c r="P88" i="1"/>
  <c r="Q88" i="1" s="1"/>
  <c r="P89" i="1"/>
  <c r="Q89" i="1" s="1"/>
  <c r="P97" i="1"/>
  <c r="Q97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66" i="1"/>
  <c r="Q66" i="1" s="1"/>
  <c r="P67" i="1"/>
  <c r="Q67" i="1" s="1"/>
  <c r="Q76" i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175" i="1"/>
  <c r="Q175" i="1" s="1"/>
  <c r="P176" i="1"/>
  <c r="Q176" i="1" s="1"/>
  <c r="P177" i="1"/>
  <c r="Q177" i="1" s="1"/>
  <c r="P178" i="1"/>
  <c r="Q178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221" i="1"/>
  <c r="Q221" i="1" s="1"/>
  <c r="P222" i="1"/>
  <c r="Q222" i="1" s="1"/>
  <c r="P223" i="1"/>
  <c r="Q223" i="1" s="1"/>
  <c r="P224" i="1"/>
  <c r="Q224" i="1" s="1"/>
  <c r="P225" i="1"/>
  <c r="Q225" i="1" s="1"/>
  <c r="P246" i="1"/>
  <c r="Q246" i="1" s="1"/>
  <c r="P252" i="1"/>
  <c r="Q252" i="1" s="1"/>
  <c r="P248" i="1"/>
  <c r="Q248" i="1" s="1"/>
  <c r="P250" i="1"/>
  <c r="Q250" i="1" s="1"/>
  <c r="P251" i="1"/>
  <c r="Q251" i="1" s="1"/>
  <c r="P10" i="1"/>
  <c r="Q10" i="1" s="1"/>
  <c r="P172" i="1"/>
  <c r="Q172" i="1" s="1"/>
  <c r="P173" i="1"/>
  <c r="Q173" i="1" s="1"/>
  <c r="P174" i="1"/>
  <c r="Q174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106" i="1"/>
  <c r="Q106" i="1" s="1"/>
  <c r="P107" i="1"/>
  <c r="Q107" i="1" s="1"/>
  <c r="P98" i="1"/>
  <c r="Q98" i="1" s="1"/>
  <c r="Q262" i="1"/>
  <c r="Q263" i="1"/>
  <c r="Q264" i="1"/>
  <c r="P5" i="1"/>
  <c r="Q5" i="1" s="1"/>
  <c r="P6" i="1"/>
  <c r="Q6" i="1" s="1"/>
  <c r="P7" i="1"/>
  <c r="Q7" i="1" s="1"/>
  <c r="P165" i="1"/>
  <c r="Q165" i="1" s="1"/>
  <c r="P8" i="1"/>
  <c r="Q8" i="1" s="1"/>
  <c r="P9" i="1"/>
  <c r="Q9" i="1" s="1"/>
  <c r="P185" i="1"/>
  <c r="Q185" i="1" s="1"/>
  <c r="P234" i="1"/>
  <c r="V234" i="1" s="1"/>
  <c r="P235" i="1"/>
  <c r="V235" i="1" s="1"/>
  <c r="P216" i="1"/>
  <c r="V216" i="1" s="1"/>
  <c r="P218" i="1"/>
  <c r="V218" i="1" s="1"/>
  <c r="P35" i="1"/>
  <c r="V35" i="1" s="1"/>
  <c r="P36" i="1"/>
  <c r="P37" i="1"/>
  <c r="P46" i="1"/>
  <c r="V46" i="1" s="1"/>
  <c r="P47" i="1"/>
  <c r="V47" i="1" s="1"/>
  <c r="P48" i="1"/>
  <c r="V48" i="1" s="1"/>
  <c r="P49" i="1"/>
  <c r="V49" i="1" s="1"/>
  <c r="P50" i="1"/>
  <c r="V50" i="1" s="1"/>
  <c r="P51" i="1"/>
  <c r="V51" i="1" s="1"/>
  <c r="P52" i="1"/>
  <c r="V52" i="1" s="1"/>
  <c r="P53" i="1"/>
  <c r="V53" i="1" s="1"/>
  <c r="P54" i="1"/>
  <c r="V54" i="1" s="1"/>
  <c r="P55" i="1"/>
  <c r="V55" i="1" s="1"/>
  <c r="P56" i="1"/>
  <c r="V56" i="1" s="1"/>
  <c r="P57" i="1"/>
  <c r="V57" i="1" s="1"/>
  <c r="P58" i="1"/>
  <c r="V58" i="1" s="1"/>
  <c r="P59" i="1"/>
  <c r="V59" i="1" s="1"/>
  <c r="P179" i="1"/>
  <c r="V179" i="1" s="1"/>
  <c r="P180" i="1"/>
  <c r="V180" i="1" s="1"/>
  <c r="P181" i="1"/>
  <c r="V181" i="1" s="1"/>
  <c r="P182" i="1"/>
  <c r="V182" i="1" s="1"/>
  <c r="P183" i="1"/>
  <c r="V183" i="1" s="1"/>
  <c r="P184" i="1"/>
  <c r="V184" i="1" s="1"/>
  <c r="P243" i="1"/>
  <c r="Q243" i="1" s="1"/>
  <c r="P68" i="1"/>
  <c r="Q68" i="1" s="1"/>
  <c r="P129" i="1"/>
  <c r="Q129" i="1" s="1"/>
  <c r="P130" i="1"/>
  <c r="Q130" i="1" s="1"/>
  <c r="P131" i="1"/>
  <c r="Q131" i="1" s="1"/>
  <c r="P119" i="1"/>
  <c r="Q119" i="1" s="1"/>
  <c r="P69" i="1"/>
  <c r="Q69" i="1" s="1"/>
  <c r="P70" i="1"/>
  <c r="Q70" i="1" s="1"/>
  <c r="P120" i="1"/>
  <c r="Q120" i="1" s="1"/>
  <c r="V197" i="1"/>
  <c r="P196" i="1"/>
  <c r="Q196" i="1" s="1"/>
  <c r="T68" i="1"/>
  <c r="T129" i="1"/>
  <c r="T130" i="1"/>
  <c r="T131" i="1"/>
  <c r="T119" i="1"/>
  <c r="T69" i="1"/>
  <c r="T70" i="1"/>
  <c r="T120" i="1"/>
  <c r="T71" i="1"/>
  <c r="T121" i="1"/>
  <c r="T244" i="1"/>
  <c r="T245" i="1"/>
  <c r="T72" i="1"/>
  <c r="T73" i="1"/>
  <c r="T74" i="1"/>
  <c r="T75" i="1"/>
  <c r="T220" i="1"/>
  <c r="T253" i="1"/>
  <c r="T237" i="1"/>
  <c r="T238" i="1"/>
  <c r="T239" i="1"/>
  <c r="T240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54" i="1"/>
  <c r="T255" i="1"/>
  <c r="T256" i="1"/>
  <c r="T257" i="1"/>
  <c r="T258" i="1"/>
  <c r="T62" i="1"/>
  <c r="T63" i="1"/>
  <c r="T64" i="1"/>
  <c r="T65" i="1"/>
  <c r="T44" i="1"/>
  <c r="T45" i="1"/>
  <c r="T259" i="1"/>
  <c r="T260" i="1"/>
  <c r="T261" i="1"/>
  <c r="T167" i="1"/>
  <c r="T168" i="1"/>
  <c r="T169" i="1"/>
  <c r="T170" i="1"/>
  <c r="T171" i="1"/>
  <c r="T122" i="1"/>
  <c r="T123" i="1"/>
  <c r="T124" i="1"/>
  <c r="T125" i="1"/>
  <c r="T126" i="1"/>
  <c r="T127" i="1"/>
  <c r="T128" i="1"/>
  <c r="T84" i="1"/>
  <c r="T186" i="1"/>
  <c r="T166" i="1"/>
  <c r="T155" i="1"/>
  <c r="T156" i="1"/>
  <c r="T157" i="1"/>
  <c r="T158" i="1"/>
  <c r="T159" i="1"/>
  <c r="T160" i="1"/>
  <c r="T161" i="1"/>
  <c r="T90" i="1"/>
  <c r="T91" i="1"/>
  <c r="T93" i="1"/>
  <c r="T94" i="1"/>
  <c r="T95" i="1"/>
  <c r="T96" i="1"/>
  <c r="T236" i="1"/>
  <c r="T113" i="1"/>
  <c r="T114" i="1"/>
  <c r="T115" i="1"/>
  <c r="T116" i="1"/>
  <c r="T142" i="1"/>
  <c r="T143" i="1"/>
  <c r="T2" i="1"/>
  <c r="T3" i="1"/>
  <c r="T4" i="1"/>
  <c r="T187" i="1"/>
  <c r="T188" i="1"/>
  <c r="T189" i="1"/>
  <c r="T190" i="1"/>
  <c r="T191" i="1"/>
  <c r="T192" i="1"/>
  <c r="T193" i="1"/>
  <c r="T162" i="1"/>
  <c r="T163" i="1"/>
  <c r="T164" i="1"/>
  <c r="T194" i="1"/>
  <c r="T195" i="1"/>
  <c r="T144" i="1"/>
  <c r="T145" i="1"/>
  <c r="T146" i="1"/>
  <c r="T147" i="1"/>
  <c r="T148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08" i="1"/>
  <c r="T109" i="1"/>
  <c r="T110" i="1"/>
  <c r="T111" i="1"/>
  <c r="T112" i="1"/>
  <c r="T85" i="1"/>
  <c r="T86" i="1"/>
  <c r="T87" i="1"/>
  <c r="T88" i="1"/>
  <c r="T89" i="1"/>
  <c r="T97" i="1"/>
  <c r="T226" i="1"/>
  <c r="T227" i="1"/>
  <c r="T228" i="1"/>
  <c r="T229" i="1"/>
  <c r="T230" i="1"/>
  <c r="T231" i="1"/>
  <c r="T232" i="1"/>
  <c r="T233" i="1"/>
  <c r="T149" i="1"/>
  <c r="T150" i="1"/>
  <c r="T151" i="1"/>
  <c r="T152" i="1"/>
  <c r="T153" i="1"/>
  <c r="T154" i="1"/>
  <c r="T66" i="1"/>
  <c r="T67" i="1"/>
  <c r="T76" i="1"/>
  <c r="T99" i="1"/>
  <c r="T100" i="1"/>
  <c r="T101" i="1"/>
  <c r="T102" i="1"/>
  <c r="T103" i="1"/>
  <c r="T104" i="1"/>
  <c r="T105" i="1"/>
  <c r="T77" i="1"/>
  <c r="T78" i="1"/>
  <c r="T79" i="1"/>
  <c r="T80" i="1"/>
  <c r="T81" i="1"/>
  <c r="T82" i="1"/>
  <c r="T175" i="1"/>
  <c r="T176" i="1"/>
  <c r="T177" i="1"/>
  <c r="T178" i="1"/>
  <c r="T11" i="1"/>
  <c r="T12" i="1"/>
  <c r="T13" i="1"/>
  <c r="T14" i="1"/>
  <c r="T15" i="1"/>
  <c r="T16" i="1"/>
  <c r="T17" i="1"/>
  <c r="T221" i="1"/>
  <c r="T222" i="1"/>
  <c r="T223" i="1"/>
  <c r="T224" i="1"/>
  <c r="T225" i="1"/>
  <c r="T246" i="1"/>
  <c r="T252" i="1"/>
  <c r="T248" i="1"/>
  <c r="T250" i="1"/>
  <c r="T251" i="1"/>
  <c r="T10" i="1"/>
  <c r="T172" i="1"/>
  <c r="T173" i="1"/>
  <c r="T174" i="1"/>
  <c r="T38" i="1"/>
  <c r="T39" i="1"/>
  <c r="T40" i="1"/>
  <c r="T41" i="1"/>
  <c r="T42" i="1"/>
  <c r="T43" i="1"/>
  <c r="T106" i="1"/>
  <c r="T107" i="1"/>
  <c r="T98" i="1"/>
  <c r="T262" i="1"/>
  <c r="T263" i="1"/>
  <c r="T264" i="1"/>
  <c r="T5" i="1"/>
  <c r="T6" i="1"/>
  <c r="T7" i="1"/>
  <c r="T165" i="1"/>
  <c r="T8" i="1"/>
  <c r="T9" i="1"/>
  <c r="T185" i="1"/>
  <c r="T234" i="1"/>
  <c r="T235" i="1"/>
  <c r="T216" i="1"/>
  <c r="T218" i="1"/>
  <c r="T35" i="1"/>
  <c r="T36" i="1"/>
  <c r="T37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179" i="1"/>
  <c r="T180" i="1"/>
  <c r="T181" i="1"/>
  <c r="T182" i="1"/>
  <c r="T183" i="1"/>
  <c r="T184" i="1"/>
  <c r="S243" i="1"/>
  <c r="S68" i="1"/>
  <c r="S129" i="1"/>
  <c r="S130" i="1"/>
  <c r="S131" i="1"/>
  <c r="S119" i="1"/>
  <c r="S69" i="1"/>
  <c r="S70" i="1"/>
  <c r="S120" i="1"/>
  <c r="S71" i="1"/>
  <c r="S121" i="1"/>
  <c r="S244" i="1"/>
  <c r="S245" i="1"/>
  <c r="S72" i="1"/>
  <c r="S73" i="1"/>
  <c r="S74" i="1"/>
  <c r="S75" i="1"/>
  <c r="S220" i="1"/>
  <c r="S253" i="1"/>
  <c r="S237" i="1"/>
  <c r="S238" i="1"/>
  <c r="S239" i="1"/>
  <c r="S240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54" i="1"/>
  <c r="S255" i="1"/>
  <c r="S256" i="1"/>
  <c r="S257" i="1"/>
  <c r="S258" i="1"/>
  <c r="S62" i="1"/>
  <c r="S63" i="1"/>
  <c r="S64" i="1"/>
  <c r="S65" i="1"/>
  <c r="S44" i="1"/>
  <c r="S45" i="1"/>
  <c r="S259" i="1"/>
  <c r="S260" i="1"/>
  <c r="S261" i="1"/>
  <c r="S167" i="1"/>
  <c r="S168" i="1"/>
  <c r="S169" i="1"/>
  <c r="S170" i="1"/>
  <c r="S171" i="1"/>
  <c r="S122" i="1"/>
  <c r="S123" i="1"/>
  <c r="S124" i="1"/>
  <c r="S125" i="1"/>
  <c r="S126" i="1"/>
  <c r="S127" i="1"/>
  <c r="S128" i="1"/>
  <c r="S84" i="1"/>
  <c r="S186" i="1"/>
  <c r="S166" i="1"/>
  <c r="S155" i="1"/>
  <c r="S156" i="1"/>
  <c r="S157" i="1"/>
  <c r="S158" i="1"/>
  <c r="S159" i="1"/>
  <c r="S160" i="1"/>
  <c r="S161" i="1"/>
  <c r="S90" i="1"/>
  <c r="S91" i="1"/>
  <c r="S93" i="1"/>
  <c r="S94" i="1"/>
  <c r="S95" i="1"/>
  <c r="S96" i="1"/>
  <c r="S236" i="1"/>
  <c r="S113" i="1"/>
  <c r="S114" i="1"/>
  <c r="S115" i="1"/>
  <c r="S116" i="1"/>
  <c r="S142" i="1"/>
  <c r="S143" i="1"/>
  <c r="S2" i="1"/>
  <c r="S3" i="1"/>
  <c r="S4" i="1"/>
  <c r="S187" i="1"/>
  <c r="S188" i="1"/>
  <c r="S189" i="1"/>
  <c r="S190" i="1"/>
  <c r="S191" i="1"/>
  <c r="S192" i="1"/>
  <c r="S193" i="1"/>
  <c r="S162" i="1"/>
  <c r="S163" i="1"/>
  <c r="S164" i="1"/>
  <c r="S194" i="1"/>
  <c r="S195" i="1"/>
  <c r="S144" i="1"/>
  <c r="S145" i="1"/>
  <c r="S146" i="1"/>
  <c r="S147" i="1"/>
  <c r="S148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108" i="1"/>
  <c r="S109" i="1"/>
  <c r="S110" i="1"/>
  <c r="S111" i="1"/>
  <c r="S112" i="1"/>
  <c r="S85" i="1"/>
  <c r="S86" i="1"/>
  <c r="S87" i="1"/>
  <c r="S88" i="1"/>
  <c r="S89" i="1"/>
  <c r="S97" i="1"/>
  <c r="S226" i="1"/>
  <c r="S227" i="1"/>
  <c r="S228" i="1"/>
  <c r="S229" i="1"/>
  <c r="S230" i="1"/>
  <c r="S231" i="1"/>
  <c r="S232" i="1"/>
  <c r="S233" i="1"/>
  <c r="S149" i="1"/>
  <c r="S150" i="1"/>
  <c r="S151" i="1"/>
  <c r="S152" i="1"/>
  <c r="S153" i="1"/>
  <c r="S154" i="1"/>
  <c r="S66" i="1"/>
  <c r="S76" i="1"/>
  <c r="S99" i="1"/>
  <c r="S100" i="1"/>
  <c r="S101" i="1"/>
  <c r="S102" i="1"/>
  <c r="S103" i="1"/>
  <c r="S104" i="1"/>
  <c r="S105" i="1"/>
  <c r="S77" i="1"/>
  <c r="S78" i="1"/>
  <c r="S79" i="1"/>
  <c r="S80" i="1"/>
  <c r="S81" i="1"/>
  <c r="S82" i="1"/>
  <c r="S175" i="1"/>
  <c r="S176" i="1"/>
  <c r="S177" i="1"/>
  <c r="S178" i="1"/>
  <c r="S11" i="1"/>
  <c r="S12" i="1"/>
  <c r="S13" i="1"/>
  <c r="S14" i="1"/>
  <c r="S15" i="1"/>
  <c r="S16" i="1"/>
  <c r="S17" i="1"/>
  <c r="S221" i="1"/>
  <c r="S222" i="1"/>
  <c r="S223" i="1"/>
  <c r="S224" i="1"/>
  <c r="S225" i="1"/>
  <c r="S246" i="1"/>
  <c r="S252" i="1"/>
  <c r="S248" i="1"/>
  <c r="S250" i="1"/>
  <c r="S251" i="1"/>
  <c r="S10" i="1"/>
  <c r="S172" i="1"/>
  <c r="S173" i="1"/>
  <c r="S174" i="1"/>
  <c r="S38" i="1"/>
  <c r="S39" i="1"/>
  <c r="S40" i="1"/>
  <c r="S41" i="1"/>
  <c r="S42" i="1"/>
  <c r="S43" i="1"/>
  <c r="S106" i="1"/>
  <c r="S107" i="1"/>
  <c r="S98" i="1"/>
  <c r="S262" i="1"/>
  <c r="S263" i="1"/>
  <c r="S264" i="1"/>
  <c r="S5" i="1"/>
  <c r="S6" i="1"/>
  <c r="S7" i="1"/>
  <c r="S165" i="1"/>
  <c r="S8" i="1"/>
  <c r="S9" i="1"/>
  <c r="S185" i="1"/>
  <c r="S234" i="1"/>
  <c r="S235" i="1"/>
  <c r="S216" i="1"/>
  <c r="S218" i="1"/>
  <c r="S3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179" i="1"/>
  <c r="S180" i="1"/>
  <c r="S181" i="1"/>
  <c r="S182" i="1"/>
  <c r="S183" i="1"/>
  <c r="S184" i="1"/>
  <c r="R243" i="1"/>
  <c r="R68" i="1"/>
  <c r="R129" i="1"/>
  <c r="R130" i="1"/>
  <c r="R131" i="1"/>
  <c r="R119" i="1"/>
  <c r="R69" i="1"/>
  <c r="R70" i="1"/>
  <c r="R120" i="1"/>
  <c r="R71" i="1"/>
  <c r="R121" i="1"/>
  <c r="R244" i="1"/>
  <c r="R245" i="1"/>
  <c r="R72" i="1"/>
  <c r="R73" i="1"/>
  <c r="R74" i="1"/>
  <c r="R75" i="1"/>
  <c r="R220" i="1"/>
  <c r="R253" i="1"/>
  <c r="R237" i="1"/>
  <c r="R238" i="1"/>
  <c r="R239" i="1"/>
  <c r="R240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54" i="1"/>
  <c r="R255" i="1"/>
  <c r="R256" i="1"/>
  <c r="R257" i="1"/>
  <c r="R258" i="1"/>
  <c r="R62" i="1"/>
  <c r="R63" i="1"/>
  <c r="R64" i="1"/>
  <c r="R65" i="1"/>
  <c r="R44" i="1"/>
  <c r="R45" i="1"/>
  <c r="R259" i="1"/>
  <c r="R260" i="1"/>
  <c r="R261" i="1"/>
  <c r="R167" i="1"/>
  <c r="R168" i="1"/>
  <c r="R169" i="1"/>
  <c r="R170" i="1"/>
  <c r="R171" i="1"/>
  <c r="R122" i="1"/>
  <c r="R123" i="1"/>
  <c r="R124" i="1"/>
  <c r="R125" i="1"/>
  <c r="R126" i="1"/>
  <c r="R127" i="1"/>
  <c r="R128" i="1"/>
  <c r="R84" i="1"/>
  <c r="R186" i="1"/>
  <c r="R166" i="1"/>
  <c r="R90" i="1"/>
  <c r="R91" i="1"/>
  <c r="R93" i="1"/>
  <c r="R94" i="1"/>
  <c r="R95" i="1"/>
  <c r="R96" i="1"/>
  <c r="R236" i="1"/>
  <c r="R113" i="1"/>
  <c r="R114" i="1"/>
  <c r="R115" i="1"/>
  <c r="R116" i="1"/>
  <c r="R142" i="1"/>
  <c r="R143" i="1"/>
  <c r="R2" i="1"/>
  <c r="R3" i="1"/>
  <c r="R4" i="1"/>
  <c r="R187" i="1"/>
  <c r="R188" i="1"/>
  <c r="R189" i="1"/>
  <c r="R190" i="1"/>
  <c r="R191" i="1"/>
  <c r="R192" i="1"/>
  <c r="R193" i="1"/>
  <c r="R162" i="1"/>
  <c r="R163" i="1"/>
  <c r="R164" i="1"/>
  <c r="R194" i="1"/>
  <c r="R195" i="1"/>
  <c r="R144" i="1"/>
  <c r="R145" i="1"/>
  <c r="R146" i="1"/>
  <c r="R147" i="1"/>
  <c r="R148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108" i="1"/>
  <c r="R109" i="1"/>
  <c r="R110" i="1"/>
  <c r="R111" i="1"/>
  <c r="R112" i="1"/>
  <c r="R85" i="1"/>
  <c r="R86" i="1"/>
  <c r="R87" i="1"/>
  <c r="R88" i="1"/>
  <c r="R89" i="1"/>
  <c r="R97" i="1"/>
  <c r="R226" i="1"/>
  <c r="R227" i="1"/>
  <c r="R228" i="1"/>
  <c r="R229" i="1"/>
  <c r="R230" i="1"/>
  <c r="R231" i="1"/>
  <c r="R232" i="1"/>
  <c r="R233" i="1"/>
  <c r="R149" i="1"/>
  <c r="R150" i="1"/>
  <c r="R151" i="1"/>
  <c r="R152" i="1"/>
  <c r="R153" i="1"/>
  <c r="R154" i="1"/>
  <c r="R66" i="1"/>
  <c r="R67" i="1"/>
  <c r="R76" i="1"/>
  <c r="R99" i="1"/>
  <c r="R100" i="1"/>
  <c r="R101" i="1"/>
  <c r="R102" i="1"/>
  <c r="R103" i="1"/>
  <c r="R104" i="1"/>
  <c r="R105" i="1"/>
  <c r="R77" i="1"/>
  <c r="R78" i="1"/>
  <c r="R79" i="1"/>
  <c r="R80" i="1"/>
  <c r="R81" i="1"/>
  <c r="R82" i="1"/>
  <c r="R175" i="1"/>
  <c r="R176" i="1"/>
  <c r="R177" i="1"/>
  <c r="R178" i="1"/>
  <c r="R11" i="1"/>
  <c r="R12" i="1"/>
  <c r="R13" i="1"/>
  <c r="R14" i="1"/>
  <c r="R15" i="1"/>
  <c r="R16" i="1"/>
  <c r="R17" i="1"/>
  <c r="R221" i="1"/>
  <c r="R222" i="1"/>
  <c r="R223" i="1"/>
  <c r="R224" i="1"/>
  <c r="R225" i="1"/>
  <c r="R246" i="1"/>
  <c r="R252" i="1"/>
  <c r="R248" i="1"/>
  <c r="R250" i="1"/>
  <c r="R251" i="1"/>
  <c r="R10" i="1"/>
  <c r="T197" i="1"/>
  <c r="R197" i="1"/>
  <c r="I34" i="2"/>
  <c r="I35" i="2"/>
  <c r="I36" i="2"/>
  <c r="I37" i="2"/>
  <c r="I38" i="2"/>
  <c r="I39" i="2"/>
  <c r="I33" i="2"/>
  <c r="V36" i="1" l="1"/>
  <c r="Q36" i="1"/>
  <c r="V37" i="1"/>
  <c r="Q37" i="1"/>
  <c r="D6" i="4"/>
  <c r="D5" i="4"/>
  <c r="D7" i="4"/>
  <c r="D8" i="4"/>
  <c r="C3" i="4"/>
  <c r="D3" i="4"/>
  <c r="C6" i="4"/>
  <c r="C5" i="4"/>
  <c r="C7" i="4"/>
  <c r="C8" i="4"/>
  <c r="V90" i="1"/>
  <c r="V114" i="1"/>
  <c r="V147" i="1"/>
  <c r="V190" i="1"/>
  <c r="V16" i="1"/>
  <c r="V79" i="1"/>
  <c r="V94" i="1"/>
  <c r="V143" i="1"/>
  <c r="V164" i="1"/>
  <c r="V194" i="1"/>
  <c r="V3" i="1"/>
  <c r="V17" i="1"/>
  <c r="V80" i="1"/>
  <c r="V95" i="1"/>
  <c r="V144" i="1"/>
  <c r="V187" i="1"/>
  <c r="V195" i="1"/>
  <c r="V4" i="1"/>
  <c r="V81" i="1"/>
  <c r="V96" i="1"/>
  <c r="V145" i="1"/>
  <c r="V188" i="1"/>
  <c r="V11" i="1"/>
  <c r="V82" i="1"/>
  <c r="V113" i="1"/>
  <c r="V146" i="1"/>
  <c r="V189" i="1"/>
  <c r="V12" i="1"/>
  <c r="V13" i="1"/>
  <c r="V91" i="1"/>
  <c r="V115" i="1"/>
  <c r="V148" i="1"/>
  <c r="V191" i="1"/>
  <c r="V219" i="1"/>
  <c r="V14" i="1"/>
  <c r="V77" i="1"/>
  <c r="V92" i="1"/>
  <c r="V116" i="1"/>
  <c r="V162" i="1"/>
  <c r="V192" i="1"/>
  <c r="V236" i="1"/>
  <c r="V15" i="1"/>
  <c r="V78" i="1"/>
  <c r="V93" i="1"/>
  <c r="V142" i="1"/>
  <c r="V163" i="1"/>
  <c r="V193" i="1"/>
  <c r="V268" i="1"/>
  <c r="Q14" i="11"/>
  <c r="Q13" i="11"/>
  <c r="Q12" i="11"/>
  <c r="Q11" i="11"/>
  <c r="Q10" i="11"/>
  <c r="Q9" i="11"/>
  <c r="V5" i="10"/>
  <c r="Q7" i="11"/>
  <c r="Q6" i="11"/>
  <c r="Q4" i="11"/>
  <c r="Q5" i="11"/>
  <c r="Q3" i="11"/>
  <c r="N18" i="3"/>
  <c r="V175" i="1"/>
  <c r="V259" i="1"/>
  <c r="V257" i="1"/>
  <c r="V99" i="1"/>
  <c r="V211" i="1"/>
  <c r="V264" i="1"/>
  <c r="V152" i="1"/>
  <c r="V203" i="1"/>
  <c r="V137" i="1"/>
  <c r="V41" i="1"/>
  <c r="V229" i="1"/>
  <c r="V238" i="1"/>
  <c r="V267" i="1"/>
  <c r="V251" i="1"/>
  <c r="V86" i="1"/>
  <c r="V155" i="1"/>
  <c r="V73" i="1"/>
  <c r="V33" i="1"/>
  <c r="V127" i="1"/>
  <c r="V69" i="1"/>
  <c r="V25" i="1"/>
  <c r="V170" i="1"/>
  <c r="Q241" i="1"/>
  <c r="D4" i="4" s="1"/>
  <c r="V118" i="1"/>
  <c r="V185" i="1"/>
  <c r="V263" i="1"/>
  <c r="V40" i="1"/>
  <c r="V250" i="1"/>
  <c r="V225" i="1"/>
  <c r="V105" i="1"/>
  <c r="V151" i="1"/>
  <c r="V228" i="1"/>
  <c r="V85" i="1"/>
  <c r="V32" i="1"/>
  <c r="V24" i="1"/>
  <c r="V166" i="1"/>
  <c r="V169" i="1"/>
  <c r="V45" i="1"/>
  <c r="V256" i="1"/>
  <c r="V210" i="1"/>
  <c r="V202" i="1"/>
  <c r="V237" i="1"/>
  <c r="V72" i="1"/>
  <c r="V119" i="1"/>
  <c r="V242" i="1"/>
  <c r="V136" i="1"/>
  <c r="V60" i="1"/>
  <c r="V9" i="1"/>
  <c r="V262" i="1"/>
  <c r="V39" i="1"/>
  <c r="V224" i="1"/>
  <c r="V104" i="1"/>
  <c r="V150" i="1"/>
  <c r="V227" i="1"/>
  <c r="V112" i="1"/>
  <c r="V31" i="1"/>
  <c r="V23" i="1"/>
  <c r="V161" i="1"/>
  <c r="V186" i="1"/>
  <c r="V126" i="1"/>
  <c r="V168" i="1"/>
  <c r="V44" i="1"/>
  <c r="V255" i="1"/>
  <c r="V209" i="1"/>
  <c r="V201" i="1"/>
  <c r="V245" i="1"/>
  <c r="V131" i="1"/>
  <c r="V8" i="1"/>
  <c r="V98" i="1"/>
  <c r="V38" i="1"/>
  <c r="V248" i="1"/>
  <c r="V223" i="1"/>
  <c r="V103" i="1"/>
  <c r="V149" i="1"/>
  <c r="V226" i="1"/>
  <c r="V111" i="1"/>
  <c r="V30" i="1"/>
  <c r="V22" i="1"/>
  <c r="V2" i="1"/>
  <c r="V160" i="1"/>
  <c r="V84" i="1"/>
  <c r="V125" i="1"/>
  <c r="V167" i="1"/>
  <c r="V65" i="1"/>
  <c r="V254" i="1"/>
  <c r="V208" i="1"/>
  <c r="V200" i="1"/>
  <c r="V244" i="1"/>
  <c r="V130" i="1"/>
  <c r="V135" i="1"/>
  <c r="V266" i="1"/>
  <c r="V165" i="1"/>
  <c r="V107" i="1"/>
  <c r="V174" i="1"/>
  <c r="V222" i="1"/>
  <c r="V67" i="1"/>
  <c r="V233" i="1"/>
  <c r="V97" i="1"/>
  <c r="V110" i="1"/>
  <c r="V29" i="1"/>
  <c r="V21" i="1"/>
  <c r="V159" i="1"/>
  <c r="V124" i="1"/>
  <c r="V261" i="1"/>
  <c r="V64" i="1"/>
  <c r="V215" i="1"/>
  <c r="V207" i="1"/>
  <c r="V199" i="1"/>
  <c r="V253" i="1"/>
  <c r="V121" i="1"/>
  <c r="V129" i="1"/>
  <c r="V7" i="1"/>
  <c r="V106" i="1"/>
  <c r="V173" i="1"/>
  <c r="V252" i="1"/>
  <c r="V221" i="1"/>
  <c r="V178" i="1"/>
  <c r="V102" i="1"/>
  <c r="V66" i="1"/>
  <c r="V232" i="1"/>
  <c r="V89" i="1"/>
  <c r="V109" i="1"/>
  <c r="V28" i="1"/>
  <c r="V20" i="1"/>
  <c r="V158" i="1"/>
  <c r="V123" i="1"/>
  <c r="V260" i="1"/>
  <c r="V63" i="1"/>
  <c r="V214" i="1"/>
  <c r="V206" i="1"/>
  <c r="V198" i="1"/>
  <c r="V220" i="1"/>
  <c r="V71" i="1"/>
  <c r="V139" i="1"/>
  <c r="V61" i="1"/>
  <c r="V265" i="1"/>
  <c r="V6" i="1"/>
  <c r="V43" i="1"/>
  <c r="V172" i="1"/>
  <c r="V177" i="1"/>
  <c r="V101" i="1"/>
  <c r="V154" i="1"/>
  <c r="V231" i="1"/>
  <c r="V88" i="1"/>
  <c r="V108" i="1"/>
  <c r="V27" i="1"/>
  <c r="V19" i="1"/>
  <c r="V157" i="1"/>
  <c r="V122" i="1"/>
  <c r="V62" i="1"/>
  <c r="V213" i="1"/>
  <c r="V205" i="1"/>
  <c r="V240" i="1"/>
  <c r="V75" i="1"/>
  <c r="V120" i="1"/>
  <c r="V68" i="1"/>
  <c r="V5" i="1"/>
  <c r="V42" i="1"/>
  <c r="V10" i="1"/>
  <c r="V246" i="1"/>
  <c r="V176" i="1"/>
  <c r="V100" i="1"/>
  <c r="V153" i="1"/>
  <c r="V230" i="1"/>
  <c r="V87" i="1"/>
  <c r="V34" i="1"/>
  <c r="V26" i="1"/>
  <c r="V18" i="1"/>
  <c r="V156" i="1"/>
  <c r="V128" i="1"/>
  <c r="V171" i="1"/>
  <c r="V258" i="1"/>
  <c r="V212" i="1"/>
  <c r="V204" i="1"/>
  <c r="V239" i="1"/>
  <c r="V74" i="1"/>
  <c r="V70" i="1"/>
  <c r="V243" i="1"/>
  <c r="M18" i="3"/>
  <c r="L18" i="3"/>
  <c r="J18" i="3"/>
  <c r="G18" i="3"/>
  <c r="F18" i="3"/>
  <c r="I18" i="3"/>
  <c r="E18" i="3"/>
  <c r="D18" i="3"/>
  <c r="O18" i="3"/>
  <c r="H18" i="3"/>
  <c r="K18" i="3"/>
  <c r="Q141" i="1"/>
  <c r="Q140" i="1"/>
  <c r="Q83" i="1"/>
  <c r="Q133" i="1"/>
  <c r="Q134" i="1"/>
  <c r="Q117" i="1"/>
  <c r="Q138" i="1"/>
  <c r="Q132" i="1"/>
  <c r="V196" i="1"/>
  <c r="P19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Q234" i="1"/>
  <c r="Q235" i="1"/>
  <c r="Q216" i="1"/>
  <c r="Q35" i="1"/>
  <c r="Q46" i="1"/>
  <c r="Q47" i="1"/>
  <c r="Q48" i="1"/>
  <c r="Q51" i="1"/>
  <c r="Q52" i="1"/>
  <c r="Q53" i="1"/>
  <c r="Q54" i="1"/>
  <c r="Q55" i="1"/>
  <c r="Q56" i="1"/>
  <c r="Q59" i="1"/>
  <c r="Q179" i="1"/>
  <c r="Q180" i="1"/>
  <c r="Q181" i="1"/>
  <c r="Q184" i="1"/>
  <c r="D2" i="4"/>
  <c r="T196" i="1"/>
  <c r="J16" i="3" l="1"/>
  <c r="C4" i="4"/>
  <c r="C2" i="4"/>
  <c r="J17" i="3"/>
  <c r="I17" i="3"/>
  <c r="P18" i="3"/>
  <c r="N16" i="3"/>
  <c r="K16" i="3"/>
  <c r="I16" i="3"/>
  <c r="H16" i="3"/>
  <c r="D16" i="3"/>
  <c r="E16" i="3"/>
  <c r="M16" i="3"/>
  <c r="G16" i="3"/>
  <c r="O16" i="3"/>
  <c r="L16" i="3"/>
  <c r="F16" i="3"/>
  <c r="B11" i="4"/>
  <c r="Q183" i="1"/>
  <c r="Q58" i="1"/>
  <c r="Q50" i="1"/>
  <c r="Q182" i="1"/>
  <c r="Q57" i="1"/>
  <c r="Q49" i="1"/>
  <c r="Q218" i="1"/>
  <c r="D10" i="4" l="1"/>
  <c r="C10" i="4"/>
  <c r="C9" i="4"/>
  <c r="D9" i="4"/>
  <c r="C6" i="3"/>
  <c r="C9" i="3"/>
  <c r="B7" i="3" s="1"/>
  <c r="C3" i="3"/>
  <c r="G17" i="3"/>
  <c r="O17" i="3"/>
  <c r="H17" i="3"/>
  <c r="D17" i="3"/>
  <c r="M17" i="3"/>
  <c r="L17" i="3"/>
  <c r="F17" i="3"/>
  <c r="K17" i="3"/>
  <c r="N17" i="3"/>
  <c r="E17" i="3"/>
  <c r="C12" i="3" l="1"/>
  <c r="B6" i="3"/>
  <c r="D11" i="4"/>
  <c r="C11" i="4"/>
  <c r="P17" i="3"/>
  <c r="D14" i="3"/>
  <c r="P16" i="3"/>
</calcChain>
</file>

<file path=xl/sharedStrings.xml><?xml version="1.0" encoding="utf-8"?>
<sst xmlns="http://schemas.openxmlformats.org/spreadsheetml/2006/main" count="5819" uniqueCount="1035">
  <si>
    <t>Country</t>
  </si>
  <si>
    <t>Owner</t>
  </si>
  <si>
    <t>e-mail</t>
  </si>
  <si>
    <t>Cel #</t>
  </si>
  <si>
    <t>Leader</t>
  </si>
  <si>
    <t>email (leader)</t>
  </si>
  <si>
    <t>District</t>
  </si>
  <si>
    <t>Region/State</t>
  </si>
  <si>
    <t>Equipment</t>
  </si>
  <si>
    <t>Serial Number</t>
  </si>
  <si>
    <t>Brand</t>
  </si>
  <si>
    <t>Model</t>
  </si>
  <si>
    <t>City</t>
  </si>
  <si>
    <t>Customer</t>
  </si>
  <si>
    <t>Calibration Date</t>
  </si>
  <si>
    <t>Status</t>
  </si>
  <si>
    <t>Certificate</t>
  </si>
  <si>
    <t>Vendor</t>
  </si>
  <si>
    <t>Obs.</t>
  </si>
  <si>
    <t>STATUS</t>
  </si>
  <si>
    <t>Brasil</t>
  </si>
  <si>
    <t>Flaminio Neto</t>
  </si>
  <si>
    <t>flaminio.neto@suez.com</t>
  </si>
  <si>
    <t>(16) 99610-2979</t>
  </si>
  <si>
    <t>Rafael Campos</t>
  </si>
  <si>
    <t>rafael.campos@suez.com</t>
  </si>
  <si>
    <t>Araraquara (Lab)</t>
  </si>
  <si>
    <t>SP</t>
  </si>
  <si>
    <t>Balança Analítica</t>
  </si>
  <si>
    <t>H59327</t>
  </si>
  <si>
    <t>Mettler Toledo</t>
  </si>
  <si>
    <t>AE 200</t>
  </si>
  <si>
    <t>Araraquara-SP</t>
  </si>
  <si>
    <t>Suez WTS (Laboratório)</t>
  </si>
  <si>
    <t>pHmetro</t>
  </si>
  <si>
    <t>GE</t>
  </si>
  <si>
    <t>L6606</t>
  </si>
  <si>
    <t>Condutivimetro</t>
  </si>
  <si>
    <t>A15763</t>
  </si>
  <si>
    <t>THERMO</t>
  </si>
  <si>
    <t>Orion 3 Star</t>
  </si>
  <si>
    <t>David De Oliveira Dos Santos</t>
  </si>
  <si>
    <t>david.santos@suez.com</t>
  </si>
  <si>
    <t>(11) 2139-2082</t>
  </si>
  <si>
    <t>Cotia (Laboratórios)</t>
  </si>
  <si>
    <t>Espectrofotômetro</t>
  </si>
  <si>
    <t>VED1404020</t>
  </si>
  <si>
    <t>Micronal</t>
  </si>
  <si>
    <t>AJX1600</t>
  </si>
  <si>
    <t>Cotia - SP</t>
  </si>
  <si>
    <t>Rafael Rodrigues De Campos</t>
  </si>
  <si>
    <t>(11) 95784-0665</t>
  </si>
  <si>
    <t>Colorímetro</t>
  </si>
  <si>
    <t>HACH</t>
  </si>
  <si>
    <t>DR/900</t>
  </si>
  <si>
    <t>Turbidímetro</t>
  </si>
  <si>
    <t>14090C035220</t>
  </si>
  <si>
    <t>2100Q</t>
  </si>
  <si>
    <t>Kleber Lima</t>
  </si>
  <si>
    <t>kleber.silva@suez.com</t>
  </si>
  <si>
    <t>(11) 2139-2013</t>
  </si>
  <si>
    <t>DR/2800</t>
  </si>
  <si>
    <t>Reator DQO</t>
  </si>
  <si>
    <t>DRB/200</t>
  </si>
  <si>
    <t>12070C019229</t>
  </si>
  <si>
    <t>Leonardo Felipe Goncalves</t>
  </si>
  <si>
    <t>leonardo.goncalves@suez.com</t>
  </si>
  <si>
    <t>(21) 99607-3132</t>
  </si>
  <si>
    <t>Metrohm</t>
  </si>
  <si>
    <t>827 PH LAB</t>
  </si>
  <si>
    <t>10090C0150</t>
  </si>
  <si>
    <t>14070C034003</t>
  </si>
  <si>
    <t>DR/1900</t>
  </si>
  <si>
    <t>472748 (ou 42478)</t>
  </si>
  <si>
    <t>Qualxtron</t>
  </si>
  <si>
    <t>QX1500</t>
  </si>
  <si>
    <t>Condutivímetro</t>
  </si>
  <si>
    <t>Myron L Company</t>
  </si>
  <si>
    <t>4PII</t>
  </si>
  <si>
    <t>Multiparametro</t>
  </si>
  <si>
    <t>6PFC</t>
  </si>
  <si>
    <t>Felipe Rokicki</t>
  </si>
  <si>
    <t>felipe.rokicki@suez.com</t>
  </si>
  <si>
    <t>(11) 98251-1011</t>
  </si>
  <si>
    <t>Heavy Industry - Fenix</t>
  </si>
  <si>
    <t>10079BCZ21465</t>
  </si>
  <si>
    <t>DR/890</t>
  </si>
  <si>
    <t>Santo André - SP</t>
  </si>
  <si>
    <t>Braskem</t>
  </si>
  <si>
    <t>Bianca dos Santos</t>
  </si>
  <si>
    <t>(11) 95163-4425</t>
  </si>
  <si>
    <t>Higor Mendonça Jesus</t>
  </si>
  <si>
    <t>higor.mendoncadejesus@suez.com</t>
  </si>
  <si>
    <t>10030C001527</t>
  </si>
  <si>
    <t>DIGIMED</t>
  </si>
  <si>
    <t>DM32</t>
  </si>
  <si>
    <t>52462 (ou 52162)</t>
  </si>
  <si>
    <t>Deivid elias</t>
  </si>
  <si>
    <t>deivid.elias@suez.com</t>
  </si>
  <si>
    <t>(55) 9626-8529</t>
  </si>
  <si>
    <t>Karla Perin</t>
  </si>
  <si>
    <t>karla.perin@suez.com</t>
  </si>
  <si>
    <t>RS</t>
  </si>
  <si>
    <t>Triunfo-RS</t>
  </si>
  <si>
    <t>AES</t>
  </si>
  <si>
    <t>Uruguaiana - RS</t>
  </si>
  <si>
    <t>UP-25058168</t>
  </si>
  <si>
    <t>Denver</t>
  </si>
  <si>
    <t>UP-25</t>
  </si>
  <si>
    <t>UP-10066426</t>
  </si>
  <si>
    <t>UP-10</t>
  </si>
  <si>
    <t>Fernanda Kaiser</t>
  </si>
  <si>
    <t>fernanda.kaiser@suez.com</t>
  </si>
  <si>
    <t>(51) 98105-8910</t>
  </si>
  <si>
    <t>AL204</t>
  </si>
  <si>
    <t>Medidor ORP</t>
  </si>
  <si>
    <t>pH 1</t>
  </si>
  <si>
    <t>Akso</t>
  </si>
  <si>
    <t>AK151</t>
  </si>
  <si>
    <t>pH 31</t>
  </si>
  <si>
    <t>DM-2P</t>
  </si>
  <si>
    <t>11050C0013</t>
  </si>
  <si>
    <t>56618 (ou 52218)</t>
  </si>
  <si>
    <t>DM22</t>
  </si>
  <si>
    <t>120890C91018</t>
  </si>
  <si>
    <t>LOVIBOND</t>
  </si>
  <si>
    <t>TB 250 WL</t>
  </si>
  <si>
    <t>Rafaela Gomes</t>
  </si>
  <si>
    <t>rafaela.gomes@suez.com</t>
  </si>
  <si>
    <t>(11) 97192-7984</t>
  </si>
  <si>
    <t>Vinicius de Paula</t>
  </si>
  <si>
    <t>vinicius.paula@suez.com</t>
  </si>
  <si>
    <t>Heavy Industry - Lobos</t>
  </si>
  <si>
    <t>Alumínio-SP</t>
  </si>
  <si>
    <t>CBA</t>
  </si>
  <si>
    <t>Romildo Gonçalves</t>
  </si>
  <si>
    <t>romildo.goncalves@suez.com</t>
  </si>
  <si>
    <t>(11) 94278-5357</t>
  </si>
  <si>
    <t>Amadeu Peixoto</t>
  </si>
  <si>
    <t>amadeu.peixoto@suez.com</t>
  </si>
  <si>
    <t>12039BC22007</t>
  </si>
  <si>
    <t>São José dos Campos - SP</t>
  </si>
  <si>
    <t>REVAP</t>
  </si>
  <si>
    <t>Antonio Aguimar Ribeiro</t>
  </si>
  <si>
    <t>a.ribeiro@suez.com</t>
  </si>
  <si>
    <t>(11) 95476-9333</t>
  </si>
  <si>
    <t>Gustavo Pereira</t>
  </si>
  <si>
    <t>gustavo.pereira@suez.com</t>
  </si>
  <si>
    <t>06129BC20563</t>
  </si>
  <si>
    <t>São Paulo - SP</t>
  </si>
  <si>
    <t>Nitroquimica</t>
  </si>
  <si>
    <t>B02206</t>
  </si>
  <si>
    <t>ORION</t>
  </si>
  <si>
    <t>3 Star</t>
  </si>
  <si>
    <t>Orion 115A+</t>
  </si>
  <si>
    <t>DR/2000</t>
  </si>
  <si>
    <t>Humberto de Campos Junior</t>
  </si>
  <si>
    <t>humberto.junior@suez.com</t>
  </si>
  <si>
    <t>(19) 97147 2917</t>
  </si>
  <si>
    <t>09059BC21258</t>
  </si>
  <si>
    <t>Varzea Paulista</t>
  </si>
  <si>
    <t>ELEKEIROS</t>
  </si>
  <si>
    <t>Larissa Robert Da Silva</t>
  </si>
  <si>
    <t>larissa.silva@suez.com</t>
  </si>
  <si>
    <t>09059BC21244</t>
  </si>
  <si>
    <t>RHODIA</t>
  </si>
  <si>
    <t>DM 3</t>
  </si>
  <si>
    <t>YOKOGAWA</t>
  </si>
  <si>
    <t>SC 82</t>
  </si>
  <si>
    <t>no fixed customer (carried by owner)</t>
  </si>
  <si>
    <t>PH31</t>
  </si>
  <si>
    <t>12100C0301</t>
  </si>
  <si>
    <t>Jobson Rodrigo Larrubia Da Silva</t>
  </si>
  <si>
    <t>jobson-rodrigo.silva@suez.com</t>
  </si>
  <si>
    <t>(21) 98110-2537</t>
  </si>
  <si>
    <t>Rodrigo Silva</t>
  </si>
  <si>
    <t>rodrigo.silva@suez.com</t>
  </si>
  <si>
    <t>Heavy Industry - Zeus</t>
  </si>
  <si>
    <t>RJ</t>
  </si>
  <si>
    <t>Sartorius</t>
  </si>
  <si>
    <t>TE214S</t>
  </si>
  <si>
    <t>SANTA CRUZ - RJ</t>
  </si>
  <si>
    <t>GERDAU</t>
  </si>
  <si>
    <t>Marcelo Soto</t>
  </si>
  <si>
    <t>marcelo.soto@suez.com</t>
  </si>
  <si>
    <t>CE</t>
  </si>
  <si>
    <t>MS204</t>
  </si>
  <si>
    <t>Maracanaú - CE</t>
  </si>
  <si>
    <t>Gabriel Lourenço</t>
  </si>
  <si>
    <t>gabriel.lourenco@suez.com</t>
  </si>
  <si>
    <t>(31) 99838-4748</t>
  </si>
  <si>
    <t>MG</t>
  </si>
  <si>
    <t>17040C057193</t>
  </si>
  <si>
    <t>Ouro Branco - MG</t>
  </si>
  <si>
    <t>Isaac Alves Pinto</t>
  </si>
  <si>
    <t>isaac.pinto@suez.com</t>
  </si>
  <si>
    <t>(99) 99144-4609</t>
  </si>
  <si>
    <t>MA</t>
  </si>
  <si>
    <t>Imperatriz - MA</t>
  </si>
  <si>
    <t>Jardiel Jose de Oliveira</t>
  </si>
  <si>
    <t>jardiel.oliveira@suez.com</t>
  </si>
  <si>
    <t>(86) 99408-7574</t>
  </si>
  <si>
    <t>PI</t>
  </si>
  <si>
    <t>Teresina - PI</t>
  </si>
  <si>
    <t>10090C040251</t>
  </si>
  <si>
    <t>2100P</t>
  </si>
  <si>
    <t>Ozeas Boone Rufino</t>
  </si>
  <si>
    <t>ozeas.rufino@suez.com</t>
  </si>
  <si>
    <t>(13) 98138-9202</t>
  </si>
  <si>
    <t>ES</t>
  </si>
  <si>
    <t>Orion</t>
  </si>
  <si>
    <t>Serra-ES</t>
  </si>
  <si>
    <t>Arcelor Mittal</t>
  </si>
  <si>
    <t>DM-22</t>
  </si>
  <si>
    <t>Policontrol</t>
  </si>
  <si>
    <t>AP2000</t>
  </si>
  <si>
    <t>DM-TU</t>
  </si>
  <si>
    <t xml:space="preserve">(31) 99735-2775 </t>
  </si>
  <si>
    <t>051090C56708</t>
  </si>
  <si>
    <t>(81) 98872-0404</t>
  </si>
  <si>
    <t>Edmilson Santos</t>
  </si>
  <si>
    <t>edmilson.santos@suez.com</t>
  </si>
  <si>
    <t>PE</t>
  </si>
  <si>
    <t>A200</t>
  </si>
  <si>
    <t>JAB GUARARAPES</t>
  </si>
  <si>
    <t>B24943</t>
  </si>
  <si>
    <t>Star</t>
  </si>
  <si>
    <t>DR/2010</t>
  </si>
  <si>
    <t>B17138</t>
  </si>
  <si>
    <t>José Alexandre do Nascimento</t>
  </si>
  <si>
    <t>jose.nascimento@suez.com</t>
  </si>
  <si>
    <t>(31) 99217-1073</t>
  </si>
  <si>
    <t>M607036</t>
  </si>
  <si>
    <t>MP6</t>
  </si>
  <si>
    <t>Divinópolis</t>
  </si>
  <si>
    <t>14090C35115</t>
  </si>
  <si>
    <t>William Leite Romano</t>
  </si>
  <si>
    <t>william.leiteromano@suez.com</t>
  </si>
  <si>
    <t>(37) 9965-3947</t>
  </si>
  <si>
    <t>11039BC21695</t>
  </si>
  <si>
    <t>Pirapetinga- MG</t>
  </si>
  <si>
    <t>Smurfit Kappa</t>
  </si>
  <si>
    <t>Hanna</t>
  </si>
  <si>
    <t>HANNA</t>
  </si>
  <si>
    <t>DM-3P</t>
  </si>
  <si>
    <t>03070005800</t>
  </si>
  <si>
    <t>DR/2500</t>
  </si>
  <si>
    <t>M609346</t>
  </si>
  <si>
    <t>gerdau</t>
  </si>
  <si>
    <t>Jackson Augusto Gomes</t>
  </si>
  <si>
    <t>jackson.gomes@suez.com</t>
  </si>
  <si>
    <t>(32) 99132-8924</t>
  </si>
  <si>
    <t>11059BC21741</t>
  </si>
  <si>
    <t>Juiz de Fora - MG</t>
  </si>
  <si>
    <t>Mercedez Bens</t>
  </si>
  <si>
    <t>0083</t>
  </si>
  <si>
    <t>Bioprecisa</t>
  </si>
  <si>
    <t>FA-2104N</t>
  </si>
  <si>
    <t>13090C028101</t>
  </si>
  <si>
    <t>Ultrameter</t>
  </si>
  <si>
    <t>Tatiana Almeida</t>
  </si>
  <si>
    <t>tatiana.almeida@suez.com</t>
  </si>
  <si>
    <t>(71) 9714-5909</t>
  </si>
  <si>
    <t>BA</t>
  </si>
  <si>
    <t>B147469098</t>
  </si>
  <si>
    <t>Camaçari-BA</t>
  </si>
  <si>
    <t>Unigel / Braskem</t>
  </si>
  <si>
    <t>12039BC22006</t>
  </si>
  <si>
    <t>10110C0840</t>
  </si>
  <si>
    <t>11110C014243</t>
  </si>
  <si>
    <t>16020C047582</t>
  </si>
  <si>
    <t>B449346278</t>
  </si>
  <si>
    <t>B21662</t>
  </si>
  <si>
    <t>B27525</t>
  </si>
  <si>
    <t>METLER TOLEDO</t>
  </si>
  <si>
    <t>SEVENGO</t>
  </si>
  <si>
    <t>B06517</t>
  </si>
  <si>
    <t>Orion 4 Star</t>
  </si>
  <si>
    <t>pH31</t>
  </si>
  <si>
    <t>Thermo Digest</t>
  </si>
  <si>
    <t>11080C011203</t>
  </si>
  <si>
    <t>Luiz Silva</t>
  </si>
  <si>
    <t>luiz.silva@suez.com</t>
  </si>
  <si>
    <t>(82) 98160-7731</t>
  </si>
  <si>
    <t>AL</t>
  </si>
  <si>
    <t>POLILAB</t>
  </si>
  <si>
    <t>Maceió-AL</t>
  </si>
  <si>
    <t>09049BC21221</t>
  </si>
  <si>
    <t xml:space="preserve">DM22 </t>
  </si>
  <si>
    <t>16030C048264</t>
  </si>
  <si>
    <t>Fortaleza-CE</t>
  </si>
  <si>
    <t>DR/3900</t>
  </si>
  <si>
    <t>Quixeré - CE</t>
  </si>
  <si>
    <t>Apodi Quixeré</t>
  </si>
  <si>
    <t>DM TV</t>
  </si>
  <si>
    <t>D452201361</t>
  </si>
  <si>
    <t>SHIMADZU</t>
  </si>
  <si>
    <t>AY220</t>
  </si>
  <si>
    <t>Eduardo Mello</t>
  </si>
  <si>
    <t>eduardo.mello@suez.com</t>
  </si>
  <si>
    <t>(21) 98103-6080</t>
  </si>
  <si>
    <t>Felipe Viegas</t>
  </si>
  <si>
    <t>felipe.viegas@suez.com</t>
  </si>
  <si>
    <t>B21649</t>
  </si>
  <si>
    <t>Itaguaí - RJ</t>
  </si>
  <si>
    <t>11060C009644</t>
  </si>
  <si>
    <t>Rodrigo Aparecido Teixeira Amaro</t>
  </si>
  <si>
    <t>rodrigo.amaro@suez.com</t>
  </si>
  <si>
    <t>B347032029</t>
  </si>
  <si>
    <t>New C ML</t>
  </si>
  <si>
    <t>Rio de Janeiro</t>
  </si>
  <si>
    <t>Duque de Caxias - RJ</t>
  </si>
  <si>
    <t>Arlanxeo</t>
  </si>
  <si>
    <t>Rafael Vieira Da Silva</t>
  </si>
  <si>
    <t>ra.silva@suez.com</t>
  </si>
  <si>
    <t>(67) 98115-2450</t>
  </si>
  <si>
    <t>Rafael Nascimento</t>
  </si>
  <si>
    <t>rafael.nascimento@suez.com</t>
  </si>
  <si>
    <t>MM CO&amp;Sul</t>
  </si>
  <si>
    <t>MS</t>
  </si>
  <si>
    <t>Dourados-MS</t>
  </si>
  <si>
    <t>Cliente</t>
  </si>
  <si>
    <t>sensION pH1</t>
  </si>
  <si>
    <t>jackson.ritt@suez.com</t>
  </si>
  <si>
    <t>PR</t>
  </si>
  <si>
    <t>10049BC21424</t>
  </si>
  <si>
    <t>Ponta Grossa - PR</t>
  </si>
  <si>
    <t>AMBEV</t>
  </si>
  <si>
    <t>(44) 99172-5427</t>
  </si>
  <si>
    <t>Astorga-PR</t>
  </si>
  <si>
    <t>Nova Produtiva</t>
  </si>
  <si>
    <t>Matheus Hermes Bahr</t>
  </si>
  <si>
    <t>matheus.bahr@suez.com</t>
  </si>
  <si>
    <t>(47) 99138-6501</t>
  </si>
  <si>
    <t>SC</t>
  </si>
  <si>
    <t>09059BC21257</t>
  </si>
  <si>
    <t>Jaraguá do Sul - SC</t>
  </si>
  <si>
    <t>WEG</t>
  </si>
  <si>
    <t>192330001025</t>
  </si>
  <si>
    <t>15030C039256</t>
  </si>
  <si>
    <t>Analyser</t>
  </si>
  <si>
    <t>650MA</t>
  </si>
  <si>
    <t>9203/19</t>
  </si>
  <si>
    <t>350M</t>
  </si>
  <si>
    <t>Thais Silva Nunes</t>
  </si>
  <si>
    <t>thais.nunes@suez.com</t>
  </si>
  <si>
    <t>(51) 98182-5891</t>
  </si>
  <si>
    <t>Paulo Corsete</t>
  </si>
  <si>
    <t>paulo.corsete@suez.com</t>
  </si>
  <si>
    <t>012119BC22205</t>
  </si>
  <si>
    <t>Porto Alegre - RS</t>
  </si>
  <si>
    <t>10069BC21449</t>
  </si>
  <si>
    <t>12079BC22146</t>
  </si>
  <si>
    <t>Everton Delturqui</t>
  </si>
  <si>
    <t>everton.delturqui@suez.com</t>
  </si>
  <si>
    <t>(12) 99783-1123</t>
  </si>
  <si>
    <t>Rio Claro -SP</t>
  </si>
  <si>
    <t>DELTA</t>
  </si>
  <si>
    <t>19040C075336</t>
  </si>
  <si>
    <t>203166601040</t>
  </si>
  <si>
    <t>Xanxerê - SC</t>
  </si>
  <si>
    <t>Davi Nascimento Santos</t>
  </si>
  <si>
    <t>davi.santos@suez.com</t>
  </si>
  <si>
    <t>(11) 98371-6541</t>
  </si>
  <si>
    <t>Davi Santos</t>
  </si>
  <si>
    <t>MM S&amp;E Sud&amp;NE</t>
  </si>
  <si>
    <t>Thiago Ferreira da Silva</t>
  </si>
  <si>
    <t>thiago.ferreiradasilva@suez.com</t>
  </si>
  <si>
    <t>(11) 96068-7071</t>
  </si>
  <si>
    <t>ABC - SP</t>
  </si>
  <si>
    <t>Clovis Oliveira</t>
  </si>
  <si>
    <t>clovis.oliveira@suez.com</t>
  </si>
  <si>
    <t>(24) 98112-8147</t>
  </si>
  <si>
    <t>16020C047676</t>
  </si>
  <si>
    <t>DM3P</t>
  </si>
  <si>
    <t>Hugo Cavalcante</t>
  </si>
  <si>
    <t>hugo.cavalcante@suez.com</t>
  </si>
  <si>
    <t>(85) 99991-8828</t>
  </si>
  <si>
    <t>Osvaldo Melo (Dib)</t>
  </si>
  <si>
    <t>osvaldo.melo@suez.com</t>
  </si>
  <si>
    <t>TBM</t>
  </si>
  <si>
    <t>Rosangela de Lima Valente Soares</t>
  </si>
  <si>
    <t>rosangela.soares@suez.com</t>
  </si>
  <si>
    <t>(55) 98146-8350</t>
  </si>
  <si>
    <t>Adalberto Diniz</t>
  </si>
  <si>
    <t>adalberto.diniz@suez.com</t>
  </si>
  <si>
    <t>AM</t>
  </si>
  <si>
    <t>Manaus - AM</t>
  </si>
  <si>
    <t>Wartsila</t>
  </si>
  <si>
    <t>PM31</t>
  </si>
  <si>
    <t>Quimis</t>
  </si>
  <si>
    <t>pH</t>
  </si>
  <si>
    <t>EC71</t>
  </si>
  <si>
    <t>Matheus Henrique Veloso Ferreira</t>
  </si>
  <si>
    <t>matheus.ferreira@suez.com</t>
  </si>
  <si>
    <t>(31) 99680-1591</t>
  </si>
  <si>
    <t>Carlos Santos</t>
  </si>
  <si>
    <t>carlos.santos@suez.com</t>
  </si>
  <si>
    <t>Montes Claros - MG</t>
  </si>
  <si>
    <t>Coteminas S.A.</t>
  </si>
  <si>
    <t>Multiparâmetro</t>
  </si>
  <si>
    <t>Montes Claros MG</t>
  </si>
  <si>
    <t xml:space="preserve">Ambev </t>
  </si>
  <si>
    <t>Miguel Frug</t>
  </si>
  <si>
    <t>miguel.frug@suez.com</t>
  </si>
  <si>
    <t>(21) 97174-7544</t>
  </si>
  <si>
    <t>Ambev Macacu-RJ</t>
  </si>
  <si>
    <t>Anderson Brandão de Souza</t>
  </si>
  <si>
    <t>anderson.souza@suez.com</t>
  </si>
  <si>
    <t>(73) 9198-0509</t>
  </si>
  <si>
    <t>Antonio Santos</t>
  </si>
  <si>
    <t>an.santos@suez.com</t>
  </si>
  <si>
    <t>09069BC21306</t>
  </si>
  <si>
    <t>Ilheus - BA</t>
  </si>
  <si>
    <t>Barry Callebaut</t>
  </si>
  <si>
    <t xml:space="preserve">Thiago Henrique Miné de Morais </t>
  </si>
  <si>
    <t xml:space="preserve">thiago.morais@suez.com </t>
  </si>
  <si>
    <t>Juatuba - MG</t>
  </si>
  <si>
    <t>Ambev</t>
  </si>
  <si>
    <t>9216/19</t>
  </si>
  <si>
    <t>Izack Gomes</t>
  </si>
  <si>
    <t>izack.gomes@suez.com</t>
  </si>
  <si>
    <t>(11) 94379-0134</t>
  </si>
  <si>
    <t>Campinas-SP</t>
  </si>
  <si>
    <t>Hach</t>
  </si>
  <si>
    <t>060390C58361</t>
  </si>
  <si>
    <t>Gerson Miranda  (AcM Carlos Santos)</t>
  </si>
  <si>
    <t>gerson.miranda@suez.com</t>
  </si>
  <si>
    <t>Belo Horizonte - MG</t>
  </si>
  <si>
    <t>Cristiano Lima</t>
  </si>
  <si>
    <t>cristiano.lima@suez.com</t>
  </si>
  <si>
    <t>(14) 98117-0984</t>
  </si>
  <si>
    <t>Renato Chialastri</t>
  </si>
  <si>
    <t>renato.chialastri@suez.com</t>
  </si>
  <si>
    <t>MM S&amp;E Sude</t>
  </si>
  <si>
    <t>Marfrig</t>
  </si>
  <si>
    <t>DESATIVADO</t>
  </si>
  <si>
    <t>Ulisses Alves De Sibia</t>
  </si>
  <si>
    <t>ulisses.sibia@suez.com</t>
  </si>
  <si>
    <t>(14) 98157-5005</t>
  </si>
  <si>
    <t>Eduardo Garcia Zotto</t>
  </si>
  <si>
    <t>eduardo.zotto@suez.com</t>
  </si>
  <si>
    <t>Orion 115</t>
  </si>
  <si>
    <t>Agudos - SP</t>
  </si>
  <si>
    <t>(34) 98170-2525</t>
  </si>
  <si>
    <t>09049BC21223</t>
  </si>
  <si>
    <t>Uberlândia - MG</t>
  </si>
  <si>
    <t>Cargill</t>
  </si>
  <si>
    <t>M606994</t>
  </si>
  <si>
    <t>Sonia Cristina De Jesus Oliveira</t>
  </si>
  <si>
    <t>sonia.jesus@suez.com</t>
  </si>
  <si>
    <t>(16) 99636-8332</t>
  </si>
  <si>
    <t>(14) 99688-0361</t>
  </si>
  <si>
    <t>D452202153</t>
  </si>
  <si>
    <t>Shimadzu</t>
  </si>
  <si>
    <t>Promissão-SP</t>
  </si>
  <si>
    <t>1611C053296</t>
  </si>
  <si>
    <t>Giovana Tardelli</t>
  </si>
  <si>
    <t>giovana.tardelli@suez.com</t>
  </si>
  <si>
    <t>(11) 96343-9697</t>
  </si>
  <si>
    <t>Ana Oliveira</t>
  </si>
  <si>
    <t>ana.oliveira@suez.com</t>
  </si>
  <si>
    <t>Sorocaba (Laboratórios)</t>
  </si>
  <si>
    <t>Sorocaba - SP</t>
  </si>
  <si>
    <t>AGENDADO</t>
  </si>
  <si>
    <t>VED1304018</t>
  </si>
  <si>
    <t>B380AJX1600</t>
  </si>
  <si>
    <t>DR/2700</t>
  </si>
  <si>
    <t>B474</t>
  </si>
  <si>
    <t>B746974184</t>
  </si>
  <si>
    <t>S220</t>
  </si>
  <si>
    <t>Identif. Cliente</t>
  </si>
  <si>
    <t>Equipamento</t>
  </si>
  <si>
    <t>Marca</t>
  </si>
  <si>
    <t>Número de Série</t>
  </si>
  <si>
    <t>O.S.</t>
  </si>
  <si>
    <t>Observações</t>
  </si>
  <si>
    <t>ESP-00023</t>
  </si>
  <si>
    <t>Espectro DR2800</t>
  </si>
  <si>
    <t xml:space="preserve">Hach </t>
  </si>
  <si>
    <t>Compartimento de cubeta e bateria de lítio em final de vida útil.</t>
  </si>
  <si>
    <t>COND-00025</t>
  </si>
  <si>
    <t>Condutivimetro Portátil</t>
  </si>
  <si>
    <t>Myron L</t>
  </si>
  <si>
    <t>-</t>
  </si>
  <si>
    <t>4220739</t>
  </si>
  <si>
    <t xml:space="preserve">Micropipeta </t>
  </si>
  <si>
    <t>Eppendorf</t>
  </si>
  <si>
    <t>P31644C</t>
  </si>
  <si>
    <t>Phmetro Portátil</t>
  </si>
  <si>
    <t>Ge</t>
  </si>
  <si>
    <t>612331</t>
  </si>
  <si>
    <t>CT003</t>
  </si>
  <si>
    <t>Turbidimetro Portátil</t>
  </si>
  <si>
    <t>Lingueta de fixação da cubeta (tampa superior do conj. Optico) danificada.</t>
  </si>
  <si>
    <t>ESP-00020</t>
  </si>
  <si>
    <t>1207916</t>
  </si>
  <si>
    <t>Bateria de lítio com baixa carga e lazer de cod. De barras inoperante.</t>
  </si>
  <si>
    <t>ESP-00044</t>
  </si>
  <si>
    <t>Espectro DR1900</t>
  </si>
  <si>
    <t>160110001009</t>
  </si>
  <si>
    <t>DQO-00004</t>
  </si>
  <si>
    <t>Reator DRB200</t>
  </si>
  <si>
    <t>1137166</t>
  </si>
  <si>
    <t>COND-00020</t>
  </si>
  <si>
    <t>410480</t>
  </si>
  <si>
    <t>Display com avarias</t>
  </si>
  <si>
    <t>585193</t>
  </si>
  <si>
    <t>PH-00034</t>
  </si>
  <si>
    <t>2296242</t>
  </si>
  <si>
    <t>Instrumento inoperante, devido vazamento de pilhas. Será encaminhado a ER.</t>
  </si>
  <si>
    <t>4239606</t>
  </si>
  <si>
    <t>DQO-00005</t>
  </si>
  <si>
    <t>4212786</t>
  </si>
  <si>
    <t>614031</t>
  </si>
  <si>
    <t xml:space="preserve">Phmetro Portátil </t>
  </si>
  <si>
    <t>2901955</t>
  </si>
  <si>
    <t>Instrumento com divergências de resistividade. Será encaminhado para ER.</t>
  </si>
  <si>
    <t>COL-00022</t>
  </si>
  <si>
    <t>Colorimetro DR900</t>
  </si>
  <si>
    <t>1201020001</t>
  </si>
  <si>
    <t>2901959</t>
  </si>
  <si>
    <t>COL-00016</t>
  </si>
  <si>
    <t>153160001028</t>
  </si>
  <si>
    <t>LADC 3</t>
  </si>
  <si>
    <t xml:space="preserve">Balança Micro </t>
  </si>
  <si>
    <t>M Toledo</t>
  </si>
  <si>
    <t>B042078134</t>
  </si>
  <si>
    <t xml:space="preserve">Condutivimetro Portátil </t>
  </si>
  <si>
    <t xml:space="preserve">Myron L </t>
  </si>
  <si>
    <t>4221160</t>
  </si>
  <si>
    <t>Instrumento inoperante, não liga. Será encaminhado para ER.</t>
  </si>
  <si>
    <t>4210448</t>
  </si>
  <si>
    <t>Carcaça do instrumento trincada.</t>
  </si>
  <si>
    <t>TUB-00005</t>
  </si>
  <si>
    <t>CT 051</t>
  </si>
  <si>
    <t xml:space="preserve">Balança Semi Analítica </t>
  </si>
  <si>
    <t>27308347</t>
  </si>
  <si>
    <t>LADC 1</t>
  </si>
  <si>
    <t>1113112822</t>
  </si>
  <si>
    <t>CT 008</t>
  </si>
  <si>
    <t>D452201536</t>
  </si>
  <si>
    <t>Ohaus</t>
  </si>
  <si>
    <t>B142364760</t>
  </si>
  <si>
    <t>B207696042</t>
  </si>
  <si>
    <t>1217253</t>
  </si>
  <si>
    <t>ER ANALITICA</t>
  </si>
  <si>
    <t>PRESTADOR</t>
  </si>
  <si>
    <t>DATA DA CALIBRAÇÃO</t>
  </si>
  <si>
    <t>1358800</t>
  </si>
  <si>
    <t>REALIZADO</t>
  </si>
  <si>
    <t>% de Instrumentos Calibrados</t>
  </si>
  <si>
    <t>Calibrados</t>
  </si>
  <si>
    <t>Equipamentos Cadastrados</t>
  </si>
  <si>
    <t>Vencidos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</si>
  <si>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</si>
  <si>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</si>
  <si>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</si>
  <si>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</si>
  <si>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</si>
  <si>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</si>
  <si>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</si>
  <si>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</si>
  <si>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</si>
  <si>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</si>
  <si>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</si>
  <si>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</si>
  <si>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</si>
  <si>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Calibrações Realizadas</t>
  </si>
  <si>
    <t>Mês de Calibração</t>
  </si>
  <si>
    <t>Adicionado</t>
  </si>
  <si>
    <t>Qtd de equipamentos</t>
  </si>
  <si>
    <t>Calibrado</t>
  </si>
  <si>
    <t>Vencido</t>
  </si>
  <si>
    <t>Rótulos de Linha</t>
  </si>
  <si>
    <t>Total Geral</t>
  </si>
  <si>
    <t>Soma de Qtd de equipamentos</t>
  </si>
  <si>
    <t>Soma de Calibrado</t>
  </si>
  <si>
    <t>Soma de Vencido</t>
  </si>
  <si>
    <t>form</t>
  </si>
  <si>
    <t>Desativados</t>
  </si>
  <si>
    <t/>
  </si>
  <si>
    <t>Hexis</t>
  </si>
  <si>
    <t>Bateria de litio com baixa carga.</t>
  </si>
  <si>
    <t>Phmetro Bancada</t>
  </si>
  <si>
    <t xml:space="preserve">Phmetro/ISE Bancada </t>
  </si>
  <si>
    <t xml:space="preserve">Balança Analítica </t>
  </si>
  <si>
    <t>Pipeta</t>
  </si>
  <si>
    <t>X09247</t>
  </si>
  <si>
    <t>28708450</t>
  </si>
  <si>
    <t>ME905279</t>
  </si>
  <si>
    <t>ME905258</t>
  </si>
  <si>
    <t>20D57924</t>
  </si>
  <si>
    <t>19B28639</t>
  </si>
  <si>
    <t>1827001035259</t>
  </si>
  <si>
    <t>Boeco</t>
  </si>
  <si>
    <t>Thermo</t>
  </si>
  <si>
    <t>1325219</t>
  </si>
  <si>
    <t>4239598</t>
  </si>
  <si>
    <t>6203837</t>
  </si>
  <si>
    <t>6261850</t>
  </si>
  <si>
    <t>2909161</t>
  </si>
  <si>
    <t>62044</t>
  </si>
  <si>
    <t>150580001012</t>
  </si>
  <si>
    <t>21883</t>
  </si>
  <si>
    <t>4212781</t>
  </si>
  <si>
    <t>1347596</t>
  </si>
  <si>
    <t>1228420502</t>
  </si>
  <si>
    <t>141160002025</t>
  </si>
  <si>
    <t>133570002031</t>
  </si>
  <si>
    <t>4222113</t>
  </si>
  <si>
    <t>4223906</t>
  </si>
  <si>
    <t>1401857</t>
  </si>
  <si>
    <t>604097</t>
  </si>
  <si>
    <t>10003036</t>
  </si>
  <si>
    <t>2068764</t>
  </si>
  <si>
    <t>2068786</t>
  </si>
  <si>
    <t>2224284</t>
  </si>
  <si>
    <t>929021</t>
  </si>
  <si>
    <t>39281</t>
  </si>
  <si>
    <t>728690</t>
  </si>
  <si>
    <t>2068717</t>
  </si>
  <si>
    <t>56698</t>
  </si>
  <si>
    <t>1394478</t>
  </si>
  <si>
    <t>4396</t>
  </si>
  <si>
    <t>4211535</t>
  </si>
  <si>
    <t>6217524</t>
  </si>
  <si>
    <t>52395</t>
  </si>
  <si>
    <t>5307</t>
  </si>
  <si>
    <t>940600030283</t>
  </si>
  <si>
    <t>2830186</t>
  </si>
  <si>
    <t>4222088</t>
  </si>
  <si>
    <t>1314664</t>
  </si>
  <si>
    <t>1378680</t>
  </si>
  <si>
    <t>893757</t>
  </si>
  <si>
    <t>49334</t>
  </si>
  <si>
    <t>31520</t>
  </si>
  <si>
    <t>12587</t>
  </si>
  <si>
    <t>141490001004</t>
  </si>
  <si>
    <t>6203838</t>
  </si>
  <si>
    <t>768951</t>
  </si>
  <si>
    <t>52328</t>
  </si>
  <si>
    <t>52044</t>
  </si>
  <si>
    <t>23409689</t>
  </si>
  <si>
    <t>133510002009</t>
  </si>
  <si>
    <t>182790001035</t>
  </si>
  <si>
    <t>4227209</t>
  </si>
  <si>
    <t>4227316</t>
  </si>
  <si>
    <t>181790001011</t>
  </si>
  <si>
    <t>2224264</t>
  </si>
  <si>
    <t>2068798</t>
  </si>
  <si>
    <t>12199</t>
  </si>
  <si>
    <t>1199043</t>
  </si>
  <si>
    <t>6247839</t>
  </si>
  <si>
    <t>6261856</t>
  </si>
  <si>
    <t>48493</t>
  </si>
  <si>
    <t>1521</t>
  </si>
  <si>
    <t>68553</t>
  </si>
  <si>
    <t>8677501</t>
  </si>
  <si>
    <t>63259</t>
  </si>
  <si>
    <t>63442</t>
  </si>
  <si>
    <t>4212782</t>
  </si>
  <si>
    <t>150080001010</t>
  </si>
  <si>
    <t>141480001016</t>
  </si>
  <si>
    <t>688630</t>
  </si>
  <si>
    <t>4222111</t>
  </si>
  <si>
    <t>1646</t>
  </si>
  <si>
    <t>133510002005</t>
  </si>
  <si>
    <t>4226993</t>
  </si>
  <si>
    <t>4211939</t>
  </si>
  <si>
    <t>141750001017</t>
  </si>
  <si>
    <t>6247841</t>
  </si>
  <si>
    <t>49483</t>
  </si>
  <si>
    <t>1426206</t>
  </si>
  <si>
    <t>4223997</t>
  </si>
  <si>
    <t>893769</t>
  </si>
  <si>
    <t>51302520</t>
  </si>
  <si>
    <t>1308011</t>
  </si>
  <si>
    <t>306</t>
  </si>
  <si>
    <t>3652</t>
  </si>
  <si>
    <t>49433</t>
  </si>
  <si>
    <t>59331</t>
  </si>
  <si>
    <t>1788818</t>
  </si>
  <si>
    <t>150060001017</t>
  </si>
  <si>
    <t>59343</t>
  </si>
  <si>
    <t>59792</t>
  </si>
  <si>
    <t>143160001033</t>
  </si>
  <si>
    <t>782590</t>
  </si>
  <si>
    <t>4211933</t>
  </si>
  <si>
    <t>1512638</t>
  </si>
  <si>
    <t>6244344</t>
  </si>
  <si>
    <t>1518977</t>
  </si>
  <si>
    <t>13285002046</t>
  </si>
  <si>
    <t>4224380</t>
  </si>
  <si>
    <t>4226194</t>
  </si>
  <si>
    <t>1518973</t>
  </si>
  <si>
    <t>133510002007</t>
  </si>
  <si>
    <t>1563933</t>
  </si>
  <si>
    <t>417246</t>
  </si>
  <si>
    <t>6263667</t>
  </si>
  <si>
    <t>4212780</t>
  </si>
  <si>
    <t>6253769</t>
  </si>
  <si>
    <t>6251804</t>
  </si>
  <si>
    <t>6247091</t>
  </si>
  <si>
    <t>6258650</t>
  </si>
  <si>
    <t>6247093</t>
  </si>
  <si>
    <t>6247088</t>
  </si>
  <si>
    <t>150750001006</t>
  </si>
  <si>
    <t>150700001005</t>
  </si>
  <si>
    <t>1483375</t>
  </si>
  <si>
    <t>6252724</t>
  </si>
  <si>
    <t>4220749</t>
  </si>
  <si>
    <t>182190001001</t>
  </si>
  <si>
    <t>17121575001016</t>
  </si>
  <si>
    <t>1282924</t>
  </si>
  <si>
    <t>6553970</t>
  </si>
  <si>
    <t>4212773</t>
  </si>
  <si>
    <t>1526469</t>
  </si>
  <si>
    <t>150080001029</t>
  </si>
  <si>
    <t>40400007670</t>
  </si>
  <si>
    <t>6257535</t>
  </si>
  <si>
    <t>50009</t>
  </si>
  <si>
    <t>410580</t>
  </si>
  <si>
    <t>142240001031</t>
  </si>
  <si>
    <t>182190001002</t>
  </si>
  <si>
    <t>48564</t>
  </si>
  <si>
    <t>140690002033</t>
  </si>
  <si>
    <t>67108</t>
  </si>
  <si>
    <t>68352</t>
  </si>
  <si>
    <t>4222730</t>
  </si>
  <si>
    <t>1264624</t>
  </si>
  <si>
    <t>414013</t>
  </si>
  <si>
    <t>8101742</t>
  </si>
  <si>
    <t>1378445</t>
  </si>
  <si>
    <t>343250</t>
  </si>
  <si>
    <t>182180001049</t>
  </si>
  <si>
    <t>9301589</t>
  </si>
  <si>
    <t>203176601025</t>
  </si>
  <si>
    <t>4212228</t>
  </si>
  <si>
    <t>799046</t>
  </si>
  <si>
    <t>17121575001003</t>
  </si>
  <si>
    <t>6271336</t>
  </si>
  <si>
    <t>203166601039</t>
  </si>
  <si>
    <t>142870001022</t>
  </si>
  <si>
    <t>210266601021</t>
  </si>
  <si>
    <t>570687</t>
  </si>
  <si>
    <t>1518994</t>
  </si>
  <si>
    <t>2902019</t>
  </si>
  <si>
    <t>4229146</t>
  </si>
  <si>
    <t>179</t>
  </si>
  <si>
    <t>142380001002</t>
  </si>
  <si>
    <t>141980001025</t>
  </si>
  <si>
    <t>1532591</t>
  </si>
  <si>
    <t>6227214</t>
  </si>
  <si>
    <t>50008</t>
  </si>
  <si>
    <t>53253</t>
  </si>
  <si>
    <t>4220742</t>
  </si>
  <si>
    <t>1562954</t>
  </si>
  <si>
    <t>142380001005</t>
  </si>
  <si>
    <t>142380001014</t>
  </si>
  <si>
    <t>6261862</t>
  </si>
  <si>
    <t>6213434</t>
  </si>
  <si>
    <t>6264735</t>
  </si>
  <si>
    <t>53320</t>
  </si>
  <si>
    <t>538624</t>
  </si>
  <si>
    <t>2905640</t>
  </si>
  <si>
    <t>2848909</t>
  </si>
  <si>
    <t>1912001002164</t>
  </si>
  <si>
    <t>1420968</t>
  </si>
  <si>
    <t>96115</t>
  </si>
  <si>
    <t>1827001034324</t>
  </si>
  <si>
    <t>NÃO ENCONTRADO</t>
  </si>
  <si>
    <t>Data da Baixa</t>
  </si>
  <si>
    <t>mês</t>
  </si>
  <si>
    <t>ADICIONADO</t>
  </si>
  <si>
    <t>M23227B</t>
  </si>
  <si>
    <t>Em visita tecnico Guilherme não encontrou</t>
  </si>
  <si>
    <t>natalia.correa@suez.com</t>
  </si>
  <si>
    <t xml:space="preserve">Natalia Correa </t>
  </si>
  <si>
    <t>200930003006</t>
  </si>
  <si>
    <t>4P</t>
  </si>
  <si>
    <t>Calibrações Previstas</t>
  </si>
  <si>
    <t>Agendado</t>
  </si>
  <si>
    <t>luciene.irmao@suez.com</t>
  </si>
  <si>
    <t>Luciene Irmao</t>
  </si>
  <si>
    <t>EM CONTATO</t>
  </si>
  <si>
    <t>Leandro Zunkowski</t>
  </si>
  <si>
    <t>leandro.zunkowski@suez.com</t>
  </si>
  <si>
    <t>Em Contato</t>
  </si>
  <si>
    <t>Lab Aguas</t>
  </si>
  <si>
    <t>Lab Suplly</t>
  </si>
  <si>
    <t>sp</t>
  </si>
  <si>
    <t>Raul Oliveira</t>
  </si>
  <si>
    <t>raul.oliveira@suez.com</t>
  </si>
  <si>
    <t>Lab Prep Amostras</t>
  </si>
  <si>
    <t>Leonardo Gonçalves</t>
  </si>
  <si>
    <t>Lab E&amp;P</t>
  </si>
  <si>
    <t>21 99607-3132</t>
  </si>
  <si>
    <t>glauber.ruiz@suez.com</t>
  </si>
  <si>
    <t>Glauber Ruiz</t>
  </si>
  <si>
    <t>42 99157-6316</t>
  </si>
  <si>
    <t>(85) 98195-2119</t>
  </si>
  <si>
    <t>francisco.pereira@suez.com</t>
  </si>
  <si>
    <t>Francisco Pereira</t>
  </si>
  <si>
    <t>thiago.tomazelli@suez.com</t>
  </si>
  <si>
    <t>Thiago Tomazelli</t>
  </si>
  <si>
    <t>Jun</t>
  </si>
  <si>
    <t>Jul</t>
  </si>
  <si>
    <t>jun</t>
  </si>
  <si>
    <t>Ago</t>
  </si>
  <si>
    <t>Out</t>
  </si>
  <si>
    <t>Turbídimetro</t>
  </si>
  <si>
    <t>1306C026283</t>
  </si>
  <si>
    <t>LC-021</t>
  </si>
  <si>
    <t>PROD-002</t>
  </si>
  <si>
    <t>LC-013</t>
  </si>
  <si>
    <t>Não Especificado</t>
  </si>
  <si>
    <t>Phmetro</t>
  </si>
  <si>
    <t>36/15</t>
  </si>
  <si>
    <t>LC-036</t>
  </si>
  <si>
    <t>LC-032</t>
  </si>
  <si>
    <t>LC-038</t>
  </si>
  <si>
    <t>LC-039</t>
  </si>
  <si>
    <t>1027001034317</t>
  </si>
  <si>
    <t>Equipamento obsoletado pelo cliente.</t>
  </si>
  <si>
    <t>Equipamento não aceita ajuste devido vida útil avançada, impossibilitando sua calibração.</t>
  </si>
  <si>
    <t>6255191</t>
  </si>
  <si>
    <t>Myron L company</t>
  </si>
  <si>
    <t>Localização</t>
  </si>
  <si>
    <t>Mateus Ambrosio</t>
  </si>
  <si>
    <t>matheus.ambrosio@suez.com</t>
  </si>
  <si>
    <t>Rafael Pietro</t>
  </si>
  <si>
    <t>rafael.pietro@suez.com</t>
  </si>
  <si>
    <t>Phmetro L6606</t>
  </si>
  <si>
    <t>Pipeta LABMATE</t>
  </si>
  <si>
    <t>Labmate</t>
  </si>
  <si>
    <t>Reator de DQO DRB200</t>
  </si>
  <si>
    <t>DQO-00003</t>
  </si>
  <si>
    <t>Condutívimetro DM-32</t>
  </si>
  <si>
    <t>Digimed</t>
  </si>
  <si>
    <t>COND-00015</t>
  </si>
  <si>
    <t>Colorímetro DR890</t>
  </si>
  <si>
    <t>Condutívimetro SC82</t>
  </si>
  <si>
    <t>Yokogawa</t>
  </si>
  <si>
    <t>Phmetro pHtestr30</t>
  </si>
  <si>
    <t>Waterproof</t>
  </si>
  <si>
    <t>Condutívimetro DM-3</t>
  </si>
  <si>
    <t>Turbídimetro 2100Q</t>
  </si>
  <si>
    <t>14080C034429</t>
  </si>
  <si>
    <t>TURB-00026</t>
  </si>
  <si>
    <t>Phmetro DM22</t>
  </si>
  <si>
    <t>Especttrofotômetro DR1900</t>
  </si>
  <si>
    <t>ESP-00026</t>
  </si>
  <si>
    <t>Multi-parametros Ultrameter</t>
  </si>
  <si>
    <t>MULT-0004</t>
  </si>
  <si>
    <t>Equipamento encontra-se com vida útil avançada, impossibilitando o ajuste linear de sua curva de calibração</t>
  </si>
  <si>
    <t>Necessário a troca de todos filtros opticos para ajustar os valores de leitura.</t>
  </si>
  <si>
    <t>Carcaça superior do instrumento avariada na tecla "ler/confirma"</t>
  </si>
  <si>
    <t>Carcaça do instrumento avariada na tecla "ler/confirma"</t>
  </si>
  <si>
    <t>Demora excessiva na estabilização das leituras, indicando vida útil avançada do sensor de pH.</t>
  </si>
  <si>
    <t>2141238</t>
  </si>
  <si>
    <t>Myron C</t>
  </si>
  <si>
    <t>bianca.dossantos@suez.com</t>
  </si>
  <si>
    <t>TURB-00025</t>
  </si>
  <si>
    <t>Condutívimetro DM32</t>
  </si>
  <si>
    <t>COND-00064</t>
  </si>
  <si>
    <t>52162</t>
  </si>
  <si>
    <t>Carcaça superior do instrumento danificada na tecla "ler/confirma"</t>
  </si>
  <si>
    <t>M Multiparametro</t>
  </si>
  <si>
    <t>6273833</t>
  </si>
  <si>
    <t>Eletrodo com Slope abaixo do recomendado pelo fabricante (85%).</t>
  </si>
  <si>
    <t>Sonda com a ponta quebrada.</t>
  </si>
  <si>
    <t>Colorimetro</t>
  </si>
  <si>
    <t>COL-00009</t>
  </si>
  <si>
    <t>ESP-00013</t>
  </si>
  <si>
    <t>PH-00022</t>
  </si>
  <si>
    <t>Compartimento de pilhas do instrumento encontra-se oxidado, sendo recomendado sua troca na próxima manutenção</t>
  </si>
  <si>
    <t>eletrodo de pH lento, recomendável a troca</t>
  </si>
  <si>
    <t>6253770</t>
  </si>
  <si>
    <t>Ultrametter II 6P</t>
  </si>
  <si>
    <t>Caarapó-MS</t>
  </si>
  <si>
    <t>6263666</t>
  </si>
  <si>
    <t>Myron L. Company</t>
  </si>
  <si>
    <t>Utrameter II 6P</t>
  </si>
  <si>
    <t>Caarapó- MS</t>
  </si>
  <si>
    <t>LQ-3231/21</t>
  </si>
  <si>
    <t>LQ-3239/21</t>
  </si>
  <si>
    <t>LQ-3230/21</t>
  </si>
  <si>
    <t>4220746</t>
  </si>
  <si>
    <t>Eletrfotômetro</t>
  </si>
  <si>
    <t>D1900</t>
  </si>
  <si>
    <t>LO-8549/21</t>
  </si>
  <si>
    <t>DR1900</t>
  </si>
  <si>
    <t>DR900</t>
  </si>
  <si>
    <t>LO-8329/21</t>
  </si>
  <si>
    <t>210246661016</t>
  </si>
  <si>
    <t>LO-8338/21</t>
  </si>
  <si>
    <t>LQ-3150/21</t>
  </si>
  <si>
    <t>200710001808</t>
  </si>
  <si>
    <t>Pocket Pro</t>
  </si>
  <si>
    <t>Barcarena-PA</t>
  </si>
  <si>
    <t>LQ-3193/21</t>
  </si>
  <si>
    <t>LQ-3192/21</t>
  </si>
  <si>
    <t>PA</t>
  </si>
  <si>
    <t>PHmetro</t>
  </si>
  <si>
    <t>200710001815</t>
  </si>
  <si>
    <t>DM-32</t>
  </si>
  <si>
    <t>LQ-3157/21</t>
  </si>
  <si>
    <t>68923</t>
  </si>
  <si>
    <t>Anderson Oliveira</t>
  </si>
  <si>
    <t>68768</t>
  </si>
  <si>
    <t>LQ-3156/21</t>
  </si>
  <si>
    <t>MD-TU</t>
  </si>
  <si>
    <t>LQ-8342/21</t>
  </si>
  <si>
    <t>69755</t>
  </si>
  <si>
    <t>Espectromotômetro</t>
  </si>
  <si>
    <t>DR3900</t>
  </si>
  <si>
    <t>LQ-8343/21</t>
  </si>
  <si>
    <t>2005741</t>
  </si>
  <si>
    <t>H53323</t>
  </si>
  <si>
    <t>970680000371</t>
  </si>
  <si>
    <t>Balança Analítica A200</t>
  </si>
  <si>
    <t>Espectrofotômetro DR/2010</t>
  </si>
  <si>
    <t>ESP-2107</t>
  </si>
  <si>
    <t>Thermo Scientific</t>
  </si>
  <si>
    <t>Condutivimetro Orion Star 3 Cond</t>
  </si>
  <si>
    <t>COND-2105</t>
  </si>
  <si>
    <t>PH-2137</t>
  </si>
  <si>
    <t>Phmetro Orion 3 Star</t>
  </si>
  <si>
    <t>C105085557</t>
  </si>
  <si>
    <t>Pipeta Transferpetettor</t>
  </si>
  <si>
    <t>21C38762</t>
  </si>
  <si>
    <t>Phmetro Bancada 827</t>
  </si>
  <si>
    <t xml:space="preserve"> Metrohm</t>
  </si>
  <si>
    <t xml:space="preserve"> Hach</t>
  </si>
  <si>
    <t>DR2800</t>
  </si>
  <si>
    <t>Nova Olimpia-MT</t>
  </si>
  <si>
    <t>Fotômetro</t>
  </si>
  <si>
    <t>DR890</t>
  </si>
  <si>
    <t xml:space="preserve"> 10079BC21470</t>
  </si>
  <si>
    <t>Medidor Multiparâmetros</t>
  </si>
  <si>
    <t>Myron</t>
  </si>
  <si>
    <t xml:space="preserve">6P </t>
  </si>
  <si>
    <t xml:space="preserve"> NJ01239</t>
  </si>
  <si>
    <t xml:space="preserve"> NJ01219</t>
  </si>
  <si>
    <t>Finnpipette F2 10 - 100uL</t>
  </si>
  <si>
    <t xml:space="preserve">Finnpipette F2 100 - 1000uL </t>
  </si>
  <si>
    <t>NJ01259</t>
  </si>
  <si>
    <t xml:space="preserve"> Finnpipette F2 1-10mL </t>
  </si>
  <si>
    <t>Marcelo Bovolenta</t>
  </si>
  <si>
    <t>(65) 98124- 4236</t>
  </si>
  <si>
    <t>MT</t>
  </si>
  <si>
    <t>1404677</t>
  </si>
  <si>
    <t>4221150</t>
  </si>
  <si>
    <t>6213432</t>
  </si>
  <si>
    <t>20090148</t>
  </si>
  <si>
    <t>M214AI</t>
  </si>
  <si>
    <t>Compartimento de pilhas oxidado, recomendado a troca na próxima manutenção.</t>
  </si>
  <si>
    <t>(34) 98170-2526</t>
  </si>
  <si>
    <t>1378679</t>
  </si>
  <si>
    <t>hach</t>
  </si>
  <si>
    <t>Espectrofotômetro DR2800</t>
  </si>
  <si>
    <t>Bateria de lítio responsavel pelo armazenamento de dados e configurações de usuário enconra-se sem carga e o filtro óptico azul está oxidado.</t>
  </si>
  <si>
    <t>Multiparâmetros Ultrametter II</t>
  </si>
  <si>
    <t>Phmetro MP-6</t>
  </si>
  <si>
    <t>(65) 98124- 4237</t>
  </si>
  <si>
    <t>(65) 98124- 4238</t>
  </si>
  <si>
    <t>(65) 98124- 4239</t>
  </si>
  <si>
    <t>(65) 98124- 4240</t>
  </si>
  <si>
    <t>(65) 98124- 4241</t>
  </si>
  <si>
    <t>(65) 98124- 4242</t>
  </si>
  <si>
    <t>mailto:marcelo.bovolenta@suez.com</t>
  </si>
  <si>
    <t xml:space="preserve">Usinas Itamarati </t>
  </si>
  <si>
    <t>Fotômetro DR890</t>
  </si>
  <si>
    <t>10079BC21470</t>
  </si>
  <si>
    <t>M Multiparâmetros 4P</t>
  </si>
  <si>
    <t>M Multiparâmetros 6P</t>
  </si>
  <si>
    <t>Micropipeta</t>
  </si>
  <si>
    <t>NJ01239</t>
  </si>
  <si>
    <t>NJ01219</t>
  </si>
  <si>
    <t>Condutivimetro  Orion 3 Star</t>
  </si>
  <si>
    <t xml:space="preserve"> Thermo</t>
  </si>
  <si>
    <t>Espectrofotômetro - DR2800</t>
  </si>
  <si>
    <t xml:space="preserve"> Multiparâmetros - 6PFC </t>
  </si>
  <si>
    <t>Multiparâmetros - 6PFC</t>
  </si>
  <si>
    <t>MULTI-00008</t>
  </si>
  <si>
    <t>Phmetro - DM-22</t>
  </si>
  <si>
    <t xml:space="preserve"> Policontrol</t>
  </si>
  <si>
    <t>Balança Analítica - AY220</t>
  </si>
  <si>
    <t>Fotômetro - DR890</t>
  </si>
  <si>
    <t>COL-00005</t>
  </si>
  <si>
    <t>Tampa corta luz danificada</t>
  </si>
  <si>
    <t>Equipamento possui demasiada oxidação no seu compartimento de pilhas e placa eletrônica, fazendo com que o instrumento não inicialize. Recomendado o envio do equipamento à ER para verificação</t>
  </si>
  <si>
    <t>Filtro óptico azul encontra-se oxidado e compartimento de cubeta quebrado</t>
  </si>
  <si>
    <t xml:space="preserve">Turbídimetro </t>
  </si>
  <si>
    <t>Espectro DR2500</t>
  </si>
  <si>
    <t xml:space="preserve"> Carcaça com avarias</t>
  </si>
  <si>
    <t>Multiparametro 6P</t>
  </si>
  <si>
    <t>Equipamento será encaminhado a ER junto o técnico devido avarias nas teclas. Serão encaminhados dois medidores 6P Ultrameter II junto ao técnico para ER, para manutenção corretiva.</t>
  </si>
  <si>
    <t>Turbidimetro 2100Q</t>
  </si>
  <si>
    <t>Santo André- SP</t>
  </si>
  <si>
    <t>Multi-parametro</t>
  </si>
  <si>
    <t>Condutívimetro</t>
  </si>
  <si>
    <t>Phmetro Bancada  DM2P</t>
  </si>
  <si>
    <t>MULT-00003</t>
  </si>
  <si>
    <t xml:space="preserve"> Myron L</t>
  </si>
  <si>
    <t>Multipareametro 6P</t>
  </si>
  <si>
    <t>Espectro DR3900</t>
  </si>
  <si>
    <t xml:space="preserve"> ESP-00017</t>
  </si>
  <si>
    <t xml:space="preserve"> GE</t>
  </si>
  <si>
    <t>Condutivimetro Portátil 4P</t>
  </si>
  <si>
    <t xml:space="preserve"> COND-00022</t>
  </si>
  <si>
    <t>1354920</t>
  </si>
  <si>
    <t>Filtro optico BG370 (Azul redondo) oxidado e bateria de litio em final de vida útil.</t>
  </si>
  <si>
    <t xml:space="preserve">(14)  99836 9382  </t>
  </si>
  <si>
    <t>(11) 97586 9162</t>
  </si>
  <si>
    <t>2983032</t>
  </si>
  <si>
    <t>Araraquara- SP</t>
  </si>
  <si>
    <t xml:space="preserve"> 4P</t>
  </si>
  <si>
    <t>Natália Correia</t>
  </si>
  <si>
    <t>(16) 99756-8086</t>
  </si>
  <si>
    <t>Espectro</t>
  </si>
  <si>
    <t xml:space="preserve"> DR2800</t>
  </si>
  <si>
    <t>Conselhavel a troca do eletrodo, devido instabilidade nas leituras.</t>
  </si>
  <si>
    <t xml:space="preserve"> </t>
  </si>
  <si>
    <t>Colorimetro DR890</t>
  </si>
  <si>
    <t>COND-00019</t>
  </si>
  <si>
    <t>Condutivimetro 4P</t>
  </si>
  <si>
    <t>Espectro DR2801</t>
  </si>
  <si>
    <t>ESP-00011</t>
  </si>
  <si>
    <t>Todos filtros oxidados (420, 520, 560 e 610nm) e teclado de borracha descolado.</t>
  </si>
  <si>
    <t xml:space="preserve"> Bateria de litio com baixa carga.</t>
  </si>
  <si>
    <t>4240437</t>
  </si>
  <si>
    <t xml:space="preserve"> Equipamento inoperante, cliente não ira realizar o serviço</t>
  </si>
  <si>
    <t xml:space="preserve"> Carcaça superior com avarias. Necessário a troca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</si>
</sst>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[$-409]d\-mmm\-yyyy;@"/>
    <numFmt numFmtId="165" formatCode="[$-409]dd\-mmm\-yy;@"/>
    <numFmt numFmtId="166" formatCode="[$-409]d\-mmm\-yy;@"/>
    <numFmt numFmtId="167" formatCode="0;[Red]0"/>
    <numFmt numFmtId="168" formatCode="[$-416]d\-mmm\-yy;@"/>
    <numFmt numFmtId="169" formatCode="[$-416]dd\-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FF00"/>
      <name val="Arial"/>
      <family val="2"/>
    </font>
    <font>
      <sz val="10"/>
      <color rgb="FF00FF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GE Inspira"/>
      <family val="2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3F3F3F"/>
      <name val="Calibri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theme="0"/>
      <name val="Calibri"/>
      <family val="2"/>
    </font>
    <font>
      <b/>
      <sz val="12"/>
      <color theme="1"/>
      <name val="Calibri"/>
      <family val="2"/>
    </font>
    <font>
      <sz val="10"/>
      <color rgb="FF3F3F3F"/>
      <name val="Calibri"/>
      <family val="2"/>
    </font>
    <font>
      <b/>
      <sz val="32"/>
      <color rgb="FF3F3F3F"/>
      <name val="Calibri"/>
      <family val="2"/>
    </font>
    <font>
      <sz val="11"/>
      <color theme="0"/>
      <name val="Calibri"/>
      <family val="2"/>
    </font>
    <font>
      <b/>
      <sz val="32"/>
      <color theme="0"/>
      <name val="Calibri"/>
      <family val="2"/>
    </font>
    <font>
      <b/>
      <sz val="10"/>
      <color theme="1"/>
      <name val="Calibri"/>
      <family val="2"/>
    </font>
    <font>
      <b/>
      <sz val="14"/>
      <color rgb="FF3F3F3F"/>
      <name val="Calibri"/>
      <family val="2"/>
    </font>
    <font>
      <sz val="14"/>
      <color theme="1"/>
      <name val="Calibri"/>
      <family val="2"/>
    </font>
    <font>
      <sz val="11"/>
      <color theme="1"/>
      <name val="Calibri Light"/>
      <family val="2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GE Inspira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55B03E"/>
        <bgColor rgb="FF55B03E"/>
      </patternFill>
    </fill>
    <fill>
      <patternFill patternType="solid">
        <fgColor rgb="FFF0462E"/>
        <bgColor rgb="FFF0462E"/>
      </patternFill>
    </fill>
    <fill>
      <patternFill patternType="solid">
        <fgColor rgb="FFD8D8D8"/>
        <bgColor rgb="FFD8D8D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0" fillId="0" borderId="0" xfId="0" applyFont="1" applyProtection="1">
      <protection hidden="1"/>
    </xf>
    <xf numFmtId="0" fontId="13" fillId="0" borderId="0" xfId="0" applyFont="1" applyAlignment="1" applyProtection="1">
      <alignment wrapText="1"/>
      <protection hidden="1"/>
    </xf>
    <xf numFmtId="0" fontId="13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6" fillId="0" borderId="5" xfId="0" applyFont="1" applyBorder="1" applyProtection="1"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7" fillId="0" borderId="5" xfId="0" applyFont="1" applyBorder="1" applyAlignment="1" applyProtection="1">
      <alignment horizontal="left" vertical="center"/>
      <protection hidden="1"/>
    </xf>
    <xf numFmtId="0" fontId="18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14" fillId="0" borderId="5" xfId="0" applyFont="1" applyBorder="1" applyProtection="1">
      <protection hidden="1"/>
    </xf>
    <xf numFmtId="0" fontId="14" fillId="0" borderId="6" xfId="0" applyFont="1" applyBorder="1" applyAlignment="1" applyProtection="1">
      <alignment horizontal="center"/>
      <protection hidden="1"/>
    </xf>
    <xf numFmtId="0" fontId="16" fillId="0" borderId="0" xfId="0" applyFont="1" applyBorder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0" fontId="10" fillId="0" borderId="0" xfId="0" applyFont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20" fillId="0" borderId="0" xfId="0" applyFont="1" applyBorder="1" applyAlignment="1" applyProtection="1">
      <alignment horizontal="left"/>
      <protection hidden="1"/>
    </xf>
    <xf numFmtId="0" fontId="12" fillId="0" borderId="0" xfId="0" applyFont="1" applyBorder="1" applyAlignment="1" applyProtection="1">
      <alignment horizontal="left"/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13" fillId="0" borderId="0" xfId="0" applyFont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0" fillId="0" borderId="7" xfId="0" applyFont="1" applyBorder="1" applyAlignment="1" applyProtection="1">
      <alignment horizontal="left"/>
      <protection hidden="1"/>
    </xf>
    <xf numFmtId="0" fontId="16" fillId="0" borderId="0" xfId="0" applyFont="1" applyBorder="1" applyProtection="1">
      <protection hidden="1"/>
    </xf>
    <xf numFmtId="0" fontId="18" fillId="0" borderId="0" xfId="0" applyFont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3" fillId="0" borderId="0" xfId="0" applyFont="1" applyBorder="1" applyProtection="1">
      <protection hidden="1"/>
    </xf>
    <xf numFmtId="0" fontId="13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Protection="1">
      <protection hidden="1"/>
    </xf>
    <xf numFmtId="0" fontId="10" fillId="0" borderId="8" xfId="0" applyFont="1" applyBorder="1" applyProtection="1">
      <protection hidden="1"/>
    </xf>
    <xf numFmtId="0" fontId="17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Border="1" applyAlignment="1" applyProtection="1">
      <alignment horizontal="left" vertical="center"/>
      <protection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18" fillId="0" borderId="0" xfId="0" applyFont="1" applyBorder="1" applyAlignment="1" applyProtection="1">
      <alignment horizontal="left"/>
      <protection hidden="1"/>
    </xf>
    <xf numFmtId="0" fontId="10" fillId="0" borderId="9" xfId="0" applyFont="1" applyBorder="1" applyProtection="1">
      <protection hidden="1"/>
    </xf>
    <xf numFmtId="0" fontId="10" fillId="0" borderId="10" xfId="0" applyFont="1" applyBorder="1" applyProtection="1">
      <protection hidden="1"/>
    </xf>
    <xf numFmtId="0" fontId="10" fillId="0" borderId="10" xfId="0" applyFont="1" applyBorder="1" applyAlignment="1" applyProtection="1">
      <alignment horizontal="left"/>
      <protection hidden="1"/>
    </xf>
    <xf numFmtId="0" fontId="10" fillId="0" borderId="11" xfId="0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horizontal="left"/>
      <protection hidden="1"/>
    </xf>
    <xf numFmtId="0" fontId="23" fillId="9" borderId="13" xfId="0" applyFont="1" applyFill="1" applyBorder="1" applyAlignment="1" applyProtection="1">
      <alignment horizontal="center" vertical="center" wrapText="1"/>
      <protection hidden="1"/>
    </xf>
    <xf numFmtId="0" fontId="10" fillId="0" borderId="6" xfId="0" applyFont="1" applyBorder="1" applyProtection="1">
      <protection hidden="1"/>
    </xf>
    <xf numFmtId="0" fontId="23" fillId="9" borderId="14" xfId="0" applyFont="1" applyFill="1" applyBorder="1" applyAlignment="1" applyProtection="1">
      <alignment horizontal="left" vertical="center" wrapText="1"/>
      <protection hidden="1"/>
    </xf>
    <xf numFmtId="0" fontId="24" fillId="6" borderId="3" xfId="0" applyFont="1" applyFill="1" applyBorder="1" applyAlignment="1" applyProtection="1">
      <alignment horizontal="center" vertical="center"/>
      <protection hidden="1"/>
    </xf>
    <xf numFmtId="0" fontId="10" fillId="0" borderId="7" xfId="0" applyFont="1" applyBorder="1" applyProtection="1">
      <protection hidden="1"/>
    </xf>
    <xf numFmtId="0" fontId="10" fillId="0" borderId="11" xfId="0" applyFont="1" applyBorder="1" applyProtection="1">
      <protection hidden="1"/>
    </xf>
    <xf numFmtId="0" fontId="10" fillId="0" borderId="4" xfId="0" applyFont="1" applyBorder="1" applyProtection="1">
      <protection hidden="1"/>
    </xf>
    <xf numFmtId="0" fontId="10" fillId="0" borderId="5" xfId="0" applyFont="1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5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Protection="1">
      <protection hidden="1"/>
    </xf>
    <xf numFmtId="15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44" fontId="0" fillId="0" borderId="1" xfId="2" applyFont="1" applyBorder="1" applyProtection="1">
      <protection hidden="1"/>
    </xf>
    <xf numFmtId="0" fontId="0" fillId="0" borderId="1" xfId="0" applyBorder="1" applyProtection="1">
      <protection hidden="1"/>
    </xf>
    <xf numFmtId="0" fontId="2" fillId="0" borderId="0" xfId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5" fillId="0" borderId="0" xfId="0" applyNumberFormat="1" applyFont="1" applyAlignment="1" applyProtection="1">
      <alignment horizontal="center"/>
      <protection hidden="1"/>
    </xf>
    <xf numFmtId="164" fontId="6" fillId="3" borderId="0" xfId="0" applyNumberFormat="1" applyFont="1" applyFill="1" applyAlignment="1" applyProtection="1">
      <alignment horizontal="center"/>
      <protection hidden="1"/>
    </xf>
    <xf numFmtId="165" fontId="5" fillId="0" borderId="0" xfId="0" applyNumberFormat="1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44" fontId="0" fillId="0" borderId="0" xfId="2" applyFont="1" applyProtection="1"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49" fontId="2" fillId="0" borderId="0" xfId="1" applyNumberForma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0" fillId="4" borderId="0" xfId="0" applyFill="1" applyAlignment="1" applyProtection="1">
      <alignment horizontal="center"/>
      <protection hidden="1"/>
    </xf>
    <xf numFmtId="0" fontId="0" fillId="5" borderId="0" xfId="0" applyFill="1" applyProtection="1">
      <protection hidden="1"/>
    </xf>
    <xf numFmtId="49" fontId="0" fillId="0" borderId="0" xfId="0" applyNumberForma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49" fontId="5" fillId="0" borderId="0" xfId="0" quotePrefix="1" applyNumberFormat="1" applyFont="1" applyAlignment="1" applyProtection="1">
      <alignment horizontal="center"/>
      <protection hidden="1"/>
    </xf>
    <xf numFmtId="16" fontId="0" fillId="0" borderId="0" xfId="0" applyNumberForma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2" fillId="0" borderId="0" xfId="1" applyAlignment="1" applyProtection="1">
      <alignment vertical="top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left" vertical="top"/>
      <protection hidden="1"/>
    </xf>
    <xf numFmtId="49" fontId="0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25" fillId="0" borderId="0" xfId="0" applyFont="1" applyAlignment="1" applyProtection="1">
      <alignment vertical="center"/>
      <protection hidden="1"/>
    </xf>
    <xf numFmtId="49" fontId="0" fillId="0" borderId="0" xfId="0" applyNumberFormat="1" applyProtection="1">
      <protection hidden="1"/>
    </xf>
    <xf numFmtId="0" fontId="2" fillId="0" borderId="0" xfId="1"/>
    <xf numFmtId="0" fontId="10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center" vertical="center" wrapText="1"/>
      <protection hidden="1"/>
    </xf>
    <xf numFmtId="0" fontId="10" fillId="0" borderId="6" xfId="0" applyFont="1" applyBorder="1" applyAlignment="1" applyProtection="1">
      <alignment horizontal="center" vertical="center"/>
      <protection hidden="1"/>
    </xf>
    <xf numFmtId="166" fontId="0" fillId="0" borderId="0" xfId="0" applyNumberFormat="1" applyProtection="1">
      <protection hidden="1"/>
    </xf>
    <xf numFmtId="49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166" fontId="26" fillId="0" borderId="0" xfId="0" applyNumberFormat="1" applyFont="1" applyProtection="1">
      <protection hidden="1"/>
    </xf>
    <xf numFmtId="49" fontId="26" fillId="0" borderId="0" xfId="0" applyNumberFormat="1" applyFont="1" applyFill="1" applyProtection="1">
      <protection hidden="1"/>
    </xf>
    <xf numFmtId="0" fontId="26" fillId="0" borderId="0" xfId="0" applyFont="1" applyFill="1" applyProtection="1">
      <protection hidden="1"/>
    </xf>
    <xf numFmtId="166" fontId="26" fillId="0" borderId="0" xfId="0" applyNumberFormat="1" applyFont="1" applyFill="1" applyProtection="1">
      <protection hidden="1"/>
    </xf>
    <xf numFmtId="16" fontId="7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27" fillId="0" borderId="0" xfId="0" applyFont="1"/>
    <xf numFmtId="0" fontId="27" fillId="0" borderId="0" xfId="0" applyFont="1" applyAlignment="1">
      <alignment vertical="center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  <protection hidden="1"/>
    </xf>
    <xf numFmtId="0" fontId="29" fillId="0" borderId="0" xfId="0" applyFont="1"/>
    <xf numFmtId="49" fontId="0" fillId="0" borderId="0" xfId="0" applyNumberFormat="1" applyFont="1" applyProtection="1">
      <protection hidden="1"/>
    </xf>
    <xf numFmtId="164" fontId="6" fillId="5" borderId="0" xfId="0" applyNumberFormat="1" applyFont="1" applyFill="1" applyAlignment="1" applyProtection="1">
      <alignment horizontal="center"/>
      <protection hidden="1"/>
    </xf>
    <xf numFmtId="49" fontId="5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30" fillId="3" borderId="0" xfId="0" applyNumberFormat="1" applyFont="1" applyFill="1" applyAlignment="1" applyProtection="1">
      <alignment horizontal="center"/>
      <protection hidden="1"/>
    </xf>
    <xf numFmtId="0" fontId="32" fillId="0" borderId="0" xfId="0" applyFont="1" applyAlignment="1" applyProtection="1">
      <alignment wrapText="1"/>
      <protection hidden="1"/>
    </xf>
    <xf numFmtId="0" fontId="0" fillId="0" borderId="0" xfId="0" applyFont="1" applyFill="1" applyProtection="1">
      <protection hidden="1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6" fontId="0" fillId="0" borderId="0" xfId="0" applyNumberFormat="1" applyFont="1" applyFill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/>
      <protection hidden="1"/>
    </xf>
    <xf numFmtId="166" fontId="0" fillId="0" borderId="0" xfId="0" applyNumberForma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49" fontId="0" fillId="0" borderId="0" xfId="0" applyNumberFormat="1" applyAlignment="1" applyProtection="1">
      <alignment horizontal="center" vertical="center"/>
      <protection hidden="1"/>
    </xf>
    <xf numFmtId="49" fontId="0" fillId="0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/>
      <protection hidden="1"/>
    </xf>
    <xf numFmtId="49" fontId="9" fillId="0" borderId="0" xfId="0" applyNumberFormat="1" applyFont="1" applyAlignment="1" applyProtection="1">
      <alignment horizontal="center" vertical="center"/>
      <protection hidden="1"/>
    </xf>
    <xf numFmtId="49" fontId="26" fillId="0" borderId="0" xfId="0" applyNumberFormat="1" applyFont="1" applyAlignment="1" applyProtection="1">
      <alignment horizontal="center" vertical="center"/>
      <protection hidden="1"/>
    </xf>
    <xf numFmtId="49" fontId="26" fillId="0" borderId="0" xfId="0" applyNumberFormat="1" applyFont="1" applyFill="1" applyAlignment="1" applyProtection="1">
      <alignment horizontal="center" vertical="center"/>
      <protection hidden="1"/>
    </xf>
    <xf numFmtId="49" fontId="0" fillId="0" borderId="0" xfId="0" applyNumberFormat="1" applyFont="1" applyAlignment="1" applyProtection="1">
      <alignment horizontal="center" vertical="center"/>
      <protection hidden="1"/>
    </xf>
    <xf numFmtId="49" fontId="29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6" fillId="0" borderId="0" xfId="0" applyFont="1" applyAlignment="1" applyProtection="1">
      <alignment horizontal="center"/>
      <protection hidden="1"/>
    </xf>
    <xf numFmtId="0" fontId="26" fillId="0" borderId="0" xfId="0" applyFont="1" applyFill="1" applyAlignment="1" applyProtection="1">
      <alignment horizontal="center"/>
      <protection hidden="1"/>
    </xf>
    <xf numFmtId="0" fontId="28" fillId="0" borderId="0" xfId="0" applyFont="1" applyAlignment="1">
      <alignment horizontal="center"/>
    </xf>
    <xf numFmtId="0" fontId="0" fillId="3" borderId="0" xfId="0" applyFill="1" applyAlignment="1" applyProtection="1">
      <alignment horizontal="center"/>
      <protection hidden="1"/>
    </xf>
    <xf numFmtId="0" fontId="2" fillId="0" borderId="0" xfId="1" applyAlignment="1">
      <alignment vertical="center" wrapText="1"/>
    </xf>
    <xf numFmtId="168" fontId="0" fillId="0" borderId="0" xfId="0" applyNumberFormat="1" applyAlignment="1" applyProtection="1">
      <alignment horizontal="center"/>
      <protection hidden="1"/>
    </xf>
    <xf numFmtId="15" fontId="3" fillId="2" borderId="1" xfId="0" applyNumberFormat="1" applyFont="1" applyFill="1" applyBorder="1" applyAlignment="1" applyProtection="1">
      <alignment horizontal="center" wrapText="1"/>
      <protection hidden="1"/>
    </xf>
    <xf numFmtId="169" fontId="33" fillId="5" borderId="0" xfId="0" applyNumberFormat="1" applyFont="1" applyFill="1" applyProtection="1">
      <protection hidden="1"/>
    </xf>
    <xf numFmtId="49" fontId="0" fillId="0" borderId="0" xfId="0" applyNumberFormat="1" applyAlignment="1">
      <alignment horizontal="center"/>
    </xf>
    <xf numFmtId="0" fontId="15" fillId="0" borderId="7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1" fillId="8" borderId="7" xfId="0" applyFont="1" applyFill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9" fontId="19" fillId="6" borderId="7" xfId="0" applyNumberFormat="1" applyFont="1" applyFill="1" applyBorder="1" applyAlignment="1" applyProtection="1">
      <alignment horizontal="center" vertical="center"/>
      <protection hidden="1"/>
    </xf>
    <xf numFmtId="9" fontId="11" fillId="0" borderId="0" xfId="0" applyNumberFormat="1" applyFont="1" applyBorder="1" applyAlignment="1" applyProtection="1">
      <alignment horizontal="center" vertical="center"/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19" fillId="10" borderId="7" xfId="0" applyFont="1" applyFill="1" applyBorder="1" applyAlignment="1" applyProtection="1">
      <alignment horizontal="center" vertical="center"/>
      <protection hidden="1"/>
    </xf>
    <xf numFmtId="0" fontId="11" fillId="11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left" vertical="center"/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</cellXfs>
  <cellStyles count="3">
    <cellStyle name="Hiperlink" xfId="1" builtinId="8"/>
    <cellStyle name="Moeda" xfId="2" builtinId="4"/>
    <cellStyle name="Normal" xfId="0" builtinId="0"/>
  </cellStyles>
  <dxfs count="27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Calibrações Previstas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Calibrações Necessárias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KPIs!$D$17:$O$17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11</c:v>
                </c:pt>
                <c:pt idx="3">
                  <c:v>1</c:v>
                </c:pt>
                <c:pt idx="4">
                  <c:v>36</c:v>
                </c:pt>
                <c:pt idx="5">
                  <c:v>38</c:v>
                </c:pt>
                <c:pt idx="6">
                  <c:v>61</c:v>
                </c:pt>
                <c:pt idx="7">
                  <c:v>51</c:v>
                </c:pt>
                <c:pt idx="8">
                  <c:v>11</c:v>
                </c:pt>
                <c:pt idx="9">
                  <c:v>7</c:v>
                </c:pt>
                <c:pt idx="10">
                  <c:v>1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4-4225-B07D-839A97983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5449707"/>
        <c:axId val="814533485"/>
      </c:barChart>
      <c:catAx>
        <c:axId val="1005449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14533485"/>
        <c:crosses val="autoZero"/>
        <c:auto val="1"/>
        <c:lblAlgn val="ctr"/>
        <c:lblOffset val="100"/>
        <c:noMultiLvlLbl val="1"/>
      </c:catAx>
      <c:valAx>
        <c:axId val="8145334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0544970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Percentual de Calibrações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477981864887787E-2"/>
          <c:y val="8.7582180977902616E-2"/>
          <c:w val="0.91582941685352903"/>
          <c:h val="0.696355718465399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6384-4F13-8ADB-075265DE366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6384-4F13-8ADB-075265DE36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KPIs!$A$6:$A$7</c:f>
              <c:strCache>
                <c:ptCount val="2"/>
                <c:pt idx="0">
                  <c:v>Calibrados</c:v>
                </c:pt>
                <c:pt idx="1">
                  <c:v>Vencidos</c:v>
                </c:pt>
              </c:strCache>
            </c:strRef>
          </c:cat>
          <c:val>
            <c:numRef>
              <c:f>KPIs!$B$6:$B$7</c:f>
              <c:numCache>
                <c:formatCode>General</c:formatCode>
                <c:ptCount val="2"/>
                <c:pt idx="0">
                  <c:v>222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4-4F13-8ADB-075265DE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Calibrações Realizadas 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167471850775744E-2"/>
          <c:y val="0.27780130306569789"/>
          <c:w val="0.90524381103700913"/>
          <c:h val="0.40485726619686668"/>
        </c:manualLayout>
      </c:layout>
      <c:barChart>
        <c:barDir val="col"/>
        <c:grouping val="clustered"/>
        <c:varyColors val="1"/>
        <c:ser>
          <c:idx val="0"/>
          <c:order val="0"/>
          <c:tx>
            <c:v>Calibrações Realizadas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4B66-8486-8675DE2B6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831091"/>
        <c:axId val="1239091574"/>
      </c:barChart>
      <c:lineChart>
        <c:grouping val="standard"/>
        <c:varyColors val="1"/>
        <c:ser>
          <c:idx val="1"/>
          <c:order val="1"/>
          <c:tx>
            <c:v>Agendado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KPIs!$D$20:$O$20</c:f>
              <c:numCache>
                <c:formatCode>General</c:formatCode>
                <c:ptCount val="12"/>
                <c:pt idx="5">
                  <c:v>0</c:v>
                </c:pt>
                <c:pt idx="6">
                  <c:v>2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4-4985-B17E-4DBD9FF26C43}"/>
            </c:ext>
          </c:extLst>
        </c:ser>
        <c:ser>
          <c:idx val="2"/>
          <c:order val="2"/>
          <c:tx>
            <c:v>Em Contato</c:v>
          </c:tx>
          <c:val>
            <c:numRef>
              <c:f>KPIs!$D$21:$O$21</c:f>
              <c:numCache>
                <c:formatCode>General</c:formatCode>
                <c:ptCount val="12"/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8F3-B359-CE5F373A8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091"/>
        <c:axId val="1239091574"/>
      </c:lineChart>
      <c:catAx>
        <c:axId val="44831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39091574"/>
        <c:crosses val="autoZero"/>
        <c:auto val="1"/>
        <c:lblAlgn val="ctr"/>
        <c:lblOffset val="100"/>
        <c:noMultiLvlLbl val="1"/>
      </c:catAx>
      <c:valAx>
        <c:axId val="12390915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483109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1"/>
          <c:tx>
            <c:v>Calibrações Necessárias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6.5653377645561736E-17"/>
                  <c:y val="9.25763293562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AC-4316-9DEF-4958273C1F8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[1]CAL!$D$4:$O$4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KPIs!$D$17:$O$17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11</c:v>
                </c:pt>
                <c:pt idx="3">
                  <c:v>1</c:v>
                </c:pt>
                <c:pt idx="4">
                  <c:v>36</c:v>
                </c:pt>
                <c:pt idx="5">
                  <c:v>38</c:v>
                </c:pt>
                <c:pt idx="6">
                  <c:v>61</c:v>
                </c:pt>
                <c:pt idx="7">
                  <c:v>51</c:v>
                </c:pt>
                <c:pt idx="8">
                  <c:v>11</c:v>
                </c:pt>
                <c:pt idx="9">
                  <c:v>7</c:v>
                </c:pt>
                <c:pt idx="10">
                  <c:v>1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1-4E2B-9C61-0BD4544CF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1930798"/>
        <c:axId val="854319118"/>
      </c:barChart>
      <c:lineChart>
        <c:grouping val="standard"/>
        <c:varyColors val="1"/>
        <c:ser>
          <c:idx val="0"/>
          <c:order val="0"/>
          <c:tx>
            <c:v>Calibrações Realizadas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KPIs!$D$15:$P$15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E2B-9C61-0BD4544CFC23}"/>
            </c:ext>
          </c:extLst>
        </c:ser>
        <c:ser>
          <c:idx val="2"/>
          <c:order val="2"/>
          <c:tx>
            <c:v>Adicionados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-1.3044283127328795E-2"/>
                  <c:y val="2.9696954108017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AC-4316-9DEF-4958273C1F8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KPIs!$D$15:$P$15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KPIs!$D$19:$O$19</c:f>
              <c:numCache>
                <c:formatCode>General</c:formatCode>
                <c:ptCount val="12"/>
                <c:pt idx="0">
                  <c:v>0</c:v>
                </c:pt>
                <c:pt idx="4">
                  <c:v>21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1-4E2B-9C61-0BD4544CFC23}"/>
            </c:ext>
          </c:extLst>
        </c:ser>
        <c:ser>
          <c:idx val="3"/>
          <c:order val="3"/>
          <c:tx>
            <c:v>Não Encontrados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KPIs!$D$15:$P$15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KPIs!$D$18:$O$18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1-4E2B-9C61-0BD4544CF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1930798"/>
        <c:axId val="854319118"/>
      </c:lineChart>
      <c:catAx>
        <c:axId val="811930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54319118"/>
        <c:crosses val="autoZero"/>
        <c:auto val="1"/>
        <c:lblAlgn val="ctr"/>
        <c:lblOffset val="100"/>
        <c:noMultiLvlLbl val="1"/>
      </c:catAx>
      <c:valAx>
        <c:axId val="8543191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119307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Análise por Distrito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Distritos!$C$1</c:f>
              <c:strCache>
                <c:ptCount val="1"/>
                <c:pt idx="0">
                  <c:v>Calibrado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Distritos!$A$2:$A$11</c:f>
              <c:strCache>
                <c:ptCount val="10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Total</c:v>
                </c:pt>
              </c:strCache>
            </c:strRef>
          </c:cat>
          <c:val>
            <c:numRef>
              <c:f>Distritos!$C$2:$C$11</c:f>
              <c:numCache>
                <c:formatCode>General</c:formatCode>
                <c:ptCount val="10"/>
                <c:pt idx="0">
                  <c:v>3</c:v>
                </c:pt>
                <c:pt idx="1">
                  <c:v>22</c:v>
                </c:pt>
                <c:pt idx="2">
                  <c:v>7</c:v>
                </c:pt>
                <c:pt idx="3">
                  <c:v>21</c:v>
                </c:pt>
                <c:pt idx="4">
                  <c:v>63</c:v>
                </c:pt>
                <c:pt idx="5">
                  <c:v>18</c:v>
                </c:pt>
                <c:pt idx="6">
                  <c:v>25</c:v>
                </c:pt>
                <c:pt idx="7">
                  <c:v>24</c:v>
                </c:pt>
                <c:pt idx="8">
                  <c:v>6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B-4A1A-ACC0-B9CEEF0544E6}"/>
            </c:ext>
          </c:extLst>
        </c:ser>
        <c:ser>
          <c:idx val="1"/>
          <c:order val="1"/>
          <c:tx>
            <c:strRef>
              <c:f>Distritos!$D$1</c:f>
              <c:strCache>
                <c:ptCount val="1"/>
                <c:pt idx="0">
                  <c:v>Vencido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Distritos!$A$2:$A$11</c:f>
              <c:strCache>
                <c:ptCount val="10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Total</c:v>
                </c:pt>
              </c:strCache>
            </c:strRef>
          </c:cat>
          <c:val>
            <c:numRef>
              <c:f>Distritos!$D$2:$D$11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23</c:v>
                </c:pt>
                <c:pt idx="5">
                  <c:v>14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B-4A1A-ACC0-B9CEEF05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125456"/>
        <c:axId val="990136688"/>
      </c:barChart>
      <c:catAx>
        <c:axId val="9901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136688"/>
        <c:crosses val="autoZero"/>
        <c:auto val="1"/>
        <c:lblAlgn val="ctr"/>
        <c:lblOffset val="100"/>
        <c:noMultiLvlLbl val="0"/>
      </c:catAx>
      <c:valAx>
        <c:axId val="9901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1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489916</xdr:colOff>
      <xdr:row>6</xdr:row>
      <xdr:rowOff>131989</xdr:rowOff>
    </xdr:from>
    <xdr:to>
      <xdr:col>16</xdr:col>
      <xdr:colOff>443173</xdr:colOff>
      <xdr:row>11</xdr:row>
      <xdr:rowOff>451586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38B1C7-28AB-4BCE-8DA9-C3BF1779D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  <xdr:twoCellAnchor editAs="absolute">
    <xdr:from>
      <xdr:col>4</xdr:col>
      <xdr:colOff>244990</xdr:colOff>
      <xdr:row>1</xdr:row>
      <xdr:rowOff>57830</xdr:rowOff>
    </xdr:from>
    <xdr:to>
      <xdr:col>8</xdr:col>
      <xdr:colOff>268971</xdr:colOff>
      <xdr:row>12</xdr:row>
      <xdr:rowOff>9779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0104BA-D1DE-49B1-8281-488087D0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PrintsWithSheet="0"/>
  </xdr:twoCellAnchor>
  <xdr:twoCellAnchor editAs="absolute">
    <xdr:from>
      <xdr:col>8</xdr:col>
      <xdr:colOff>585252</xdr:colOff>
      <xdr:row>1</xdr:row>
      <xdr:rowOff>57831</xdr:rowOff>
    </xdr:from>
    <xdr:to>
      <xdr:col>16</xdr:col>
      <xdr:colOff>382934</xdr:colOff>
      <xdr:row>6</xdr:row>
      <xdr:rowOff>23218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C5B5CE2-F490-49A2-9126-652AA0A9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46201</xdr:colOff>
      <xdr:row>21</xdr:row>
      <xdr:rowOff>59757</xdr:rowOff>
    </xdr:from>
    <xdr:to>
      <xdr:col>16</xdr:col>
      <xdr:colOff>364502</xdr:colOff>
      <xdr:row>36</xdr:row>
      <xdr:rowOff>155821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3DFE1242-AA5E-4C81-B8C9-116DD5FBF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PrintsWithSheet="0"/>
  </xdr:twoCellAnchor>
  <xdr:twoCellAnchor editAs="absolute">
    <xdr:from>
      <xdr:col>2</xdr:col>
      <xdr:colOff>350383</xdr:colOff>
      <xdr:row>40</xdr:row>
      <xdr:rowOff>40964</xdr:rowOff>
    </xdr:from>
    <xdr:to>
      <xdr:col>16</xdr:col>
      <xdr:colOff>598097</xdr:colOff>
      <xdr:row>57</xdr:row>
      <xdr:rowOff>89582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4FC7AE-94A4-4366-B757-0CEDAFFA1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_de_Controle_de_Calibracao_de_Instrumentos_de_Medicao_-%20DASH%2021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INS"/>
      <sheetName val="Obs Tecnicas"/>
      <sheetName val="Planilha2"/>
      <sheetName val="CCAL"/>
      <sheetName val="CINS"/>
      <sheetName val="CAL"/>
      <sheetName val="ANA"/>
      <sheetName val="ACO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Janeiro</v>
          </cell>
          <cell r="E4" t="str">
            <v>Fevereiro</v>
          </cell>
          <cell r="F4" t="str">
            <v>Março</v>
          </cell>
          <cell r="G4" t="str">
            <v>Abril</v>
          </cell>
          <cell r="H4" t="str">
            <v>Maio</v>
          </cell>
          <cell r="I4" t="str">
            <v>Junho</v>
          </cell>
          <cell r="J4" t="str">
            <v>Julho</v>
          </cell>
          <cell r="K4" t="str">
            <v>Agosto</v>
          </cell>
          <cell r="L4" t="str">
            <v>Setembro</v>
          </cell>
          <cell r="M4" t="str">
            <v>Outubro</v>
          </cell>
          <cell r="N4" t="str">
            <v>Novembro</v>
          </cell>
          <cell r="O4" t="str">
            <v>Dezembro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337.941507986114" createdVersion="7" refreshedVersion="7" minRefreshableVersion="3" recordCount="9" xr:uid="{EB4ED3C2-9A2F-4CBB-BD97-23393B0BF197}">
  <cacheSource type="worksheet">
    <worksheetSource ref="A1:D10" sheet="Distritos"/>
  </cacheSource>
  <cacheFields count="4">
    <cacheField name="District" numFmtId="0">
      <sharedItems count="9">
        <s v="Araraquara (Lab)"/>
        <s v="Cotia (Laboratórios)"/>
        <s v="Heavy Industry - Fenix"/>
        <s v="Heavy Industry - Lobos"/>
        <s v="Heavy Industry - Zeus"/>
        <s v="MM CO&amp;Sul"/>
        <s v="MM S&amp;E Sud&amp;NE"/>
        <s v="MM S&amp;E Sude"/>
        <s v="Sorocaba (Laboratórios)"/>
      </sharedItems>
    </cacheField>
    <cacheField name="Qtd de equipamentos" numFmtId="0">
      <sharedItems containsSemiMixedTypes="0" containsString="0" containsNumber="1" containsInteger="1" minValue="3" maxValue="87" count="7">
        <n v="3"/>
        <n v="18"/>
        <n v="31"/>
        <n v="27"/>
        <n v="87"/>
        <n v="38"/>
        <n v="8"/>
      </sharedItems>
    </cacheField>
    <cacheField name="Calibrado" numFmtId="0">
      <sharedItems containsSemiMixedTypes="0" containsString="0" containsNumber="1" containsInteger="1" minValue="3" maxValue="76"/>
    </cacheField>
    <cacheField name="Vencido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"/>
    <n v="0"/>
  </r>
  <r>
    <x v="1"/>
    <x v="1"/>
    <n v="17"/>
    <n v="1"/>
  </r>
  <r>
    <x v="2"/>
    <x v="2"/>
    <n v="28"/>
    <n v="3"/>
  </r>
  <r>
    <x v="3"/>
    <x v="3"/>
    <n v="27"/>
    <n v="0"/>
  </r>
  <r>
    <x v="4"/>
    <x v="4"/>
    <n v="76"/>
    <n v="11"/>
  </r>
  <r>
    <x v="5"/>
    <x v="5"/>
    <n v="34"/>
    <n v="4"/>
  </r>
  <r>
    <x v="6"/>
    <x v="2"/>
    <n v="31"/>
    <n v="0"/>
  </r>
  <r>
    <x v="7"/>
    <x v="3"/>
    <n v="24"/>
    <n v="3"/>
  </r>
  <r>
    <x v="8"/>
    <x v="6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C7D2D-0F23-472F-A7D9-99430BF8D3A5}" name="Tabela dinâ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G3:J13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8">
        <item x="0"/>
        <item x="6"/>
        <item x="1"/>
        <item x="3"/>
        <item x="2"/>
        <item x="5"/>
        <item x="4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td de equipamentos" fld="1" baseField="0" baseItem="0"/>
    <dataField name="Soma de Calibrado" fld="2" baseField="0" baseItem="0"/>
    <dataField name="Soma de Vencid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marcelo.soto@suez.com" TargetMode="External"/><Relationship Id="rId299" Type="http://schemas.openxmlformats.org/officeDocument/2006/relationships/hyperlink" Target="mailto:an.santos@suez.com" TargetMode="External"/><Relationship Id="rId21" Type="http://schemas.openxmlformats.org/officeDocument/2006/relationships/hyperlink" Target="mailto:everton.delturqui@suez.com" TargetMode="External"/><Relationship Id="rId63" Type="http://schemas.openxmlformats.org/officeDocument/2006/relationships/hyperlink" Target="mailto:romildo.goncalves@suez.com" TargetMode="External"/><Relationship Id="rId159" Type="http://schemas.openxmlformats.org/officeDocument/2006/relationships/hyperlink" Target="mailto:rodrigo.silva@suez.com" TargetMode="External"/><Relationship Id="rId324" Type="http://schemas.openxmlformats.org/officeDocument/2006/relationships/hyperlink" Target="mailto:matheus.ambrosio@suez.com" TargetMode="External"/><Relationship Id="rId170" Type="http://schemas.openxmlformats.org/officeDocument/2006/relationships/hyperlink" Target="mailto:rodrigo.silva@suez.com" TargetMode="External"/><Relationship Id="rId226" Type="http://schemas.openxmlformats.org/officeDocument/2006/relationships/hyperlink" Target="mailto:carlos.santos@suez.com" TargetMode="External"/><Relationship Id="rId268" Type="http://schemas.openxmlformats.org/officeDocument/2006/relationships/hyperlink" Target="mailto:david.santos@suez.com" TargetMode="External"/><Relationship Id="rId32" Type="http://schemas.openxmlformats.org/officeDocument/2006/relationships/hyperlink" Target="mailto:jose.nascimento@suez.com" TargetMode="External"/><Relationship Id="rId74" Type="http://schemas.openxmlformats.org/officeDocument/2006/relationships/hyperlink" Target="mailto:tatiana.almeida@suez.com" TargetMode="External"/><Relationship Id="rId128" Type="http://schemas.openxmlformats.org/officeDocument/2006/relationships/hyperlink" Target="mailto:marcelo.soto@suez.com" TargetMode="External"/><Relationship Id="rId335" Type="http://schemas.openxmlformats.org/officeDocument/2006/relationships/hyperlink" Target="mailto:humberto.junior@suez.com" TargetMode="External"/><Relationship Id="rId5" Type="http://schemas.openxmlformats.org/officeDocument/2006/relationships/hyperlink" Target="mailto:deivid.elias@suez.com" TargetMode="External"/><Relationship Id="rId181" Type="http://schemas.openxmlformats.org/officeDocument/2006/relationships/hyperlink" Target="mailto:marcelo.soto@suez.com" TargetMode="External"/><Relationship Id="rId237" Type="http://schemas.openxmlformats.org/officeDocument/2006/relationships/hyperlink" Target="mailto:izack.gomes@suez.com" TargetMode="External"/><Relationship Id="rId279" Type="http://schemas.openxmlformats.org/officeDocument/2006/relationships/hyperlink" Target="mailto:kleber.silva@suez.com" TargetMode="External"/><Relationship Id="rId43" Type="http://schemas.openxmlformats.org/officeDocument/2006/relationships/hyperlink" Target="mailto:jobson-rodrigo.silva@suez.com" TargetMode="External"/><Relationship Id="rId139" Type="http://schemas.openxmlformats.org/officeDocument/2006/relationships/hyperlink" Target="mailto:vinicius.paula@suez.com" TargetMode="External"/><Relationship Id="rId290" Type="http://schemas.openxmlformats.org/officeDocument/2006/relationships/hyperlink" Target="mailto:rafael.campos@suez.com" TargetMode="External"/><Relationship Id="rId304" Type="http://schemas.openxmlformats.org/officeDocument/2006/relationships/hyperlink" Target="mailto:leandro.zunkowski@suez.com" TargetMode="External"/><Relationship Id="rId346" Type="http://schemas.openxmlformats.org/officeDocument/2006/relationships/hyperlink" Target="mailto:felipe.viegas@suez.com" TargetMode="External"/><Relationship Id="rId85" Type="http://schemas.openxmlformats.org/officeDocument/2006/relationships/hyperlink" Target="mailto:tatiana.almeida@suez.com" TargetMode="External"/><Relationship Id="rId150" Type="http://schemas.openxmlformats.org/officeDocument/2006/relationships/hyperlink" Target="mailto:rodrigo.silva@suez.com" TargetMode="External"/><Relationship Id="rId192" Type="http://schemas.openxmlformats.org/officeDocument/2006/relationships/hyperlink" Target="mailto:rafael.nascimento@suez.com" TargetMode="External"/><Relationship Id="rId206" Type="http://schemas.openxmlformats.org/officeDocument/2006/relationships/hyperlink" Target="mailto:ana.oliveira@suez.com" TargetMode="External"/><Relationship Id="rId248" Type="http://schemas.openxmlformats.org/officeDocument/2006/relationships/hyperlink" Target="mailto:rafael.campos@suez.com" TargetMode="External"/><Relationship Id="rId12" Type="http://schemas.openxmlformats.org/officeDocument/2006/relationships/hyperlink" Target="mailto:eduardo.mello@suez.com" TargetMode="External"/><Relationship Id="rId108" Type="http://schemas.openxmlformats.org/officeDocument/2006/relationships/hyperlink" Target="mailto:karla.perin@suez.com" TargetMode="External"/><Relationship Id="rId315" Type="http://schemas.openxmlformats.org/officeDocument/2006/relationships/hyperlink" Target="mailto:francisco.pereira@suez.com" TargetMode="External"/><Relationship Id="rId357" Type="http://schemas.openxmlformats.org/officeDocument/2006/relationships/printerSettings" Target="../printerSettings/printerSettings3.bin"/><Relationship Id="rId54" Type="http://schemas.openxmlformats.org/officeDocument/2006/relationships/hyperlink" Target="mailto:rafael.nascimento@suez.com" TargetMode="External"/><Relationship Id="rId96" Type="http://schemas.openxmlformats.org/officeDocument/2006/relationships/hyperlink" Target="mailto:an.santos@suez.com" TargetMode="External"/><Relationship Id="rId161" Type="http://schemas.openxmlformats.org/officeDocument/2006/relationships/hyperlink" Target="mailto:rodrigo.silva@suez.com" TargetMode="External"/><Relationship Id="rId217" Type="http://schemas.openxmlformats.org/officeDocument/2006/relationships/hyperlink" Target="mailto:rodrigo.amaro@suez.com" TargetMode="External"/><Relationship Id="rId259" Type="http://schemas.openxmlformats.org/officeDocument/2006/relationships/hyperlink" Target="mailto:an.santos@suez.com" TargetMode="External"/><Relationship Id="rId23" Type="http://schemas.openxmlformats.org/officeDocument/2006/relationships/hyperlink" Target="mailto:everton.delturqui@suez.com" TargetMode="External"/><Relationship Id="rId119" Type="http://schemas.openxmlformats.org/officeDocument/2006/relationships/hyperlink" Target="mailto:marcelo.soto@suez.com" TargetMode="External"/><Relationship Id="rId270" Type="http://schemas.openxmlformats.org/officeDocument/2006/relationships/hyperlink" Target="mailto:deivid.elias@suez.com" TargetMode="External"/><Relationship Id="rId326" Type="http://schemas.openxmlformats.org/officeDocument/2006/relationships/hyperlink" Target="mailto:rafael.pietro@suez.com" TargetMode="External"/><Relationship Id="rId65" Type="http://schemas.openxmlformats.org/officeDocument/2006/relationships/hyperlink" Target="mailto:rosangela.soares@suez.com" TargetMode="External"/><Relationship Id="rId130" Type="http://schemas.openxmlformats.org/officeDocument/2006/relationships/hyperlink" Target="mailto:marcelo.soto@suez.com" TargetMode="External"/><Relationship Id="rId172" Type="http://schemas.openxmlformats.org/officeDocument/2006/relationships/hyperlink" Target="mailto:william.leiteromano@suez.com" TargetMode="External"/><Relationship Id="rId228" Type="http://schemas.openxmlformats.org/officeDocument/2006/relationships/hyperlink" Target="mailto:carlos.santos@suez.com" TargetMode="External"/><Relationship Id="rId281" Type="http://schemas.openxmlformats.org/officeDocument/2006/relationships/hyperlink" Target="mailto:kleber.silva@suez.com" TargetMode="External"/><Relationship Id="rId337" Type="http://schemas.openxmlformats.org/officeDocument/2006/relationships/hyperlink" Target="mailto:rafael.nascimento@suez.com" TargetMode="External"/><Relationship Id="rId34" Type="http://schemas.openxmlformats.org/officeDocument/2006/relationships/hyperlink" Target="mailto:jose.nascimento@suez.com" TargetMode="External"/><Relationship Id="rId76" Type="http://schemas.openxmlformats.org/officeDocument/2006/relationships/hyperlink" Target="mailto:hugo.cavalcante@suez.com" TargetMode="External"/><Relationship Id="rId141" Type="http://schemas.openxmlformats.org/officeDocument/2006/relationships/hyperlink" Target="mailto:vinicius.paula@suez.com" TargetMode="External"/><Relationship Id="rId7" Type="http://schemas.openxmlformats.org/officeDocument/2006/relationships/hyperlink" Target="mailto:deivid.elias@suez.com" TargetMode="External"/><Relationship Id="rId183" Type="http://schemas.openxmlformats.org/officeDocument/2006/relationships/hyperlink" Target="mailto:edmilson.santos@suez.com" TargetMode="External"/><Relationship Id="rId239" Type="http://schemas.openxmlformats.org/officeDocument/2006/relationships/hyperlink" Target="mailto:amadeu.peixoto@suez.com" TargetMode="External"/><Relationship Id="rId250" Type="http://schemas.openxmlformats.org/officeDocument/2006/relationships/hyperlink" Target="mailto:an.santos@suez.com" TargetMode="External"/><Relationship Id="rId292" Type="http://schemas.openxmlformats.org/officeDocument/2006/relationships/hyperlink" Target="mailto:raul.oliveira@suez.com" TargetMode="External"/><Relationship Id="rId306" Type="http://schemas.openxmlformats.org/officeDocument/2006/relationships/hyperlink" Target="mailto:leandro.zunkowski@suez.com" TargetMode="External"/><Relationship Id="rId45" Type="http://schemas.openxmlformats.org/officeDocument/2006/relationships/hyperlink" Target="mailto:matheus.ferreira@suez.com" TargetMode="External"/><Relationship Id="rId87" Type="http://schemas.openxmlformats.org/officeDocument/2006/relationships/hyperlink" Target="mailto:tatiana.almeida@suez.com" TargetMode="External"/><Relationship Id="rId110" Type="http://schemas.openxmlformats.org/officeDocument/2006/relationships/hyperlink" Target="mailto:rafael.campos@suez.com" TargetMode="External"/><Relationship Id="rId348" Type="http://schemas.openxmlformats.org/officeDocument/2006/relationships/hyperlink" Target="mailto:rafael.nascimento@suez.com" TargetMode="External"/><Relationship Id="rId152" Type="http://schemas.openxmlformats.org/officeDocument/2006/relationships/hyperlink" Target="mailto:rodrigo.silva@suez.com" TargetMode="External"/><Relationship Id="rId194" Type="http://schemas.openxmlformats.org/officeDocument/2006/relationships/hyperlink" Target="mailto:rafael.nascimento@suez.com" TargetMode="External"/><Relationship Id="rId208" Type="http://schemas.openxmlformats.org/officeDocument/2006/relationships/hyperlink" Target="mailto:felipe.viegas@suez.com" TargetMode="External"/><Relationship Id="rId261" Type="http://schemas.openxmlformats.org/officeDocument/2006/relationships/hyperlink" Target="mailto:an.santos@suez.com" TargetMode="External"/><Relationship Id="rId14" Type="http://schemas.openxmlformats.org/officeDocument/2006/relationships/hyperlink" Target="mailto:eduardo.mello@suez.com" TargetMode="External"/><Relationship Id="rId56" Type="http://schemas.openxmlformats.org/officeDocument/2006/relationships/hyperlink" Target="mailto:rafael.nascimento@suez.com" TargetMode="External"/><Relationship Id="rId317" Type="http://schemas.openxmlformats.org/officeDocument/2006/relationships/hyperlink" Target="mailto:francisco.pereira@suez.com" TargetMode="External"/><Relationship Id="rId98" Type="http://schemas.openxmlformats.org/officeDocument/2006/relationships/hyperlink" Target="mailto:patricia.campos@suez.com" TargetMode="External"/><Relationship Id="rId121" Type="http://schemas.openxmlformats.org/officeDocument/2006/relationships/hyperlink" Target="mailto:marcelo.soto@suez.com" TargetMode="External"/><Relationship Id="rId163" Type="http://schemas.openxmlformats.org/officeDocument/2006/relationships/hyperlink" Target="mailto:rodrigo.silva@suez.com" TargetMode="External"/><Relationship Id="rId219" Type="http://schemas.openxmlformats.org/officeDocument/2006/relationships/hyperlink" Target="mailto:felipe.viegas@suez.com" TargetMode="External"/><Relationship Id="rId230" Type="http://schemas.openxmlformats.org/officeDocument/2006/relationships/hyperlink" Target="mailto:carlos.santos@suez.com" TargetMode="External"/><Relationship Id="rId25" Type="http://schemas.openxmlformats.org/officeDocument/2006/relationships/hyperlink" Target="mailto:felipe.viegas@suez.com" TargetMode="External"/><Relationship Id="rId46" Type="http://schemas.openxmlformats.org/officeDocument/2006/relationships/hyperlink" Target="mailto:matheus.ferreira@suez.com" TargetMode="External"/><Relationship Id="rId67" Type="http://schemas.openxmlformats.org/officeDocument/2006/relationships/hyperlink" Target="mailto:rosangela.soares@suez.com" TargetMode="External"/><Relationship Id="rId272" Type="http://schemas.openxmlformats.org/officeDocument/2006/relationships/hyperlink" Target="mailto:luciene.irmao@suez.com" TargetMode="External"/><Relationship Id="rId293" Type="http://schemas.openxmlformats.org/officeDocument/2006/relationships/hyperlink" Target="mailto:kleber.silva@suez.com" TargetMode="External"/><Relationship Id="rId307" Type="http://schemas.openxmlformats.org/officeDocument/2006/relationships/hyperlink" Target="mailto:glauber.ruiz@suez.com" TargetMode="External"/><Relationship Id="rId328" Type="http://schemas.openxmlformats.org/officeDocument/2006/relationships/hyperlink" Target="mailto:jackson.gomes@suez.com" TargetMode="External"/><Relationship Id="rId349" Type="http://schemas.openxmlformats.org/officeDocument/2006/relationships/hyperlink" Target="mailto:marcelo.bovolenta@suez.com" TargetMode="External"/><Relationship Id="rId88" Type="http://schemas.openxmlformats.org/officeDocument/2006/relationships/hyperlink" Target="mailto:tatiana.almeida@suez.com" TargetMode="External"/><Relationship Id="rId111" Type="http://schemas.openxmlformats.org/officeDocument/2006/relationships/hyperlink" Target="mailto:yure.queiroz@suez.com" TargetMode="External"/><Relationship Id="rId132" Type="http://schemas.openxmlformats.org/officeDocument/2006/relationships/hyperlink" Target="mailto:amadeu.peixoto@suez.com" TargetMode="External"/><Relationship Id="rId153" Type="http://schemas.openxmlformats.org/officeDocument/2006/relationships/hyperlink" Target="mailto:rodrigo.silva@suez.com" TargetMode="External"/><Relationship Id="rId174" Type="http://schemas.openxmlformats.org/officeDocument/2006/relationships/hyperlink" Target="mailto:rodrigo.silva@suez.com" TargetMode="External"/><Relationship Id="rId195" Type="http://schemas.openxmlformats.org/officeDocument/2006/relationships/hyperlink" Target="mailto:rafael.nascimento@suez.com" TargetMode="External"/><Relationship Id="rId209" Type="http://schemas.openxmlformats.org/officeDocument/2006/relationships/hyperlink" Target="mailto:felipe.viegas@suez.com" TargetMode="External"/><Relationship Id="rId220" Type="http://schemas.openxmlformats.org/officeDocument/2006/relationships/hyperlink" Target="mailto:felipe.viegas@suez.com" TargetMode="External"/><Relationship Id="rId241" Type="http://schemas.openxmlformats.org/officeDocument/2006/relationships/hyperlink" Target="mailto:ana.oliveira@suez.com" TargetMode="External"/><Relationship Id="rId15" Type="http://schemas.openxmlformats.org/officeDocument/2006/relationships/hyperlink" Target="mailto:eduardo.mello@suez.com" TargetMode="External"/><Relationship Id="rId36" Type="http://schemas.openxmlformats.org/officeDocument/2006/relationships/hyperlink" Target="mailto:jose.nascimento@suez.com" TargetMode="External"/><Relationship Id="rId57" Type="http://schemas.openxmlformats.org/officeDocument/2006/relationships/hyperlink" Target="mailto:rafael.nascimento@suez.com" TargetMode="External"/><Relationship Id="rId262" Type="http://schemas.openxmlformats.org/officeDocument/2006/relationships/hyperlink" Target="mailto:an.santos@suez.com" TargetMode="External"/><Relationship Id="rId283" Type="http://schemas.openxmlformats.org/officeDocument/2006/relationships/hyperlink" Target="mailto:an.santos@suez.com" TargetMode="External"/><Relationship Id="rId318" Type="http://schemas.openxmlformats.org/officeDocument/2006/relationships/hyperlink" Target="mailto:giovana.tardelli@suez.com" TargetMode="External"/><Relationship Id="rId339" Type="http://schemas.openxmlformats.org/officeDocument/2006/relationships/hyperlink" Target="mailto:rafael.campos@suez.com" TargetMode="External"/><Relationship Id="rId78" Type="http://schemas.openxmlformats.org/officeDocument/2006/relationships/hyperlink" Target="mailto:tatiana.almeida@suez.com" TargetMode="External"/><Relationship Id="rId99" Type="http://schemas.openxmlformats.org/officeDocument/2006/relationships/hyperlink" Target="mailto:marcelo.soto@suez.com" TargetMode="External"/><Relationship Id="rId101" Type="http://schemas.openxmlformats.org/officeDocument/2006/relationships/hyperlink" Target="mailto:davi.santos@suez.com" TargetMode="External"/><Relationship Id="rId122" Type="http://schemas.openxmlformats.org/officeDocument/2006/relationships/hyperlink" Target="mailto:marcelo.soto@suez.com" TargetMode="External"/><Relationship Id="rId143" Type="http://schemas.openxmlformats.org/officeDocument/2006/relationships/hyperlink" Target="mailto:rodrigo.silva@suez.com" TargetMode="External"/><Relationship Id="rId164" Type="http://schemas.openxmlformats.org/officeDocument/2006/relationships/hyperlink" Target="mailto:rodrigo.silva@suez.com" TargetMode="External"/><Relationship Id="rId185" Type="http://schemas.openxmlformats.org/officeDocument/2006/relationships/hyperlink" Target="mailto:edmilson.santos@suez.com" TargetMode="External"/><Relationship Id="rId350" Type="http://schemas.openxmlformats.org/officeDocument/2006/relationships/hyperlink" Target="mailto:rafael.nascimento@suez.com" TargetMode="External"/><Relationship Id="rId9" Type="http://schemas.openxmlformats.org/officeDocument/2006/relationships/hyperlink" Target="mailto:eduardo.mello@suez.com" TargetMode="External"/><Relationship Id="rId210" Type="http://schemas.openxmlformats.org/officeDocument/2006/relationships/hyperlink" Target="mailto:felipe.viegas@suez.com" TargetMode="External"/><Relationship Id="rId26" Type="http://schemas.openxmlformats.org/officeDocument/2006/relationships/hyperlink" Target="mailto:rafaela.gomes@suez.com" TargetMode="External"/><Relationship Id="rId231" Type="http://schemas.openxmlformats.org/officeDocument/2006/relationships/hyperlink" Target="mailto:carlos.santos@suez.com" TargetMode="External"/><Relationship Id="rId252" Type="http://schemas.openxmlformats.org/officeDocument/2006/relationships/hyperlink" Target="mailto:an.santos@suez.com" TargetMode="External"/><Relationship Id="rId273" Type="http://schemas.openxmlformats.org/officeDocument/2006/relationships/hyperlink" Target="mailto:luciene.irmao@suez.com" TargetMode="External"/><Relationship Id="rId294" Type="http://schemas.openxmlformats.org/officeDocument/2006/relationships/hyperlink" Target="mailto:an.santos@suez.com" TargetMode="External"/><Relationship Id="rId308" Type="http://schemas.openxmlformats.org/officeDocument/2006/relationships/hyperlink" Target="mailto:glauber.ruiz@suez.com" TargetMode="External"/><Relationship Id="rId329" Type="http://schemas.openxmlformats.org/officeDocument/2006/relationships/hyperlink" Target="mailto:jackson.gomes@suez.com" TargetMode="External"/><Relationship Id="rId47" Type="http://schemas.openxmlformats.org/officeDocument/2006/relationships/hyperlink" Target="mailto:miguel.frug@suez.com" TargetMode="External"/><Relationship Id="rId68" Type="http://schemas.openxmlformats.org/officeDocument/2006/relationships/hyperlink" Target="mailto:rosangela.soares@suez.com" TargetMode="External"/><Relationship Id="rId89" Type="http://schemas.openxmlformats.org/officeDocument/2006/relationships/hyperlink" Target="mailto:tatiana.almeida@suez.com" TargetMode="External"/><Relationship Id="rId112" Type="http://schemas.openxmlformats.org/officeDocument/2006/relationships/hyperlink" Target="mailto:kleber.silva@suez.com" TargetMode="External"/><Relationship Id="rId133" Type="http://schemas.openxmlformats.org/officeDocument/2006/relationships/hyperlink" Target="mailto:amadeu.peixoto@suez.com" TargetMode="External"/><Relationship Id="rId154" Type="http://schemas.openxmlformats.org/officeDocument/2006/relationships/hyperlink" Target="mailto:rodrigo.silva@suez.com" TargetMode="External"/><Relationship Id="rId175" Type="http://schemas.openxmlformats.org/officeDocument/2006/relationships/hyperlink" Target="mailto:rodrigo.silva@suez.com" TargetMode="External"/><Relationship Id="rId340" Type="http://schemas.openxmlformats.org/officeDocument/2006/relationships/hyperlink" Target="mailto:rafael.campos@suez.com" TargetMode="External"/><Relationship Id="rId196" Type="http://schemas.openxmlformats.org/officeDocument/2006/relationships/hyperlink" Target="mailto:rafael.nascimento@suez.com" TargetMode="External"/><Relationship Id="rId200" Type="http://schemas.openxmlformats.org/officeDocument/2006/relationships/hyperlink" Target="mailto:paulo.corsete@suez.com" TargetMode="External"/><Relationship Id="rId16" Type="http://schemas.openxmlformats.org/officeDocument/2006/relationships/hyperlink" Target="mailto:gabriel.lourenco@suez.com" TargetMode="External"/><Relationship Id="rId221" Type="http://schemas.openxmlformats.org/officeDocument/2006/relationships/hyperlink" Target="mailto:carlos.santos@suez.com" TargetMode="External"/><Relationship Id="rId242" Type="http://schemas.openxmlformats.org/officeDocument/2006/relationships/hyperlink" Target="mailto:edmilson.santos@suez.com" TargetMode="External"/><Relationship Id="rId263" Type="http://schemas.openxmlformats.org/officeDocument/2006/relationships/hyperlink" Target="mailto:matheus.bahr@suez.com" TargetMode="External"/><Relationship Id="rId284" Type="http://schemas.openxmlformats.org/officeDocument/2006/relationships/hyperlink" Target="mailto:an.santos@suez.com" TargetMode="External"/><Relationship Id="rId319" Type="http://schemas.openxmlformats.org/officeDocument/2006/relationships/hyperlink" Target="mailto:thiago.tomazelli@suez.com" TargetMode="External"/><Relationship Id="rId37" Type="http://schemas.openxmlformats.org/officeDocument/2006/relationships/hyperlink" Target="mailto:jobson-rodrigo.silva@suez.com" TargetMode="External"/><Relationship Id="rId58" Type="http://schemas.openxmlformats.org/officeDocument/2006/relationships/hyperlink" Target="mailto:rodrigo.amaro@suez.com" TargetMode="External"/><Relationship Id="rId79" Type="http://schemas.openxmlformats.org/officeDocument/2006/relationships/hyperlink" Target="mailto:tatiana.almeida@suez.com" TargetMode="External"/><Relationship Id="rId102" Type="http://schemas.openxmlformats.org/officeDocument/2006/relationships/hyperlink" Target="mailto:davi.santos@suez.com" TargetMode="External"/><Relationship Id="rId123" Type="http://schemas.openxmlformats.org/officeDocument/2006/relationships/hyperlink" Target="mailto:marcelo.soto@suez.com" TargetMode="External"/><Relationship Id="rId144" Type="http://schemas.openxmlformats.org/officeDocument/2006/relationships/hyperlink" Target="mailto:rodrigo.silva@suez.com" TargetMode="External"/><Relationship Id="rId330" Type="http://schemas.openxmlformats.org/officeDocument/2006/relationships/hyperlink" Target="mailto:gabriel.lourenco@suez.com" TargetMode="External"/><Relationship Id="rId90" Type="http://schemas.openxmlformats.org/officeDocument/2006/relationships/hyperlink" Target="mailto:tatiana.almeida@suez.com" TargetMode="External"/><Relationship Id="rId165" Type="http://schemas.openxmlformats.org/officeDocument/2006/relationships/hyperlink" Target="mailto:rodrigo.silva@suez.com" TargetMode="External"/><Relationship Id="rId186" Type="http://schemas.openxmlformats.org/officeDocument/2006/relationships/hyperlink" Target="mailto:edmilson.santos@suez.com" TargetMode="External"/><Relationship Id="rId351" Type="http://schemas.openxmlformats.org/officeDocument/2006/relationships/hyperlink" Target="mailto:rafael.campos@suez.com" TargetMode="External"/><Relationship Id="rId211" Type="http://schemas.openxmlformats.org/officeDocument/2006/relationships/hyperlink" Target="mailto:felipe.viegas@suez.com" TargetMode="External"/><Relationship Id="rId232" Type="http://schemas.openxmlformats.org/officeDocument/2006/relationships/hyperlink" Target="mailto:miguel.frug@suez.com" TargetMode="External"/><Relationship Id="rId253" Type="http://schemas.openxmlformats.org/officeDocument/2006/relationships/hyperlink" Target="mailto:an.santos@suez.com" TargetMode="External"/><Relationship Id="rId274" Type="http://schemas.openxmlformats.org/officeDocument/2006/relationships/hyperlink" Target="mailto:luciene.irmao@suez.com" TargetMode="External"/><Relationship Id="rId295" Type="http://schemas.openxmlformats.org/officeDocument/2006/relationships/hyperlink" Target="mailto:raul.oliveira@suez.com" TargetMode="External"/><Relationship Id="rId309" Type="http://schemas.openxmlformats.org/officeDocument/2006/relationships/hyperlink" Target="mailto:glauber.ruiz@suez.com" TargetMode="External"/><Relationship Id="rId27" Type="http://schemas.openxmlformats.org/officeDocument/2006/relationships/hyperlink" Target="mailto:flaminio.neto@suez.com" TargetMode="External"/><Relationship Id="rId48" Type="http://schemas.openxmlformats.org/officeDocument/2006/relationships/hyperlink" Target="mailto:ra.silva@suez.com" TargetMode="External"/><Relationship Id="rId69" Type="http://schemas.openxmlformats.org/officeDocument/2006/relationships/hyperlink" Target="mailto:william.leiteromano@suez.com" TargetMode="External"/><Relationship Id="rId113" Type="http://schemas.openxmlformats.org/officeDocument/2006/relationships/hyperlink" Target="mailto:kleber.silva@suez.com" TargetMode="External"/><Relationship Id="rId134" Type="http://schemas.openxmlformats.org/officeDocument/2006/relationships/hyperlink" Target="mailto:amadeu.peixoto@suez.com" TargetMode="External"/><Relationship Id="rId320" Type="http://schemas.openxmlformats.org/officeDocument/2006/relationships/hyperlink" Target="mailto:a.ribeiro@suez.com" TargetMode="External"/><Relationship Id="rId80" Type="http://schemas.openxmlformats.org/officeDocument/2006/relationships/hyperlink" Target="mailto:tatiana.almeida@suez.com" TargetMode="External"/><Relationship Id="rId155" Type="http://schemas.openxmlformats.org/officeDocument/2006/relationships/hyperlink" Target="mailto:rodrigo.silva@suez.com" TargetMode="External"/><Relationship Id="rId176" Type="http://schemas.openxmlformats.org/officeDocument/2006/relationships/hyperlink" Target="mailto:rodrigo.silva@suez.com" TargetMode="External"/><Relationship Id="rId197" Type="http://schemas.openxmlformats.org/officeDocument/2006/relationships/hyperlink" Target="mailto:paulo.corsete@suez.com" TargetMode="External"/><Relationship Id="rId341" Type="http://schemas.openxmlformats.org/officeDocument/2006/relationships/hyperlink" Target="mailto:fernanda.kaiser@suez.com" TargetMode="External"/><Relationship Id="rId201" Type="http://schemas.openxmlformats.org/officeDocument/2006/relationships/hyperlink" Target="mailto:paulo.corsete@suez.com" TargetMode="External"/><Relationship Id="rId222" Type="http://schemas.openxmlformats.org/officeDocument/2006/relationships/hyperlink" Target="mailto:adalberto.diniz@suez.com" TargetMode="External"/><Relationship Id="rId243" Type="http://schemas.openxmlformats.org/officeDocument/2006/relationships/hyperlink" Target="mailto:marcelo.soto@suez.com" TargetMode="External"/><Relationship Id="rId264" Type="http://schemas.openxmlformats.org/officeDocument/2006/relationships/hyperlink" Target="mailto:rafael.nascimento@suez.com" TargetMode="External"/><Relationship Id="rId285" Type="http://schemas.openxmlformats.org/officeDocument/2006/relationships/hyperlink" Target="mailto:an.santos@suez.com" TargetMode="External"/><Relationship Id="rId17" Type="http://schemas.openxmlformats.org/officeDocument/2006/relationships/hyperlink" Target="mailto:gabriel.lourenco@suez.com" TargetMode="External"/><Relationship Id="rId38" Type="http://schemas.openxmlformats.org/officeDocument/2006/relationships/hyperlink" Target="mailto:izack.gomes@suez.com" TargetMode="External"/><Relationship Id="rId59" Type="http://schemas.openxmlformats.org/officeDocument/2006/relationships/hyperlink" Target="mailto:rodrigo.amaro@suez.com" TargetMode="External"/><Relationship Id="rId103" Type="http://schemas.openxmlformats.org/officeDocument/2006/relationships/hyperlink" Target="mailto:davi.santos@suez.com" TargetMode="External"/><Relationship Id="rId124" Type="http://schemas.openxmlformats.org/officeDocument/2006/relationships/hyperlink" Target="mailto:marcelo.soto@suez.com" TargetMode="External"/><Relationship Id="rId310" Type="http://schemas.openxmlformats.org/officeDocument/2006/relationships/hyperlink" Target="mailto:deivid.elias@suez.com" TargetMode="External"/><Relationship Id="rId70" Type="http://schemas.openxmlformats.org/officeDocument/2006/relationships/hyperlink" Target="mailto:william.leiteromano@suez.com" TargetMode="External"/><Relationship Id="rId91" Type="http://schemas.openxmlformats.org/officeDocument/2006/relationships/hyperlink" Target="mailto:thiago.morais@suez.com" TargetMode="External"/><Relationship Id="rId145" Type="http://schemas.openxmlformats.org/officeDocument/2006/relationships/hyperlink" Target="mailto:rodrigo.silva@suez.com" TargetMode="External"/><Relationship Id="rId166" Type="http://schemas.openxmlformats.org/officeDocument/2006/relationships/hyperlink" Target="mailto:rodrigo.silva@suez.com" TargetMode="External"/><Relationship Id="rId187" Type="http://schemas.openxmlformats.org/officeDocument/2006/relationships/hyperlink" Target="mailto:marcelo.soto@suez.com" TargetMode="External"/><Relationship Id="rId331" Type="http://schemas.openxmlformats.org/officeDocument/2006/relationships/hyperlink" Target="mailto:gabriel.lourenco@suez.com" TargetMode="External"/><Relationship Id="rId352" Type="http://schemas.openxmlformats.org/officeDocument/2006/relationships/hyperlink" Target="mailto:rafael.campos@suez.com" TargetMode="External"/><Relationship Id="rId1" Type="http://schemas.openxmlformats.org/officeDocument/2006/relationships/hyperlink" Target="mailto:anderson.souza@suez.com" TargetMode="External"/><Relationship Id="rId212" Type="http://schemas.openxmlformats.org/officeDocument/2006/relationships/hyperlink" Target="mailto:rodrigo.amaro@suez.com" TargetMode="External"/><Relationship Id="rId233" Type="http://schemas.openxmlformats.org/officeDocument/2006/relationships/hyperlink" Target="mailto:hugo.cavalcante@suez.com" TargetMode="External"/><Relationship Id="rId254" Type="http://schemas.openxmlformats.org/officeDocument/2006/relationships/hyperlink" Target="mailto:an.santos@suez.com" TargetMode="External"/><Relationship Id="rId28" Type="http://schemas.openxmlformats.org/officeDocument/2006/relationships/hyperlink" Target="mailto:flaminio.neto@suez.com" TargetMode="External"/><Relationship Id="rId49" Type="http://schemas.openxmlformats.org/officeDocument/2006/relationships/hyperlink" Target="mailto:ra.silva@suez.com" TargetMode="External"/><Relationship Id="rId114" Type="http://schemas.openxmlformats.org/officeDocument/2006/relationships/hyperlink" Target="mailto:edmilson.santos@suez.com" TargetMode="External"/><Relationship Id="rId275" Type="http://schemas.openxmlformats.org/officeDocument/2006/relationships/hyperlink" Target="mailto:glauber.ruiz@suez.com" TargetMode="External"/><Relationship Id="rId296" Type="http://schemas.openxmlformats.org/officeDocument/2006/relationships/hyperlink" Target="mailto:kleber.silva@suez.com" TargetMode="External"/><Relationship Id="rId300" Type="http://schemas.openxmlformats.org/officeDocument/2006/relationships/hyperlink" Target="mailto:leonardo.goncalves@suez.com" TargetMode="External"/><Relationship Id="rId60" Type="http://schemas.openxmlformats.org/officeDocument/2006/relationships/hyperlink" Target="mailto:rodrigo.amaro@suez.com" TargetMode="External"/><Relationship Id="rId81" Type="http://schemas.openxmlformats.org/officeDocument/2006/relationships/hyperlink" Target="mailto:tatiana.almeida@suez.com" TargetMode="External"/><Relationship Id="rId135" Type="http://schemas.openxmlformats.org/officeDocument/2006/relationships/hyperlink" Target="mailto:amadeu.peixoto@suez.com" TargetMode="External"/><Relationship Id="rId156" Type="http://schemas.openxmlformats.org/officeDocument/2006/relationships/hyperlink" Target="mailto:rodrigo.silva@suez.com" TargetMode="External"/><Relationship Id="rId177" Type="http://schemas.openxmlformats.org/officeDocument/2006/relationships/hyperlink" Target="mailto:rodrigo.silva@suez.com" TargetMode="External"/><Relationship Id="rId198" Type="http://schemas.openxmlformats.org/officeDocument/2006/relationships/hyperlink" Target="mailto:paulo.corsete@suez.com" TargetMode="External"/><Relationship Id="rId321" Type="http://schemas.openxmlformats.org/officeDocument/2006/relationships/hyperlink" Target="mailto:isaac.pinto@suez.com" TargetMode="External"/><Relationship Id="rId342" Type="http://schemas.openxmlformats.org/officeDocument/2006/relationships/hyperlink" Target="mailto:ozeas.rufino@suez.com" TargetMode="External"/><Relationship Id="rId202" Type="http://schemas.openxmlformats.org/officeDocument/2006/relationships/hyperlink" Target="mailto:paulo.corsete@suez.com" TargetMode="External"/><Relationship Id="rId223" Type="http://schemas.openxmlformats.org/officeDocument/2006/relationships/hyperlink" Target="mailto:adalberto.diniz@suez.com" TargetMode="External"/><Relationship Id="rId244" Type="http://schemas.openxmlformats.org/officeDocument/2006/relationships/hyperlink" Target="mailto:adalberto.diniz@suez.com" TargetMode="External"/><Relationship Id="rId18" Type="http://schemas.openxmlformats.org/officeDocument/2006/relationships/hyperlink" Target="mailto:gerson.miranda@suez.com" TargetMode="External"/><Relationship Id="rId39" Type="http://schemas.openxmlformats.org/officeDocument/2006/relationships/hyperlink" Target="mailto:jobson-rodrigo.silva@suez.com" TargetMode="External"/><Relationship Id="rId265" Type="http://schemas.openxmlformats.org/officeDocument/2006/relationships/hyperlink" Target="mailto:bianca.dossantos@suez.com" TargetMode="External"/><Relationship Id="rId286" Type="http://schemas.openxmlformats.org/officeDocument/2006/relationships/hyperlink" Target="mailto:an.santos@suez.com" TargetMode="External"/><Relationship Id="rId50" Type="http://schemas.openxmlformats.org/officeDocument/2006/relationships/hyperlink" Target="mailto:rafaela.gomes@suez.com" TargetMode="External"/><Relationship Id="rId104" Type="http://schemas.openxmlformats.org/officeDocument/2006/relationships/hyperlink" Target="mailto:daniel.atala@suez.com" TargetMode="External"/><Relationship Id="rId125" Type="http://schemas.openxmlformats.org/officeDocument/2006/relationships/hyperlink" Target="mailto:marcelo.soto@suez.com" TargetMode="External"/><Relationship Id="rId146" Type="http://schemas.openxmlformats.org/officeDocument/2006/relationships/hyperlink" Target="mailto:rodrigo.silva@suez.com" TargetMode="External"/><Relationship Id="rId167" Type="http://schemas.openxmlformats.org/officeDocument/2006/relationships/hyperlink" Target="mailto:rodrigo.silva@suez.com" TargetMode="External"/><Relationship Id="rId188" Type="http://schemas.openxmlformats.org/officeDocument/2006/relationships/hyperlink" Target="mailto:rafael.nascimento@suez.com" TargetMode="External"/><Relationship Id="rId311" Type="http://schemas.openxmlformats.org/officeDocument/2006/relationships/hyperlink" Target="mailto:karla.perin@suez.com" TargetMode="External"/><Relationship Id="rId332" Type="http://schemas.openxmlformats.org/officeDocument/2006/relationships/hyperlink" Target="mailto:hugo.cavalcante@suez.com" TargetMode="External"/><Relationship Id="rId353" Type="http://schemas.openxmlformats.org/officeDocument/2006/relationships/hyperlink" Target="mailto:natalia.correa@suez.com" TargetMode="External"/><Relationship Id="rId71" Type="http://schemas.openxmlformats.org/officeDocument/2006/relationships/hyperlink" Target="mailto:william.leiteromano@suez.com" TargetMode="External"/><Relationship Id="rId92" Type="http://schemas.openxmlformats.org/officeDocument/2006/relationships/hyperlink" Target="mailto:thiago.morais@suez.com" TargetMode="External"/><Relationship Id="rId213" Type="http://schemas.openxmlformats.org/officeDocument/2006/relationships/hyperlink" Target="mailto:rodrigo.amaro@suez.com" TargetMode="External"/><Relationship Id="rId234" Type="http://schemas.openxmlformats.org/officeDocument/2006/relationships/hyperlink" Target="mailto:osvaldo.melo@suez.com" TargetMode="External"/><Relationship Id="rId2" Type="http://schemas.openxmlformats.org/officeDocument/2006/relationships/hyperlink" Target="mailto:anderson.souza@suez.com" TargetMode="External"/><Relationship Id="rId29" Type="http://schemas.openxmlformats.org/officeDocument/2006/relationships/hyperlink" Target="mailto:luciene.irmao@suez.com" TargetMode="External"/><Relationship Id="rId255" Type="http://schemas.openxmlformats.org/officeDocument/2006/relationships/hyperlink" Target="mailto:an.santos@suez.com" TargetMode="External"/><Relationship Id="rId276" Type="http://schemas.openxmlformats.org/officeDocument/2006/relationships/hyperlink" Target="mailto:kleber.silva@suez.com" TargetMode="External"/><Relationship Id="rId297" Type="http://schemas.openxmlformats.org/officeDocument/2006/relationships/hyperlink" Target="mailto:an.santos@suez.com" TargetMode="External"/><Relationship Id="rId40" Type="http://schemas.openxmlformats.org/officeDocument/2006/relationships/hyperlink" Target="mailto:jobson-rodrigo.silva@suez.com" TargetMode="External"/><Relationship Id="rId115" Type="http://schemas.openxmlformats.org/officeDocument/2006/relationships/hyperlink" Target="mailto:edmilson.santos@suez.com" TargetMode="External"/><Relationship Id="rId136" Type="http://schemas.openxmlformats.org/officeDocument/2006/relationships/hyperlink" Target="mailto:amadeu.peixoto@suez.com" TargetMode="External"/><Relationship Id="rId157" Type="http://schemas.openxmlformats.org/officeDocument/2006/relationships/hyperlink" Target="mailto:rodrigo.silva@suez.com" TargetMode="External"/><Relationship Id="rId178" Type="http://schemas.openxmlformats.org/officeDocument/2006/relationships/hyperlink" Target="mailto:rodrigo.silva@suez.com" TargetMode="External"/><Relationship Id="rId301" Type="http://schemas.openxmlformats.org/officeDocument/2006/relationships/hyperlink" Target="mailto:leonardo.goncalves@suez.com" TargetMode="External"/><Relationship Id="rId322" Type="http://schemas.openxmlformats.org/officeDocument/2006/relationships/hyperlink" Target="mailto:renato.chialastri@suez.com" TargetMode="External"/><Relationship Id="rId343" Type="http://schemas.openxmlformats.org/officeDocument/2006/relationships/hyperlink" Target="mailto:ozeas.rufino@suez.com" TargetMode="External"/><Relationship Id="rId61" Type="http://schemas.openxmlformats.org/officeDocument/2006/relationships/hyperlink" Target="mailto:rodrigo.amaro@suez.com" TargetMode="External"/><Relationship Id="rId82" Type="http://schemas.openxmlformats.org/officeDocument/2006/relationships/hyperlink" Target="mailto:tatiana.almeida@suez.com" TargetMode="External"/><Relationship Id="rId199" Type="http://schemas.openxmlformats.org/officeDocument/2006/relationships/hyperlink" Target="mailto:paulo.corsete@suez.com" TargetMode="External"/><Relationship Id="rId203" Type="http://schemas.openxmlformats.org/officeDocument/2006/relationships/hyperlink" Target="mailto:paulo.corsete@suez.com" TargetMode="External"/><Relationship Id="rId19" Type="http://schemas.openxmlformats.org/officeDocument/2006/relationships/hyperlink" Target="mailto:felipe.viegas@suez.com" TargetMode="External"/><Relationship Id="rId224" Type="http://schemas.openxmlformats.org/officeDocument/2006/relationships/hyperlink" Target="mailto:adalberto.diniz@suez.com" TargetMode="External"/><Relationship Id="rId245" Type="http://schemas.openxmlformats.org/officeDocument/2006/relationships/hyperlink" Target="mailto:adalberto.diniz@suez.com" TargetMode="External"/><Relationship Id="rId266" Type="http://schemas.openxmlformats.org/officeDocument/2006/relationships/hyperlink" Target="mailto:kleber.silva@suez.com" TargetMode="External"/><Relationship Id="rId287" Type="http://schemas.openxmlformats.org/officeDocument/2006/relationships/hyperlink" Target="mailto:an.santos@suez.com" TargetMode="External"/><Relationship Id="rId30" Type="http://schemas.openxmlformats.org/officeDocument/2006/relationships/hyperlink" Target="mailto:jose.nascimento@suez.com" TargetMode="External"/><Relationship Id="rId105" Type="http://schemas.openxmlformats.org/officeDocument/2006/relationships/hyperlink" Target="mailto:karla.perin@suez.com" TargetMode="External"/><Relationship Id="rId126" Type="http://schemas.openxmlformats.org/officeDocument/2006/relationships/hyperlink" Target="mailto:marcelo.soto@suez.com" TargetMode="External"/><Relationship Id="rId147" Type="http://schemas.openxmlformats.org/officeDocument/2006/relationships/hyperlink" Target="mailto:rodrigo.silva@suez.com" TargetMode="External"/><Relationship Id="rId168" Type="http://schemas.openxmlformats.org/officeDocument/2006/relationships/hyperlink" Target="mailto:rodrigo.silva@suez.com" TargetMode="External"/><Relationship Id="rId312" Type="http://schemas.openxmlformats.org/officeDocument/2006/relationships/hyperlink" Target="mailto:sonia.jesus@suez.com" TargetMode="External"/><Relationship Id="rId333" Type="http://schemas.openxmlformats.org/officeDocument/2006/relationships/hyperlink" Target="mailto:fernanda.kaiser@suez.com" TargetMode="External"/><Relationship Id="rId354" Type="http://schemas.openxmlformats.org/officeDocument/2006/relationships/hyperlink" Target="mailto:an.santos@suez.com" TargetMode="External"/><Relationship Id="rId51" Type="http://schemas.openxmlformats.org/officeDocument/2006/relationships/hyperlink" Target="mailto:rafael.nascimento@suez.com" TargetMode="External"/><Relationship Id="rId72" Type="http://schemas.openxmlformats.org/officeDocument/2006/relationships/hyperlink" Target="mailto:tatiana.almeida@suez.com" TargetMode="External"/><Relationship Id="rId93" Type="http://schemas.openxmlformats.org/officeDocument/2006/relationships/hyperlink" Target="mailto:thiago.morais@suez.com" TargetMode="External"/><Relationship Id="rId189" Type="http://schemas.openxmlformats.org/officeDocument/2006/relationships/hyperlink" Target="mailto:rafael.nascimento@suez.com" TargetMode="External"/><Relationship Id="rId3" Type="http://schemas.openxmlformats.org/officeDocument/2006/relationships/hyperlink" Target="mailto:anderson.souza@suez.com" TargetMode="External"/><Relationship Id="rId214" Type="http://schemas.openxmlformats.org/officeDocument/2006/relationships/hyperlink" Target="mailto:rodrigo.amaro@suez.com" TargetMode="External"/><Relationship Id="rId235" Type="http://schemas.openxmlformats.org/officeDocument/2006/relationships/hyperlink" Target="mailto:osvaldo.melo@suez.com" TargetMode="External"/><Relationship Id="rId256" Type="http://schemas.openxmlformats.org/officeDocument/2006/relationships/hyperlink" Target="mailto:an.santos@suez.com" TargetMode="External"/><Relationship Id="rId277" Type="http://schemas.openxmlformats.org/officeDocument/2006/relationships/hyperlink" Target="mailto:kleber.silva@suez.com" TargetMode="External"/><Relationship Id="rId298" Type="http://schemas.openxmlformats.org/officeDocument/2006/relationships/hyperlink" Target="mailto:kleber.silva@suez.com" TargetMode="External"/><Relationship Id="rId116" Type="http://schemas.openxmlformats.org/officeDocument/2006/relationships/hyperlink" Target="mailto:marcelo.soto@suez.com" TargetMode="External"/><Relationship Id="rId137" Type="http://schemas.openxmlformats.org/officeDocument/2006/relationships/hyperlink" Target="mailto:amadeu.peixoto@suez.com" TargetMode="External"/><Relationship Id="rId158" Type="http://schemas.openxmlformats.org/officeDocument/2006/relationships/hyperlink" Target="mailto:rodrigo.silva@suez.com" TargetMode="External"/><Relationship Id="rId302" Type="http://schemas.openxmlformats.org/officeDocument/2006/relationships/hyperlink" Target="mailto:larissa.silva@suez.com" TargetMode="External"/><Relationship Id="rId323" Type="http://schemas.openxmlformats.org/officeDocument/2006/relationships/hyperlink" Target="mailto:felipe.viegas@suez.com" TargetMode="External"/><Relationship Id="rId344" Type="http://schemas.openxmlformats.org/officeDocument/2006/relationships/hyperlink" Target="mailto:luiz.silva@suez.com" TargetMode="External"/><Relationship Id="rId20" Type="http://schemas.openxmlformats.org/officeDocument/2006/relationships/hyperlink" Target="mailto:everton.delturqui@suez.com" TargetMode="External"/><Relationship Id="rId41" Type="http://schemas.openxmlformats.org/officeDocument/2006/relationships/hyperlink" Target="mailto:jobson-rodrigo.silva@suez.com" TargetMode="External"/><Relationship Id="rId62" Type="http://schemas.openxmlformats.org/officeDocument/2006/relationships/hyperlink" Target="mailto:rodrigo.amaro@suez.com" TargetMode="External"/><Relationship Id="rId83" Type="http://schemas.openxmlformats.org/officeDocument/2006/relationships/hyperlink" Target="mailto:tatiana.almeida@suez.com" TargetMode="External"/><Relationship Id="rId179" Type="http://schemas.openxmlformats.org/officeDocument/2006/relationships/hyperlink" Target="mailto:rodrigo.silva@suez.com" TargetMode="External"/><Relationship Id="rId190" Type="http://schemas.openxmlformats.org/officeDocument/2006/relationships/hyperlink" Target="mailto:rafael.nascimento@suez.com" TargetMode="External"/><Relationship Id="rId204" Type="http://schemas.openxmlformats.org/officeDocument/2006/relationships/hyperlink" Target="mailto:giovana.tardelli@suez.com" TargetMode="External"/><Relationship Id="rId225" Type="http://schemas.openxmlformats.org/officeDocument/2006/relationships/hyperlink" Target="mailto:adalberto.diniz@suez.com" TargetMode="External"/><Relationship Id="rId246" Type="http://schemas.openxmlformats.org/officeDocument/2006/relationships/hyperlink" Target="mailto:an.santos@suez.com" TargetMode="External"/><Relationship Id="rId267" Type="http://schemas.openxmlformats.org/officeDocument/2006/relationships/hyperlink" Target="mailto:eduardo.zotto@suez.com" TargetMode="External"/><Relationship Id="rId288" Type="http://schemas.openxmlformats.org/officeDocument/2006/relationships/hyperlink" Target="mailto:an.santos@suez.com" TargetMode="External"/><Relationship Id="rId106" Type="http://schemas.openxmlformats.org/officeDocument/2006/relationships/hyperlink" Target="mailto:karla.perin@suez.com" TargetMode="External"/><Relationship Id="rId127" Type="http://schemas.openxmlformats.org/officeDocument/2006/relationships/hyperlink" Target="mailto:marcelo.soto@suez.com" TargetMode="External"/><Relationship Id="rId313" Type="http://schemas.openxmlformats.org/officeDocument/2006/relationships/hyperlink" Target="mailto:francisco.pereira@suez.com" TargetMode="External"/><Relationship Id="rId10" Type="http://schemas.openxmlformats.org/officeDocument/2006/relationships/hyperlink" Target="mailto:eduardo.mello@suez.com" TargetMode="External"/><Relationship Id="rId31" Type="http://schemas.openxmlformats.org/officeDocument/2006/relationships/hyperlink" Target="mailto:jose.nascimento@suez.com" TargetMode="External"/><Relationship Id="rId52" Type="http://schemas.openxmlformats.org/officeDocument/2006/relationships/hyperlink" Target="mailto:rafael.nascimento@suez.com" TargetMode="External"/><Relationship Id="rId73" Type="http://schemas.openxmlformats.org/officeDocument/2006/relationships/hyperlink" Target="mailto:tatiana.almeida@suez.com" TargetMode="External"/><Relationship Id="rId94" Type="http://schemas.openxmlformats.org/officeDocument/2006/relationships/hyperlink" Target="mailto:thiago.morais@suez.com" TargetMode="External"/><Relationship Id="rId148" Type="http://schemas.openxmlformats.org/officeDocument/2006/relationships/hyperlink" Target="mailto:rodrigo.silva@suez.com" TargetMode="External"/><Relationship Id="rId169" Type="http://schemas.openxmlformats.org/officeDocument/2006/relationships/hyperlink" Target="mailto:rodrigo.silva@suez.com" TargetMode="External"/><Relationship Id="rId334" Type="http://schemas.openxmlformats.org/officeDocument/2006/relationships/hyperlink" Target="mailto:thais.nunes@suez.com" TargetMode="External"/><Relationship Id="rId355" Type="http://schemas.openxmlformats.org/officeDocument/2006/relationships/hyperlink" Target="mailto:higor.mendoncadejesus@suez.com" TargetMode="External"/><Relationship Id="rId4" Type="http://schemas.openxmlformats.org/officeDocument/2006/relationships/hyperlink" Target="mailto:clovis.oliveira@suez.com" TargetMode="External"/><Relationship Id="rId180" Type="http://schemas.openxmlformats.org/officeDocument/2006/relationships/hyperlink" Target="mailto:rodrigo.silva@suez.com" TargetMode="External"/><Relationship Id="rId215" Type="http://schemas.openxmlformats.org/officeDocument/2006/relationships/hyperlink" Target="mailto:rodrigo.amaro@suez.com" TargetMode="External"/><Relationship Id="rId236" Type="http://schemas.openxmlformats.org/officeDocument/2006/relationships/hyperlink" Target="mailto:osvaldo.melo@suez.com" TargetMode="External"/><Relationship Id="rId257" Type="http://schemas.openxmlformats.org/officeDocument/2006/relationships/hyperlink" Target="mailto:an.santos@suez.com" TargetMode="External"/><Relationship Id="rId278" Type="http://schemas.openxmlformats.org/officeDocument/2006/relationships/hyperlink" Target="mailto:kleber.silva@suez.com" TargetMode="External"/><Relationship Id="rId303" Type="http://schemas.openxmlformats.org/officeDocument/2006/relationships/hyperlink" Target="mailto:leandro.zunkowski@suez.com" TargetMode="External"/><Relationship Id="rId42" Type="http://schemas.openxmlformats.org/officeDocument/2006/relationships/hyperlink" Target="mailto:jobson-rodrigo.silva@suez.com" TargetMode="External"/><Relationship Id="rId84" Type="http://schemas.openxmlformats.org/officeDocument/2006/relationships/hyperlink" Target="mailto:tatiana.almeida@suez.com" TargetMode="External"/><Relationship Id="rId138" Type="http://schemas.openxmlformats.org/officeDocument/2006/relationships/hyperlink" Target="mailto:amadeu.peixoto@suez.com" TargetMode="External"/><Relationship Id="rId345" Type="http://schemas.openxmlformats.org/officeDocument/2006/relationships/hyperlink" Target="mailto:felipe.viegas@suez.com" TargetMode="External"/><Relationship Id="rId191" Type="http://schemas.openxmlformats.org/officeDocument/2006/relationships/hyperlink" Target="mailto:rafael.nascimento@suez.com" TargetMode="External"/><Relationship Id="rId205" Type="http://schemas.openxmlformats.org/officeDocument/2006/relationships/hyperlink" Target="mailto:giovana.tardelli@suez.com" TargetMode="External"/><Relationship Id="rId247" Type="http://schemas.openxmlformats.org/officeDocument/2006/relationships/hyperlink" Target="mailto:an.santos@suez.com" TargetMode="External"/><Relationship Id="rId107" Type="http://schemas.openxmlformats.org/officeDocument/2006/relationships/hyperlink" Target="mailto:karla.perin@suez.com" TargetMode="External"/><Relationship Id="rId289" Type="http://schemas.openxmlformats.org/officeDocument/2006/relationships/hyperlink" Target="mailto:an.santos@suez.com" TargetMode="External"/><Relationship Id="rId11" Type="http://schemas.openxmlformats.org/officeDocument/2006/relationships/hyperlink" Target="mailto:eduardo.mello@suez.com" TargetMode="External"/><Relationship Id="rId53" Type="http://schemas.openxmlformats.org/officeDocument/2006/relationships/hyperlink" Target="mailto:rafael.nascimento@suez.com" TargetMode="External"/><Relationship Id="rId149" Type="http://schemas.openxmlformats.org/officeDocument/2006/relationships/hyperlink" Target="mailto:rodrigo.silva@suez.com" TargetMode="External"/><Relationship Id="rId314" Type="http://schemas.openxmlformats.org/officeDocument/2006/relationships/hyperlink" Target="mailto:francisco.pereira@suez.com" TargetMode="External"/><Relationship Id="rId356" Type="http://schemas.openxmlformats.org/officeDocument/2006/relationships/hyperlink" Target="mailto:bianca.dossantos@suez.com" TargetMode="External"/><Relationship Id="rId95" Type="http://schemas.openxmlformats.org/officeDocument/2006/relationships/hyperlink" Target="mailto:an.santos@suez.com" TargetMode="External"/><Relationship Id="rId160" Type="http://schemas.openxmlformats.org/officeDocument/2006/relationships/hyperlink" Target="mailto:rodrigo.silva@suez.com" TargetMode="External"/><Relationship Id="rId216" Type="http://schemas.openxmlformats.org/officeDocument/2006/relationships/hyperlink" Target="mailto:rodrigo.amaro@suez.com" TargetMode="External"/><Relationship Id="rId258" Type="http://schemas.openxmlformats.org/officeDocument/2006/relationships/hyperlink" Target="mailto:an.santos@suez.com" TargetMode="External"/><Relationship Id="rId22" Type="http://schemas.openxmlformats.org/officeDocument/2006/relationships/hyperlink" Target="mailto:everton.delturqui@suez.com" TargetMode="External"/><Relationship Id="rId64" Type="http://schemas.openxmlformats.org/officeDocument/2006/relationships/hyperlink" Target="mailto:romildo.goncalves@suez.com" TargetMode="External"/><Relationship Id="rId118" Type="http://schemas.openxmlformats.org/officeDocument/2006/relationships/hyperlink" Target="mailto:marcelo.soto@suez.com" TargetMode="External"/><Relationship Id="rId325" Type="http://schemas.openxmlformats.org/officeDocument/2006/relationships/hyperlink" Target="mailto:rafael.pietro@suez.com" TargetMode="External"/><Relationship Id="rId171" Type="http://schemas.openxmlformats.org/officeDocument/2006/relationships/hyperlink" Target="mailto:william.leiteromano@suez.com" TargetMode="External"/><Relationship Id="rId227" Type="http://schemas.openxmlformats.org/officeDocument/2006/relationships/hyperlink" Target="mailto:carlos.santos@suez.com" TargetMode="External"/><Relationship Id="rId269" Type="http://schemas.openxmlformats.org/officeDocument/2006/relationships/hyperlink" Target="mailto:ozeas.rufino@suez.com" TargetMode="External"/><Relationship Id="rId33" Type="http://schemas.openxmlformats.org/officeDocument/2006/relationships/hyperlink" Target="mailto:jose.nascimento@suez.com" TargetMode="External"/><Relationship Id="rId129" Type="http://schemas.openxmlformats.org/officeDocument/2006/relationships/hyperlink" Target="mailto:marcelo.soto@suez.com" TargetMode="External"/><Relationship Id="rId280" Type="http://schemas.openxmlformats.org/officeDocument/2006/relationships/hyperlink" Target="mailto:kleber.silva@suez.com" TargetMode="External"/><Relationship Id="rId336" Type="http://schemas.openxmlformats.org/officeDocument/2006/relationships/hyperlink" Target="mailto:ra.silva@suez.com" TargetMode="External"/><Relationship Id="rId75" Type="http://schemas.openxmlformats.org/officeDocument/2006/relationships/hyperlink" Target="mailto:tatiana.almeida@suez.com" TargetMode="External"/><Relationship Id="rId140" Type="http://schemas.openxmlformats.org/officeDocument/2006/relationships/hyperlink" Target="mailto:vinicius.paula@suez.com" TargetMode="External"/><Relationship Id="rId182" Type="http://schemas.openxmlformats.org/officeDocument/2006/relationships/hyperlink" Target="mailto:marcelo.soto@suez.com" TargetMode="External"/><Relationship Id="rId6" Type="http://schemas.openxmlformats.org/officeDocument/2006/relationships/hyperlink" Target="mailto:roberto.nascimento@suez.com" TargetMode="External"/><Relationship Id="rId238" Type="http://schemas.openxmlformats.org/officeDocument/2006/relationships/hyperlink" Target="mailto:amadeu.peixoto@suez.com" TargetMode="External"/><Relationship Id="rId291" Type="http://schemas.openxmlformats.org/officeDocument/2006/relationships/hyperlink" Target="mailto:an.santos@suez.com" TargetMode="External"/><Relationship Id="rId305" Type="http://schemas.openxmlformats.org/officeDocument/2006/relationships/hyperlink" Target="mailto:leandro.zunkowski@suez.com" TargetMode="External"/><Relationship Id="rId347" Type="http://schemas.openxmlformats.org/officeDocument/2006/relationships/hyperlink" Target="mailto:marcelo.bovolenta@suez.com" TargetMode="External"/><Relationship Id="rId44" Type="http://schemas.openxmlformats.org/officeDocument/2006/relationships/hyperlink" Target="mailto:luiz.silva@suez.com" TargetMode="External"/><Relationship Id="rId86" Type="http://schemas.openxmlformats.org/officeDocument/2006/relationships/hyperlink" Target="mailto:tatiana.almeida@suez.com" TargetMode="External"/><Relationship Id="rId151" Type="http://schemas.openxmlformats.org/officeDocument/2006/relationships/hyperlink" Target="mailto:rodrigo.silva@suez.com" TargetMode="External"/><Relationship Id="rId193" Type="http://schemas.openxmlformats.org/officeDocument/2006/relationships/hyperlink" Target="mailto:rafael.nascimento@suez.com" TargetMode="External"/><Relationship Id="rId207" Type="http://schemas.openxmlformats.org/officeDocument/2006/relationships/hyperlink" Target="mailto:ana.oliveira@suez.com" TargetMode="External"/><Relationship Id="rId249" Type="http://schemas.openxmlformats.org/officeDocument/2006/relationships/hyperlink" Target="mailto:rafael.campos@suez.com" TargetMode="External"/><Relationship Id="rId13" Type="http://schemas.openxmlformats.org/officeDocument/2006/relationships/hyperlink" Target="mailto:eduardo.mello@suez.com" TargetMode="External"/><Relationship Id="rId109" Type="http://schemas.openxmlformats.org/officeDocument/2006/relationships/hyperlink" Target="mailto:rafael.campos@suez.com" TargetMode="External"/><Relationship Id="rId260" Type="http://schemas.openxmlformats.org/officeDocument/2006/relationships/hyperlink" Target="mailto:an.santos@suez.com" TargetMode="External"/><Relationship Id="rId316" Type="http://schemas.openxmlformats.org/officeDocument/2006/relationships/hyperlink" Target="mailto:francisco.pereira@suez.com" TargetMode="External"/><Relationship Id="rId55" Type="http://schemas.openxmlformats.org/officeDocument/2006/relationships/hyperlink" Target="mailto:rafael.nascimento@suez.com" TargetMode="External"/><Relationship Id="rId97" Type="http://schemas.openxmlformats.org/officeDocument/2006/relationships/hyperlink" Target="mailto:francisco.pereira@suez.com" TargetMode="External"/><Relationship Id="rId120" Type="http://schemas.openxmlformats.org/officeDocument/2006/relationships/hyperlink" Target="mailto:marcelo.soto@suez.com" TargetMode="External"/><Relationship Id="rId162" Type="http://schemas.openxmlformats.org/officeDocument/2006/relationships/hyperlink" Target="mailto:rodrigo.silva@suez.com" TargetMode="External"/><Relationship Id="rId218" Type="http://schemas.openxmlformats.org/officeDocument/2006/relationships/hyperlink" Target="mailto:felipe.viegas@suez.com" TargetMode="External"/><Relationship Id="rId271" Type="http://schemas.openxmlformats.org/officeDocument/2006/relationships/hyperlink" Target="mailto:karla.perin@suez.com" TargetMode="External"/><Relationship Id="rId24" Type="http://schemas.openxmlformats.org/officeDocument/2006/relationships/hyperlink" Target="mailto:everton.delturqui@suez.com" TargetMode="External"/><Relationship Id="rId66" Type="http://schemas.openxmlformats.org/officeDocument/2006/relationships/hyperlink" Target="mailto:rosangela.soares@suez.com" TargetMode="External"/><Relationship Id="rId131" Type="http://schemas.openxmlformats.org/officeDocument/2006/relationships/hyperlink" Target="mailto:marcelo.soto@suez.com" TargetMode="External"/><Relationship Id="rId327" Type="http://schemas.openxmlformats.org/officeDocument/2006/relationships/hyperlink" Target="mailto:larissa.silva@suez.com" TargetMode="External"/><Relationship Id="rId173" Type="http://schemas.openxmlformats.org/officeDocument/2006/relationships/hyperlink" Target="mailto:william.leiteromano@suez.com" TargetMode="External"/><Relationship Id="rId229" Type="http://schemas.openxmlformats.org/officeDocument/2006/relationships/hyperlink" Target="mailto:carlos.santos@suez.com" TargetMode="External"/><Relationship Id="rId240" Type="http://schemas.openxmlformats.org/officeDocument/2006/relationships/hyperlink" Target="mailto:ana.oliveira@suez.com" TargetMode="External"/><Relationship Id="rId35" Type="http://schemas.openxmlformats.org/officeDocument/2006/relationships/hyperlink" Target="mailto:jose.nascimento@suez.com" TargetMode="External"/><Relationship Id="rId77" Type="http://schemas.openxmlformats.org/officeDocument/2006/relationships/hyperlink" Target="mailto:luiz.silva@suez.com" TargetMode="External"/><Relationship Id="rId100" Type="http://schemas.openxmlformats.org/officeDocument/2006/relationships/hyperlink" Target="mailto:marcelo.soto@suez.com" TargetMode="External"/><Relationship Id="rId282" Type="http://schemas.openxmlformats.org/officeDocument/2006/relationships/hyperlink" Target="mailto:kleber.silva@suez.com" TargetMode="External"/><Relationship Id="rId338" Type="http://schemas.openxmlformats.org/officeDocument/2006/relationships/hyperlink" Target="mailto:rafael.campos@suez.com" TargetMode="External"/><Relationship Id="rId8" Type="http://schemas.openxmlformats.org/officeDocument/2006/relationships/hyperlink" Target="mailto:eduardo.mello@suez.com" TargetMode="External"/><Relationship Id="rId142" Type="http://schemas.openxmlformats.org/officeDocument/2006/relationships/hyperlink" Target="mailto:vinicius.paula@suez.com" TargetMode="External"/><Relationship Id="rId184" Type="http://schemas.openxmlformats.org/officeDocument/2006/relationships/hyperlink" Target="mailto:edmilson.santos@suez.com" TargetMode="External"/><Relationship Id="rId251" Type="http://schemas.openxmlformats.org/officeDocument/2006/relationships/hyperlink" Target="mailto:an.santos@suez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vi.santos@suez.com" TargetMode="External"/><Relationship Id="rId13" Type="http://schemas.openxmlformats.org/officeDocument/2006/relationships/hyperlink" Target="mailto:amadeu.peixoto@suez.com" TargetMode="External"/><Relationship Id="rId18" Type="http://schemas.openxmlformats.org/officeDocument/2006/relationships/hyperlink" Target="mailto:matheus.bahr@suez.com" TargetMode="External"/><Relationship Id="rId26" Type="http://schemas.openxmlformats.org/officeDocument/2006/relationships/hyperlink" Target="mailto:davi.santos@suez.com" TargetMode="External"/><Relationship Id="rId3" Type="http://schemas.openxmlformats.org/officeDocument/2006/relationships/hyperlink" Target="mailto:rafael.nascimento@suez.com" TargetMode="External"/><Relationship Id="rId21" Type="http://schemas.openxmlformats.org/officeDocument/2006/relationships/hyperlink" Target="mailto:matheus.bahr@suez.com" TargetMode="External"/><Relationship Id="rId7" Type="http://schemas.openxmlformats.org/officeDocument/2006/relationships/hyperlink" Target="mailto:renato.chialastri@suez.com" TargetMode="External"/><Relationship Id="rId12" Type="http://schemas.openxmlformats.org/officeDocument/2006/relationships/hyperlink" Target="mailto:glauber.ruiz@suez.com" TargetMode="External"/><Relationship Id="rId17" Type="http://schemas.openxmlformats.org/officeDocument/2006/relationships/hyperlink" Target="mailto:amadeu.peixoto@suez.com" TargetMode="External"/><Relationship Id="rId25" Type="http://schemas.openxmlformats.org/officeDocument/2006/relationships/hyperlink" Target="mailto:hugo.cavalcante@suez.com" TargetMode="External"/><Relationship Id="rId2" Type="http://schemas.openxmlformats.org/officeDocument/2006/relationships/hyperlink" Target="mailto:rafael.nascimento@suez.com" TargetMode="External"/><Relationship Id="rId16" Type="http://schemas.openxmlformats.org/officeDocument/2006/relationships/hyperlink" Target="mailto:amadeu.peixoto@suez.com" TargetMode="External"/><Relationship Id="rId20" Type="http://schemas.openxmlformats.org/officeDocument/2006/relationships/hyperlink" Target="mailto:marcelo.soto@suez.com" TargetMode="External"/><Relationship Id="rId1" Type="http://schemas.openxmlformats.org/officeDocument/2006/relationships/hyperlink" Target="mailto:an.santos@suez.com" TargetMode="External"/><Relationship Id="rId6" Type="http://schemas.openxmlformats.org/officeDocument/2006/relationships/hyperlink" Target="mailto:renato.chialastri@suez.com" TargetMode="External"/><Relationship Id="rId11" Type="http://schemas.openxmlformats.org/officeDocument/2006/relationships/hyperlink" Target="mailto:glauber.ruiz@suez.com" TargetMode="External"/><Relationship Id="rId24" Type="http://schemas.openxmlformats.org/officeDocument/2006/relationships/hyperlink" Target="mailto:felipe.viegas@suez.com" TargetMode="External"/><Relationship Id="rId5" Type="http://schemas.openxmlformats.org/officeDocument/2006/relationships/hyperlink" Target="mailto:natalia.correa@suez.com" TargetMode="External"/><Relationship Id="rId15" Type="http://schemas.openxmlformats.org/officeDocument/2006/relationships/hyperlink" Target="mailto:rafaela.gomes@suez.com" TargetMode="External"/><Relationship Id="rId23" Type="http://schemas.openxmlformats.org/officeDocument/2006/relationships/hyperlink" Target="mailto:thiago.tomazelli@suez.com" TargetMode="External"/><Relationship Id="rId28" Type="http://schemas.openxmlformats.org/officeDocument/2006/relationships/hyperlink" Target="mailto:an.santos@suez.com" TargetMode="External"/><Relationship Id="rId10" Type="http://schemas.openxmlformats.org/officeDocument/2006/relationships/hyperlink" Target="mailto:leandro.zunkowski@suez.com" TargetMode="External"/><Relationship Id="rId19" Type="http://schemas.openxmlformats.org/officeDocument/2006/relationships/hyperlink" Target="mailto:rafael.nascimento@suez.com" TargetMode="External"/><Relationship Id="rId4" Type="http://schemas.openxmlformats.org/officeDocument/2006/relationships/hyperlink" Target="mailto:natalia.correa@suez.com" TargetMode="External"/><Relationship Id="rId9" Type="http://schemas.openxmlformats.org/officeDocument/2006/relationships/hyperlink" Target="mailto:thiago.ferreiradasilva@suez.com" TargetMode="External"/><Relationship Id="rId14" Type="http://schemas.openxmlformats.org/officeDocument/2006/relationships/hyperlink" Target="mailto:larissa.silva@suez.com" TargetMode="External"/><Relationship Id="rId22" Type="http://schemas.openxmlformats.org/officeDocument/2006/relationships/hyperlink" Target="mailto:marcelo.soto@suez.com" TargetMode="External"/><Relationship Id="rId27" Type="http://schemas.openxmlformats.org/officeDocument/2006/relationships/hyperlink" Target="mailto:flaminio.neto@suez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theus.ambrosio@suez.com" TargetMode="External"/><Relationship Id="rId7" Type="http://schemas.openxmlformats.org/officeDocument/2006/relationships/hyperlink" Target="mailto:rodrigo.silva@suez.com" TargetMode="External"/><Relationship Id="rId2" Type="http://schemas.openxmlformats.org/officeDocument/2006/relationships/hyperlink" Target="mailto:vinicius.paula@suez.com" TargetMode="External"/><Relationship Id="rId1" Type="http://schemas.openxmlformats.org/officeDocument/2006/relationships/hyperlink" Target="mailto:renato.chialastri@suez.com" TargetMode="External"/><Relationship Id="rId6" Type="http://schemas.openxmlformats.org/officeDocument/2006/relationships/hyperlink" Target="mailto:jobson-rodrigo.silva@suez.com" TargetMode="External"/><Relationship Id="rId5" Type="http://schemas.openxmlformats.org/officeDocument/2006/relationships/hyperlink" Target="mailto:bianca.dossantos@suez.com" TargetMode="External"/><Relationship Id="rId4" Type="http://schemas.openxmlformats.org/officeDocument/2006/relationships/hyperlink" Target="mailto:matheus.ambrosio@suez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F287-08DA-4374-9DFE-ACD6418143FA}">
  <dimension ref="A1:Z1002"/>
  <sheetViews>
    <sheetView zoomScale="63" zoomScaleNormal="85" zoomScaleSheetLayoutView="100" workbookViewId="0">
      <selection activeCell="C9" sqref="C9:D9"/>
    </sheetView>
  </sheetViews>
  <sheetFormatPr defaultColWidth="14.42578125" defaultRowHeight="15"/>
  <cols>
    <col min="1" max="1" width="2.7109375" style="13" customWidth="1"/>
    <col min="2" max="2" width="1.7109375" style="13" customWidth="1"/>
    <col min="3" max="3" width="32.7109375" style="13" customWidth="1"/>
    <col min="4" max="4" width="12.7109375" style="13" bestFit="1" customWidth="1"/>
    <col min="5" max="5" width="15.42578125" style="13" bestFit="1" customWidth="1"/>
    <col min="6" max="6" width="10.5703125" style="13" bestFit="1" customWidth="1"/>
    <col min="7" max="7" width="8.5703125" style="13" bestFit="1" customWidth="1"/>
    <col min="8" max="8" width="11" style="13" customWidth="1"/>
    <col min="9" max="9" width="10.85546875" style="13" bestFit="1" customWidth="1"/>
    <col min="10" max="12" width="15.7109375" style="13" customWidth="1"/>
    <col min="13" max="13" width="13.7109375" style="13" bestFit="1" customWidth="1"/>
    <col min="14" max="15" width="15.7109375" style="13" customWidth="1"/>
    <col min="16" max="26" width="14.140625" style="13" customWidth="1"/>
    <col min="27" max="16384" width="14.42578125" style="13"/>
  </cols>
  <sheetData>
    <row r="1" spans="1:26" ht="16.5" thickBot="1">
      <c r="A1" s="7"/>
      <c r="B1" s="7"/>
      <c r="C1" s="7"/>
      <c r="D1" s="8"/>
      <c r="E1" s="9"/>
      <c r="F1" s="10"/>
      <c r="G1" s="10"/>
      <c r="H1" s="10"/>
      <c r="I1" s="10"/>
      <c r="J1" s="10"/>
      <c r="K1" s="10"/>
      <c r="L1" s="7"/>
      <c r="M1" s="7"/>
      <c r="N1" s="7"/>
      <c r="O1" s="7"/>
      <c r="P1" s="7"/>
      <c r="Q1" s="11"/>
      <c r="R1" s="12"/>
      <c r="S1" s="12"/>
      <c r="T1" s="9"/>
      <c r="U1" s="9"/>
      <c r="V1" s="9"/>
      <c r="W1" s="9"/>
      <c r="X1" s="7"/>
      <c r="Y1" s="7"/>
      <c r="Z1" s="7"/>
    </row>
    <row r="2" spans="1:26" ht="18.75">
      <c r="A2" s="14"/>
      <c r="B2" s="15"/>
      <c r="C2" s="159" t="s">
        <v>553</v>
      </c>
      <c r="D2" s="160"/>
      <c r="E2" s="16"/>
      <c r="F2" s="17"/>
      <c r="G2" s="18"/>
      <c r="H2" s="19"/>
      <c r="I2" s="20"/>
      <c r="J2" s="19"/>
      <c r="K2" s="17"/>
      <c r="L2" s="21"/>
      <c r="M2" s="21"/>
      <c r="N2" s="21"/>
      <c r="O2" s="21"/>
      <c r="P2" s="21"/>
      <c r="Q2" s="22"/>
      <c r="R2" s="23"/>
      <c r="S2" s="24"/>
      <c r="T2" s="25"/>
      <c r="U2" s="25"/>
      <c r="V2" s="25"/>
      <c r="W2" s="25"/>
      <c r="X2" s="14"/>
      <c r="Y2" s="14"/>
      <c r="Z2" s="14"/>
    </row>
    <row r="3" spans="1:26" ht="42">
      <c r="A3" s="26"/>
      <c r="B3" s="27"/>
      <c r="C3" s="161">
        <f ca="1">COUNTA(Planilha1!Q2:Q2677)</f>
        <v>286</v>
      </c>
      <c r="D3" s="162"/>
      <c r="E3" s="28"/>
      <c r="F3" s="29"/>
      <c r="G3" s="29"/>
      <c r="H3" s="29"/>
      <c r="I3" s="29"/>
      <c r="J3" s="29"/>
      <c r="K3" s="29"/>
      <c r="L3" s="27"/>
      <c r="M3" s="27"/>
      <c r="N3" s="27"/>
      <c r="O3" s="27"/>
      <c r="P3" s="27"/>
      <c r="Q3" s="30"/>
      <c r="R3" s="31"/>
      <c r="S3" s="12"/>
      <c r="T3" s="32"/>
      <c r="U3" s="32"/>
      <c r="V3" s="32"/>
      <c r="W3" s="32"/>
      <c r="X3" s="26"/>
      <c r="Y3" s="26"/>
      <c r="Z3" s="26"/>
    </row>
    <row r="4" spans="1:26" ht="15.75">
      <c r="A4" s="26"/>
      <c r="B4" s="27"/>
      <c r="C4" s="33"/>
      <c r="D4" s="28"/>
      <c r="E4" s="28"/>
      <c r="F4" s="29"/>
      <c r="G4" s="29"/>
      <c r="H4" s="29"/>
      <c r="I4" s="29"/>
      <c r="J4" s="29"/>
      <c r="K4" s="29"/>
      <c r="L4" s="27"/>
      <c r="M4" s="27"/>
      <c r="N4" s="27"/>
      <c r="O4" s="27"/>
      <c r="P4" s="27"/>
      <c r="Q4" s="30"/>
      <c r="R4" s="31"/>
      <c r="S4" s="12"/>
      <c r="T4" s="32"/>
      <c r="U4" s="32"/>
      <c r="V4" s="32"/>
      <c r="W4" s="32"/>
      <c r="X4" s="26"/>
      <c r="Y4" s="26"/>
      <c r="Z4" s="26"/>
    </row>
    <row r="5" spans="1:26" ht="18.75">
      <c r="A5" s="14"/>
      <c r="B5" s="15"/>
      <c r="C5" s="149" t="s">
        <v>552</v>
      </c>
      <c r="D5" s="150"/>
      <c r="E5" s="34"/>
      <c r="F5" s="163"/>
      <c r="G5" s="154"/>
      <c r="H5" s="35"/>
      <c r="I5" s="35"/>
      <c r="J5" s="35"/>
      <c r="K5" s="35"/>
      <c r="L5" s="15"/>
      <c r="M5" s="15"/>
      <c r="N5" s="15"/>
      <c r="O5" s="15"/>
      <c r="P5" s="15"/>
      <c r="Q5" s="36"/>
      <c r="R5" s="23"/>
      <c r="S5" s="24"/>
      <c r="T5" s="25"/>
      <c r="U5" s="25"/>
      <c r="V5" s="25"/>
      <c r="W5" s="25"/>
      <c r="X5" s="14"/>
      <c r="Y5" s="14"/>
      <c r="Z5" s="14"/>
    </row>
    <row r="6" spans="1:26" ht="42">
      <c r="A6" s="37" t="s">
        <v>552</v>
      </c>
      <c r="B6" s="38">
        <f ca="1">C6</f>
        <v>222</v>
      </c>
      <c r="C6" s="164">
        <f ca="1">COUNTIF(Planilha1!Q2:Q2677,"Calibrado")</f>
        <v>222</v>
      </c>
      <c r="D6" s="152"/>
      <c r="E6" s="28"/>
      <c r="F6" s="29"/>
      <c r="G6" s="29"/>
      <c r="H6" s="29"/>
      <c r="I6" s="29"/>
      <c r="J6" s="29"/>
      <c r="K6" s="29"/>
      <c r="L6" s="27"/>
      <c r="M6" s="27"/>
      <c r="N6" s="27"/>
      <c r="O6" s="27"/>
      <c r="P6" s="27"/>
      <c r="Q6" s="30"/>
      <c r="R6" s="31"/>
      <c r="S6" s="12"/>
      <c r="T6" s="32"/>
      <c r="U6" s="32"/>
      <c r="V6" s="32"/>
      <c r="W6" s="32"/>
      <c r="X6" s="26"/>
      <c r="Y6" s="26"/>
      <c r="Z6" s="26"/>
    </row>
    <row r="7" spans="1:26" ht="15.75">
      <c r="A7" s="37" t="s">
        <v>554</v>
      </c>
      <c r="B7" s="38">
        <f ca="1">C9</f>
        <v>64</v>
      </c>
      <c r="C7" s="33"/>
      <c r="D7" s="28"/>
      <c r="E7" s="2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0"/>
      <c r="R7" s="31"/>
      <c r="S7" s="12"/>
      <c r="T7" s="32"/>
      <c r="U7" s="32"/>
      <c r="V7" s="32"/>
      <c r="W7" s="32"/>
      <c r="X7" s="26"/>
      <c r="Y7" s="26"/>
      <c r="Z7" s="26"/>
    </row>
    <row r="8" spans="1:26" ht="18.75">
      <c r="A8" s="14"/>
      <c r="B8" s="15"/>
      <c r="C8" s="149" t="s">
        <v>554</v>
      </c>
      <c r="D8" s="150"/>
      <c r="E8" s="34"/>
      <c r="F8" s="41"/>
      <c r="G8" s="39"/>
      <c r="H8" s="39"/>
      <c r="I8" s="42"/>
      <c r="J8" s="39"/>
      <c r="K8" s="39"/>
      <c r="L8" s="43"/>
      <c r="M8" s="39"/>
      <c r="N8" s="39"/>
      <c r="O8" s="39"/>
      <c r="P8" s="39"/>
      <c r="Q8" s="40"/>
      <c r="R8" s="23"/>
      <c r="S8" s="24"/>
      <c r="T8" s="25"/>
      <c r="U8" s="25"/>
      <c r="V8" s="25"/>
      <c r="W8" s="25"/>
      <c r="X8" s="14"/>
      <c r="Y8" s="14"/>
      <c r="Z8" s="14"/>
    </row>
    <row r="9" spans="1:26" ht="42">
      <c r="A9" s="26"/>
      <c r="B9" s="27"/>
      <c r="C9" s="151">
        <f ca="1">COUNTIF(Planilha1!Q2:Q2677,"Vencido")</f>
        <v>64</v>
      </c>
      <c r="D9" s="152"/>
      <c r="E9" s="28"/>
      <c r="F9" s="27"/>
      <c r="G9" s="44"/>
      <c r="H9" s="45"/>
      <c r="I9" s="35"/>
      <c r="J9" s="35"/>
      <c r="K9" s="35"/>
      <c r="L9" s="15"/>
      <c r="M9" s="15"/>
      <c r="N9" s="15"/>
      <c r="O9" s="15"/>
      <c r="P9" s="15"/>
      <c r="Q9" s="36"/>
      <c r="R9" s="31"/>
      <c r="S9" s="12"/>
      <c r="T9" s="32"/>
      <c r="U9" s="32"/>
      <c r="V9" s="32"/>
      <c r="W9" s="32"/>
      <c r="X9" s="26"/>
      <c r="Y9" s="26"/>
      <c r="Z9" s="26"/>
    </row>
    <row r="10" spans="1:26" ht="15.75">
      <c r="A10" s="26"/>
      <c r="B10" s="27"/>
      <c r="C10" s="33"/>
      <c r="D10" s="28"/>
      <c r="E10" s="28"/>
      <c r="F10" s="153"/>
      <c r="G10" s="154"/>
      <c r="H10" s="154"/>
      <c r="I10" s="154"/>
      <c r="J10" s="154"/>
      <c r="K10" s="154"/>
      <c r="L10" s="154"/>
      <c r="M10" s="154"/>
      <c r="N10" s="154"/>
      <c r="O10" s="154"/>
      <c r="P10" s="27"/>
      <c r="Q10" s="30"/>
      <c r="R10" s="31"/>
      <c r="S10" s="12"/>
      <c r="T10" s="32"/>
      <c r="U10" s="32"/>
      <c r="V10" s="32"/>
      <c r="W10" s="32"/>
      <c r="X10" s="26"/>
      <c r="Y10" s="26"/>
      <c r="Z10" s="26"/>
    </row>
    <row r="11" spans="1:26" ht="18.75">
      <c r="A11" s="14"/>
      <c r="B11" s="15"/>
      <c r="C11" s="149" t="s">
        <v>551</v>
      </c>
      <c r="D11" s="156"/>
      <c r="E11" s="3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27"/>
      <c r="Q11" s="30"/>
      <c r="R11" s="23"/>
      <c r="S11" s="24"/>
      <c r="T11" s="25"/>
      <c r="U11" s="25"/>
      <c r="V11" s="25"/>
      <c r="W11" s="25"/>
      <c r="X11" s="14"/>
      <c r="Y11" s="14"/>
      <c r="Z11" s="14"/>
    </row>
    <row r="12" spans="1:26" ht="42">
      <c r="A12" s="26"/>
      <c r="B12" s="27"/>
      <c r="C12" s="157">
        <f ca="1">C6/C3</f>
        <v>0.77622377622377625</v>
      </c>
      <c r="D12" s="158"/>
      <c r="E12" s="28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"/>
      <c r="Q12" s="36"/>
      <c r="R12" s="31"/>
      <c r="S12" s="12"/>
      <c r="T12" s="32"/>
      <c r="U12" s="32"/>
      <c r="V12" s="32"/>
      <c r="W12" s="32"/>
      <c r="X12" s="26"/>
      <c r="Y12" s="26"/>
      <c r="Z12" s="26"/>
    </row>
    <row r="13" spans="1:26" ht="16.5" thickBot="1">
      <c r="A13" s="7"/>
      <c r="B13" s="39"/>
      <c r="C13" s="46"/>
      <c r="D13" s="47"/>
      <c r="E13" s="47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48"/>
      <c r="Q13" s="49"/>
      <c r="R13" s="39"/>
      <c r="S13" s="7"/>
      <c r="T13" s="7"/>
      <c r="U13" s="7"/>
      <c r="V13" s="7"/>
      <c r="W13" s="7"/>
      <c r="X13" s="7"/>
      <c r="Y13" s="7"/>
      <c r="Z13" s="7"/>
    </row>
    <row r="14" spans="1:26" ht="6" customHeight="1" thickBot="1">
      <c r="A14" s="7"/>
      <c r="D14" s="32">
        <f ca="1">C6</f>
        <v>222</v>
      </c>
      <c r="E14" s="7"/>
      <c r="F14" s="50"/>
      <c r="G14" s="50"/>
      <c r="H14" s="50"/>
      <c r="I14" s="50"/>
      <c r="J14" s="50"/>
      <c r="K14" s="50"/>
      <c r="L14" s="26"/>
      <c r="M14" s="26"/>
      <c r="N14" s="26"/>
      <c r="O14" s="26"/>
      <c r="P14" s="26"/>
      <c r="Q14" s="11"/>
      <c r="R14" s="7"/>
      <c r="S14" s="7"/>
      <c r="T14" s="7"/>
      <c r="U14" s="7"/>
      <c r="V14" s="7"/>
      <c r="W14" s="7"/>
      <c r="X14" s="7"/>
      <c r="Y14" s="7"/>
      <c r="Z14" s="7"/>
    </row>
    <row r="15" spans="1:26" s="94" customFormat="1" ht="19.5" thickBot="1">
      <c r="A15" s="93"/>
      <c r="C15" s="95"/>
      <c r="D15" s="51" t="s">
        <v>555</v>
      </c>
      <c r="E15" s="51" t="s">
        <v>556</v>
      </c>
      <c r="F15" s="51" t="s">
        <v>557</v>
      </c>
      <c r="G15" s="51" t="s">
        <v>558</v>
      </c>
      <c r="H15" s="51" t="s">
        <v>559</v>
      </c>
      <c r="I15" s="51" t="s">
        <v>560</v>
      </c>
      <c r="J15" s="51" t="s">
        <v>561</v>
      </c>
      <c r="K15" s="51" t="s">
        <v>562</v>
      </c>
      <c r="L15" s="51" t="s">
        <v>563</v>
      </c>
      <c r="M15" s="51" t="s">
        <v>564</v>
      </c>
      <c r="N15" s="51" t="s">
        <v>565</v>
      </c>
      <c r="O15" s="51" t="s">
        <v>566</v>
      </c>
      <c r="P15" s="51" t="s">
        <v>567</v>
      </c>
      <c r="Q15" s="96"/>
      <c r="R15" s="93"/>
      <c r="S15" s="93"/>
      <c r="T15" s="93"/>
      <c r="U15" s="93"/>
      <c r="V15" s="93"/>
      <c r="W15" s="93"/>
      <c r="X15" s="93"/>
      <c r="Y15" s="93"/>
      <c r="Z15" s="93"/>
    </row>
    <row r="16" spans="1:26" ht="42" customHeight="1" thickTop="1" thickBot="1">
      <c r="A16" s="7"/>
      <c r="B16" s="7"/>
      <c r="C16" s="53" t="s">
        <v>568</v>
      </c>
      <c r="D16" s="54">
        <f>COUNTIF('Obs Tecnicas'!$I$2:$I$320,D22)</f>
        <v>0</v>
      </c>
      <c r="E16" s="54">
        <f>COUNTIF('Obs Tecnicas'!$I$2:$I$320,E22)</f>
        <v>0</v>
      </c>
      <c r="F16" s="54">
        <f>COUNTIF('Obs Tecnicas'!$I$2:$I$320,F22)</f>
        <v>0</v>
      </c>
      <c r="G16" s="54">
        <f>COUNTIF('Obs Tecnicas'!$I$2:$I$320,G22)</f>
        <v>0</v>
      </c>
      <c r="H16" s="54">
        <f>COUNTIF('Obs Tecnicas'!$I$2:$I$320,H22)</f>
        <v>39</v>
      </c>
      <c r="I16" s="54">
        <f>COUNTIF('Obs Tecnicas'!$I$2:$I$320,I22)</f>
        <v>38</v>
      </c>
      <c r="J16" s="54">
        <f>COUNTIF('Obs Tecnicas'!$I$2:$I$320,J22)</f>
        <v>37</v>
      </c>
      <c r="K16" s="54">
        <f>COUNTIF('Obs Tecnicas'!$I$2:$I$320,K22)</f>
        <v>7</v>
      </c>
      <c r="L16" s="54">
        <f>COUNTIF('Obs Tecnicas'!$I$2:$I$320,L22)</f>
        <v>0</v>
      </c>
      <c r="M16" s="54">
        <f>COUNTIF('Obs Tecnicas'!$I$2:$I$320,M22)</f>
        <v>0</v>
      </c>
      <c r="N16" s="54">
        <f>COUNTIF('Obs Tecnicas'!$I$2:$I$320,N22)</f>
        <v>0</v>
      </c>
      <c r="O16" s="54">
        <f>COUNTIF('Obs Tecnicas'!$I$2:$I$320,O22)</f>
        <v>0</v>
      </c>
      <c r="P16" s="54">
        <f t="shared" ref="P16:P21" si="0">SUM(D16:O16)</f>
        <v>121</v>
      </c>
      <c r="Q16" s="40"/>
      <c r="R16" s="7"/>
      <c r="S16" s="7"/>
      <c r="T16" s="7"/>
      <c r="U16" s="7"/>
      <c r="V16" s="7"/>
      <c r="W16" s="7"/>
      <c r="X16" s="7"/>
      <c r="Y16" s="7"/>
      <c r="Z16" s="7"/>
    </row>
    <row r="17" spans="1:26" ht="20.25" thickTop="1" thickBot="1">
      <c r="A17" s="7"/>
      <c r="B17" s="7"/>
      <c r="C17" s="53" t="s">
        <v>781</v>
      </c>
      <c r="D17" s="54">
        <f>COUNTIF(Planilha1!$V$2:$V$251,D22)</f>
        <v>0</v>
      </c>
      <c r="E17" s="54">
        <f>COUNTIF(Planilha1!$V$2:$V$251,E22)</f>
        <v>18</v>
      </c>
      <c r="F17" s="54">
        <f>COUNTIF(Planilha1!$V$2:$V$251,F22)</f>
        <v>11</v>
      </c>
      <c r="G17" s="54">
        <f>COUNTIF(Planilha1!$V$2:$V$251,G22)</f>
        <v>1</v>
      </c>
      <c r="H17" s="54">
        <f>COUNTIF(Planilha1!$V$2:$V$251,H22)</f>
        <v>36</v>
      </c>
      <c r="I17" s="54">
        <f>COUNTIF(Planilha1!$V$2:$V$2000,I22)</f>
        <v>38</v>
      </c>
      <c r="J17" s="54">
        <f>COUNTIF(Planilha1!$V$2:$V$2505,J22)</f>
        <v>61</v>
      </c>
      <c r="K17" s="54">
        <f>COUNTIF(Planilha1!$V$2:$V$251,K22)</f>
        <v>51</v>
      </c>
      <c r="L17" s="54">
        <f>COUNTIF(Planilha1!$V$2:$V$251,L22)</f>
        <v>11</v>
      </c>
      <c r="M17" s="54">
        <f>COUNTIF(Planilha1!$V$2:$V$251,M22)</f>
        <v>7</v>
      </c>
      <c r="N17" s="54">
        <f>COUNTIF(Planilha1!$V$2:$V$251,N22)</f>
        <v>1</v>
      </c>
      <c r="O17" s="54">
        <f>COUNTIF(Planilha1!$V$2:$V$251,O22)</f>
        <v>17</v>
      </c>
      <c r="P17" s="54">
        <f t="shared" si="0"/>
        <v>252</v>
      </c>
      <c r="Q17" s="40"/>
      <c r="R17" s="7"/>
      <c r="S17" s="7"/>
      <c r="T17" s="7"/>
      <c r="U17" s="7"/>
      <c r="V17" s="7"/>
      <c r="W17" s="7"/>
      <c r="X17" s="7"/>
      <c r="Y17" s="7"/>
      <c r="Z17" s="7"/>
    </row>
    <row r="18" spans="1:26" ht="20.25" thickTop="1" thickBot="1">
      <c r="A18" s="7"/>
      <c r="B18" s="7"/>
      <c r="C18" s="53" t="s">
        <v>580</v>
      </c>
      <c r="D18" s="54">
        <f>COUNTIF('Equipamentos Desativados'!$P$2:$P$300,KPIs!D22)</f>
        <v>0</v>
      </c>
      <c r="E18" s="54">
        <f>COUNTIF('Equipamentos Desativados'!$P$2:$P$300,KPIs!E22)</f>
        <v>0</v>
      </c>
      <c r="F18" s="54">
        <f>COUNTIF('Equipamentos Desativados'!$P$2:$P$300,KPIs!F22)</f>
        <v>2</v>
      </c>
      <c r="G18" s="54">
        <f>COUNTIF('Equipamentos Desativados'!$P$2:$P$300,KPIs!G22)</f>
        <v>0</v>
      </c>
      <c r="H18" s="54">
        <f>COUNTIF('Equipamentos Desativados'!$P$2:$P$300,KPIs!H22)</f>
        <v>4</v>
      </c>
      <c r="I18" s="54">
        <f>COUNTIF('Equipamentos Desativados'!$P$2:$P$300,KPIs!I22)</f>
        <v>1</v>
      </c>
      <c r="J18" s="54">
        <f>COUNTIF('Equipamentos Desativados'!$P$2:$P$300,KPIs!J22)</f>
        <v>2</v>
      </c>
      <c r="K18" s="54">
        <f>COUNTIF('Equipamentos Desativados'!$P$2:$P$300,KPIs!K22)</f>
        <v>0</v>
      </c>
      <c r="L18" s="54">
        <f>COUNTIF('Equipamentos Desativados'!$P$2:$P$300,KPIs!L22)</f>
        <v>1</v>
      </c>
      <c r="M18" s="54">
        <f>COUNTIF('Equipamentos Desativados'!$P$2:$P$300,KPIs!M22)</f>
        <v>0</v>
      </c>
      <c r="N18" s="54">
        <f>COUNTIF('Equipamentos Desativados'!$P$2:$P$300,KPIs!N22)</f>
        <v>0</v>
      </c>
      <c r="O18" s="54">
        <f>COUNTIF('Equipamentos Desativados'!$P$2:$P$300,KPIs!O22)</f>
        <v>0</v>
      </c>
      <c r="P18" s="54">
        <f t="shared" si="0"/>
        <v>10</v>
      </c>
      <c r="Q18" s="40"/>
      <c r="R18" s="7"/>
      <c r="S18" s="7"/>
      <c r="T18" s="7"/>
      <c r="U18" s="7"/>
      <c r="V18" s="7"/>
      <c r="W18" s="7"/>
      <c r="X18" s="7"/>
      <c r="Y18" s="7"/>
      <c r="Z18" s="7"/>
    </row>
    <row r="19" spans="1:26" ht="20.25" thickTop="1" thickBot="1">
      <c r="A19" s="7"/>
      <c r="B19" s="7"/>
      <c r="C19" s="53" t="s">
        <v>570</v>
      </c>
      <c r="D19" s="54">
        <v>0</v>
      </c>
      <c r="E19" s="54"/>
      <c r="F19" s="54"/>
      <c r="G19" s="54"/>
      <c r="H19" s="54">
        <v>21</v>
      </c>
      <c r="I19" s="54">
        <v>1</v>
      </c>
      <c r="J19" s="54">
        <v>10</v>
      </c>
      <c r="K19" s="54"/>
      <c r="L19" s="54"/>
      <c r="M19" s="54"/>
      <c r="N19" s="54"/>
      <c r="O19" s="54"/>
      <c r="P19" s="54">
        <f t="shared" si="0"/>
        <v>32</v>
      </c>
      <c r="Q19" s="40"/>
      <c r="R19" s="7"/>
      <c r="S19" s="7"/>
      <c r="T19" s="7"/>
      <c r="U19" s="7"/>
      <c r="V19" s="7"/>
      <c r="W19" s="7"/>
      <c r="X19" s="7"/>
      <c r="Y19" s="7"/>
      <c r="Z19" s="7"/>
    </row>
    <row r="20" spans="1:26" ht="20.25" thickTop="1" thickBot="1">
      <c r="A20" s="7"/>
      <c r="B20" s="7"/>
      <c r="C20" s="53" t="s">
        <v>782</v>
      </c>
      <c r="D20" s="54"/>
      <c r="E20" s="54"/>
      <c r="F20" s="54"/>
      <c r="G20" s="54"/>
      <c r="H20" s="54"/>
      <c r="I20" s="54">
        <v>0</v>
      </c>
      <c r="J20" s="54">
        <v>2</v>
      </c>
      <c r="K20" s="54">
        <v>85</v>
      </c>
      <c r="L20" s="54"/>
      <c r="M20" s="54"/>
      <c r="N20" s="54"/>
      <c r="O20" s="54"/>
      <c r="P20" s="54">
        <f t="shared" si="0"/>
        <v>87</v>
      </c>
      <c r="Q20" s="40"/>
      <c r="R20" s="7"/>
      <c r="S20" s="7"/>
      <c r="T20" s="7"/>
      <c r="U20" s="7"/>
      <c r="V20" s="7"/>
      <c r="W20" s="7"/>
      <c r="X20" s="7"/>
      <c r="Y20" s="7"/>
      <c r="Z20" s="7"/>
    </row>
    <row r="21" spans="1:26" ht="20.25" thickTop="1" thickBot="1">
      <c r="A21" s="7"/>
      <c r="B21" s="7"/>
      <c r="C21" s="53" t="s">
        <v>788</v>
      </c>
      <c r="D21" s="54"/>
      <c r="E21" s="54"/>
      <c r="F21" s="54"/>
      <c r="G21" s="54"/>
      <c r="H21" s="54"/>
      <c r="I21" s="54">
        <v>0</v>
      </c>
      <c r="J21" s="54">
        <v>1</v>
      </c>
      <c r="K21" s="54">
        <v>0</v>
      </c>
      <c r="L21" s="54">
        <v>14</v>
      </c>
      <c r="M21" s="54">
        <v>6</v>
      </c>
      <c r="N21" s="54"/>
      <c r="O21" s="54"/>
      <c r="P21" s="54">
        <f t="shared" si="0"/>
        <v>21</v>
      </c>
      <c r="Q21" s="40"/>
      <c r="R21" s="7"/>
      <c r="S21" s="7"/>
      <c r="T21" s="7"/>
      <c r="U21" s="7"/>
      <c r="V21" s="7"/>
      <c r="W21" s="7"/>
      <c r="X21" s="7"/>
      <c r="Y21" s="7"/>
      <c r="Z21" s="7"/>
    </row>
    <row r="22" spans="1:26" ht="16.5" thickTop="1">
      <c r="A22" s="7"/>
      <c r="B22" s="7"/>
      <c r="C22" s="55"/>
      <c r="D22" s="39">
        <v>1</v>
      </c>
      <c r="E22" s="39">
        <v>2</v>
      </c>
      <c r="F22" s="39">
        <v>3</v>
      </c>
      <c r="G22" s="39">
        <v>4</v>
      </c>
      <c r="H22" s="39">
        <v>5</v>
      </c>
      <c r="I22" s="39">
        <v>6</v>
      </c>
      <c r="J22" s="39">
        <v>7</v>
      </c>
      <c r="K22" s="39">
        <v>8</v>
      </c>
      <c r="L22" s="39">
        <v>9</v>
      </c>
      <c r="M22" s="39">
        <v>10</v>
      </c>
      <c r="N22" s="39">
        <v>11</v>
      </c>
      <c r="O22" s="39">
        <v>12</v>
      </c>
      <c r="P22" s="39"/>
      <c r="Q22" s="40"/>
      <c r="R22" s="7"/>
      <c r="S22" s="7"/>
      <c r="T22" s="7"/>
      <c r="U22" s="7"/>
      <c r="V22" s="7"/>
      <c r="W22" s="7"/>
      <c r="X22" s="7"/>
      <c r="Y22" s="7"/>
      <c r="Z22" s="7"/>
    </row>
    <row r="23" spans="1:26" ht="15.75">
      <c r="A23" s="7"/>
      <c r="B23" s="7"/>
      <c r="C23" s="55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  <c r="R23" s="7"/>
      <c r="S23" s="7"/>
      <c r="T23" s="7"/>
      <c r="U23" s="7"/>
      <c r="V23" s="7"/>
      <c r="W23" s="7"/>
      <c r="X23" s="7"/>
      <c r="Y23" s="7"/>
      <c r="Z23" s="7"/>
    </row>
    <row r="24" spans="1:26" ht="15.75">
      <c r="A24" s="7"/>
      <c r="B24" s="7"/>
      <c r="C24" s="55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7"/>
      <c r="S24" s="7"/>
      <c r="T24" s="7"/>
      <c r="U24" s="7"/>
      <c r="V24" s="7"/>
      <c r="W24" s="7"/>
      <c r="X24" s="7"/>
      <c r="Y24" s="7"/>
      <c r="Z24" s="7"/>
    </row>
    <row r="25" spans="1:26" ht="15.75">
      <c r="A25" s="7"/>
      <c r="B25" s="7"/>
      <c r="C25" s="55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40"/>
      <c r="R25" s="7"/>
      <c r="S25" s="7"/>
      <c r="T25" s="7"/>
      <c r="U25" s="7"/>
      <c r="V25" s="7"/>
      <c r="W25" s="7"/>
      <c r="X25" s="7"/>
      <c r="Y25" s="7"/>
      <c r="Z25" s="7"/>
    </row>
    <row r="26" spans="1:26" ht="15.75">
      <c r="A26" s="7"/>
      <c r="B26" s="7"/>
      <c r="C26" s="55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40"/>
      <c r="R26" s="7"/>
      <c r="S26" s="7"/>
      <c r="T26" s="7"/>
      <c r="U26" s="7"/>
      <c r="V26" s="7"/>
      <c r="W26" s="7"/>
      <c r="X26" s="7"/>
      <c r="Y26" s="7"/>
      <c r="Z26" s="7"/>
    </row>
    <row r="27" spans="1:26" ht="15.75">
      <c r="A27" s="7"/>
      <c r="B27" s="7"/>
      <c r="C27" s="55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  <c r="R27" s="7"/>
      <c r="S27" s="7"/>
      <c r="T27" s="7"/>
      <c r="U27" s="7"/>
      <c r="V27" s="7"/>
      <c r="W27" s="7"/>
      <c r="X27" s="7"/>
      <c r="Y27" s="7"/>
      <c r="Z27" s="7"/>
    </row>
    <row r="28" spans="1:26" ht="15.75">
      <c r="A28" s="7"/>
      <c r="B28" s="7"/>
      <c r="C28" s="55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40"/>
      <c r="R28" s="7"/>
      <c r="S28" s="7"/>
      <c r="T28" s="7"/>
      <c r="U28" s="7"/>
      <c r="V28" s="7"/>
      <c r="W28" s="7"/>
      <c r="X28" s="7"/>
      <c r="Y28" s="7"/>
      <c r="Z28" s="7"/>
    </row>
    <row r="29" spans="1:26" ht="15.75">
      <c r="A29" s="7"/>
      <c r="B29" s="7"/>
      <c r="C29" s="55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0"/>
      <c r="R29" s="7"/>
      <c r="S29" s="7"/>
      <c r="T29" s="7"/>
      <c r="U29" s="7"/>
      <c r="V29" s="7"/>
      <c r="W29" s="7"/>
      <c r="X29" s="7"/>
      <c r="Y29" s="7"/>
      <c r="Z29" s="7"/>
    </row>
    <row r="30" spans="1:26" ht="15.75">
      <c r="A30" s="7"/>
      <c r="B30" s="7"/>
      <c r="C30" s="55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  <c r="R30" s="7"/>
      <c r="S30" s="7"/>
      <c r="T30" s="7"/>
      <c r="U30" s="7"/>
      <c r="V30" s="7"/>
      <c r="W30" s="7"/>
      <c r="X30" s="7"/>
      <c r="Y30" s="7"/>
      <c r="Z30" s="7"/>
    </row>
    <row r="31" spans="1:26" ht="15.75">
      <c r="A31" s="7"/>
      <c r="B31" s="7"/>
      <c r="C31" s="55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40"/>
      <c r="R31" s="7"/>
      <c r="S31" s="7"/>
      <c r="T31" s="7"/>
      <c r="U31" s="7"/>
      <c r="V31" s="7"/>
      <c r="W31" s="7"/>
      <c r="X31" s="7"/>
      <c r="Y31" s="7"/>
      <c r="Z31" s="7"/>
    </row>
    <row r="32" spans="1:26" ht="15.75">
      <c r="A32" s="7"/>
      <c r="B32" s="7"/>
      <c r="C32" s="55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40"/>
      <c r="R32" s="7"/>
      <c r="S32" s="7"/>
      <c r="T32" s="7"/>
      <c r="U32" s="7"/>
      <c r="V32" s="7"/>
      <c r="W32" s="7"/>
      <c r="X32" s="7"/>
      <c r="Y32" s="7"/>
      <c r="Z32" s="7"/>
    </row>
    <row r="33" spans="1:26" ht="15.75">
      <c r="A33" s="7"/>
      <c r="B33" s="7"/>
      <c r="C33" s="55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0"/>
      <c r="R33" s="7"/>
      <c r="S33" s="7"/>
      <c r="T33" s="7"/>
      <c r="U33" s="7"/>
      <c r="V33" s="7"/>
      <c r="W33" s="7"/>
      <c r="X33" s="7"/>
      <c r="Y33" s="7"/>
      <c r="Z33" s="7"/>
    </row>
    <row r="34" spans="1:26" ht="15.75">
      <c r="A34" s="7"/>
      <c r="B34" s="7"/>
      <c r="C34" s="55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0"/>
      <c r="R34" s="7"/>
      <c r="S34" s="7"/>
      <c r="T34" s="7"/>
      <c r="U34" s="7"/>
      <c r="V34" s="7"/>
      <c r="W34" s="7"/>
      <c r="X34" s="7"/>
      <c r="Y34" s="7"/>
      <c r="Z34" s="7"/>
    </row>
    <row r="35" spans="1:26" ht="15.75">
      <c r="A35" s="7"/>
      <c r="B35" s="7"/>
      <c r="C35" s="55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0"/>
      <c r="R35" s="7"/>
      <c r="S35" s="7"/>
      <c r="T35" s="7"/>
      <c r="U35" s="7"/>
      <c r="V35" s="7"/>
      <c r="W35" s="7"/>
      <c r="X35" s="7"/>
      <c r="Y35" s="7"/>
      <c r="Z35" s="7"/>
    </row>
    <row r="36" spans="1:26" ht="15.75">
      <c r="A36" s="7"/>
      <c r="B36" s="7"/>
      <c r="C36" s="55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40"/>
      <c r="R36" s="7"/>
      <c r="S36" s="7"/>
      <c r="T36" s="7"/>
      <c r="U36" s="7"/>
      <c r="V36" s="7"/>
      <c r="W36" s="7"/>
      <c r="X36" s="7"/>
      <c r="Y36" s="7"/>
      <c r="Z36" s="7"/>
    </row>
    <row r="37" spans="1:26" ht="15.75">
      <c r="A37" s="7"/>
      <c r="B37" s="7"/>
      <c r="C37" s="55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40"/>
      <c r="R37" s="7"/>
      <c r="S37" s="7"/>
      <c r="T37" s="7"/>
      <c r="U37" s="7"/>
      <c r="V37" s="7"/>
      <c r="W37" s="7"/>
      <c r="X37" s="7"/>
      <c r="Y37" s="7"/>
      <c r="Z37" s="7"/>
    </row>
    <row r="38" spans="1:26" ht="16.5" thickBot="1">
      <c r="A38" s="7"/>
      <c r="B38" s="7"/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56"/>
      <c r="R38" s="7"/>
      <c r="S38" s="7"/>
      <c r="T38" s="7"/>
      <c r="U38" s="7"/>
      <c r="V38" s="7"/>
      <c r="W38" s="7"/>
      <c r="X38" s="7"/>
      <c r="Y38" s="7"/>
      <c r="Z38" s="7"/>
    </row>
    <row r="39" spans="1:26" ht="16.5" thickBo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>
      <c r="A40" s="7"/>
      <c r="B40" s="7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2"/>
      <c r="R40" s="7"/>
      <c r="S40" s="7"/>
      <c r="T40" s="7"/>
      <c r="U40" s="7"/>
      <c r="V40" s="7"/>
      <c r="W40" s="7"/>
      <c r="X40" s="7"/>
      <c r="Y40" s="7"/>
      <c r="Z40" s="7"/>
    </row>
    <row r="41" spans="1:26" ht="15.75">
      <c r="A41" s="7"/>
      <c r="B41" s="7"/>
      <c r="C41" s="55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40"/>
      <c r="R41" s="7"/>
      <c r="S41" s="7"/>
      <c r="T41" s="7"/>
      <c r="U41" s="7"/>
      <c r="V41" s="7"/>
      <c r="W41" s="7"/>
      <c r="X41" s="7"/>
      <c r="Y41" s="7"/>
      <c r="Z41" s="7"/>
    </row>
    <row r="42" spans="1:26" ht="15.75">
      <c r="A42" s="7"/>
      <c r="B42" s="7"/>
      <c r="C42" s="55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40"/>
      <c r="R42" s="7"/>
      <c r="S42" s="7"/>
      <c r="T42" s="7"/>
      <c r="U42" s="7"/>
      <c r="V42" s="7"/>
      <c r="W42" s="7"/>
      <c r="X42" s="7"/>
      <c r="Y42" s="7"/>
      <c r="Z42" s="7"/>
    </row>
    <row r="43" spans="1:26" ht="15.75">
      <c r="A43" s="7"/>
      <c r="B43" s="7"/>
      <c r="C43" s="55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0"/>
      <c r="R43" s="7"/>
      <c r="S43" s="7"/>
      <c r="T43" s="7"/>
      <c r="U43" s="7"/>
      <c r="V43" s="7"/>
      <c r="W43" s="7"/>
      <c r="X43" s="7"/>
      <c r="Y43" s="7"/>
      <c r="Z43" s="7"/>
    </row>
    <row r="44" spans="1:26" ht="15.75">
      <c r="A44" s="7"/>
      <c r="B44" s="7"/>
      <c r="C44" s="55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40"/>
      <c r="R44" s="7"/>
      <c r="S44" s="7"/>
      <c r="T44" s="7"/>
      <c r="U44" s="7"/>
      <c r="V44" s="7"/>
      <c r="W44" s="7"/>
      <c r="X44" s="7"/>
      <c r="Y44" s="7"/>
      <c r="Z44" s="7"/>
    </row>
    <row r="45" spans="1:26" ht="15.75">
      <c r="A45" s="7"/>
      <c r="B45" s="7"/>
      <c r="C45" s="55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40"/>
      <c r="R45" s="7"/>
      <c r="S45" s="7"/>
      <c r="T45" s="7"/>
      <c r="U45" s="7"/>
      <c r="V45" s="7"/>
      <c r="W45" s="7"/>
      <c r="X45" s="7"/>
      <c r="Y45" s="7"/>
      <c r="Z45" s="7"/>
    </row>
    <row r="46" spans="1:26" ht="15.75">
      <c r="A46" s="7"/>
      <c r="B46" s="7"/>
      <c r="C46" s="55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40"/>
      <c r="R46" s="7"/>
      <c r="S46" s="7"/>
      <c r="T46" s="7"/>
      <c r="U46" s="7"/>
      <c r="V46" s="7"/>
      <c r="W46" s="7"/>
      <c r="X46" s="7"/>
      <c r="Y46" s="7"/>
      <c r="Z46" s="7"/>
    </row>
    <row r="47" spans="1:26" ht="15.75">
      <c r="A47" s="7"/>
      <c r="B47" s="7"/>
      <c r="C47" s="55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40"/>
      <c r="R47" s="7"/>
      <c r="S47" s="7"/>
      <c r="T47" s="7"/>
      <c r="U47" s="7"/>
      <c r="V47" s="7"/>
      <c r="W47" s="7"/>
      <c r="X47" s="7"/>
      <c r="Y47" s="7"/>
      <c r="Z47" s="7"/>
    </row>
    <row r="48" spans="1:26" ht="15.75">
      <c r="A48" s="7"/>
      <c r="B48" s="7"/>
      <c r="C48" s="55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40"/>
      <c r="R48" s="7"/>
      <c r="S48" s="7"/>
      <c r="T48" s="7"/>
      <c r="U48" s="7"/>
      <c r="V48" s="7"/>
      <c r="W48" s="7"/>
      <c r="X48" s="7"/>
      <c r="Y48" s="7"/>
      <c r="Z48" s="7"/>
    </row>
    <row r="49" spans="1:26" ht="15.75">
      <c r="A49" s="7"/>
      <c r="B49" s="7"/>
      <c r="C49" s="55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40"/>
      <c r="R49" s="7"/>
      <c r="S49" s="7"/>
      <c r="T49" s="7"/>
      <c r="U49" s="7"/>
      <c r="V49" s="7"/>
      <c r="W49" s="7"/>
      <c r="X49" s="7"/>
      <c r="Y49" s="7"/>
      <c r="Z49" s="7"/>
    </row>
    <row r="50" spans="1:26" ht="15.75">
      <c r="A50" s="7"/>
      <c r="B50" s="7"/>
      <c r="C50" s="55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40"/>
      <c r="R50" s="7"/>
      <c r="S50" s="7"/>
      <c r="T50" s="7"/>
      <c r="U50" s="7"/>
      <c r="V50" s="7"/>
      <c r="W50" s="7"/>
      <c r="X50" s="7"/>
      <c r="Y50" s="7"/>
      <c r="Z50" s="7"/>
    </row>
    <row r="51" spans="1:26" ht="15.75">
      <c r="A51" s="7"/>
      <c r="B51" s="7"/>
      <c r="C51" s="55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  <c r="R51" s="7"/>
      <c r="S51" s="7"/>
      <c r="T51" s="7"/>
      <c r="U51" s="7"/>
      <c r="V51" s="7"/>
      <c r="W51" s="7"/>
      <c r="X51" s="7"/>
      <c r="Y51" s="7"/>
      <c r="Z51" s="7"/>
    </row>
    <row r="52" spans="1:26" ht="15.75">
      <c r="A52" s="7"/>
      <c r="B52" s="7"/>
      <c r="C52" s="55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40"/>
      <c r="R52" s="7"/>
      <c r="S52" s="7"/>
      <c r="T52" s="7"/>
      <c r="U52" s="7"/>
      <c r="V52" s="7"/>
      <c r="W52" s="7"/>
      <c r="X52" s="7"/>
      <c r="Y52" s="7"/>
      <c r="Z52" s="7"/>
    </row>
    <row r="53" spans="1:26" ht="15.75">
      <c r="A53" s="7"/>
      <c r="B53" s="7"/>
      <c r="C53" s="55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40"/>
      <c r="R53" s="7"/>
      <c r="S53" s="7"/>
      <c r="T53" s="7"/>
      <c r="U53" s="7"/>
      <c r="V53" s="7"/>
      <c r="W53" s="7"/>
      <c r="X53" s="7"/>
      <c r="Y53" s="7"/>
      <c r="Z53" s="7"/>
    </row>
    <row r="54" spans="1:26" ht="15.75">
      <c r="A54" s="7"/>
      <c r="B54" s="7"/>
      <c r="C54" s="55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40"/>
      <c r="R54" s="7"/>
      <c r="S54" s="7"/>
      <c r="T54" s="7"/>
      <c r="U54" s="7"/>
      <c r="V54" s="7"/>
      <c r="W54" s="7"/>
      <c r="X54" s="7"/>
      <c r="Y54" s="7"/>
      <c r="Z54" s="7"/>
    </row>
    <row r="55" spans="1:26" ht="15.75">
      <c r="A55" s="7"/>
      <c r="B55" s="7"/>
      <c r="C55" s="55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40"/>
      <c r="R55" s="7"/>
      <c r="S55" s="7"/>
      <c r="T55" s="7"/>
      <c r="U55" s="7"/>
      <c r="V55" s="7"/>
      <c r="W55" s="7"/>
      <c r="X55" s="7"/>
      <c r="Y55" s="7"/>
      <c r="Z55" s="7"/>
    </row>
    <row r="56" spans="1:26" ht="15.75">
      <c r="A56" s="7"/>
      <c r="B56" s="7"/>
      <c r="C56" s="55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40"/>
      <c r="R56" s="7"/>
      <c r="S56" s="7"/>
      <c r="T56" s="7"/>
      <c r="U56" s="7"/>
      <c r="V56" s="7"/>
      <c r="W56" s="7"/>
      <c r="X56" s="7"/>
      <c r="Y56" s="7"/>
      <c r="Z56" s="7"/>
    </row>
    <row r="57" spans="1:26" ht="15.75">
      <c r="A57" s="7"/>
      <c r="B57" s="7"/>
      <c r="C57" s="55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40"/>
      <c r="R57" s="7"/>
      <c r="S57" s="7"/>
      <c r="T57" s="7"/>
      <c r="U57" s="7"/>
      <c r="V57" s="7"/>
      <c r="W57" s="7"/>
      <c r="X57" s="7"/>
      <c r="Y57" s="7"/>
      <c r="Z57" s="7"/>
    </row>
    <row r="58" spans="1:26" ht="16.5" thickBot="1">
      <c r="A58" s="7"/>
      <c r="B58" s="7"/>
      <c r="C58" s="46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56"/>
      <c r="R58" s="7"/>
      <c r="S58" s="7"/>
      <c r="T58" s="7"/>
      <c r="U58" s="7"/>
      <c r="V58" s="7"/>
      <c r="W58" s="7"/>
      <c r="X58" s="7"/>
      <c r="Y58" s="7"/>
      <c r="Z58" s="7"/>
    </row>
    <row r="59" spans="1:26" ht="15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sheetProtection algorithmName="SHA-512" hashValue="DNIlcKlPrPihPFO4TGx4SPhHyTM7Wiur+ewCmxMnxRV1eoOZJ3hYZeruYjlDD6JHsdKUjTFXMvGWIiG5fDELnw==" saltValue="9DJCt9Yzw00lSYevHu+Rhg==" spinCount="100000" sheet="1" selectLockedCells="1" selectUnlockedCells="1"/>
  <mergeCells count="10">
    <mergeCell ref="C2:D2"/>
    <mergeCell ref="C3:D3"/>
    <mergeCell ref="C5:D5"/>
    <mergeCell ref="F5:G5"/>
    <mergeCell ref="C6:D6"/>
    <mergeCell ref="C8:D8"/>
    <mergeCell ref="C9:D9"/>
    <mergeCell ref="F10:O13"/>
    <mergeCell ref="C11:D11"/>
    <mergeCell ref="C12:D12"/>
  </mergeCells>
  <pageMargins left="0.7" right="0.7" top="0.75" bottom="0.75" header="0.3" footer="0.3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29F-D19E-4BC7-92DA-88438C417BBB}">
  <dimension ref="A1:J122"/>
  <sheetViews>
    <sheetView workbookViewId="0">
      <pane ySplit="1" topLeftCell="A2" activePane="bottomLeft" state="frozen"/>
      <selection pane="bottomLeft" activeCell="G123" sqref="G123"/>
    </sheetView>
  </sheetViews>
  <sheetFormatPr defaultRowHeight="15"/>
  <cols>
    <col min="1" max="1" width="16.140625" style="91" bestFit="1" customWidth="1"/>
    <col min="2" max="2" width="24.28515625" style="13" bestFit="1" customWidth="1"/>
    <col min="3" max="3" width="14.42578125" style="13" bestFit="1" customWidth="1"/>
    <col min="4" max="4" width="16.85546875" style="131" bestFit="1" customWidth="1"/>
    <col min="5" max="5" width="8" style="67" bestFit="1" customWidth="1"/>
    <col min="6" max="6" width="13.140625" style="13" bestFit="1" customWidth="1"/>
    <col min="7" max="7" width="92.85546875" style="13" customWidth="1"/>
    <col min="8" max="8" width="20.85546875" style="97" bestFit="1" customWidth="1"/>
    <col min="9" max="9" width="5.7109375" style="13" customWidth="1"/>
    <col min="10" max="10" width="13.42578125" style="13" bestFit="1" customWidth="1"/>
    <col min="11" max="16384" width="9.140625" style="13"/>
  </cols>
  <sheetData>
    <row r="1" spans="1:10">
      <c r="A1" s="91" t="s">
        <v>471</v>
      </c>
      <c r="B1" s="13" t="s">
        <v>472</v>
      </c>
      <c r="C1" s="13" t="s">
        <v>473</v>
      </c>
      <c r="D1" s="131" t="s">
        <v>474</v>
      </c>
      <c r="E1" s="67" t="s">
        <v>475</v>
      </c>
      <c r="F1" s="13" t="s">
        <v>547</v>
      </c>
      <c r="G1" s="13" t="s">
        <v>476</v>
      </c>
      <c r="H1" s="97" t="s">
        <v>548</v>
      </c>
      <c r="I1" s="13" t="s">
        <v>569</v>
      </c>
      <c r="J1" s="59" t="s">
        <v>828</v>
      </c>
    </row>
    <row r="2" spans="1:10">
      <c r="A2" s="91" t="s">
        <v>477</v>
      </c>
      <c r="B2" s="13" t="s">
        <v>478</v>
      </c>
      <c r="C2" s="13" t="s">
        <v>479</v>
      </c>
      <c r="D2" s="131" t="s">
        <v>549</v>
      </c>
      <c r="E2" s="67">
        <v>12326</v>
      </c>
      <c r="F2" s="13" t="s">
        <v>546</v>
      </c>
      <c r="G2" s="13" t="s">
        <v>480</v>
      </c>
      <c r="H2" s="97">
        <v>44333</v>
      </c>
      <c r="I2" s="13">
        <f>IF(H2&lt;&gt;"",MONTH(H2),"")</f>
        <v>5</v>
      </c>
      <c r="J2" s="13" t="str">
        <f>IFERROR(VLOOKUP(D2,Planilha1!$J$2:$X$376,4,0),"Adicionado")</f>
        <v>Alumínio-SP</v>
      </c>
    </row>
    <row r="3" spans="1:10">
      <c r="A3" s="91" t="s">
        <v>481</v>
      </c>
      <c r="B3" s="13" t="s">
        <v>482</v>
      </c>
      <c r="C3" s="13" t="s">
        <v>483</v>
      </c>
      <c r="D3" s="131" t="s">
        <v>625</v>
      </c>
      <c r="E3" s="67">
        <v>12317</v>
      </c>
      <c r="F3" s="13" t="s">
        <v>546</v>
      </c>
      <c r="H3" s="97">
        <v>44333</v>
      </c>
      <c r="I3" s="13">
        <f t="shared" ref="I3:I62" si="0">IF(H3&lt;&gt;"",MONTH(H3),"")</f>
        <v>5</v>
      </c>
      <c r="J3" s="13" t="str">
        <f>IFERROR(VLOOKUP(D3,Planilha1!$J$2:$X$376,4,0),"Adicionado")</f>
        <v>Alumínio-SP</v>
      </c>
    </row>
    <row r="4" spans="1:10">
      <c r="A4" s="91" t="s">
        <v>484</v>
      </c>
      <c r="B4" s="13" t="s">
        <v>482</v>
      </c>
      <c r="C4" s="13" t="s">
        <v>483</v>
      </c>
      <c r="D4" s="131" t="s">
        <v>485</v>
      </c>
      <c r="E4" s="67">
        <v>12337</v>
      </c>
      <c r="F4" s="13" t="s">
        <v>546</v>
      </c>
      <c r="H4" s="97">
        <v>44333</v>
      </c>
      <c r="I4" s="13">
        <f t="shared" si="0"/>
        <v>5</v>
      </c>
      <c r="J4" s="13" t="str">
        <f>IFERROR(VLOOKUP(D4,Planilha1!$J$2:$X$376,4,0),"Adicionado")</f>
        <v>Alumínio-SP</v>
      </c>
    </row>
    <row r="5" spans="1:10">
      <c r="A5" s="91" t="s">
        <v>484</v>
      </c>
      <c r="B5" s="13" t="s">
        <v>486</v>
      </c>
      <c r="C5" s="13" t="s">
        <v>487</v>
      </c>
      <c r="D5" s="131" t="s">
        <v>488</v>
      </c>
      <c r="E5" s="67">
        <v>12343</v>
      </c>
      <c r="F5" s="13" t="s">
        <v>546</v>
      </c>
      <c r="H5" s="97">
        <v>44333</v>
      </c>
      <c r="I5" s="13">
        <f t="shared" si="0"/>
        <v>5</v>
      </c>
      <c r="J5" s="13" t="str">
        <f>IFERROR(VLOOKUP(D5,Planilha1!$J$2:$X$376,4,0),"Adicionado")</f>
        <v>Cotia - SP</v>
      </c>
    </row>
    <row r="6" spans="1:10">
      <c r="A6" s="91" t="s">
        <v>484</v>
      </c>
      <c r="B6" s="13" t="s">
        <v>489</v>
      </c>
      <c r="C6" s="13" t="s">
        <v>490</v>
      </c>
      <c r="D6" s="131" t="s">
        <v>491</v>
      </c>
      <c r="E6" s="67">
        <v>12321</v>
      </c>
      <c r="F6" s="13" t="s">
        <v>546</v>
      </c>
      <c r="H6" s="97">
        <v>44333</v>
      </c>
      <c r="I6" s="13">
        <f t="shared" si="0"/>
        <v>5</v>
      </c>
      <c r="J6" s="13" t="str">
        <f>IFERROR(VLOOKUP(D6,Planilha1!$J$2:$X$376,4,0),"Adicionado")</f>
        <v>Alumínio-SP</v>
      </c>
    </row>
    <row r="7" spans="1:10">
      <c r="A7" s="91" t="s">
        <v>492</v>
      </c>
      <c r="B7" s="13" t="s">
        <v>493</v>
      </c>
      <c r="C7" s="13" t="s">
        <v>479</v>
      </c>
      <c r="D7" s="131" t="s">
        <v>64</v>
      </c>
      <c r="E7" s="67">
        <v>12319</v>
      </c>
      <c r="F7" s="13" t="s">
        <v>546</v>
      </c>
      <c r="G7" s="13" t="s">
        <v>494</v>
      </c>
      <c r="H7" s="97">
        <v>44333</v>
      </c>
      <c r="I7" s="13">
        <f t="shared" si="0"/>
        <v>5</v>
      </c>
      <c r="J7" s="13" t="str">
        <f>IFERROR(VLOOKUP(D7,Planilha1!$J$2:$X$376,4,0),"Adicionado")</f>
        <v>Cotia - SP</v>
      </c>
    </row>
    <row r="8" spans="1:10">
      <c r="A8" s="91" t="s">
        <v>495</v>
      </c>
      <c r="B8" s="13" t="s">
        <v>478</v>
      </c>
      <c r="C8" s="13" t="s">
        <v>479</v>
      </c>
      <c r="D8" s="131" t="s">
        <v>496</v>
      </c>
      <c r="E8" s="67">
        <v>12331</v>
      </c>
      <c r="F8" s="13" t="s">
        <v>546</v>
      </c>
      <c r="G8" s="13" t="s">
        <v>497</v>
      </c>
      <c r="H8" s="97">
        <v>44333</v>
      </c>
      <c r="I8" s="13">
        <f t="shared" si="0"/>
        <v>5</v>
      </c>
      <c r="J8" s="13" t="str">
        <f>IFERROR(VLOOKUP(D8,Planilha1!$J$2:$X$376,4,0),"Adicionado")</f>
        <v>Cotia - SP</v>
      </c>
    </row>
    <row r="9" spans="1:10">
      <c r="A9" s="91" t="s">
        <v>498</v>
      </c>
      <c r="B9" s="13" t="s">
        <v>499</v>
      </c>
      <c r="C9" s="13" t="s">
        <v>479</v>
      </c>
      <c r="D9" s="131" t="s">
        <v>500</v>
      </c>
      <c r="E9" s="67">
        <v>12336</v>
      </c>
      <c r="F9" s="13" t="s">
        <v>546</v>
      </c>
      <c r="H9" s="97">
        <v>44333</v>
      </c>
      <c r="I9" s="13">
        <f t="shared" si="0"/>
        <v>5</v>
      </c>
      <c r="J9" s="13" t="str">
        <f>IFERROR(VLOOKUP(D9,Planilha1!$J$2:$X$376,4,0),"Adicionado")</f>
        <v>Cotia - SP</v>
      </c>
    </row>
    <row r="10" spans="1:10">
      <c r="A10" s="91" t="s">
        <v>501</v>
      </c>
      <c r="B10" s="13" t="s">
        <v>502</v>
      </c>
      <c r="C10" s="13" t="s">
        <v>479</v>
      </c>
      <c r="D10" s="131" t="s">
        <v>503</v>
      </c>
      <c r="E10" s="67">
        <v>12335</v>
      </c>
      <c r="F10" s="13" t="s">
        <v>546</v>
      </c>
      <c r="H10" s="97">
        <v>44333</v>
      </c>
      <c r="I10" s="13">
        <f t="shared" si="0"/>
        <v>5</v>
      </c>
      <c r="J10" s="13" t="str">
        <f>IFERROR(VLOOKUP(D10,Planilha1!$J$2:$X$376,4,0),"Adicionado")</f>
        <v>Cotia - SP</v>
      </c>
    </row>
    <row r="11" spans="1:10" ht="15.75">
      <c r="A11" s="91" t="s">
        <v>504</v>
      </c>
      <c r="B11" s="13" t="s">
        <v>482</v>
      </c>
      <c r="C11" s="13" t="s">
        <v>483</v>
      </c>
      <c r="D11" s="131" t="s">
        <v>505</v>
      </c>
      <c r="E11" s="67">
        <v>12341</v>
      </c>
      <c r="F11" s="13" t="s">
        <v>546</v>
      </c>
      <c r="G11" s="89" t="s">
        <v>506</v>
      </c>
      <c r="H11" s="97">
        <v>44333</v>
      </c>
      <c r="I11" s="13">
        <f t="shared" si="0"/>
        <v>5</v>
      </c>
      <c r="J11" s="13" t="str">
        <f>IFERROR(VLOOKUP(D11,Planilha1!$J$2:$X$376,4,0),"Adicionado")</f>
        <v>Cotia - SP</v>
      </c>
    </row>
    <row r="12" spans="1:10">
      <c r="A12" s="91" t="s">
        <v>484</v>
      </c>
      <c r="B12" s="13" t="s">
        <v>489</v>
      </c>
      <c r="C12" s="13" t="s">
        <v>490</v>
      </c>
      <c r="D12" s="131" t="s">
        <v>507</v>
      </c>
      <c r="E12" s="67">
        <v>12322</v>
      </c>
      <c r="F12" s="13" t="s">
        <v>546</v>
      </c>
      <c r="H12" s="97">
        <v>44333</v>
      </c>
      <c r="I12" s="13">
        <f t="shared" si="0"/>
        <v>5</v>
      </c>
      <c r="J12" s="13" t="str">
        <f>IFERROR(VLOOKUP(D12,Planilha1!$J$2:$X$376,4,0),"Adicionado")</f>
        <v>ABC - SP</v>
      </c>
    </row>
    <row r="13" spans="1:10">
      <c r="A13" s="91" t="s">
        <v>508</v>
      </c>
      <c r="B13" s="13" t="s">
        <v>489</v>
      </c>
      <c r="C13" s="13" t="s">
        <v>490</v>
      </c>
      <c r="D13" s="131" t="s">
        <v>509</v>
      </c>
      <c r="E13" s="67">
        <v>12334</v>
      </c>
      <c r="F13" s="13" t="s">
        <v>546</v>
      </c>
      <c r="G13" s="13" t="s">
        <v>510</v>
      </c>
      <c r="H13" s="97">
        <v>44333</v>
      </c>
      <c r="I13" s="13">
        <f t="shared" si="0"/>
        <v>5</v>
      </c>
      <c r="J13" s="13" t="str">
        <f>IFERROR(VLOOKUP(D13,Planilha1!$J$2:$X$376,4,0),"Adicionado")</f>
        <v>Cotia - SP</v>
      </c>
    </row>
    <row r="14" spans="1:10">
      <c r="A14" s="91" t="s">
        <v>484</v>
      </c>
      <c r="B14" s="13" t="s">
        <v>482</v>
      </c>
      <c r="C14" s="13" t="s">
        <v>483</v>
      </c>
      <c r="D14" s="131" t="s">
        <v>511</v>
      </c>
      <c r="E14" s="67">
        <v>12342</v>
      </c>
      <c r="F14" s="13" t="s">
        <v>546</v>
      </c>
      <c r="H14" s="97">
        <v>44333</v>
      </c>
      <c r="I14" s="13">
        <f t="shared" si="0"/>
        <v>5</v>
      </c>
      <c r="J14" s="13" t="str">
        <f>IFERROR(VLOOKUP(D14,Planilha1!$J$2:$X$376,4,0),"Adicionado")</f>
        <v>Cotia - SP</v>
      </c>
    </row>
    <row r="15" spans="1:10">
      <c r="A15" s="91" t="s">
        <v>512</v>
      </c>
      <c r="B15" s="13" t="s">
        <v>502</v>
      </c>
      <c r="C15" s="13" t="s">
        <v>479</v>
      </c>
      <c r="D15" s="131" t="s">
        <v>70</v>
      </c>
      <c r="E15" s="67">
        <v>12327</v>
      </c>
      <c r="F15" s="13" t="s">
        <v>546</v>
      </c>
      <c r="H15" s="97">
        <v>44333</v>
      </c>
      <c r="I15" s="13">
        <f t="shared" si="0"/>
        <v>5</v>
      </c>
      <c r="J15" s="13" t="str">
        <f>IFERROR(VLOOKUP(D15,Planilha1!$J$2:$X$376,4,0),"Adicionado")</f>
        <v>Cotia - SP</v>
      </c>
    </row>
    <row r="16" spans="1:10">
      <c r="A16" s="91" t="s">
        <v>484</v>
      </c>
      <c r="B16" s="13" t="s">
        <v>482</v>
      </c>
      <c r="C16" s="13" t="s">
        <v>483</v>
      </c>
      <c r="D16" s="131" t="s">
        <v>513</v>
      </c>
      <c r="E16" s="67">
        <v>12348</v>
      </c>
      <c r="F16" s="13" t="s">
        <v>546</v>
      </c>
      <c r="H16" s="97">
        <v>44333</v>
      </c>
      <c r="I16" s="13">
        <f t="shared" si="0"/>
        <v>5</v>
      </c>
      <c r="J16" s="13" t="str">
        <f>IFERROR(VLOOKUP(D16,Planilha1!$J$2:$X$376,4,0),"Adicionado")</f>
        <v>São Paulo - SP</v>
      </c>
    </row>
    <row r="17" spans="1:10" ht="15.75">
      <c r="A17" s="91" t="s">
        <v>484</v>
      </c>
      <c r="B17" s="89" t="s">
        <v>482</v>
      </c>
      <c r="C17" s="89" t="s">
        <v>483</v>
      </c>
      <c r="D17" s="134" t="s">
        <v>514</v>
      </c>
      <c r="E17" s="67">
        <v>12338</v>
      </c>
      <c r="F17" s="13" t="s">
        <v>546</v>
      </c>
      <c r="H17" s="97">
        <v>44333</v>
      </c>
      <c r="I17" s="13">
        <f t="shared" si="0"/>
        <v>5</v>
      </c>
      <c r="J17" s="13" t="str">
        <f>IFERROR(VLOOKUP(D17,Planilha1!$J$2:$X$376,4,0),"Adicionado")</f>
        <v>Cotia - SP</v>
      </c>
    </row>
    <row r="18" spans="1:10">
      <c r="A18" s="91" t="s">
        <v>484</v>
      </c>
      <c r="B18" s="13" t="s">
        <v>515</v>
      </c>
      <c r="C18" s="13" t="s">
        <v>490</v>
      </c>
      <c r="D18" s="131" t="s">
        <v>516</v>
      </c>
      <c r="E18" s="67">
        <v>12345</v>
      </c>
      <c r="F18" s="13" t="s">
        <v>546</v>
      </c>
      <c r="G18" s="13" t="s">
        <v>517</v>
      </c>
      <c r="H18" s="97">
        <v>44333</v>
      </c>
      <c r="I18" s="13">
        <f t="shared" si="0"/>
        <v>5</v>
      </c>
      <c r="J18" s="13" t="str">
        <f>IFERROR(VLOOKUP(D18,Planilha1!$J$2:$X$376,4,0),"Adicionado")</f>
        <v>São Paulo - SP</v>
      </c>
    </row>
    <row r="19" spans="1:10">
      <c r="A19" s="91" t="s">
        <v>518</v>
      </c>
      <c r="B19" s="13" t="s">
        <v>519</v>
      </c>
      <c r="C19" s="13" t="s">
        <v>424</v>
      </c>
      <c r="D19" s="131" t="s">
        <v>723</v>
      </c>
      <c r="E19" s="67">
        <v>12316</v>
      </c>
      <c r="F19" s="13" t="s">
        <v>546</v>
      </c>
      <c r="H19" s="97">
        <v>44333</v>
      </c>
      <c r="I19" s="13">
        <f t="shared" si="0"/>
        <v>5</v>
      </c>
      <c r="J19" s="13" t="str">
        <f>IFERROR(VLOOKUP(D19,Planilha1!$J$2:$X$376,4,0),"Adicionado")</f>
        <v>São Paulo - SP</v>
      </c>
    </row>
    <row r="20" spans="1:10">
      <c r="A20" s="91" t="s">
        <v>484</v>
      </c>
      <c r="B20" s="13" t="s">
        <v>515</v>
      </c>
      <c r="C20" s="13" t="s">
        <v>490</v>
      </c>
      <c r="D20" s="131" t="s">
        <v>521</v>
      </c>
      <c r="E20" s="67">
        <v>12340</v>
      </c>
      <c r="F20" s="13" t="s">
        <v>546</v>
      </c>
      <c r="H20" s="97">
        <v>44333</v>
      </c>
      <c r="I20" s="13">
        <f t="shared" si="0"/>
        <v>5</v>
      </c>
      <c r="J20" s="13" t="str">
        <f>IFERROR(VLOOKUP(D20,Planilha1!$J$2:$X$376,4,0),"Adicionado")</f>
        <v>São Paulo - SP</v>
      </c>
    </row>
    <row r="21" spans="1:10">
      <c r="A21" s="91" t="s">
        <v>522</v>
      </c>
      <c r="B21" s="13" t="s">
        <v>519</v>
      </c>
      <c r="C21" s="13" t="s">
        <v>424</v>
      </c>
      <c r="D21" s="134" t="s">
        <v>523</v>
      </c>
      <c r="E21" s="67">
        <v>12332</v>
      </c>
      <c r="F21" s="13" t="s">
        <v>546</v>
      </c>
      <c r="H21" s="97">
        <v>44333</v>
      </c>
      <c r="I21" s="13">
        <f t="shared" si="0"/>
        <v>5</v>
      </c>
      <c r="J21" s="13" t="str">
        <f>IFERROR(VLOOKUP(D21,Planilha1!$J$2:$X$376,4,0),"Adicionado")</f>
        <v>Cotia - SP</v>
      </c>
    </row>
    <row r="22" spans="1:10">
      <c r="A22" s="91" t="s">
        <v>484</v>
      </c>
      <c r="B22" s="13" t="s">
        <v>493</v>
      </c>
      <c r="C22" s="13" t="s">
        <v>424</v>
      </c>
      <c r="D22" s="131" t="s">
        <v>373</v>
      </c>
      <c r="E22" s="67">
        <v>12328</v>
      </c>
      <c r="F22" s="13" t="s">
        <v>546</v>
      </c>
      <c r="H22" s="97">
        <v>44333</v>
      </c>
      <c r="I22" s="13">
        <f t="shared" si="0"/>
        <v>5</v>
      </c>
      <c r="J22" s="13" t="str">
        <f>IFERROR(VLOOKUP(D22,Planilha1!$J$2:$X$376,4,0),"Adicionado")</f>
        <v>São Paulo - SP</v>
      </c>
    </row>
    <row r="23" spans="1:10">
      <c r="A23" s="91" t="s">
        <v>524</v>
      </c>
      <c r="B23" s="13" t="s">
        <v>525</v>
      </c>
      <c r="C23" s="13" t="s">
        <v>526</v>
      </c>
      <c r="D23" s="131" t="s">
        <v>527</v>
      </c>
      <c r="E23" s="67">
        <v>12351</v>
      </c>
      <c r="F23" s="13" t="s">
        <v>546</v>
      </c>
      <c r="H23" s="97">
        <v>44333</v>
      </c>
      <c r="I23" s="13">
        <f t="shared" si="0"/>
        <v>5</v>
      </c>
      <c r="J23" s="13" t="str">
        <f>IFERROR(VLOOKUP(D23,Planilha1!$J$2:$X$376,4,0),"Adicionado")</f>
        <v>Cotia - SP</v>
      </c>
    </row>
    <row r="24" spans="1:10">
      <c r="A24" s="91" t="s">
        <v>484</v>
      </c>
      <c r="B24" s="13" t="s">
        <v>528</v>
      </c>
      <c r="C24" s="13" t="s">
        <v>529</v>
      </c>
      <c r="D24" s="131" t="s">
        <v>530</v>
      </c>
      <c r="E24" s="67">
        <v>12366</v>
      </c>
      <c r="F24" s="13" t="s">
        <v>546</v>
      </c>
      <c r="G24" s="13" t="s">
        <v>531</v>
      </c>
      <c r="H24" s="97">
        <v>44333</v>
      </c>
      <c r="I24" s="13">
        <f t="shared" si="0"/>
        <v>5</v>
      </c>
      <c r="J24" s="13" t="str">
        <f>IFERROR(VLOOKUP(D24,Planilha1!$J$2:$X$376,4,0),"Adicionado")</f>
        <v>Adicionado</v>
      </c>
    </row>
    <row r="25" spans="1:10">
      <c r="A25" s="91" t="s">
        <v>484</v>
      </c>
      <c r="B25" s="13" t="s">
        <v>528</v>
      </c>
      <c r="C25" s="13" t="s">
        <v>529</v>
      </c>
      <c r="D25" s="131" t="s">
        <v>532</v>
      </c>
      <c r="E25" s="67">
        <v>12339</v>
      </c>
      <c r="F25" s="13" t="s">
        <v>546</v>
      </c>
      <c r="G25" s="13" t="s">
        <v>533</v>
      </c>
      <c r="H25" s="97">
        <v>44333</v>
      </c>
      <c r="I25" s="13">
        <f t="shared" si="0"/>
        <v>5</v>
      </c>
      <c r="J25" s="13" t="str">
        <f>IFERROR(VLOOKUP(D25,Planilha1!$J$2:$X$376,4,0),"Adicionado")</f>
        <v>Cotia - SP</v>
      </c>
    </row>
    <row r="26" spans="1:10">
      <c r="A26" s="91" t="s">
        <v>534</v>
      </c>
      <c r="B26" s="13" t="s">
        <v>493</v>
      </c>
      <c r="C26" s="13" t="s">
        <v>424</v>
      </c>
      <c r="D26" s="131" t="s">
        <v>71</v>
      </c>
      <c r="E26" s="67">
        <v>12330</v>
      </c>
      <c r="F26" s="13" t="s">
        <v>546</v>
      </c>
      <c r="H26" s="97">
        <v>44333</v>
      </c>
      <c r="I26" s="13">
        <f t="shared" si="0"/>
        <v>5</v>
      </c>
      <c r="J26" s="13" t="str">
        <f>IFERROR(VLOOKUP(D26,Planilha1!$J$2:$X$376,4,0),"Adicionado")</f>
        <v>Cotia - SP</v>
      </c>
    </row>
    <row r="27" spans="1:10">
      <c r="A27" s="91" t="s">
        <v>535</v>
      </c>
      <c r="B27" s="13" t="s">
        <v>536</v>
      </c>
      <c r="C27" s="13" t="s">
        <v>179</v>
      </c>
      <c r="D27" s="131" t="s">
        <v>537</v>
      </c>
      <c r="E27" s="67">
        <v>12356</v>
      </c>
      <c r="F27" s="13" t="s">
        <v>546</v>
      </c>
      <c r="H27" s="97">
        <v>44333</v>
      </c>
      <c r="I27" s="13">
        <f t="shared" si="0"/>
        <v>5</v>
      </c>
      <c r="J27" s="13" t="str">
        <f>IFERROR(VLOOKUP(D27,Planilha1!$J$2:$X$376,4,0),"Adicionado")</f>
        <v>Cotia - SP</v>
      </c>
    </row>
    <row r="28" spans="1:10">
      <c r="A28" s="91" t="s">
        <v>538</v>
      </c>
      <c r="B28" s="13" t="s">
        <v>28</v>
      </c>
      <c r="C28" s="13" t="s">
        <v>526</v>
      </c>
      <c r="D28" s="131" t="s">
        <v>539</v>
      </c>
      <c r="E28" s="67">
        <v>12350</v>
      </c>
      <c r="F28" s="13" t="s">
        <v>546</v>
      </c>
      <c r="H28" s="97">
        <v>44333</v>
      </c>
      <c r="I28" s="13">
        <f t="shared" si="0"/>
        <v>5</v>
      </c>
      <c r="J28" s="13" t="str">
        <f>IFERROR(VLOOKUP(D28,Planilha1!$J$2:$X$376,4,0),"Adicionado")</f>
        <v>Cotia - SP</v>
      </c>
    </row>
    <row r="29" spans="1:10">
      <c r="A29" s="91" t="s">
        <v>540</v>
      </c>
      <c r="B29" s="13" t="s">
        <v>28</v>
      </c>
      <c r="C29" s="13" t="s">
        <v>454</v>
      </c>
      <c r="D29" s="131" t="s">
        <v>541</v>
      </c>
      <c r="E29" s="67">
        <v>12354</v>
      </c>
      <c r="F29" s="13" t="s">
        <v>546</v>
      </c>
      <c r="H29" s="97">
        <v>44333</v>
      </c>
      <c r="I29" s="13">
        <f t="shared" si="0"/>
        <v>5</v>
      </c>
      <c r="J29" s="13" t="str">
        <f>IFERROR(VLOOKUP(D29,Planilha1!$J$2:$X$376,4,0),"Adicionado")</f>
        <v>Cotia - SP</v>
      </c>
    </row>
    <row r="30" spans="1:10">
      <c r="A30" s="91" t="s">
        <v>484</v>
      </c>
      <c r="B30" s="13" t="s">
        <v>536</v>
      </c>
      <c r="C30" s="13" t="s">
        <v>542</v>
      </c>
      <c r="D30" s="131" t="s">
        <v>543</v>
      </c>
      <c r="E30" s="67">
        <v>12353</v>
      </c>
      <c r="F30" s="13" t="s">
        <v>546</v>
      </c>
      <c r="H30" s="97">
        <v>44333</v>
      </c>
      <c r="I30" s="13">
        <f t="shared" si="0"/>
        <v>5</v>
      </c>
      <c r="J30" s="13" t="str">
        <f>IFERROR(VLOOKUP(D30,Planilha1!$J$2:$X$376,4,0),"Adicionado")</f>
        <v>Cotia - SP</v>
      </c>
    </row>
    <row r="31" spans="1:10">
      <c r="A31" s="91" t="s">
        <v>484</v>
      </c>
      <c r="B31" s="13" t="s">
        <v>536</v>
      </c>
      <c r="C31" s="13" t="s">
        <v>542</v>
      </c>
      <c r="D31" s="131" t="s">
        <v>544</v>
      </c>
      <c r="E31" s="67">
        <v>12355</v>
      </c>
      <c r="F31" s="13" t="s">
        <v>546</v>
      </c>
      <c r="H31" s="97">
        <v>44333</v>
      </c>
      <c r="I31" s="13">
        <f t="shared" si="0"/>
        <v>5</v>
      </c>
      <c r="J31" s="13" t="str">
        <f>IFERROR(VLOOKUP(D31,Planilha1!$J$2:$X$376,4,0),"Adicionado")</f>
        <v>Cotia - SP</v>
      </c>
    </row>
    <row r="32" spans="1:10">
      <c r="B32" s="13" t="s">
        <v>478</v>
      </c>
      <c r="C32" s="13" t="s">
        <v>424</v>
      </c>
      <c r="D32" s="131" t="s">
        <v>545</v>
      </c>
      <c r="E32" s="67">
        <v>12324</v>
      </c>
      <c r="F32" s="13" t="s">
        <v>546</v>
      </c>
      <c r="G32" s="13" t="s">
        <v>583</v>
      </c>
      <c r="H32" s="97">
        <v>44333</v>
      </c>
      <c r="I32" s="13">
        <f t="shared" si="0"/>
        <v>5</v>
      </c>
      <c r="J32" s="13" t="str">
        <f>IFERROR(VLOOKUP(D32,Planilha1!$J$2:$X$376,4,0),"Adicionado")</f>
        <v>Cotia - SP</v>
      </c>
    </row>
    <row r="33" spans="1:10">
      <c r="B33" s="13" t="s">
        <v>584</v>
      </c>
      <c r="C33" s="90" t="s">
        <v>68</v>
      </c>
      <c r="D33" s="131" t="s">
        <v>594</v>
      </c>
      <c r="E33" s="80">
        <v>12329</v>
      </c>
      <c r="F33" s="13" t="s">
        <v>546</v>
      </c>
      <c r="H33" s="97">
        <v>44333</v>
      </c>
      <c r="I33" s="13">
        <f t="shared" si="0"/>
        <v>5</v>
      </c>
      <c r="J33" s="13" t="str">
        <f>IFERROR(VLOOKUP(D33,Planilha1!$J$2:$X$376,4,0),"Adicionado")</f>
        <v>Cotia - SP</v>
      </c>
    </row>
    <row r="34" spans="1:10">
      <c r="B34" s="13" t="s">
        <v>585</v>
      </c>
      <c r="C34" s="90" t="s">
        <v>596</v>
      </c>
      <c r="D34" s="131" t="s">
        <v>588</v>
      </c>
      <c r="E34" s="80">
        <v>12347</v>
      </c>
      <c r="F34" s="13" t="s">
        <v>546</v>
      </c>
      <c r="H34" s="97">
        <v>44333</v>
      </c>
      <c r="I34" s="13">
        <f t="shared" si="0"/>
        <v>5</v>
      </c>
      <c r="J34" s="13" t="str">
        <f>IFERROR(VLOOKUP(D34,Planilha1!$J$2:$X$376,4,0),"Adicionado")</f>
        <v>Cotia - SP</v>
      </c>
    </row>
    <row r="35" spans="1:10">
      <c r="B35" s="13" t="s">
        <v>586</v>
      </c>
      <c r="C35" s="90" t="s">
        <v>179</v>
      </c>
      <c r="D35" s="131" t="s">
        <v>589</v>
      </c>
      <c r="E35" s="80">
        <v>12352</v>
      </c>
      <c r="F35" s="13" t="s">
        <v>546</v>
      </c>
      <c r="H35" s="97">
        <v>44333</v>
      </c>
      <c r="I35" s="13">
        <f t="shared" si="0"/>
        <v>5</v>
      </c>
      <c r="J35" s="13" t="str">
        <f>IFERROR(VLOOKUP(D35,Planilha1!$J$2:$X$376,4,0),"Adicionado")</f>
        <v>Cotia - SP</v>
      </c>
    </row>
    <row r="36" spans="1:10">
      <c r="B36" s="13" t="s">
        <v>587</v>
      </c>
      <c r="C36" s="90" t="s">
        <v>595</v>
      </c>
      <c r="D36" s="131" t="s">
        <v>590</v>
      </c>
      <c r="E36" s="80">
        <v>12376</v>
      </c>
      <c r="F36" s="13" t="s">
        <v>546</v>
      </c>
      <c r="H36" s="97">
        <v>44333</v>
      </c>
      <c r="I36" s="13">
        <f t="shared" si="0"/>
        <v>5</v>
      </c>
      <c r="J36" s="13" t="str">
        <f>IFERROR(VLOOKUP(D36,Planilha1!$J$2:$X$376,4,0),"Adicionado")</f>
        <v>Cotia - SP</v>
      </c>
    </row>
    <row r="37" spans="1:10">
      <c r="B37" s="13" t="s">
        <v>587</v>
      </c>
      <c r="C37" s="90" t="s">
        <v>595</v>
      </c>
      <c r="D37" s="131" t="s">
        <v>591</v>
      </c>
      <c r="E37" s="80">
        <v>12377</v>
      </c>
      <c r="F37" s="13" t="s">
        <v>546</v>
      </c>
      <c r="H37" s="97">
        <v>44333</v>
      </c>
      <c r="I37" s="13">
        <f t="shared" si="0"/>
        <v>5</v>
      </c>
      <c r="J37" s="13" t="str">
        <f>IFERROR(VLOOKUP(D37,Planilha1!$J$2:$X$376,4,0),"Adicionado")</f>
        <v>Cotia - SP</v>
      </c>
    </row>
    <row r="38" spans="1:10">
      <c r="B38" s="13" t="s">
        <v>587</v>
      </c>
      <c r="C38" s="90" t="s">
        <v>10</v>
      </c>
      <c r="D38" s="131" t="s">
        <v>592</v>
      </c>
      <c r="E38" s="80">
        <v>12378</v>
      </c>
      <c r="F38" s="13" t="s">
        <v>546</v>
      </c>
      <c r="H38" s="97">
        <v>44333</v>
      </c>
      <c r="I38" s="13">
        <f t="shared" si="0"/>
        <v>5</v>
      </c>
      <c r="J38" s="13" t="str">
        <f>IFERROR(VLOOKUP(D38,Planilha1!$J$2:$X$376,4,0),"Adicionado")</f>
        <v>Cotia - SP</v>
      </c>
    </row>
    <row r="39" spans="1:10">
      <c r="B39" s="13" t="s">
        <v>587</v>
      </c>
      <c r="C39" s="90" t="s">
        <v>10</v>
      </c>
      <c r="D39" s="131" t="s">
        <v>593</v>
      </c>
      <c r="E39" s="67">
        <v>12379</v>
      </c>
      <c r="F39" s="13" t="s">
        <v>546</v>
      </c>
      <c r="H39" s="97">
        <v>44333</v>
      </c>
      <c r="I39" s="13">
        <f t="shared" si="0"/>
        <v>5</v>
      </c>
      <c r="J39" s="13" t="str">
        <f>IFERROR(VLOOKUP(D39,Planilha1!$J$2:$X$376,4,0),"Adicionado")</f>
        <v>Cotia - SP</v>
      </c>
    </row>
    <row r="40" spans="1:10">
      <c r="B40" s="13" t="s">
        <v>587</v>
      </c>
      <c r="C40" s="90" t="s">
        <v>487</v>
      </c>
      <c r="D40" s="131" t="s">
        <v>775</v>
      </c>
      <c r="E40" s="67">
        <v>12381</v>
      </c>
      <c r="F40" s="13" t="s">
        <v>546</v>
      </c>
      <c r="H40" s="97">
        <v>44333</v>
      </c>
      <c r="I40" s="13">
        <f t="shared" si="0"/>
        <v>5</v>
      </c>
      <c r="J40" s="13" t="str">
        <f>IFERROR(VLOOKUP(D40,Planilha1!$J$2:$X$376,4,0),"Adicionado")</f>
        <v>Cotia - SP</v>
      </c>
    </row>
    <row r="41" spans="1:10">
      <c r="A41" s="91" t="s">
        <v>813</v>
      </c>
      <c r="B41" s="13" t="s">
        <v>811</v>
      </c>
      <c r="C41" s="13" t="s">
        <v>424</v>
      </c>
      <c r="D41" s="131" t="s">
        <v>812</v>
      </c>
      <c r="E41" s="67">
        <v>12620</v>
      </c>
      <c r="F41" s="13" t="s">
        <v>546</v>
      </c>
      <c r="H41" s="97">
        <v>44368</v>
      </c>
      <c r="I41" s="13">
        <f t="shared" si="0"/>
        <v>6</v>
      </c>
      <c r="J41" s="13" t="str">
        <f>IFERROR(VLOOKUP(D41,Planilha1!$J$2:$X$376,4,0),"Adicionado")</f>
        <v>Sorocaba - SP</v>
      </c>
    </row>
    <row r="42" spans="1:10">
      <c r="A42" s="91" t="s">
        <v>814</v>
      </c>
      <c r="B42" s="13" t="s">
        <v>37</v>
      </c>
      <c r="C42" s="13" t="s">
        <v>68</v>
      </c>
      <c r="D42" s="131" t="s">
        <v>767</v>
      </c>
      <c r="E42" s="67">
        <v>12621</v>
      </c>
      <c r="F42" s="13" t="s">
        <v>546</v>
      </c>
      <c r="H42" s="97">
        <v>44368</v>
      </c>
      <c r="I42" s="13">
        <f t="shared" si="0"/>
        <v>6</v>
      </c>
      <c r="J42" s="13" t="str">
        <f>IFERROR(VLOOKUP(D42,Planilha1!$J$2:$X$376,4,0),"Adicionado")</f>
        <v>Sorocaba - SP</v>
      </c>
    </row>
    <row r="43" spans="1:10">
      <c r="A43" s="91" t="s">
        <v>815</v>
      </c>
      <c r="B43" s="13" t="s">
        <v>45</v>
      </c>
      <c r="C43" s="13" t="s">
        <v>47</v>
      </c>
      <c r="D43" s="131" t="s">
        <v>465</v>
      </c>
      <c r="E43" s="67">
        <v>12622</v>
      </c>
      <c r="F43" s="13" t="s">
        <v>546</v>
      </c>
      <c r="H43" s="97">
        <v>44368</v>
      </c>
      <c r="I43" s="13">
        <f t="shared" si="0"/>
        <v>6</v>
      </c>
      <c r="J43" s="13" t="str">
        <f>IFERROR(VLOOKUP(D43,Planilha1!$J$2:$X$376,4,0),"Adicionado")</f>
        <v>Sorocaba - SP</v>
      </c>
    </row>
    <row r="44" spans="1:10" s="99" customFormat="1">
      <c r="A44" s="98" t="s">
        <v>816</v>
      </c>
      <c r="B44" s="99" t="s">
        <v>45</v>
      </c>
      <c r="C44" s="99" t="s">
        <v>424</v>
      </c>
      <c r="D44" s="135" t="s">
        <v>816</v>
      </c>
      <c r="E44" s="140">
        <v>12623</v>
      </c>
      <c r="F44" s="99" t="s">
        <v>546</v>
      </c>
      <c r="G44" s="99" t="s">
        <v>824</v>
      </c>
      <c r="H44" s="100">
        <v>44368</v>
      </c>
      <c r="I44" s="99">
        <f t="shared" si="0"/>
        <v>6</v>
      </c>
      <c r="J44" s="13"/>
    </row>
    <row r="45" spans="1:10" s="99" customFormat="1">
      <c r="A45" s="98" t="s">
        <v>819</v>
      </c>
      <c r="B45" s="99" t="s">
        <v>817</v>
      </c>
      <c r="C45" s="99" t="s">
        <v>47</v>
      </c>
      <c r="D45" s="135" t="s">
        <v>818</v>
      </c>
      <c r="E45" s="140">
        <v>12624</v>
      </c>
      <c r="F45" s="99" t="s">
        <v>546</v>
      </c>
      <c r="G45" s="99" t="s">
        <v>825</v>
      </c>
      <c r="H45" s="100">
        <v>44368</v>
      </c>
      <c r="I45" s="99">
        <f t="shared" si="0"/>
        <v>6</v>
      </c>
      <c r="J45" s="13"/>
    </row>
    <row r="46" spans="1:10">
      <c r="A46" s="91" t="s">
        <v>820</v>
      </c>
      <c r="B46" s="13" t="s">
        <v>817</v>
      </c>
      <c r="C46" s="13" t="s">
        <v>30</v>
      </c>
      <c r="D46" s="131" t="s">
        <v>469</v>
      </c>
      <c r="E46" s="67">
        <v>12625</v>
      </c>
      <c r="F46" s="13" t="s">
        <v>546</v>
      </c>
      <c r="H46" s="97">
        <v>44368</v>
      </c>
      <c r="I46" s="13">
        <f t="shared" si="0"/>
        <v>6</v>
      </c>
      <c r="J46" s="13" t="str">
        <f>IFERROR(VLOOKUP(D46,Planilha1!$J$2:$X$376,4,0),"Adicionado")</f>
        <v>Sorocaba - SP</v>
      </c>
    </row>
    <row r="47" spans="1:10">
      <c r="A47" s="91" t="s">
        <v>821</v>
      </c>
      <c r="B47" s="13" t="s">
        <v>817</v>
      </c>
      <c r="C47" s="13" t="s">
        <v>68</v>
      </c>
      <c r="D47" s="131" t="s">
        <v>823</v>
      </c>
      <c r="E47" s="67">
        <v>12626</v>
      </c>
      <c r="F47" s="13" t="s">
        <v>546</v>
      </c>
      <c r="G47" s="91"/>
      <c r="H47" s="97">
        <v>44368</v>
      </c>
      <c r="I47" s="13">
        <f t="shared" si="0"/>
        <v>6</v>
      </c>
      <c r="J47" s="13" t="str">
        <f>IFERROR(VLOOKUP(D47,Planilha1!$J$2:$X$376,4,0),"Adicionado")</f>
        <v>Sorocaba - SP</v>
      </c>
    </row>
    <row r="48" spans="1:10">
      <c r="A48" s="91" t="s">
        <v>822</v>
      </c>
      <c r="B48" s="13" t="s">
        <v>817</v>
      </c>
      <c r="C48" s="13" t="s">
        <v>68</v>
      </c>
      <c r="D48" s="131" t="s">
        <v>770</v>
      </c>
      <c r="E48" s="67">
        <v>12627</v>
      </c>
      <c r="F48" s="13" t="s">
        <v>546</v>
      </c>
      <c r="H48" s="97">
        <v>44368</v>
      </c>
      <c r="I48" s="13">
        <f t="shared" si="0"/>
        <v>6</v>
      </c>
      <c r="J48" s="13" t="str">
        <f>IFERROR(VLOOKUP(D48,Planilha1!$J$2:$X$376,4,0),"Adicionado")</f>
        <v>Sorocaba - SP</v>
      </c>
    </row>
    <row r="49" spans="1:10">
      <c r="A49" s="91" t="s">
        <v>816</v>
      </c>
      <c r="B49" s="13" t="s">
        <v>833</v>
      </c>
      <c r="C49" s="13" t="s">
        <v>35</v>
      </c>
      <c r="D49" s="131" t="s">
        <v>640</v>
      </c>
      <c r="E49" s="67">
        <v>12661</v>
      </c>
      <c r="F49" s="13" t="s">
        <v>546</v>
      </c>
      <c r="H49" s="97">
        <v>44370</v>
      </c>
      <c r="I49" s="13">
        <f t="shared" si="0"/>
        <v>6</v>
      </c>
      <c r="J49" s="13" t="str">
        <f>IFERROR(VLOOKUP(D49,Planilha1!$J$2:$X$376,4,0),"Adicionado")</f>
        <v>Santo André - SP</v>
      </c>
    </row>
    <row r="50" spans="1:10" s="102" customFormat="1">
      <c r="A50" s="101" t="s">
        <v>816</v>
      </c>
      <c r="B50" s="102" t="s">
        <v>834</v>
      </c>
      <c r="C50" s="102" t="s">
        <v>835</v>
      </c>
      <c r="D50" s="136">
        <v>756690243</v>
      </c>
      <c r="E50" s="141">
        <v>12662</v>
      </c>
      <c r="F50" s="102" t="s">
        <v>546</v>
      </c>
      <c r="G50" s="102" t="s">
        <v>855</v>
      </c>
      <c r="H50" s="103">
        <v>44370</v>
      </c>
      <c r="I50" s="13">
        <f t="shared" si="0"/>
        <v>6</v>
      </c>
      <c r="J50" s="102" t="str">
        <f>IFERROR(VLOOKUP(D50,Planilha1!$J$2:$X$376,4,0),"Adicionado")</f>
        <v>Adicionado</v>
      </c>
    </row>
    <row r="51" spans="1:10">
      <c r="A51" s="91" t="s">
        <v>837</v>
      </c>
      <c r="B51" s="13" t="s">
        <v>836</v>
      </c>
      <c r="C51" s="13" t="s">
        <v>424</v>
      </c>
      <c r="D51" s="131" t="s">
        <v>171</v>
      </c>
      <c r="E51" s="67">
        <v>12663</v>
      </c>
      <c r="F51" s="13" t="s">
        <v>546</v>
      </c>
      <c r="H51" s="97">
        <v>44370</v>
      </c>
      <c r="I51" s="13">
        <f t="shared" si="0"/>
        <v>6</v>
      </c>
      <c r="J51" s="13" t="str">
        <f>IFERROR(VLOOKUP(D51,Planilha1!$J$2:$X$376,4,0),"Adicionado")</f>
        <v>Santo André - SP</v>
      </c>
    </row>
    <row r="52" spans="1:10">
      <c r="A52" s="91" t="s">
        <v>840</v>
      </c>
      <c r="B52" s="13" t="s">
        <v>838</v>
      </c>
      <c r="C52" s="13" t="s">
        <v>839</v>
      </c>
      <c r="D52" s="131" t="s">
        <v>627</v>
      </c>
      <c r="E52" s="67">
        <v>12664</v>
      </c>
      <c r="F52" s="13" t="s">
        <v>546</v>
      </c>
      <c r="H52" s="97">
        <v>44370</v>
      </c>
      <c r="I52" s="13">
        <f t="shared" si="0"/>
        <v>6</v>
      </c>
      <c r="J52" s="13" t="str">
        <f>IFERROR(VLOOKUP(D52,Planilha1!$J$2:$X$376,4,0),"Adicionado")</f>
        <v>São José dos Campos - SP</v>
      </c>
    </row>
    <row r="53" spans="1:10">
      <c r="A53" s="91" t="s">
        <v>816</v>
      </c>
      <c r="B53" s="13" t="s">
        <v>841</v>
      </c>
      <c r="C53" s="13" t="s">
        <v>424</v>
      </c>
      <c r="D53" s="116" t="s">
        <v>140</v>
      </c>
      <c r="E53" s="67">
        <v>12665</v>
      </c>
      <c r="F53" s="13" t="s">
        <v>546</v>
      </c>
      <c r="H53" s="97">
        <v>44370</v>
      </c>
      <c r="I53" s="13">
        <f t="shared" si="0"/>
        <v>6</v>
      </c>
      <c r="J53" s="13" t="str">
        <f>IFERROR(VLOOKUP(D53,Planilha1!$J$2:$X$376,4,0),"Adicionado")</f>
        <v>São José dos Campos - SP</v>
      </c>
    </row>
    <row r="54" spans="1:10">
      <c r="A54" s="91" t="s">
        <v>816</v>
      </c>
      <c r="B54" s="13" t="s">
        <v>842</v>
      </c>
      <c r="C54" s="13" t="s">
        <v>843</v>
      </c>
      <c r="D54" s="116" t="s">
        <v>637</v>
      </c>
      <c r="E54" s="67">
        <v>12666</v>
      </c>
      <c r="F54" s="13" t="s">
        <v>546</v>
      </c>
      <c r="H54" s="97">
        <v>44370</v>
      </c>
      <c r="I54" s="13">
        <f t="shared" si="0"/>
        <v>6</v>
      </c>
      <c r="J54" s="13" t="str">
        <f>IFERROR(VLOOKUP(D54,Planilha1!$J$2:$X$376,4,0),"Adicionado")</f>
        <v>Santo André - SP</v>
      </c>
    </row>
    <row r="55" spans="1:10">
      <c r="A55" s="91" t="s">
        <v>816</v>
      </c>
      <c r="B55" s="13" t="s">
        <v>844</v>
      </c>
      <c r="C55" s="13" t="s">
        <v>845</v>
      </c>
      <c r="D55" s="116" t="s">
        <v>860</v>
      </c>
      <c r="E55" s="67">
        <v>12667</v>
      </c>
      <c r="F55" s="13" t="s">
        <v>546</v>
      </c>
      <c r="H55" s="97">
        <v>44370</v>
      </c>
      <c r="I55" s="99">
        <f t="shared" si="0"/>
        <v>6</v>
      </c>
      <c r="J55" s="13" t="str">
        <f>IFERROR(VLOOKUP(D55,Planilha1!$J$2:$X$376,4,0),"Adicionado")</f>
        <v>Adicionado</v>
      </c>
    </row>
    <row r="56" spans="1:10">
      <c r="A56" s="91" t="s">
        <v>816</v>
      </c>
      <c r="B56" s="13" t="s">
        <v>841</v>
      </c>
      <c r="C56" s="13" t="s">
        <v>424</v>
      </c>
      <c r="D56" s="116" t="s">
        <v>164</v>
      </c>
      <c r="E56" s="67">
        <v>12668</v>
      </c>
      <c r="F56" s="13" t="s">
        <v>546</v>
      </c>
      <c r="G56" s="13" t="s">
        <v>856</v>
      </c>
      <c r="H56" s="97">
        <v>44370</v>
      </c>
      <c r="I56" s="99">
        <f t="shared" si="0"/>
        <v>6</v>
      </c>
      <c r="J56" s="13" t="str">
        <f>IFERROR(VLOOKUP(D56,Planilha1!$J$2:$X$376,4,0),"Adicionado")</f>
        <v>Santo André - SP</v>
      </c>
    </row>
    <row r="57" spans="1:10">
      <c r="A57" s="91" t="s">
        <v>816</v>
      </c>
      <c r="B57" s="13" t="s">
        <v>846</v>
      </c>
      <c r="C57" s="13" t="s">
        <v>839</v>
      </c>
      <c r="D57" s="131" t="s">
        <v>636</v>
      </c>
      <c r="E57" s="67">
        <v>12669</v>
      </c>
      <c r="F57" s="13" t="s">
        <v>546</v>
      </c>
      <c r="H57" s="97">
        <v>44370</v>
      </c>
      <c r="I57" s="13">
        <f t="shared" si="0"/>
        <v>6</v>
      </c>
      <c r="J57" s="13" t="str">
        <f>IFERROR(VLOOKUP(D57,Planilha1!$J$2:$X$376,4,0),"Adicionado")</f>
        <v>Santo André - SP</v>
      </c>
    </row>
    <row r="58" spans="1:10">
      <c r="A58" s="91" t="s">
        <v>849</v>
      </c>
      <c r="B58" s="13" t="s">
        <v>847</v>
      </c>
      <c r="C58" s="13" t="s">
        <v>424</v>
      </c>
      <c r="D58" s="131" t="s">
        <v>848</v>
      </c>
      <c r="E58" s="67">
        <v>12670</v>
      </c>
      <c r="F58" s="13" t="s">
        <v>546</v>
      </c>
      <c r="G58" s="13" t="s">
        <v>857</v>
      </c>
      <c r="H58" s="97">
        <v>44370</v>
      </c>
      <c r="I58" s="13">
        <f t="shared" si="0"/>
        <v>6</v>
      </c>
      <c r="J58" s="13" t="str">
        <f>IFERROR(VLOOKUP(D58,Planilha1!$J$2:$X$376,4,0),"Adicionado")</f>
        <v>Adicionado</v>
      </c>
    </row>
    <row r="59" spans="1:10">
      <c r="A59" s="91" t="s">
        <v>816</v>
      </c>
      <c r="B59" s="13" t="s">
        <v>850</v>
      </c>
      <c r="C59" s="13" t="s">
        <v>839</v>
      </c>
      <c r="D59" s="131" t="s">
        <v>635</v>
      </c>
      <c r="E59" s="67">
        <v>12671</v>
      </c>
      <c r="F59" s="13" t="s">
        <v>546</v>
      </c>
      <c r="H59" s="97">
        <v>44370</v>
      </c>
      <c r="I59" s="13">
        <f t="shared" si="0"/>
        <v>6</v>
      </c>
      <c r="J59" s="13" t="str">
        <f>IFERROR(VLOOKUP(D59,Planilha1!$J$2:$X$376,4,0),"Adicionado")</f>
        <v>Santo André - SP</v>
      </c>
    </row>
    <row r="60" spans="1:10">
      <c r="A60" s="91" t="s">
        <v>852</v>
      </c>
      <c r="B60" s="13" t="s">
        <v>851</v>
      </c>
      <c r="C60" s="13" t="s">
        <v>424</v>
      </c>
      <c r="D60" s="131" t="s">
        <v>638</v>
      </c>
      <c r="E60" s="67">
        <v>12672</v>
      </c>
      <c r="F60" s="13" t="s">
        <v>546</v>
      </c>
      <c r="G60" s="13" t="s">
        <v>858</v>
      </c>
      <c r="H60" s="97">
        <v>44370</v>
      </c>
      <c r="I60" s="13">
        <f t="shared" si="0"/>
        <v>6</v>
      </c>
      <c r="J60" s="13" t="str">
        <f>IFERROR(VLOOKUP(D60,Planilha1!$J$2:$X$376,4,0),"Adicionado")</f>
        <v>Santo André - SP</v>
      </c>
    </row>
    <row r="61" spans="1:10">
      <c r="A61" s="91" t="s">
        <v>854</v>
      </c>
      <c r="B61" s="13" t="s">
        <v>853</v>
      </c>
      <c r="C61" s="13" t="s">
        <v>861</v>
      </c>
      <c r="D61" s="131" t="s">
        <v>626</v>
      </c>
      <c r="E61" s="67">
        <v>12673</v>
      </c>
      <c r="F61" s="13" t="s">
        <v>546</v>
      </c>
      <c r="G61" s="13" t="s">
        <v>859</v>
      </c>
      <c r="H61" s="97">
        <v>44370</v>
      </c>
      <c r="I61" s="13">
        <f t="shared" si="0"/>
        <v>6</v>
      </c>
      <c r="J61" s="13" t="str">
        <f>IFERROR(VLOOKUP(D61,Planilha1!$J$2:$X$376,4,0),"Adicionado")</f>
        <v>Adicionado</v>
      </c>
    </row>
    <row r="62" spans="1:10">
      <c r="A62" s="91" t="s">
        <v>863</v>
      </c>
      <c r="B62" s="13" t="s">
        <v>847</v>
      </c>
      <c r="C62" s="13" t="s">
        <v>424</v>
      </c>
      <c r="D62" s="131" t="s">
        <v>93</v>
      </c>
      <c r="E62" s="67">
        <v>12674</v>
      </c>
      <c r="F62" s="13" t="s">
        <v>546</v>
      </c>
      <c r="G62" s="13" t="s">
        <v>867</v>
      </c>
      <c r="H62" s="97">
        <v>44370</v>
      </c>
      <c r="I62" s="13">
        <f t="shared" si="0"/>
        <v>6</v>
      </c>
      <c r="J62" s="13" t="str">
        <f>IFERROR(VLOOKUP(D62,Planilha1!$J$2:$X$376,4,0),"Adicionado")</f>
        <v>Santo André - SP</v>
      </c>
    </row>
    <row r="63" spans="1:10">
      <c r="A63" s="91" t="s">
        <v>865</v>
      </c>
      <c r="B63" s="13" t="s">
        <v>864</v>
      </c>
      <c r="C63" s="13" t="s">
        <v>839</v>
      </c>
      <c r="D63" s="131" t="s">
        <v>866</v>
      </c>
      <c r="E63" s="67">
        <v>12675</v>
      </c>
      <c r="F63" s="13" t="s">
        <v>546</v>
      </c>
      <c r="H63" s="97">
        <v>44371</v>
      </c>
      <c r="I63" s="13">
        <f t="shared" ref="I63:I77" si="1">IF(H63&lt;&gt;"",MONTH(H63),"")</f>
        <v>6</v>
      </c>
      <c r="J63" s="13" t="str">
        <f>IFERROR(VLOOKUP(D63,Planilha1!$J$2:$X$376,4,0),"Adicionado")</f>
        <v>Adicionado</v>
      </c>
    </row>
    <row r="64" spans="1:10">
      <c r="A64" s="91" t="s">
        <v>816</v>
      </c>
      <c r="B64" s="13" t="s">
        <v>864</v>
      </c>
      <c r="C64" s="13" t="s">
        <v>839</v>
      </c>
      <c r="D64" s="131" t="s">
        <v>816</v>
      </c>
      <c r="E64" s="67">
        <v>12676</v>
      </c>
      <c r="F64" s="13" t="s">
        <v>546</v>
      </c>
      <c r="H64" s="97">
        <v>44371</v>
      </c>
      <c r="I64" s="13">
        <f t="shared" si="1"/>
        <v>6</v>
      </c>
      <c r="J64" s="13" t="str">
        <f>IFERROR(VLOOKUP(D64,Planilha1!$J$2:$X$376,4,0),"Adicionado")</f>
        <v>Adicionado</v>
      </c>
    </row>
    <row r="65" spans="1:10">
      <c r="A65" s="91" t="s">
        <v>816</v>
      </c>
      <c r="B65" s="13" t="s">
        <v>519</v>
      </c>
      <c r="C65" s="13" t="s">
        <v>424</v>
      </c>
      <c r="D65" s="131" t="s">
        <v>712</v>
      </c>
      <c r="E65" s="67">
        <v>12677</v>
      </c>
      <c r="F65" s="13" t="s">
        <v>546</v>
      </c>
      <c r="H65" s="97">
        <v>44371</v>
      </c>
      <c r="I65" s="13">
        <f t="shared" si="1"/>
        <v>6</v>
      </c>
      <c r="J65" s="13" t="str">
        <f>IFERROR(VLOOKUP(D65,Planilha1!$J$2:$X$376,4,0),"Adicionado")</f>
        <v>Ponta Grossa - PR</v>
      </c>
    </row>
    <row r="66" spans="1:10">
      <c r="A66" s="91" t="s">
        <v>816</v>
      </c>
      <c r="B66" s="13" t="s">
        <v>817</v>
      </c>
      <c r="C66" s="13" t="s">
        <v>340</v>
      </c>
      <c r="D66" s="131" t="s">
        <v>342</v>
      </c>
      <c r="E66" s="67">
        <v>12678</v>
      </c>
      <c r="F66" s="13" t="s">
        <v>546</v>
      </c>
      <c r="G66" s="13" t="s">
        <v>870</v>
      </c>
      <c r="H66" s="97">
        <v>44371</v>
      </c>
      <c r="I66" s="13">
        <f t="shared" si="1"/>
        <v>6</v>
      </c>
      <c r="J66" s="13" t="str">
        <f>IFERROR(VLOOKUP(D66,Planilha1!$J$2:$X$376,4,0),"Adicionado")</f>
        <v>Ponta Grossa - PR</v>
      </c>
    </row>
    <row r="67" spans="1:10">
      <c r="A67" s="91" t="s">
        <v>816</v>
      </c>
      <c r="B67" s="13" t="s">
        <v>37</v>
      </c>
      <c r="C67" s="13" t="s">
        <v>340</v>
      </c>
      <c r="D67" s="131" t="s">
        <v>713</v>
      </c>
      <c r="E67" s="67">
        <v>12679</v>
      </c>
      <c r="F67" s="13" t="s">
        <v>546</v>
      </c>
      <c r="G67" s="13" t="s">
        <v>871</v>
      </c>
      <c r="H67" s="97">
        <v>44371</v>
      </c>
      <c r="I67" s="13">
        <f t="shared" si="1"/>
        <v>6</v>
      </c>
      <c r="J67" s="13" t="str">
        <f>IFERROR(VLOOKUP(D67,Planilha1!$J$2:$X$376,4,0),"Adicionado")</f>
        <v>Ponta Grossa - PR</v>
      </c>
    </row>
    <row r="68" spans="1:10">
      <c r="A68" s="91" t="s">
        <v>816</v>
      </c>
      <c r="B68" s="13" t="s">
        <v>868</v>
      </c>
      <c r="C68" s="13" t="s">
        <v>483</v>
      </c>
      <c r="D68" s="131" t="s">
        <v>869</v>
      </c>
      <c r="E68" s="67">
        <v>12710</v>
      </c>
      <c r="F68" s="13" t="s">
        <v>546</v>
      </c>
      <c r="H68" s="97">
        <v>44371</v>
      </c>
      <c r="I68" s="13">
        <f t="shared" si="1"/>
        <v>6</v>
      </c>
      <c r="J68" s="13" t="str">
        <f>IFERROR(VLOOKUP(D68,Planilha1!$J$2:$X$376,4,0),"Adicionado")</f>
        <v>Ponta Grossa - PR</v>
      </c>
    </row>
    <row r="69" spans="1:10">
      <c r="A69" s="91" t="s">
        <v>873</v>
      </c>
      <c r="B69" s="13" t="s">
        <v>872</v>
      </c>
      <c r="C69" s="13" t="s">
        <v>424</v>
      </c>
      <c r="D69" s="131" t="s">
        <v>148</v>
      </c>
      <c r="E69" s="67">
        <v>12717</v>
      </c>
      <c r="F69" s="13" t="s">
        <v>546</v>
      </c>
      <c r="H69" s="97">
        <v>44372</v>
      </c>
      <c r="I69" s="13">
        <f t="shared" si="1"/>
        <v>6</v>
      </c>
      <c r="J69" s="13" t="str">
        <f>IFERROR(VLOOKUP(D69,Planilha1!$J$2:$X$376,4,0),"Adicionado")</f>
        <v>São Paulo - SP</v>
      </c>
    </row>
    <row r="70" spans="1:10">
      <c r="A70" s="91" t="s">
        <v>874</v>
      </c>
      <c r="B70" s="13" t="s">
        <v>45</v>
      </c>
      <c r="C70" s="13" t="s">
        <v>424</v>
      </c>
      <c r="D70" s="131" t="s">
        <v>629</v>
      </c>
      <c r="E70" s="67">
        <v>12718</v>
      </c>
      <c r="F70" s="13" t="s">
        <v>546</v>
      </c>
      <c r="G70" s="13" t="s">
        <v>876</v>
      </c>
      <c r="H70" s="97">
        <v>44372</v>
      </c>
      <c r="I70" s="13">
        <f t="shared" si="1"/>
        <v>6</v>
      </c>
      <c r="J70" s="13" t="str">
        <f>IFERROR(VLOOKUP(D70,Planilha1!$J$2:$X$376,4,0),"Adicionado")</f>
        <v>São Paulo - SP</v>
      </c>
    </row>
    <row r="71" spans="1:10">
      <c r="A71" s="91" t="s">
        <v>875</v>
      </c>
      <c r="B71" s="13" t="s">
        <v>817</v>
      </c>
      <c r="C71" s="13" t="s">
        <v>35</v>
      </c>
      <c r="D71" s="131" t="s">
        <v>630</v>
      </c>
      <c r="E71" s="67">
        <v>12719</v>
      </c>
      <c r="F71" s="13" t="s">
        <v>546</v>
      </c>
      <c r="H71" s="97">
        <v>44372</v>
      </c>
      <c r="I71" s="13">
        <f t="shared" si="1"/>
        <v>6</v>
      </c>
      <c r="J71" s="13" t="str">
        <f>IFERROR(VLOOKUP(D71,Planilha1!$J$2:$X$376,4,0),"Adicionado")</f>
        <v>São Paulo - SP</v>
      </c>
    </row>
    <row r="72" spans="1:10">
      <c r="A72" s="91" t="s">
        <v>816</v>
      </c>
      <c r="B72" s="13" t="s">
        <v>872</v>
      </c>
      <c r="C72" s="13" t="s">
        <v>424</v>
      </c>
      <c r="D72" s="131" t="s">
        <v>338</v>
      </c>
      <c r="E72" s="67">
        <v>12612</v>
      </c>
      <c r="F72" s="13" t="s">
        <v>546</v>
      </c>
      <c r="H72" s="97">
        <v>44369</v>
      </c>
      <c r="I72" s="13">
        <f t="shared" si="1"/>
        <v>6</v>
      </c>
      <c r="J72" s="13" t="str">
        <f>IFERROR(VLOOKUP(D72,Planilha1!$J$2:$X$376,4,0),"Adicionado")</f>
        <v>Jaraguá do Sul - SC</v>
      </c>
    </row>
    <row r="73" spans="1:10">
      <c r="A73" s="91" t="s">
        <v>816</v>
      </c>
      <c r="B73" s="13" t="s">
        <v>37</v>
      </c>
      <c r="C73" s="13" t="s">
        <v>483</v>
      </c>
      <c r="D73" s="131" t="s">
        <v>700</v>
      </c>
      <c r="E73" s="67">
        <v>12613</v>
      </c>
      <c r="F73" s="13" t="s">
        <v>546</v>
      </c>
      <c r="H73" s="97">
        <v>44369</v>
      </c>
      <c r="I73" s="13">
        <f t="shared" si="1"/>
        <v>6</v>
      </c>
      <c r="J73" s="13" t="str">
        <f>IFERROR(VLOOKUP(D73,Planilha1!$J$2:$X$376,4,0),"Adicionado")</f>
        <v>Jaraguá do Sul - SC</v>
      </c>
    </row>
    <row r="74" spans="1:10">
      <c r="A74" s="91" t="s">
        <v>816</v>
      </c>
      <c r="B74" s="13" t="s">
        <v>868</v>
      </c>
      <c r="C74" s="13" t="s">
        <v>483</v>
      </c>
      <c r="D74" s="131" t="s">
        <v>701</v>
      </c>
      <c r="E74" s="67">
        <v>12614</v>
      </c>
      <c r="F74" s="13" t="s">
        <v>546</v>
      </c>
      <c r="H74" s="97">
        <v>44369</v>
      </c>
      <c r="I74" s="13">
        <f t="shared" si="1"/>
        <v>6</v>
      </c>
      <c r="J74" s="13" t="str">
        <f>IFERROR(VLOOKUP(D74,Planilha1!$J$2:$X$376,4,0),"Adicionado")</f>
        <v>Jaraguá do Sul - SC</v>
      </c>
    </row>
    <row r="75" spans="1:10">
      <c r="A75" s="91" t="s">
        <v>816</v>
      </c>
      <c r="B75" s="13" t="s">
        <v>868</v>
      </c>
      <c r="C75" s="13" t="s">
        <v>483</v>
      </c>
      <c r="D75" s="131" t="s">
        <v>706</v>
      </c>
      <c r="E75" s="67">
        <v>12615</v>
      </c>
      <c r="F75" s="13" t="s">
        <v>546</v>
      </c>
      <c r="H75" s="97">
        <v>44369</v>
      </c>
      <c r="I75" s="13">
        <f t="shared" si="1"/>
        <v>6</v>
      </c>
      <c r="J75" s="13" t="str">
        <f>IFERROR(VLOOKUP(D75,Planilha1!$J$2:$X$376,4,0),"Adicionado")</f>
        <v>Jaraguá do Sul - SC</v>
      </c>
    </row>
    <row r="76" spans="1:10">
      <c r="A76" s="91" t="s">
        <v>816</v>
      </c>
      <c r="B76" s="13" t="s">
        <v>868</v>
      </c>
      <c r="C76" s="13" t="s">
        <v>483</v>
      </c>
      <c r="D76" s="131" t="s">
        <v>878</v>
      </c>
      <c r="E76" s="67">
        <v>12616</v>
      </c>
      <c r="F76" s="13" t="s">
        <v>546</v>
      </c>
      <c r="G76" s="13" t="s">
        <v>877</v>
      </c>
      <c r="H76" s="97">
        <v>44369</v>
      </c>
      <c r="I76" s="13">
        <f t="shared" si="1"/>
        <v>6</v>
      </c>
      <c r="J76" s="13" t="str">
        <f>IFERROR(VLOOKUP(D76,Planilha1!$J$2:$X$376,4,0),"Adicionado")</f>
        <v>Jaraguá do Sul - SC</v>
      </c>
    </row>
    <row r="77" spans="1:10">
      <c r="A77" s="91" t="s">
        <v>816</v>
      </c>
      <c r="B77" s="13" t="s">
        <v>868</v>
      </c>
      <c r="C77" s="13" t="s">
        <v>483</v>
      </c>
      <c r="D77" s="131" t="s">
        <v>702</v>
      </c>
      <c r="E77" s="67">
        <v>12617</v>
      </c>
      <c r="F77" s="13" t="s">
        <v>546</v>
      </c>
      <c r="H77" s="97">
        <v>44369</v>
      </c>
      <c r="I77" s="13">
        <f t="shared" si="1"/>
        <v>6</v>
      </c>
      <c r="J77" s="13" t="str">
        <f>IFERROR(VLOOKUP(D77,Planilha1!$J$2:$X$376,4,0),"Adicionado")</f>
        <v>Jaraguá do Sul - SC</v>
      </c>
    </row>
    <row r="78" spans="1:10">
      <c r="A78" s="91" t="s">
        <v>816</v>
      </c>
      <c r="B78" s="13" t="s">
        <v>868</v>
      </c>
      <c r="C78" s="13" t="s">
        <v>483</v>
      </c>
      <c r="D78" s="131" t="s">
        <v>704</v>
      </c>
      <c r="E78" s="67">
        <v>12618</v>
      </c>
      <c r="F78" s="13" t="s">
        <v>546</v>
      </c>
      <c r="H78" s="97">
        <v>44369</v>
      </c>
      <c r="I78" s="13">
        <f t="shared" ref="I78:I122" si="2">IF(H78&lt;&gt;"",MONTH(H78),"")</f>
        <v>6</v>
      </c>
      <c r="J78" s="13" t="str">
        <f>IFERROR(VLOOKUP(D78,Planilha1!$J$2:$X$376,4,0),"Adicionado")</f>
        <v>Jaraguá do Sul - SC</v>
      </c>
    </row>
    <row r="79" spans="1:10">
      <c r="A79" s="113" t="s">
        <v>816</v>
      </c>
      <c r="B79" s="113" t="s">
        <v>921</v>
      </c>
      <c r="C79" s="113" t="s">
        <v>30</v>
      </c>
      <c r="D79" s="137" t="s">
        <v>919</v>
      </c>
      <c r="E79" s="67">
        <v>13163</v>
      </c>
      <c r="F79" s="13" t="s">
        <v>546</v>
      </c>
      <c r="H79" s="97">
        <v>44397</v>
      </c>
      <c r="I79" s="13">
        <f t="shared" si="2"/>
        <v>7</v>
      </c>
      <c r="J79" s="13" t="str">
        <f>IFERROR(VLOOKUP(D79,Planilha1!$J$2:$X$376,4,0),"Adicionado")</f>
        <v>JAB GUARARAPES</v>
      </c>
    </row>
    <row r="80" spans="1:10">
      <c r="A80" s="113" t="s">
        <v>923</v>
      </c>
      <c r="B80" s="113" t="s">
        <v>922</v>
      </c>
      <c r="C80" s="113" t="s">
        <v>424</v>
      </c>
      <c r="D80" s="137" t="s">
        <v>920</v>
      </c>
      <c r="E80" s="142">
        <v>13165</v>
      </c>
      <c r="F80" s="13" t="s">
        <v>546</v>
      </c>
      <c r="H80" s="97">
        <v>44397</v>
      </c>
      <c r="I80" s="13">
        <f t="shared" si="2"/>
        <v>7</v>
      </c>
      <c r="J80" s="13" t="str">
        <f>IFERROR(VLOOKUP(D80,Planilha1!$J$2:$X$376,4,0),"Adicionado")</f>
        <v>JAB GUARARAPES</v>
      </c>
    </row>
    <row r="81" spans="1:10">
      <c r="A81" s="114" t="s">
        <v>926</v>
      </c>
      <c r="B81" s="113" t="s">
        <v>925</v>
      </c>
      <c r="C81" s="113" t="s">
        <v>924</v>
      </c>
      <c r="D81" s="138" t="s">
        <v>225</v>
      </c>
      <c r="E81" s="142">
        <v>13164</v>
      </c>
      <c r="F81" s="13" t="s">
        <v>546</v>
      </c>
      <c r="H81" s="97">
        <v>44397</v>
      </c>
      <c r="I81" s="13">
        <f t="shared" si="2"/>
        <v>7</v>
      </c>
      <c r="J81" s="13" t="str">
        <f>IFERROR(VLOOKUP(D81,Planilha1!$J$2:$X$376,4,0),"Adicionado")</f>
        <v>JAB GUARARAPES</v>
      </c>
    </row>
    <row r="82" spans="1:10">
      <c r="A82" s="113" t="s">
        <v>927</v>
      </c>
      <c r="B82" s="113" t="s">
        <v>928</v>
      </c>
      <c r="C82" s="113" t="s">
        <v>924</v>
      </c>
      <c r="D82" s="138" t="s">
        <v>228</v>
      </c>
      <c r="E82" s="142">
        <v>13166</v>
      </c>
      <c r="F82" s="13" t="s">
        <v>546</v>
      </c>
      <c r="H82" s="97">
        <v>44397</v>
      </c>
      <c r="I82" s="13">
        <f t="shared" si="2"/>
        <v>7</v>
      </c>
      <c r="J82" s="13" t="str">
        <f>IFERROR(VLOOKUP(D82,Planilha1!$J$2:$X$376,4,0),"Adicionado")</f>
        <v>JAB GUARARAPES</v>
      </c>
    </row>
    <row r="83" spans="1:10">
      <c r="A83" s="91" t="s">
        <v>816</v>
      </c>
      <c r="B83" s="13" t="s">
        <v>841</v>
      </c>
      <c r="C83" s="13" t="s">
        <v>424</v>
      </c>
      <c r="D83" s="131" t="s">
        <v>445</v>
      </c>
      <c r="E83" s="67">
        <v>13244</v>
      </c>
      <c r="F83" s="13" t="s">
        <v>546</v>
      </c>
      <c r="G83" s="13" t="s">
        <v>957</v>
      </c>
      <c r="H83" s="97">
        <v>44404</v>
      </c>
      <c r="I83" s="13">
        <f t="shared" si="2"/>
        <v>7</v>
      </c>
      <c r="J83" s="13" t="str">
        <f>IFERROR(VLOOKUP(D83,Planilha1!$J$2:$X$376,4,0),"Adicionado")</f>
        <v>Uberlândia - MG</v>
      </c>
    </row>
    <row r="84" spans="1:10" ht="26.25">
      <c r="A84" s="91" t="s">
        <v>816</v>
      </c>
      <c r="B84" s="13" t="s">
        <v>961</v>
      </c>
      <c r="C84" s="13" t="s">
        <v>424</v>
      </c>
      <c r="D84" s="131" t="s">
        <v>959</v>
      </c>
      <c r="E84" s="67">
        <v>13247</v>
      </c>
      <c r="F84" s="13" t="s">
        <v>546</v>
      </c>
      <c r="G84" s="121" t="s">
        <v>962</v>
      </c>
      <c r="H84" s="97">
        <v>44404</v>
      </c>
      <c r="I84" s="13">
        <f t="shared" si="2"/>
        <v>7</v>
      </c>
      <c r="J84" s="13" t="str">
        <f>IFERROR(VLOOKUP(D84,Planilha1!$J$2:$X$376,4,0),"Adicionado")</f>
        <v>Uberlândia - MG</v>
      </c>
    </row>
    <row r="85" spans="1:10">
      <c r="A85" s="91" t="s">
        <v>816</v>
      </c>
      <c r="B85" s="13" t="s">
        <v>963</v>
      </c>
      <c r="C85" s="13" t="s">
        <v>483</v>
      </c>
      <c r="D85" s="131" t="s">
        <v>826</v>
      </c>
      <c r="E85" s="67">
        <v>13246</v>
      </c>
      <c r="F85" s="13" t="s">
        <v>546</v>
      </c>
      <c r="H85" s="97">
        <v>44404</v>
      </c>
      <c r="I85" s="13">
        <f t="shared" si="2"/>
        <v>7</v>
      </c>
      <c r="J85" s="13" t="str">
        <f>IFERROR(VLOOKUP(D85,Planilha1!$J$2:$X$376,4,0),"Adicionado")</f>
        <v>Uberlândia - MG</v>
      </c>
    </row>
    <row r="86" spans="1:10">
      <c r="A86" s="91" t="s">
        <v>816</v>
      </c>
      <c r="B86" s="13" t="s">
        <v>964</v>
      </c>
      <c r="C86" s="13" t="s">
        <v>424</v>
      </c>
      <c r="D86" s="131" t="s">
        <v>448</v>
      </c>
      <c r="E86" s="67">
        <v>13245</v>
      </c>
      <c r="F86" s="13" t="s">
        <v>546</v>
      </c>
      <c r="H86" s="97">
        <v>44404</v>
      </c>
      <c r="I86" s="13">
        <f t="shared" si="2"/>
        <v>7</v>
      </c>
      <c r="J86" s="13" t="str">
        <f>IFERROR(VLOOKUP(D86,Planilha1!$J$2:$X$376,4,0),"Adicionado")</f>
        <v>Uberlândia - MG</v>
      </c>
    </row>
    <row r="87" spans="1:10">
      <c r="A87" s="91" t="s">
        <v>816</v>
      </c>
      <c r="B87" s="13" t="s">
        <v>961</v>
      </c>
      <c r="C87" s="13" t="s">
        <v>424</v>
      </c>
      <c r="D87" s="131" t="s">
        <v>952</v>
      </c>
      <c r="E87" s="67">
        <v>13217</v>
      </c>
      <c r="F87" s="13" t="s">
        <v>546</v>
      </c>
      <c r="H87" s="97">
        <v>44398</v>
      </c>
      <c r="I87" s="13">
        <f t="shared" si="2"/>
        <v>7</v>
      </c>
      <c r="J87" s="13" t="str">
        <f>IFERROR(VLOOKUP(D87,Planilha1!$J$2:$X$376,4,0),"Adicionado")</f>
        <v>Nova Olimpia-MT</v>
      </c>
    </row>
    <row r="88" spans="1:10">
      <c r="A88" s="91" t="s">
        <v>816</v>
      </c>
      <c r="B88" s="13" t="s">
        <v>973</v>
      </c>
      <c r="C88" s="13" t="s">
        <v>424</v>
      </c>
      <c r="D88" s="131" t="s">
        <v>974</v>
      </c>
      <c r="E88" s="67">
        <v>13218</v>
      </c>
      <c r="F88" s="13" t="s">
        <v>546</v>
      </c>
      <c r="H88" s="97">
        <v>44398</v>
      </c>
      <c r="I88" s="13">
        <f t="shared" si="2"/>
        <v>7</v>
      </c>
      <c r="J88" s="13" t="str">
        <f>IFERROR(VLOOKUP(D88,Planilha1!$J$2:$X$376,4,0),"Adicionado")</f>
        <v>Nova Olimpia-MT</v>
      </c>
    </row>
    <row r="89" spans="1:10">
      <c r="A89" s="91" t="s">
        <v>816</v>
      </c>
      <c r="B89" s="13" t="s">
        <v>975</v>
      </c>
      <c r="C89" s="13" t="s">
        <v>941</v>
      </c>
      <c r="D89" s="131" t="s">
        <v>953</v>
      </c>
      <c r="E89" s="67">
        <v>13219</v>
      </c>
      <c r="F89" s="13" t="s">
        <v>546</v>
      </c>
      <c r="H89" s="97">
        <v>44398</v>
      </c>
      <c r="I89" s="13">
        <f t="shared" si="2"/>
        <v>7</v>
      </c>
      <c r="J89" s="13" t="str">
        <f>IFERROR(VLOOKUP(D89,Planilha1!$J$2:$X$376,4,0),"Adicionado")</f>
        <v>Nova Olimpia-MT</v>
      </c>
    </row>
    <row r="90" spans="1:10">
      <c r="A90" s="91" t="s">
        <v>816</v>
      </c>
      <c r="B90" s="13" t="s">
        <v>976</v>
      </c>
      <c r="C90" s="13" t="s">
        <v>941</v>
      </c>
      <c r="D90" s="131" t="s">
        <v>954</v>
      </c>
      <c r="E90" s="67">
        <v>13220</v>
      </c>
      <c r="F90" s="13" t="s">
        <v>546</v>
      </c>
      <c r="H90" s="97">
        <v>44398</v>
      </c>
      <c r="I90" s="13">
        <f t="shared" si="2"/>
        <v>7</v>
      </c>
      <c r="J90" s="13" t="str">
        <f>IFERROR(VLOOKUP(D90,Planilha1!$J$2:$X$376,4,0),"Adicionado")</f>
        <v>Nova Olimpia-MT</v>
      </c>
    </row>
    <row r="91" spans="1:10">
      <c r="A91" s="91" t="s">
        <v>816</v>
      </c>
      <c r="B91" s="13" t="s">
        <v>977</v>
      </c>
      <c r="C91" s="13" t="s">
        <v>596</v>
      </c>
      <c r="D91" s="131" t="s">
        <v>978</v>
      </c>
      <c r="E91" s="67">
        <v>13221</v>
      </c>
      <c r="F91" s="13" t="s">
        <v>546</v>
      </c>
      <c r="H91" s="97">
        <v>44398</v>
      </c>
      <c r="I91" s="13">
        <f t="shared" si="2"/>
        <v>7</v>
      </c>
      <c r="J91" s="13" t="str">
        <f>IFERROR(VLOOKUP(D91,Planilha1!$J$2:$X$376,4,0),"Adicionado")</f>
        <v>Nova Olimpia-MT</v>
      </c>
    </row>
    <row r="92" spans="1:10">
      <c r="A92" s="91" t="s">
        <v>816</v>
      </c>
      <c r="B92" s="13" t="s">
        <v>977</v>
      </c>
      <c r="C92" s="13" t="s">
        <v>596</v>
      </c>
      <c r="D92" s="131" t="s">
        <v>979</v>
      </c>
      <c r="E92" s="67">
        <v>13222</v>
      </c>
      <c r="F92" s="13" t="s">
        <v>546</v>
      </c>
      <c r="H92" s="97">
        <v>44398</v>
      </c>
      <c r="I92" s="13">
        <f t="shared" si="2"/>
        <v>7</v>
      </c>
      <c r="J92" s="13" t="str">
        <f>IFERROR(VLOOKUP(D92,Planilha1!$J$2:$X$376,4,0),"Adicionado")</f>
        <v>Nova Olimpia-MT</v>
      </c>
    </row>
    <row r="93" spans="1:10">
      <c r="A93" s="91" t="s">
        <v>816</v>
      </c>
      <c r="B93" s="13" t="s">
        <v>587</v>
      </c>
      <c r="C93" s="13" t="s">
        <v>596</v>
      </c>
      <c r="D93" s="131" t="s">
        <v>947</v>
      </c>
      <c r="E93" s="67">
        <v>13239</v>
      </c>
      <c r="F93" s="13" t="s">
        <v>546</v>
      </c>
      <c r="H93" s="97">
        <v>44398</v>
      </c>
      <c r="I93" s="13">
        <f t="shared" si="2"/>
        <v>7</v>
      </c>
      <c r="J93" s="13" t="str">
        <f>IFERROR(VLOOKUP(D93,Planilha1!$J$2:$X$376,4,0),"Adicionado")</f>
        <v>Nova Olimpia-MT</v>
      </c>
    </row>
    <row r="94" spans="1:10">
      <c r="A94" s="91" t="s">
        <v>816</v>
      </c>
      <c r="B94" s="13" t="s">
        <v>980</v>
      </c>
      <c r="C94" s="13" t="s">
        <v>981</v>
      </c>
      <c r="D94" s="139" t="s">
        <v>651</v>
      </c>
      <c r="E94" s="67">
        <v>13270</v>
      </c>
      <c r="F94" s="13" t="s">
        <v>546</v>
      </c>
      <c r="H94" s="97">
        <v>44406</v>
      </c>
      <c r="I94" s="13">
        <f t="shared" si="2"/>
        <v>7</v>
      </c>
      <c r="J94" s="13" t="str">
        <f>IFERROR(VLOOKUP(D94,Planilha1!$J$2:$X$376,4,0),"Adicionado")</f>
        <v>Serra-ES</v>
      </c>
    </row>
    <row r="95" spans="1:10">
      <c r="A95" s="91" t="s">
        <v>816</v>
      </c>
      <c r="B95" s="13" t="s">
        <v>982</v>
      </c>
      <c r="C95" s="13" t="s">
        <v>424</v>
      </c>
      <c r="D95" s="131" t="s">
        <v>652</v>
      </c>
      <c r="E95" s="67">
        <v>13271</v>
      </c>
      <c r="F95" s="13" t="s">
        <v>546</v>
      </c>
      <c r="G95" s="13" t="s">
        <v>993</v>
      </c>
      <c r="H95" s="97">
        <v>44406</v>
      </c>
      <c r="I95" s="13">
        <f t="shared" si="2"/>
        <v>7</v>
      </c>
      <c r="J95" s="13" t="str">
        <f>IFERROR(VLOOKUP(D95,Planilha1!$J$2:$X$376,4,0),"Adicionado")</f>
        <v>Serra-ES</v>
      </c>
    </row>
    <row r="96" spans="1:10">
      <c r="A96" s="91" t="s">
        <v>985</v>
      </c>
      <c r="B96" s="13" t="s">
        <v>983</v>
      </c>
      <c r="C96" s="13" t="s">
        <v>483</v>
      </c>
      <c r="D96" s="131" t="s">
        <v>653</v>
      </c>
      <c r="E96" s="67">
        <v>13272</v>
      </c>
      <c r="F96" s="13" t="s">
        <v>546</v>
      </c>
      <c r="H96" s="97">
        <v>44406</v>
      </c>
      <c r="I96" s="13">
        <f t="shared" si="2"/>
        <v>7</v>
      </c>
      <c r="J96" s="13" t="str">
        <f>IFERROR(VLOOKUP(D96,Planilha1!$J$2:$X$376,4,0),"Adicionado")</f>
        <v>Serra-ES</v>
      </c>
    </row>
    <row r="97" spans="1:10">
      <c r="A97" s="91" t="s">
        <v>816</v>
      </c>
      <c r="B97" s="13" t="s">
        <v>984</v>
      </c>
      <c r="C97" s="13" t="s">
        <v>483</v>
      </c>
      <c r="D97" s="131" t="s">
        <v>654</v>
      </c>
      <c r="E97" s="67">
        <v>13273</v>
      </c>
      <c r="F97" s="13" t="s">
        <v>546</v>
      </c>
      <c r="H97" s="97">
        <v>44406</v>
      </c>
      <c r="I97" s="13">
        <f t="shared" si="2"/>
        <v>7</v>
      </c>
      <c r="J97" s="13" t="str">
        <f>IFERROR(VLOOKUP(D97,Planilha1!$J$2:$X$376,4,0),"Adicionado")</f>
        <v>Serra-ES</v>
      </c>
    </row>
    <row r="98" spans="1:10">
      <c r="A98" s="91" t="s">
        <v>816</v>
      </c>
      <c r="B98" s="13" t="s">
        <v>986</v>
      </c>
      <c r="C98" s="13" t="s">
        <v>839</v>
      </c>
      <c r="D98" s="139" t="s">
        <v>655</v>
      </c>
      <c r="E98" s="67">
        <v>13274</v>
      </c>
      <c r="F98" s="13" t="s">
        <v>546</v>
      </c>
      <c r="H98" s="97">
        <v>44406</v>
      </c>
      <c r="I98" s="13">
        <f t="shared" si="2"/>
        <v>7</v>
      </c>
      <c r="J98" s="13" t="str">
        <f>IFERROR(VLOOKUP(D98,Planilha1!$J$2:$X$376,4,0),"Adicionado")</f>
        <v>Serra-ES</v>
      </c>
    </row>
    <row r="99" spans="1:10">
      <c r="A99" s="91" t="s">
        <v>816</v>
      </c>
      <c r="B99" s="13" t="s">
        <v>811</v>
      </c>
      <c r="C99" s="13" t="s">
        <v>987</v>
      </c>
      <c r="D99" s="131" t="s">
        <v>656</v>
      </c>
      <c r="E99" s="67">
        <v>13276</v>
      </c>
      <c r="F99" s="13" t="s">
        <v>546</v>
      </c>
      <c r="G99" t="s">
        <v>991</v>
      </c>
      <c r="H99" s="97">
        <v>44406</v>
      </c>
      <c r="I99" s="13">
        <f t="shared" si="2"/>
        <v>7</v>
      </c>
      <c r="J99" s="13" t="str">
        <f>IFERROR(VLOOKUP(D99,Planilha1!$J$2:$X$376,4,0),"Adicionado")</f>
        <v>Serra-ES</v>
      </c>
    </row>
    <row r="100" spans="1:10">
      <c r="A100" s="91" t="s">
        <v>816</v>
      </c>
      <c r="B100" s="13" t="s">
        <v>994</v>
      </c>
      <c r="C100" s="13" t="s">
        <v>839</v>
      </c>
      <c r="D100" s="139" t="s">
        <v>657</v>
      </c>
      <c r="E100" s="67">
        <v>13277</v>
      </c>
      <c r="F100" s="13" t="s">
        <v>546</v>
      </c>
      <c r="H100" s="97">
        <v>44406</v>
      </c>
      <c r="I100" s="13">
        <f t="shared" si="2"/>
        <v>7</v>
      </c>
      <c r="J100" s="13" t="str">
        <f>IFERROR(VLOOKUP(D100,Planilha1!$J$2:$X$376,4,0),"Adicionado")</f>
        <v>Serra-ES</v>
      </c>
    </row>
    <row r="101" spans="1:10">
      <c r="A101" s="91" t="s">
        <v>816</v>
      </c>
      <c r="B101" s="13" t="s">
        <v>988</v>
      </c>
      <c r="C101" s="13" t="s">
        <v>454</v>
      </c>
      <c r="D101" s="131" t="s">
        <v>295</v>
      </c>
      <c r="E101" s="67">
        <v>13278</v>
      </c>
      <c r="F101" s="13" t="s">
        <v>546</v>
      </c>
      <c r="G101" t="s">
        <v>992</v>
      </c>
      <c r="H101" s="97">
        <v>44406</v>
      </c>
      <c r="I101" s="13">
        <f t="shared" si="2"/>
        <v>7</v>
      </c>
      <c r="J101" s="13" t="str">
        <f>IFERROR(VLOOKUP(D101,Planilha1!$J$2:$X$376,4,0),"Adicionado")</f>
        <v>Serra-ES</v>
      </c>
    </row>
    <row r="102" spans="1:10">
      <c r="A102" s="91" t="s">
        <v>990</v>
      </c>
      <c r="B102" s="13" t="s">
        <v>989</v>
      </c>
      <c r="C102" s="13" t="s">
        <v>934</v>
      </c>
      <c r="D102" s="131" t="s">
        <v>218</v>
      </c>
      <c r="E102" s="67">
        <v>13279</v>
      </c>
      <c r="F102" s="13" t="s">
        <v>546</v>
      </c>
      <c r="H102" s="97">
        <v>44406</v>
      </c>
      <c r="I102" s="13">
        <f t="shared" si="2"/>
        <v>7</v>
      </c>
      <c r="J102" s="13" t="str">
        <f>IFERROR(VLOOKUP(D102,Planilha1!$J$2:$X$376,4,0),"Adicionado")</f>
        <v>Serra-ES</v>
      </c>
    </row>
    <row r="103" spans="1:10">
      <c r="A103" s="91" t="s">
        <v>816</v>
      </c>
      <c r="B103" s="13" t="s">
        <v>499</v>
      </c>
      <c r="C103" s="13" t="s">
        <v>934</v>
      </c>
      <c r="D103" s="131" t="s">
        <v>718</v>
      </c>
      <c r="E103" s="67">
        <v>13283</v>
      </c>
      <c r="F103" s="13" t="s">
        <v>546</v>
      </c>
      <c r="H103" s="97">
        <v>44406</v>
      </c>
      <c r="I103" s="13">
        <f t="shared" si="2"/>
        <v>7</v>
      </c>
      <c r="J103" s="13" t="str">
        <f>IFERROR(VLOOKUP(D103,Planilha1!$J$2:$X$376,4,0),"Adicionado")</f>
        <v>Rio Claro -SP</v>
      </c>
    </row>
    <row r="104" spans="1:10">
      <c r="A104" s="91" t="s">
        <v>816</v>
      </c>
      <c r="B104" s="13" t="s">
        <v>995</v>
      </c>
      <c r="C104" s="13" t="s">
        <v>424</v>
      </c>
      <c r="D104" s="131" t="s">
        <v>719</v>
      </c>
      <c r="E104" s="67">
        <v>13284</v>
      </c>
      <c r="F104" s="13" t="s">
        <v>546</v>
      </c>
      <c r="G104" s="13" t="s">
        <v>996</v>
      </c>
      <c r="H104" s="97">
        <v>44406</v>
      </c>
      <c r="I104" s="13">
        <f t="shared" si="2"/>
        <v>7</v>
      </c>
      <c r="J104" s="13" t="str">
        <f>IFERROR(VLOOKUP(D104,Planilha1!$J$2:$X$376,4,0),"Adicionado")</f>
        <v>Rio Claro -SP</v>
      </c>
    </row>
    <row r="105" spans="1:10">
      <c r="A105" s="91" t="s">
        <v>816</v>
      </c>
      <c r="B105" s="13" t="s">
        <v>997</v>
      </c>
      <c r="C105" s="13" t="s">
        <v>483</v>
      </c>
      <c r="D105" s="131" t="s">
        <v>720</v>
      </c>
      <c r="E105" s="67">
        <v>13285</v>
      </c>
      <c r="F105" s="13" t="s">
        <v>546</v>
      </c>
      <c r="H105" s="97">
        <v>44406</v>
      </c>
      <c r="I105" s="13">
        <f t="shared" si="2"/>
        <v>7</v>
      </c>
      <c r="J105" s="13" t="str">
        <f>IFERROR(VLOOKUP(D105,Planilha1!$J$2:$X$376,4,0),"Adicionado")</f>
        <v>Rio Claro -SP</v>
      </c>
    </row>
    <row r="106" spans="1:10" ht="26.25">
      <c r="A106" s="91" t="s">
        <v>816</v>
      </c>
      <c r="B106" s="13" t="s">
        <v>904</v>
      </c>
      <c r="C106" s="13" t="s">
        <v>94</v>
      </c>
      <c r="D106" s="131" t="s">
        <v>721</v>
      </c>
      <c r="E106" s="67">
        <v>13286</v>
      </c>
      <c r="F106" s="13" t="s">
        <v>546</v>
      </c>
      <c r="G106" s="121" t="s">
        <v>998</v>
      </c>
      <c r="H106" s="97">
        <v>44406</v>
      </c>
      <c r="I106" s="13">
        <f t="shared" si="2"/>
        <v>7</v>
      </c>
      <c r="J106" s="13" t="str">
        <f>IFERROR(VLOOKUP(D106,Planilha1!$J$2:$X$376,4,0),"Adicionado")</f>
        <v>Rio Claro -SP</v>
      </c>
    </row>
    <row r="107" spans="1:10">
      <c r="A107" s="91" t="s">
        <v>816</v>
      </c>
      <c r="B107" t="s">
        <v>999</v>
      </c>
      <c r="C107" s="13" t="s">
        <v>424</v>
      </c>
      <c r="D107" s="131" t="s">
        <v>358</v>
      </c>
      <c r="E107" s="67">
        <v>13287</v>
      </c>
      <c r="F107" s="13" t="s">
        <v>546</v>
      </c>
      <c r="H107" s="97">
        <v>44406</v>
      </c>
      <c r="I107" s="13">
        <f t="shared" si="2"/>
        <v>7</v>
      </c>
      <c r="J107" s="13" t="str">
        <f>IFERROR(VLOOKUP(D107,Planilha1!$J$2:$X$376,4,0),"Adicionado")</f>
        <v>Rio Claro -SP</v>
      </c>
    </row>
    <row r="108" spans="1:10">
      <c r="A108" s="91" t="s">
        <v>816</v>
      </c>
      <c r="B108" s="13" t="s">
        <v>1003</v>
      </c>
      <c r="C108" s="13" t="s">
        <v>839</v>
      </c>
      <c r="D108" s="131" t="s">
        <v>754</v>
      </c>
      <c r="E108" s="67">
        <v>13310</v>
      </c>
      <c r="F108" s="13" t="s">
        <v>546</v>
      </c>
      <c r="G108" t="s">
        <v>1023</v>
      </c>
      <c r="H108" s="97">
        <v>44407</v>
      </c>
      <c r="I108" s="13">
        <f t="shared" si="2"/>
        <v>7</v>
      </c>
      <c r="J108" s="13" t="str">
        <f>IFERROR(VLOOKUP(D108,Planilha1!$J$2:$X$376,4,0),"Adicionado")</f>
        <v>Araraquara-SP</v>
      </c>
    </row>
    <row r="109" spans="1:10">
      <c r="A109" s="91" t="s">
        <v>1004</v>
      </c>
      <c r="B109" s="13" t="s">
        <v>1006</v>
      </c>
      <c r="C109" s="13" t="s">
        <v>483</v>
      </c>
      <c r="D109" s="131" t="s">
        <v>753</v>
      </c>
      <c r="E109" s="67">
        <v>13312</v>
      </c>
      <c r="F109" s="13" t="s">
        <v>546</v>
      </c>
      <c r="H109" s="97">
        <v>44407</v>
      </c>
      <c r="I109" s="13">
        <f t="shared" si="2"/>
        <v>7</v>
      </c>
      <c r="J109" s="13" t="str">
        <f>IFERROR(VLOOKUP(D109,Planilha1!$J$2:$X$376,4,0),"Adicionado")</f>
        <v>Araraquara-SP</v>
      </c>
    </row>
    <row r="110" spans="1:10">
      <c r="A110" s="91" t="s">
        <v>1008</v>
      </c>
      <c r="B110" s="13" t="s">
        <v>1007</v>
      </c>
      <c r="C110" s="13" t="s">
        <v>424</v>
      </c>
      <c r="D110" s="131" t="s">
        <v>752</v>
      </c>
      <c r="E110" s="67">
        <v>13313</v>
      </c>
      <c r="F110" s="13" t="s">
        <v>546</v>
      </c>
      <c r="H110" s="97">
        <v>44407</v>
      </c>
      <c r="I110" s="13">
        <f t="shared" si="2"/>
        <v>7</v>
      </c>
      <c r="J110" s="13" t="str">
        <f>IFERROR(VLOOKUP(D110,Planilha1!$J$2:$X$376,4,0),"Adicionado")</f>
        <v>Araraquara-SP</v>
      </c>
    </row>
    <row r="111" spans="1:10">
      <c r="A111" s="91" t="s">
        <v>816</v>
      </c>
      <c r="B111" s="13" t="s">
        <v>833</v>
      </c>
      <c r="C111" s="13" t="s">
        <v>1009</v>
      </c>
      <c r="D111" s="131" t="s">
        <v>747</v>
      </c>
      <c r="E111" s="67">
        <v>13316</v>
      </c>
      <c r="F111" s="13" t="s">
        <v>546</v>
      </c>
      <c r="H111" s="97">
        <v>44407</v>
      </c>
      <c r="I111" s="13">
        <f t="shared" si="2"/>
        <v>7</v>
      </c>
      <c r="J111" s="13" t="str">
        <f>IFERROR(VLOOKUP(D111,Planilha1!$J$2:$X$376,4,0),"Adicionado")</f>
        <v>Adicionado</v>
      </c>
    </row>
    <row r="112" spans="1:10">
      <c r="A112" s="91" t="s">
        <v>816</v>
      </c>
      <c r="B112" t="s">
        <v>833</v>
      </c>
      <c r="C112" t="s">
        <v>35</v>
      </c>
      <c r="D112" s="139">
        <v>2983032</v>
      </c>
      <c r="E112" s="2">
        <v>13317</v>
      </c>
      <c r="F112" s="13" t="s">
        <v>546</v>
      </c>
      <c r="H112" s="97">
        <v>44407</v>
      </c>
      <c r="I112" s="13">
        <f t="shared" si="2"/>
        <v>7</v>
      </c>
      <c r="J112" s="13" t="str">
        <f>IFERROR(VLOOKUP(D112,Planilha1!$J$2:$X$376,4,0),"Adicionado")</f>
        <v>Adicionado</v>
      </c>
    </row>
    <row r="113" spans="1:10">
      <c r="A113" s="91" t="s">
        <v>1011</v>
      </c>
      <c r="B113" s="13" t="s">
        <v>1010</v>
      </c>
      <c r="C113" s="13" t="s">
        <v>1005</v>
      </c>
      <c r="D113" s="131" t="s">
        <v>748</v>
      </c>
      <c r="E113" s="67">
        <v>1331</v>
      </c>
      <c r="F113" s="13" t="s">
        <v>546</v>
      </c>
      <c r="H113" s="97">
        <v>44407</v>
      </c>
      <c r="I113" s="13">
        <f t="shared" si="2"/>
        <v>7</v>
      </c>
      <c r="J113" s="13" t="str">
        <f>IFERROR(VLOOKUP(D113,Planilha1!$J$2:$X$376,4,0),"Adicionado")</f>
        <v>Araraquara-SP</v>
      </c>
    </row>
    <row r="114" spans="1:10">
      <c r="A114" s="91" t="s">
        <v>816</v>
      </c>
      <c r="B114" s="13" t="s">
        <v>1010</v>
      </c>
      <c r="C114" t="s">
        <v>483</v>
      </c>
      <c r="D114" s="139" t="s">
        <v>1032</v>
      </c>
      <c r="E114" s="2">
        <v>13319</v>
      </c>
      <c r="F114" s="13" t="s">
        <v>546</v>
      </c>
      <c r="H114" s="97">
        <v>44407</v>
      </c>
      <c r="I114" s="13">
        <f t="shared" si="2"/>
        <v>7</v>
      </c>
      <c r="J114" s="13" t="str">
        <f>IFERROR(VLOOKUP(D114,Planilha1!$J$2:$X$376,4,0),"Adicionado")</f>
        <v>Adicionado</v>
      </c>
    </row>
    <row r="115" spans="1:10">
      <c r="A115" s="91" t="s">
        <v>816</v>
      </c>
      <c r="B115" s="13" t="s">
        <v>478</v>
      </c>
      <c r="C115" s="13" t="s">
        <v>934</v>
      </c>
      <c r="D115" s="131" t="s">
        <v>1012</v>
      </c>
      <c r="E115">
        <v>13320</v>
      </c>
      <c r="F115" s="13" t="s">
        <v>546</v>
      </c>
      <c r="G115" s="13" t="s">
        <v>1013</v>
      </c>
      <c r="H115" s="97">
        <v>44407</v>
      </c>
      <c r="I115" s="13">
        <f t="shared" si="2"/>
        <v>7</v>
      </c>
      <c r="J115" s="13" t="str">
        <f>IFERROR(VLOOKUP(D115,Planilha1!$J$2:$X$376,4,0),"Adicionado")</f>
        <v>Adicionado</v>
      </c>
    </row>
    <row r="116" spans="1:10">
      <c r="A116" s="91" t="s">
        <v>816</v>
      </c>
      <c r="B116" t="s">
        <v>1025</v>
      </c>
      <c r="C116" t="s">
        <v>424</v>
      </c>
      <c r="D116" s="139" t="s">
        <v>159</v>
      </c>
      <c r="E116">
        <v>13345</v>
      </c>
      <c r="F116" s="13" t="s">
        <v>546</v>
      </c>
      <c r="G116" t="s">
        <v>1030</v>
      </c>
      <c r="H116" s="97">
        <v>44421</v>
      </c>
      <c r="I116" s="13">
        <f t="shared" si="2"/>
        <v>8</v>
      </c>
      <c r="J116" s="13" t="str">
        <f>IFERROR(VLOOKUP(D116,Planilha1!$J$2:$X$376,4,0),"Adicionado")</f>
        <v>Varzea Paulista</v>
      </c>
    </row>
    <row r="117" spans="1:10">
      <c r="A117" t="s">
        <v>1026</v>
      </c>
      <c r="B117" t="s">
        <v>1027</v>
      </c>
      <c r="C117" t="s">
        <v>483</v>
      </c>
      <c r="D117" s="139" t="s">
        <v>631</v>
      </c>
      <c r="E117">
        <v>13346</v>
      </c>
      <c r="F117" s="13" t="s">
        <v>546</v>
      </c>
      <c r="H117" s="97">
        <v>44421</v>
      </c>
      <c r="I117" s="13">
        <f t="shared" si="2"/>
        <v>8</v>
      </c>
      <c r="J117" s="13" t="str">
        <f>IFERROR(VLOOKUP(D117,Planilha1!$J$2:$X$376,4,0),"Adicionado")</f>
        <v>Varzea Paulista</v>
      </c>
    </row>
    <row r="118" spans="1:10">
      <c r="A118" s="91" t="s">
        <v>816</v>
      </c>
      <c r="B118" s="13" t="s">
        <v>478</v>
      </c>
      <c r="C118" t="s">
        <v>424</v>
      </c>
      <c r="D118" s="139" t="s">
        <v>633</v>
      </c>
      <c r="E118">
        <v>13347</v>
      </c>
      <c r="F118" s="13" t="s">
        <v>546</v>
      </c>
      <c r="G118" t="s">
        <v>1031</v>
      </c>
      <c r="H118" s="97">
        <v>44421</v>
      </c>
      <c r="I118" s="13">
        <f t="shared" si="2"/>
        <v>8</v>
      </c>
      <c r="J118" s="13" t="str">
        <f>IFERROR(VLOOKUP(D118,Planilha1!$J$2:$X$376,4,0),"Adicionado")</f>
        <v>Varzea Paulista</v>
      </c>
    </row>
    <row r="119" spans="1:10">
      <c r="A119" s="91" t="s">
        <v>816</v>
      </c>
      <c r="B119" s="13" t="s">
        <v>1028</v>
      </c>
      <c r="C119" s="3" t="s">
        <v>424</v>
      </c>
      <c r="D119" s="139" t="s">
        <v>632</v>
      </c>
      <c r="E119">
        <v>13348</v>
      </c>
      <c r="F119" s="13" t="s">
        <v>546</v>
      </c>
      <c r="G119" t="s">
        <v>583</v>
      </c>
      <c r="H119" s="97">
        <v>44421</v>
      </c>
      <c r="I119" s="13">
        <f t="shared" si="2"/>
        <v>8</v>
      </c>
      <c r="J119" s="13" t="str">
        <f>IFERROR(VLOOKUP(D119,Planilha1!$J$2:$X$376,4,0),"Adicionado")</f>
        <v>Varzea Paulista</v>
      </c>
    </row>
    <row r="120" spans="1:10">
      <c r="A120" s="91" t="s">
        <v>816</v>
      </c>
      <c r="B120" t="s">
        <v>833</v>
      </c>
      <c r="C120" t="s">
        <v>35</v>
      </c>
      <c r="D120" s="139" t="s">
        <v>634</v>
      </c>
      <c r="E120">
        <v>13349</v>
      </c>
      <c r="F120" s="13" t="s">
        <v>546</v>
      </c>
      <c r="H120" s="97">
        <v>44421</v>
      </c>
      <c r="I120" s="13">
        <f t="shared" si="2"/>
        <v>8</v>
      </c>
      <c r="J120" s="13" t="str">
        <f>IFERROR(VLOOKUP(D120,Planilha1!$J$2:$X$376,4,0),"Adicionado")</f>
        <v>Varzea Paulista</v>
      </c>
    </row>
    <row r="121" spans="1:10">
      <c r="A121" s="91" t="s">
        <v>816</v>
      </c>
      <c r="B121" t="s">
        <v>37</v>
      </c>
      <c r="C121" s="13" t="s">
        <v>210</v>
      </c>
      <c r="D121" s="131" t="s">
        <v>749</v>
      </c>
      <c r="E121">
        <v>13301</v>
      </c>
      <c r="F121" s="13" t="s">
        <v>546</v>
      </c>
      <c r="G121" t="s">
        <v>1033</v>
      </c>
      <c r="H121" s="97">
        <v>44420</v>
      </c>
      <c r="I121" s="13">
        <f t="shared" si="2"/>
        <v>8</v>
      </c>
      <c r="J121" s="13" t="str">
        <f>IFERROR(VLOOKUP(D121,Planilha1!$J$2:$X$376,4,0),"Adicionado")</f>
        <v>Agudos - SP</v>
      </c>
    </row>
    <row r="122" spans="1:10">
      <c r="A122" t="s">
        <v>1029</v>
      </c>
      <c r="B122" t="s">
        <v>499</v>
      </c>
      <c r="C122" s="13" t="s">
        <v>424</v>
      </c>
      <c r="D122" s="148" t="s">
        <v>750</v>
      </c>
      <c r="E122">
        <v>13302</v>
      </c>
      <c r="F122" s="13" t="s">
        <v>546</v>
      </c>
      <c r="G122" t="s">
        <v>1034</v>
      </c>
      <c r="H122" s="97">
        <v>44420</v>
      </c>
      <c r="I122" s="13">
        <f t="shared" si="2"/>
        <v>8</v>
      </c>
      <c r="J122" s="13" t="str">
        <f>IFERROR(VLOOKUP(D122,Planilha1!$J$2:$X$376,4,0),"Adicionado")</f>
        <v>Agudos - SP</v>
      </c>
    </row>
  </sheetData>
  <sheetProtection algorithmName="SHA-512" hashValue="m2A14MDzTtIKr/p88j3s+Fs1WK7DENU0O09ANIykh9yV3E4YxkkQVnd+5uc+aa0N8CItCULvZ6/w5mIylLG0Sw==" saltValue="9tVfOhW7B/azGDbOyg6Vrw==" spinCount="100000" sheet="1" selectLockedCells="1" selectUnlockedCells="1"/>
  <autoFilter ref="A1:J122" xr:uid="{F2A2B29F-D19E-4BC7-92DA-88438C417BBB}"/>
  <phoneticPr fontId="3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1764-7E89-4AB1-BE00-D9325608B2CD}">
  <dimension ref="A1:AF289"/>
  <sheetViews>
    <sheetView topLeftCell="G1" workbookViewId="0">
      <pane ySplit="1" topLeftCell="A44" activePane="bottomLeft" state="frozen"/>
      <selection pane="bottomLeft" activeCell="N31" sqref="N31"/>
    </sheetView>
  </sheetViews>
  <sheetFormatPr defaultColWidth="5.85546875" defaultRowHeight="15"/>
  <cols>
    <col min="1" max="1" width="6.140625" style="13" customWidth="1"/>
    <col min="2" max="2" width="34.140625" style="13" bestFit="1" customWidth="1"/>
    <col min="3" max="3" width="26.42578125" style="13" customWidth="1"/>
    <col min="4" max="4" width="15.140625" style="13" bestFit="1" customWidth="1"/>
    <col min="5" max="5" width="31.85546875" style="13" bestFit="1" customWidth="1"/>
    <col min="6" max="6" width="33.140625" style="13" bestFit="1" customWidth="1"/>
    <col min="7" max="7" width="22.28515625" style="67" bestFit="1" customWidth="1"/>
    <col min="8" max="8" width="6.28515625" style="13" customWidth="1"/>
    <col min="9" max="9" width="18" style="13" bestFit="1" customWidth="1"/>
    <col min="10" max="10" width="16.7109375" style="91" bestFit="1" customWidth="1"/>
    <col min="11" max="11" width="16.85546875" style="67" bestFit="1" customWidth="1"/>
    <col min="12" max="12" width="15.140625" style="67" bestFit="1" customWidth="1"/>
    <col min="13" max="13" width="15.85546875" style="105" customWidth="1"/>
    <col min="14" max="14" width="22.7109375" style="67" customWidth="1"/>
    <col min="15" max="15" width="13.28515625" style="13" hidden="1" customWidth="1"/>
    <col min="16" max="16" width="15.5703125" style="13" bestFit="1" customWidth="1"/>
    <col min="17" max="17" width="10.28515625" style="13" bestFit="1" customWidth="1"/>
    <col min="18" max="18" width="10.42578125" style="94" bestFit="1" customWidth="1"/>
    <col min="19" max="19" width="13.140625" style="13" bestFit="1" customWidth="1"/>
    <col min="20" max="20" width="47.28515625" style="13" customWidth="1"/>
    <col min="21" max="21" width="18.42578125" style="13" bestFit="1" customWidth="1"/>
    <col min="22" max="22" width="3" style="13" hidden="1" customWidth="1"/>
    <col min="23" max="23" width="23.7109375" style="72" hidden="1" customWidth="1"/>
    <col min="24" max="24" width="21.85546875" style="72" hidden="1" customWidth="1"/>
    <col min="25" max="27" width="5.85546875" style="13" hidden="1" customWidth="1"/>
    <col min="28" max="28" width="18" style="13" hidden="1" customWidth="1"/>
    <col min="29" max="29" width="22.28515625" style="13" hidden="1" customWidth="1"/>
    <col min="30" max="30" width="20.28515625" style="13" hidden="1" customWidth="1"/>
    <col min="31" max="31" width="17.85546875" style="13" hidden="1" customWidth="1"/>
    <col min="32" max="32" width="13.85546875" style="104" bestFit="1" customWidth="1"/>
    <col min="33" max="16384" width="5.85546875" style="13"/>
  </cols>
  <sheetData>
    <row r="1" spans="1:32" s="62" customFormat="1" ht="30.7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60" t="s">
        <v>7</v>
      </c>
      <c r="I1" s="59" t="s">
        <v>8</v>
      </c>
      <c r="J1" s="61" t="s">
        <v>9</v>
      </c>
      <c r="K1" s="59" t="s">
        <v>10</v>
      </c>
      <c r="L1" s="59" t="s">
        <v>11</v>
      </c>
      <c r="M1" s="60" t="s">
        <v>12</v>
      </c>
      <c r="N1" s="60" t="s">
        <v>13</v>
      </c>
      <c r="O1" s="62" t="s">
        <v>579</v>
      </c>
      <c r="P1" s="63" t="s">
        <v>14</v>
      </c>
      <c r="Q1" s="63" t="s">
        <v>15</v>
      </c>
      <c r="R1" s="60" t="s">
        <v>16</v>
      </c>
      <c r="S1" s="60" t="s">
        <v>17</v>
      </c>
      <c r="T1" s="60" t="s">
        <v>18</v>
      </c>
      <c r="U1" s="60" t="s">
        <v>19</v>
      </c>
      <c r="V1" s="60" t="s">
        <v>19</v>
      </c>
      <c r="W1" s="60" t="s">
        <v>19</v>
      </c>
      <c r="X1" s="60" t="s">
        <v>19</v>
      </c>
      <c r="Y1" s="60" t="s">
        <v>19</v>
      </c>
      <c r="Z1" s="60" t="s">
        <v>19</v>
      </c>
      <c r="AA1" s="60" t="s">
        <v>19</v>
      </c>
      <c r="AB1" s="60" t="s">
        <v>19</v>
      </c>
      <c r="AC1" s="60" t="s">
        <v>19</v>
      </c>
      <c r="AD1" s="60" t="s">
        <v>19</v>
      </c>
      <c r="AE1" s="60" t="s">
        <v>19</v>
      </c>
      <c r="AF1" s="60" t="s">
        <v>19</v>
      </c>
    </row>
    <row r="2" spans="1:32">
      <c r="A2" s="13" t="s">
        <v>20</v>
      </c>
      <c r="B2" s="13" t="s">
        <v>236</v>
      </c>
      <c r="C2" s="66" t="s">
        <v>237</v>
      </c>
      <c r="D2" s="67" t="s">
        <v>238</v>
      </c>
      <c r="E2" s="13" t="s">
        <v>236</v>
      </c>
      <c r="F2" s="66" t="s">
        <v>237</v>
      </c>
      <c r="G2" s="67" t="s">
        <v>177</v>
      </c>
      <c r="H2" s="67" t="s">
        <v>191</v>
      </c>
      <c r="I2" s="67" t="s">
        <v>52</v>
      </c>
      <c r="J2" s="68" t="s">
        <v>239</v>
      </c>
      <c r="K2" s="67" t="s">
        <v>53</v>
      </c>
      <c r="L2" s="67" t="s">
        <v>86</v>
      </c>
      <c r="M2" s="67" t="s">
        <v>240</v>
      </c>
      <c r="N2" s="67" t="s">
        <v>241</v>
      </c>
      <c r="O2" s="69">
        <v>44033</v>
      </c>
      <c r="P2" s="70">
        <f>IFERROR(VLOOKUP(J2,'Obs Tecnicas'!$D$2:$I$320,5,0),O2)</f>
        <v>44033</v>
      </c>
      <c r="Q2" s="69" t="str">
        <f t="shared" ref="Q2:Q35" ca="1" si="0">IF(P2&lt;&gt;"",IF(P2+365&gt;TODAY(),"Calibrado","Vencido"),"")</f>
        <v>Vencido</v>
      </c>
      <c r="R2" s="71" t="str">
        <f>IFERROR(VLOOKUP(J2,'Obs Tecnicas'!$D$2:$G$340,2,0),"")</f>
        <v/>
      </c>
      <c r="S2" s="67" t="str">
        <f>IFERROR(VLOOKUP(J2,'Obs Tecnicas'!$D$2:$G$344,3,0),"Hexis")</f>
        <v>Hexis</v>
      </c>
      <c r="T2" s="67" t="str">
        <f>IFERROR(VLOOKUP(J2,'Obs Tecnicas'!$D$2:$G$344,4,0),"")</f>
        <v/>
      </c>
      <c r="U2" s="13" t="s">
        <v>464</v>
      </c>
      <c r="V2" s="13">
        <f t="shared" ref="V2:V65" si="1">IF(P2&lt;&gt;"",MONTH(P2),"")</f>
        <v>7</v>
      </c>
      <c r="W2" s="72">
        <f t="shared" ref="W2:W65" si="2">VLOOKUP(I2,$AB$2:$AD$10,2,0)</f>
        <v>178.434</v>
      </c>
      <c r="X2" s="72">
        <f t="shared" ref="X2:X65" si="3">VLOOKUP(I2,$AB$2:$AD$10,3,0)</f>
        <v>318.94200000000001</v>
      </c>
      <c r="AB2" s="65" t="s">
        <v>28</v>
      </c>
      <c r="AC2" s="64">
        <v>165.75299999999999</v>
      </c>
      <c r="AD2" s="64">
        <v>245.34000000000003</v>
      </c>
      <c r="AE2" s="13" t="s">
        <v>807</v>
      </c>
      <c r="AF2" s="104">
        <v>44431</v>
      </c>
    </row>
    <row r="3" spans="1:32">
      <c r="A3" s="13" t="s">
        <v>20</v>
      </c>
      <c r="B3" s="13" t="s">
        <v>236</v>
      </c>
      <c r="C3" s="66" t="s">
        <v>237</v>
      </c>
      <c r="D3" s="67" t="s">
        <v>238</v>
      </c>
      <c r="E3" s="13" t="s">
        <v>236</v>
      </c>
      <c r="F3" s="66" t="s">
        <v>237</v>
      </c>
      <c r="G3" s="67" t="s">
        <v>177</v>
      </c>
      <c r="H3" s="67" t="s">
        <v>191</v>
      </c>
      <c r="I3" s="67" t="s">
        <v>76</v>
      </c>
      <c r="J3" s="68" t="s">
        <v>658</v>
      </c>
      <c r="K3" s="67" t="s">
        <v>242</v>
      </c>
      <c r="L3" s="67" t="s">
        <v>243</v>
      </c>
      <c r="M3" s="67" t="s">
        <v>240</v>
      </c>
      <c r="N3" s="67" t="s">
        <v>241</v>
      </c>
      <c r="O3" s="69">
        <v>44033</v>
      </c>
      <c r="P3" s="70">
        <f>IFERROR(VLOOKUP(J3,'Obs Tecnicas'!$D$2:$I$320,5,0),O3)</f>
        <v>44033</v>
      </c>
      <c r="Q3" s="69" t="str">
        <f t="shared" ca="1" si="0"/>
        <v>Vencido</v>
      </c>
      <c r="R3" s="71" t="str">
        <f>IFERROR(VLOOKUP(J3,'Obs Tecnicas'!$D$2:$G$340,2,0),"")</f>
        <v/>
      </c>
      <c r="S3" s="67" t="str">
        <f>IFERROR(VLOOKUP(J3,'Obs Tecnicas'!$D$2:$G$344,3,0),"Hexis")</f>
        <v>Hexis</v>
      </c>
      <c r="T3" s="67" t="str">
        <f>IFERROR(VLOOKUP(J3,'Obs Tecnicas'!$D$2:$G$344,4,0),"")</f>
        <v/>
      </c>
      <c r="U3" s="13" t="s">
        <v>464</v>
      </c>
      <c r="V3" s="13">
        <f t="shared" si="1"/>
        <v>7</v>
      </c>
      <c r="W3" s="72">
        <f t="shared" si="2"/>
        <v>101.655</v>
      </c>
      <c r="X3" s="72">
        <f t="shared" si="3"/>
        <v>195.22799999999998</v>
      </c>
      <c r="AB3" s="65" t="s">
        <v>52</v>
      </c>
      <c r="AC3" s="64">
        <v>178.434</v>
      </c>
      <c r="AD3" s="64">
        <v>318.94200000000001</v>
      </c>
      <c r="AE3" s="13" t="s">
        <v>807</v>
      </c>
      <c r="AF3" s="104">
        <v>44431</v>
      </c>
    </row>
    <row r="4" spans="1:32">
      <c r="A4" s="13" t="s">
        <v>20</v>
      </c>
      <c r="B4" s="13" t="s">
        <v>236</v>
      </c>
      <c r="C4" s="66" t="s">
        <v>237</v>
      </c>
      <c r="D4" s="67" t="s">
        <v>238</v>
      </c>
      <c r="E4" s="13" t="s">
        <v>236</v>
      </c>
      <c r="F4" s="66" t="s">
        <v>237</v>
      </c>
      <c r="G4" s="67" t="s">
        <v>177</v>
      </c>
      <c r="H4" s="67" t="s">
        <v>191</v>
      </c>
      <c r="I4" s="67" t="s">
        <v>34</v>
      </c>
      <c r="J4" s="68" t="s">
        <v>659</v>
      </c>
      <c r="K4" s="67" t="s">
        <v>94</v>
      </c>
      <c r="L4" s="67" t="s">
        <v>120</v>
      </c>
      <c r="M4" s="67" t="s">
        <v>240</v>
      </c>
      <c r="N4" s="67" t="s">
        <v>241</v>
      </c>
      <c r="O4" s="69">
        <v>44033</v>
      </c>
      <c r="P4" s="70">
        <f>IFERROR(VLOOKUP(J4,'Obs Tecnicas'!$D$2:$I$320,5,0),O4)</f>
        <v>44033</v>
      </c>
      <c r="Q4" s="69" t="str">
        <f t="shared" ca="1" si="0"/>
        <v>Vencido</v>
      </c>
      <c r="R4" s="71" t="str">
        <f>IFERROR(VLOOKUP(J4,'Obs Tecnicas'!$D$2:$G$340,2,0),"")</f>
        <v/>
      </c>
      <c r="S4" s="67" t="str">
        <f>IFERROR(VLOOKUP(J4,'Obs Tecnicas'!$D$2:$G$344,3,0),"Hexis")</f>
        <v>Hexis</v>
      </c>
      <c r="T4" s="67" t="str">
        <f>IFERROR(VLOOKUP(J4,'Obs Tecnicas'!$D$2:$G$344,4,0),"")</f>
        <v/>
      </c>
      <c r="U4" s="13" t="s">
        <v>464</v>
      </c>
      <c r="V4" s="13">
        <f t="shared" si="1"/>
        <v>7</v>
      </c>
      <c r="W4" s="72">
        <f t="shared" si="2"/>
        <v>101.655</v>
      </c>
      <c r="X4" s="72">
        <f t="shared" si="3"/>
        <v>195.22799999999998</v>
      </c>
      <c r="AB4" s="65" t="s">
        <v>76</v>
      </c>
      <c r="AC4" s="64">
        <v>101.655</v>
      </c>
      <c r="AD4" s="64">
        <v>195.22799999999998</v>
      </c>
      <c r="AE4" s="13" t="s">
        <v>807</v>
      </c>
      <c r="AF4" s="104">
        <v>44431</v>
      </c>
    </row>
    <row r="5" spans="1:32">
      <c r="A5" s="13" t="s">
        <v>20</v>
      </c>
      <c r="B5" s="13" t="s">
        <v>415</v>
      </c>
      <c r="C5" s="66" t="s">
        <v>416</v>
      </c>
      <c r="D5" s="67" t="s">
        <v>395</v>
      </c>
      <c r="E5" s="13" t="s">
        <v>396</v>
      </c>
      <c r="F5" s="66" t="s">
        <v>397</v>
      </c>
      <c r="G5" s="67" t="s">
        <v>365</v>
      </c>
      <c r="H5" s="67" t="s">
        <v>191</v>
      </c>
      <c r="I5" s="67" t="s">
        <v>37</v>
      </c>
      <c r="J5" s="68" t="s">
        <v>740</v>
      </c>
      <c r="K5" s="67" t="s">
        <v>340</v>
      </c>
      <c r="L5" s="67" t="s">
        <v>341</v>
      </c>
      <c r="M5" s="67" t="s">
        <v>417</v>
      </c>
      <c r="N5" s="67" t="s">
        <v>418</v>
      </c>
      <c r="O5" s="69">
        <v>44259</v>
      </c>
      <c r="P5" s="70">
        <f>IFERROR(VLOOKUP(J5,'Obs Tecnicas'!$D$2:$I$320,5,0),O5)</f>
        <v>44259</v>
      </c>
      <c r="Q5" s="69" t="str">
        <f t="shared" ca="1" si="0"/>
        <v>Calibrado</v>
      </c>
      <c r="R5" s="71" t="str">
        <f>IFERROR(VLOOKUP(J5,'Obs Tecnicas'!$D$2:$G$340,2,0),"")</f>
        <v/>
      </c>
      <c r="S5" s="67" t="str">
        <f>IFERROR(VLOOKUP(J5,'Obs Tecnicas'!$D$2:$G$344,3,0),"Hexis")</f>
        <v>Hexis</v>
      </c>
      <c r="T5" s="67" t="str">
        <f>IFERROR(VLOOKUP(J5,'Obs Tecnicas'!$D$2:$G$344,4,0),"")</f>
        <v/>
      </c>
      <c r="V5" s="13">
        <f t="shared" si="1"/>
        <v>3</v>
      </c>
      <c r="W5" s="72" t="e">
        <f t="shared" si="2"/>
        <v>#N/A</v>
      </c>
      <c r="X5" s="72" t="e">
        <f t="shared" si="3"/>
        <v>#N/A</v>
      </c>
      <c r="AB5" s="65" t="s">
        <v>45</v>
      </c>
      <c r="AC5" s="64">
        <v>420.44400000000002</v>
      </c>
      <c r="AD5" s="64">
        <v>385.26299999999998</v>
      </c>
    </row>
    <row r="6" spans="1:32">
      <c r="A6" s="13" t="s">
        <v>20</v>
      </c>
      <c r="B6" s="13" t="s">
        <v>415</v>
      </c>
      <c r="C6" s="66" t="s">
        <v>416</v>
      </c>
      <c r="D6" s="67" t="s">
        <v>395</v>
      </c>
      <c r="E6" s="13" t="s">
        <v>396</v>
      </c>
      <c r="F6" s="66" t="s">
        <v>397</v>
      </c>
      <c r="G6" s="67" t="s">
        <v>365</v>
      </c>
      <c r="H6" s="67" t="s">
        <v>191</v>
      </c>
      <c r="I6" s="67" t="s">
        <v>79</v>
      </c>
      <c r="J6" s="68" t="s">
        <v>741</v>
      </c>
      <c r="K6" s="67" t="s">
        <v>77</v>
      </c>
      <c r="L6" s="67" t="s">
        <v>80</v>
      </c>
      <c r="M6" s="67" t="s">
        <v>417</v>
      </c>
      <c r="N6" s="67" t="s">
        <v>418</v>
      </c>
      <c r="O6" s="69">
        <v>44259</v>
      </c>
      <c r="P6" s="70">
        <f>IFERROR(VLOOKUP(J6,'Obs Tecnicas'!$D$2:$I$320,5,0),O6)</f>
        <v>44259</v>
      </c>
      <c r="Q6" s="69" t="str">
        <f t="shared" ca="1" si="0"/>
        <v>Calibrado</v>
      </c>
      <c r="R6" s="71" t="str">
        <f>IFERROR(VLOOKUP(J6,'Obs Tecnicas'!$D$2:$G$340,2,0),"")</f>
        <v/>
      </c>
      <c r="S6" s="67" t="str">
        <f>IFERROR(VLOOKUP(J6,'Obs Tecnicas'!$D$2:$G$344,3,0),"Hexis")</f>
        <v>Hexis</v>
      </c>
      <c r="T6" s="67" t="str">
        <f>IFERROR(VLOOKUP(J6,'Obs Tecnicas'!$D$2:$G$344,4,0),"")</f>
        <v/>
      </c>
      <c r="V6" s="13">
        <f t="shared" si="1"/>
        <v>3</v>
      </c>
      <c r="W6" s="72">
        <f t="shared" si="2"/>
        <v>101.655</v>
      </c>
      <c r="X6" s="72">
        <f t="shared" si="3"/>
        <v>390.45599999999996</v>
      </c>
      <c r="AB6" s="65" t="s">
        <v>115</v>
      </c>
      <c r="AC6" s="64">
        <v>116.496</v>
      </c>
      <c r="AD6" s="64">
        <v>286.11900000000003</v>
      </c>
    </row>
    <row r="7" spans="1:32" ht="14.25" customHeight="1">
      <c r="A7" s="13" t="s">
        <v>20</v>
      </c>
      <c r="B7" s="13" t="s">
        <v>415</v>
      </c>
      <c r="C7" s="66" t="s">
        <v>416</v>
      </c>
      <c r="D7" s="67" t="s">
        <v>395</v>
      </c>
      <c r="E7" s="13" t="s">
        <v>396</v>
      </c>
      <c r="F7" s="66" t="s">
        <v>397</v>
      </c>
      <c r="G7" s="67" t="s">
        <v>365</v>
      </c>
      <c r="H7" s="67" t="s">
        <v>191</v>
      </c>
      <c r="I7" s="67" t="s">
        <v>34</v>
      </c>
      <c r="J7" s="68" t="s">
        <v>419</v>
      </c>
      <c r="K7" s="67" t="s">
        <v>340</v>
      </c>
      <c r="L7" s="67" t="s">
        <v>343</v>
      </c>
      <c r="M7" s="67" t="s">
        <v>417</v>
      </c>
      <c r="N7" s="67" t="s">
        <v>418</v>
      </c>
      <c r="O7" s="69">
        <v>44259</v>
      </c>
      <c r="P7" s="70">
        <f>IFERROR(VLOOKUP(J7,'Obs Tecnicas'!$D$2:$I$320,5,0),O7)</f>
        <v>44259</v>
      </c>
      <c r="Q7" s="69" t="str">
        <f t="shared" ca="1" si="0"/>
        <v>Calibrado</v>
      </c>
      <c r="R7" s="71" t="str">
        <f>IFERROR(VLOOKUP(J7,'Obs Tecnicas'!$D$2:$G$340,2,0),"")</f>
        <v/>
      </c>
      <c r="S7" s="67" t="str">
        <f>IFERROR(VLOOKUP(J7,'Obs Tecnicas'!$D$2:$G$344,3,0),"Hexis")</f>
        <v>Hexis</v>
      </c>
      <c r="T7" s="67" t="str">
        <f>IFERROR(VLOOKUP(J7,'Obs Tecnicas'!$D$2:$G$344,4,0),"")</f>
        <v/>
      </c>
      <c r="V7" s="13">
        <f t="shared" si="1"/>
        <v>3</v>
      </c>
      <c r="W7" s="72">
        <f t="shared" si="2"/>
        <v>101.655</v>
      </c>
      <c r="X7" s="72">
        <f t="shared" si="3"/>
        <v>195.22799999999998</v>
      </c>
      <c r="AB7" s="65" t="s">
        <v>79</v>
      </c>
      <c r="AC7" s="64">
        <v>101.655</v>
      </c>
      <c r="AD7" s="64">
        <v>390.45599999999996</v>
      </c>
    </row>
    <row r="8" spans="1:32">
      <c r="A8" s="13" t="s">
        <v>20</v>
      </c>
      <c r="B8" s="13" t="s">
        <v>415</v>
      </c>
      <c r="C8" s="66" t="s">
        <v>416</v>
      </c>
      <c r="D8" s="67" t="s">
        <v>395</v>
      </c>
      <c r="E8" s="13" t="s">
        <v>396</v>
      </c>
      <c r="F8" s="66" t="s">
        <v>397</v>
      </c>
      <c r="G8" s="67" t="s">
        <v>365</v>
      </c>
      <c r="H8" s="67" t="s">
        <v>191</v>
      </c>
      <c r="I8" s="67" t="s">
        <v>45</v>
      </c>
      <c r="J8" s="68" t="s">
        <v>743</v>
      </c>
      <c r="K8" s="67" t="s">
        <v>424</v>
      </c>
      <c r="L8" s="67" t="s">
        <v>54</v>
      </c>
      <c r="M8" s="67" t="s">
        <v>417</v>
      </c>
      <c r="N8" s="67" t="s">
        <v>418</v>
      </c>
      <c r="O8" s="69">
        <v>44264</v>
      </c>
      <c r="P8" s="70">
        <f>IFERROR(VLOOKUP(J8,'Obs Tecnicas'!$D$2:$I$320,5,0),O8)</f>
        <v>44264</v>
      </c>
      <c r="Q8" s="69" t="str">
        <f t="shared" ca="1" si="0"/>
        <v>Calibrado</v>
      </c>
      <c r="R8" s="71" t="str">
        <f>IFERROR(VLOOKUP(J8,'Obs Tecnicas'!$D$2:$G$340,2,0),"")</f>
        <v/>
      </c>
      <c r="S8" s="67" t="str">
        <f>IFERROR(VLOOKUP(J8,'Obs Tecnicas'!$D$2:$G$344,3,0),"Hexis")</f>
        <v>Hexis</v>
      </c>
      <c r="T8" s="67" t="str">
        <f>IFERROR(VLOOKUP(J8,'Obs Tecnicas'!$D$2:$G$344,4,0),"")</f>
        <v/>
      </c>
      <c r="V8" s="13">
        <f t="shared" si="1"/>
        <v>3</v>
      </c>
      <c r="W8" s="72">
        <f t="shared" si="2"/>
        <v>420.44400000000002</v>
      </c>
      <c r="X8" s="72">
        <f t="shared" si="3"/>
        <v>385.26299999999998</v>
      </c>
      <c r="AB8" s="65" t="s">
        <v>34</v>
      </c>
      <c r="AC8" s="64">
        <v>101.655</v>
      </c>
      <c r="AD8" s="64">
        <v>195.22799999999998</v>
      </c>
    </row>
    <row r="9" spans="1:32">
      <c r="A9" s="13" t="s">
        <v>20</v>
      </c>
      <c r="B9" s="13" t="s">
        <v>415</v>
      </c>
      <c r="C9" s="66" t="s">
        <v>416</v>
      </c>
      <c r="D9" s="67" t="s">
        <v>395</v>
      </c>
      <c r="E9" s="13" t="s">
        <v>396</v>
      </c>
      <c r="F9" s="66" t="s">
        <v>397</v>
      </c>
      <c r="G9" s="67" t="s">
        <v>365</v>
      </c>
      <c r="H9" s="67" t="s">
        <v>191</v>
      </c>
      <c r="I9" s="67" t="s">
        <v>45</v>
      </c>
      <c r="J9" s="68" t="s">
        <v>425</v>
      </c>
      <c r="K9" s="67" t="s">
        <v>424</v>
      </c>
      <c r="L9" s="67" t="s">
        <v>86</v>
      </c>
      <c r="M9" s="67" t="s">
        <v>417</v>
      </c>
      <c r="N9" s="67" t="s">
        <v>418</v>
      </c>
      <c r="O9" s="69">
        <v>44264</v>
      </c>
      <c r="P9" s="70">
        <f>IFERROR(VLOOKUP(J9,'Obs Tecnicas'!$D$2:$I$320,5,0),O9)</f>
        <v>44264</v>
      </c>
      <c r="Q9" s="69" t="str">
        <f t="shared" ca="1" si="0"/>
        <v>Calibrado</v>
      </c>
      <c r="R9" s="71" t="str">
        <f>IFERROR(VLOOKUP(J9,'Obs Tecnicas'!$D$2:$G$340,2,0),"")</f>
        <v/>
      </c>
      <c r="S9" s="67" t="str">
        <f>IFERROR(VLOOKUP(J9,'Obs Tecnicas'!$D$2:$G$344,3,0),"Hexis")</f>
        <v>Hexis</v>
      </c>
      <c r="T9" s="67" t="str">
        <f>IFERROR(VLOOKUP(J9,'Obs Tecnicas'!$D$2:$G$344,4,0),"")</f>
        <v/>
      </c>
      <c r="V9" s="13">
        <f t="shared" si="1"/>
        <v>3</v>
      </c>
      <c r="W9" s="72">
        <f t="shared" si="2"/>
        <v>420.44400000000002</v>
      </c>
      <c r="X9" s="72">
        <f t="shared" si="3"/>
        <v>385.26299999999998</v>
      </c>
      <c r="AB9" s="65" t="s">
        <v>62</v>
      </c>
      <c r="AC9" s="64">
        <v>198.60299999999998</v>
      </c>
      <c r="AD9" s="64">
        <v>217.29599999999999</v>
      </c>
    </row>
    <row r="10" spans="1:32" s="76" customFormat="1">
      <c r="A10" s="13" t="s">
        <v>20</v>
      </c>
      <c r="B10" s="13" t="s">
        <v>366</v>
      </c>
      <c r="C10" s="66" t="s">
        <v>367</v>
      </c>
      <c r="D10" s="67" t="s">
        <v>368</v>
      </c>
      <c r="E10" s="13" t="s">
        <v>364</v>
      </c>
      <c r="F10" s="66" t="s">
        <v>362</v>
      </c>
      <c r="G10" s="67" t="s">
        <v>365</v>
      </c>
      <c r="H10" s="67" t="s">
        <v>27</v>
      </c>
      <c r="I10" s="67" t="s">
        <v>34</v>
      </c>
      <c r="J10" s="68" t="s">
        <v>507</v>
      </c>
      <c r="K10" s="67" t="s">
        <v>35</v>
      </c>
      <c r="L10" s="67" t="s">
        <v>36</v>
      </c>
      <c r="M10" s="67" t="s">
        <v>369</v>
      </c>
      <c r="N10" s="67" t="s">
        <v>169</v>
      </c>
      <c r="O10" s="69"/>
      <c r="P10" s="70">
        <f>IFERROR(VLOOKUP(J10,'Obs Tecnicas'!$D$2:$I$320,5,0),O10)</f>
        <v>44333</v>
      </c>
      <c r="Q10" s="69" t="str">
        <f t="shared" ca="1" si="0"/>
        <v>Calibrado</v>
      </c>
      <c r="R10" s="71">
        <f>IFERROR(VLOOKUP(J10,'Obs Tecnicas'!$D$2:$G$340,2,0),"")</f>
        <v>12322</v>
      </c>
      <c r="S10" s="67" t="str">
        <f>IFERROR(VLOOKUP(J10,'Obs Tecnicas'!$D$2:$G$344,3,0),"Hexis")</f>
        <v>ER ANALITICA</v>
      </c>
      <c r="T10" s="67">
        <f>IFERROR(VLOOKUP(J10,'Obs Tecnicas'!$D$2:$G$344,4,0),"")</f>
        <v>0</v>
      </c>
      <c r="U10" s="13" t="s">
        <v>550</v>
      </c>
      <c r="V10" s="13">
        <f t="shared" si="1"/>
        <v>5</v>
      </c>
      <c r="W10" s="72">
        <f t="shared" si="2"/>
        <v>101.655</v>
      </c>
      <c r="X10" s="72">
        <f t="shared" si="3"/>
        <v>195.22799999999998</v>
      </c>
      <c r="AB10" s="65" t="s">
        <v>587</v>
      </c>
      <c r="AC10" s="64">
        <v>85.34</v>
      </c>
      <c r="AD10" s="64">
        <v>199.65600000000001</v>
      </c>
      <c r="AF10" s="104"/>
    </row>
    <row r="11" spans="1:32" s="76" customFormat="1">
      <c r="A11" s="13" t="s">
        <v>20</v>
      </c>
      <c r="B11" s="13" t="s">
        <v>344</v>
      </c>
      <c r="C11" s="66" t="s">
        <v>345</v>
      </c>
      <c r="D11" s="67" t="s">
        <v>346</v>
      </c>
      <c r="E11" s="13" t="s">
        <v>347</v>
      </c>
      <c r="F11" s="66" t="s">
        <v>348</v>
      </c>
      <c r="G11" s="67" t="s">
        <v>318</v>
      </c>
      <c r="H11" s="67" t="s">
        <v>102</v>
      </c>
      <c r="I11" s="67" t="s">
        <v>52</v>
      </c>
      <c r="J11" s="68" t="s">
        <v>349</v>
      </c>
      <c r="K11" s="67" t="s">
        <v>53</v>
      </c>
      <c r="L11" s="67" t="s">
        <v>86</v>
      </c>
      <c r="M11" s="67" t="s">
        <v>350</v>
      </c>
      <c r="N11" s="67" t="s">
        <v>169</v>
      </c>
      <c r="O11" s="69">
        <v>44035</v>
      </c>
      <c r="P11" s="70">
        <f>IFERROR(VLOOKUP(J11,'Obs Tecnicas'!$D$2:$I$320,5,0),O11)</f>
        <v>44035</v>
      </c>
      <c r="Q11" s="69" t="str">
        <f t="shared" ca="1" si="0"/>
        <v>Vencido</v>
      </c>
      <c r="R11" s="71" t="str">
        <f>IFERROR(VLOOKUP(J11,'Obs Tecnicas'!$D$2:$G$340,2,0),"")</f>
        <v/>
      </c>
      <c r="S11" s="67" t="str">
        <f>IFERROR(VLOOKUP(J11,'Obs Tecnicas'!$D$2:$G$344,3,0),"Hexis")</f>
        <v>Hexis</v>
      </c>
      <c r="T11" s="67" t="str">
        <f>IFERROR(VLOOKUP(J11,'Obs Tecnicas'!$D$2:$G$344,4,0),"")</f>
        <v/>
      </c>
      <c r="U11" s="13" t="s">
        <v>464</v>
      </c>
      <c r="V11" s="13">
        <f t="shared" si="1"/>
        <v>7</v>
      </c>
      <c r="W11" s="72">
        <f t="shared" si="2"/>
        <v>178.434</v>
      </c>
      <c r="X11" s="72">
        <f t="shared" si="3"/>
        <v>318.94200000000001</v>
      </c>
      <c r="AE11" s="13" t="s">
        <v>807</v>
      </c>
      <c r="AF11" s="104">
        <v>44425</v>
      </c>
    </row>
    <row r="12" spans="1:32" s="76" customFormat="1">
      <c r="A12" s="13" t="s">
        <v>20</v>
      </c>
      <c r="B12" s="13" t="s">
        <v>344</v>
      </c>
      <c r="C12" s="66" t="s">
        <v>345</v>
      </c>
      <c r="D12" s="67" t="s">
        <v>346</v>
      </c>
      <c r="E12" s="13" t="s">
        <v>347</v>
      </c>
      <c r="F12" s="66" t="s">
        <v>348</v>
      </c>
      <c r="G12" s="67" t="s">
        <v>318</v>
      </c>
      <c r="H12" s="67" t="s">
        <v>102</v>
      </c>
      <c r="I12" s="67" t="s">
        <v>52</v>
      </c>
      <c r="J12" s="68" t="s">
        <v>351</v>
      </c>
      <c r="K12" s="67" t="s">
        <v>53</v>
      </c>
      <c r="L12" s="67" t="s">
        <v>86</v>
      </c>
      <c r="M12" s="67" t="s">
        <v>350</v>
      </c>
      <c r="N12" s="67" t="s">
        <v>169</v>
      </c>
      <c r="O12" s="69">
        <v>44035</v>
      </c>
      <c r="P12" s="70">
        <f>IFERROR(VLOOKUP(J12,'Obs Tecnicas'!$D$2:$I$320,5,0),O12)</f>
        <v>44035</v>
      </c>
      <c r="Q12" s="69" t="str">
        <f t="shared" ca="1" si="0"/>
        <v>Vencido</v>
      </c>
      <c r="R12" s="71" t="str">
        <f>IFERROR(VLOOKUP(J12,'Obs Tecnicas'!$D$2:$G$340,2,0),"")</f>
        <v/>
      </c>
      <c r="S12" s="67" t="str">
        <f>IFERROR(VLOOKUP(J12,'Obs Tecnicas'!$D$2:$G$344,3,0),"Hexis")</f>
        <v>Hexis</v>
      </c>
      <c r="T12" s="67" t="str">
        <f>IFERROR(VLOOKUP(J12,'Obs Tecnicas'!$D$2:$G$344,4,0),"")</f>
        <v/>
      </c>
      <c r="U12" s="13" t="s">
        <v>464</v>
      </c>
      <c r="V12" s="13">
        <f t="shared" si="1"/>
        <v>7</v>
      </c>
      <c r="W12" s="72">
        <f t="shared" si="2"/>
        <v>178.434</v>
      </c>
      <c r="X12" s="72">
        <f t="shared" si="3"/>
        <v>318.94200000000001</v>
      </c>
      <c r="AE12" s="13" t="s">
        <v>807</v>
      </c>
      <c r="AF12" s="104">
        <v>44425</v>
      </c>
    </row>
    <row r="13" spans="1:32">
      <c r="A13" s="13" t="s">
        <v>20</v>
      </c>
      <c r="B13" s="13" t="s">
        <v>344</v>
      </c>
      <c r="C13" s="66" t="s">
        <v>345</v>
      </c>
      <c r="D13" s="67" t="s">
        <v>346</v>
      </c>
      <c r="E13" s="13" t="s">
        <v>347</v>
      </c>
      <c r="F13" s="66" t="s">
        <v>348</v>
      </c>
      <c r="G13" s="67" t="s">
        <v>318</v>
      </c>
      <c r="H13" s="67" t="s">
        <v>102</v>
      </c>
      <c r="I13" s="67" t="s">
        <v>52</v>
      </c>
      <c r="J13" s="68" t="s">
        <v>352</v>
      </c>
      <c r="K13" s="67" t="s">
        <v>53</v>
      </c>
      <c r="L13" s="67" t="s">
        <v>86</v>
      </c>
      <c r="M13" s="67" t="s">
        <v>350</v>
      </c>
      <c r="N13" s="67" t="s">
        <v>169</v>
      </c>
      <c r="O13" s="69">
        <v>44035</v>
      </c>
      <c r="P13" s="70">
        <f>IFERROR(VLOOKUP(J13,'Obs Tecnicas'!$D$2:$I$320,5,0),O13)</f>
        <v>44035</v>
      </c>
      <c r="Q13" s="69" t="str">
        <f t="shared" ca="1" si="0"/>
        <v>Vencido</v>
      </c>
      <c r="R13" s="71" t="str">
        <f>IFERROR(VLOOKUP(J13,'Obs Tecnicas'!$D$2:$G$340,2,0),"")</f>
        <v/>
      </c>
      <c r="S13" s="67" t="str">
        <f>IFERROR(VLOOKUP(J13,'Obs Tecnicas'!$D$2:$G$344,3,0),"Hexis")</f>
        <v>Hexis</v>
      </c>
      <c r="T13" s="67" t="str">
        <f>IFERROR(VLOOKUP(J13,'Obs Tecnicas'!$D$2:$G$344,4,0),"")</f>
        <v/>
      </c>
      <c r="U13" s="13" t="s">
        <v>464</v>
      </c>
      <c r="V13" s="13">
        <f t="shared" si="1"/>
        <v>7</v>
      </c>
      <c r="W13" s="72">
        <f t="shared" si="2"/>
        <v>178.434</v>
      </c>
      <c r="X13" s="72">
        <f t="shared" si="3"/>
        <v>318.94200000000001</v>
      </c>
      <c r="AE13" s="13" t="s">
        <v>807</v>
      </c>
      <c r="AF13" s="104">
        <v>44425</v>
      </c>
    </row>
    <row r="14" spans="1:32">
      <c r="A14" s="13" t="s">
        <v>20</v>
      </c>
      <c r="B14" s="13" t="s">
        <v>344</v>
      </c>
      <c r="C14" s="66" t="s">
        <v>345</v>
      </c>
      <c r="D14" s="67" t="s">
        <v>346</v>
      </c>
      <c r="E14" s="13" t="s">
        <v>347</v>
      </c>
      <c r="F14" s="66" t="s">
        <v>348</v>
      </c>
      <c r="G14" s="67" t="s">
        <v>318</v>
      </c>
      <c r="H14" s="67" t="s">
        <v>102</v>
      </c>
      <c r="I14" s="67" t="s">
        <v>45</v>
      </c>
      <c r="J14" s="68" t="s">
        <v>714</v>
      </c>
      <c r="K14" s="67" t="s">
        <v>53</v>
      </c>
      <c r="L14" s="67" t="s">
        <v>61</v>
      </c>
      <c r="M14" s="67" t="s">
        <v>350</v>
      </c>
      <c r="N14" s="67" t="s">
        <v>169</v>
      </c>
      <c r="O14" s="69">
        <v>44035</v>
      </c>
      <c r="P14" s="70">
        <f>IFERROR(VLOOKUP(J14,'Obs Tecnicas'!$D$2:$I$320,5,0),O14)</f>
        <v>44035</v>
      </c>
      <c r="Q14" s="69" t="str">
        <f t="shared" ca="1" si="0"/>
        <v>Vencido</v>
      </c>
      <c r="R14" s="71" t="str">
        <f>IFERROR(VLOOKUP(J14,'Obs Tecnicas'!$D$2:$G$340,2,0),"")</f>
        <v/>
      </c>
      <c r="S14" s="67" t="str">
        <f>IFERROR(VLOOKUP(J14,'Obs Tecnicas'!$D$2:$G$344,3,0),"Hexis")</f>
        <v>Hexis</v>
      </c>
      <c r="T14" s="67" t="str">
        <f>IFERROR(VLOOKUP(J14,'Obs Tecnicas'!$D$2:$G$344,4,0),"")</f>
        <v/>
      </c>
      <c r="U14" s="13" t="s">
        <v>464</v>
      </c>
      <c r="V14" s="13">
        <f t="shared" si="1"/>
        <v>7</v>
      </c>
      <c r="W14" s="72">
        <f t="shared" si="2"/>
        <v>420.44400000000002</v>
      </c>
      <c r="X14" s="72">
        <f t="shared" si="3"/>
        <v>385.26299999999998</v>
      </c>
      <c r="AE14" s="13" t="s">
        <v>807</v>
      </c>
      <c r="AF14" s="104">
        <v>44425</v>
      </c>
    </row>
    <row r="15" spans="1:32">
      <c r="A15" s="13" t="s">
        <v>20</v>
      </c>
      <c r="B15" s="13" t="s">
        <v>344</v>
      </c>
      <c r="C15" s="66" t="s">
        <v>345</v>
      </c>
      <c r="D15" s="67" t="s">
        <v>346</v>
      </c>
      <c r="E15" s="13" t="s">
        <v>347</v>
      </c>
      <c r="F15" s="66" t="s">
        <v>348</v>
      </c>
      <c r="G15" s="67" t="s">
        <v>318</v>
      </c>
      <c r="H15" s="67" t="s">
        <v>102</v>
      </c>
      <c r="I15" s="67" t="s">
        <v>79</v>
      </c>
      <c r="J15" s="68" t="s">
        <v>715</v>
      </c>
      <c r="K15" s="67" t="s">
        <v>77</v>
      </c>
      <c r="L15" s="67" t="s">
        <v>80</v>
      </c>
      <c r="M15" s="67" t="s">
        <v>350</v>
      </c>
      <c r="N15" s="67" t="s">
        <v>169</v>
      </c>
      <c r="O15" s="69">
        <v>44035</v>
      </c>
      <c r="P15" s="70">
        <f>IFERROR(VLOOKUP(J15,'Obs Tecnicas'!$D$2:$I$320,5,0),O15)</f>
        <v>44035</v>
      </c>
      <c r="Q15" s="69" t="str">
        <f t="shared" ca="1" si="0"/>
        <v>Vencido</v>
      </c>
      <c r="R15" s="71" t="str">
        <f>IFERROR(VLOOKUP(J15,'Obs Tecnicas'!$D$2:$G$340,2,0),"")</f>
        <v/>
      </c>
      <c r="S15" s="67" t="str">
        <f>IFERROR(VLOOKUP(J15,'Obs Tecnicas'!$D$2:$G$344,3,0),"Hexis")</f>
        <v>Hexis</v>
      </c>
      <c r="T15" s="67" t="str">
        <f>IFERROR(VLOOKUP(J15,'Obs Tecnicas'!$D$2:$G$344,4,0),"")</f>
        <v/>
      </c>
      <c r="U15" s="13" t="s">
        <v>464</v>
      </c>
      <c r="V15" s="13">
        <f t="shared" si="1"/>
        <v>7</v>
      </c>
      <c r="W15" s="72">
        <f t="shared" si="2"/>
        <v>101.655</v>
      </c>
      <c r="X15" s="72">
        <f t="shared" si="3"/>
        <v>390.45599999999996</v>
      </c>
      <c r="AE15" s="13" t="s">
        <v>807</v>
      </c>
      <c r="AF15" s="104">
        <v>44425</v>
      </c>
    </row>
    <row r="16" spans="1:32">
      <c r="A16" s="13" t="s">
        <v>20</v>
      </c>
      <c r="B16" s="13" t="s">
        <v>344</v>
      </c>
      <c r="C16" s="66" t="s">
        <v>345</v>
      </c>
      <c r="D16" s="67" t="s">
        <v>346</v>
      </c>
      <c r="E16" s="13" t="s">
        <v>347</v>
      </c>
      <c r="F16" s="66" t="s">
        <v>348</v>
      </c>
      <c r="G16" s="67" t="s">
        <v>318</v>
      </c>
      <c r="H16" s="67" t="s">
        <v>102</v>
      </c>
      <c r="I16" s="67" t="s">
        <v>79</v>
      </c>
      <c r="J16" s="68" t="s">
        <v>716</v>
      </c>
      <c r="K16" s="67" t="s">
        <v>77</v>
      </c>
      <c r="L16" s="67" t="s">
        <v>80</v>
      </c>
      <c r="M16" s="67" t="s">
        <v>350</v>
      </c>
      <c r="N16" s="67" t="s">
        <v>169</v>
      </c>
      <c r="O16" s="69">
        <v>44035</v>
      </c>
      <c r="P16" s="70">
        <f>IFERROR(VLOOKUP(J16,'Obs Tecnicas'!$D$2:$I$320,5,0),O16)</f>
        <v>44035</v>
      </c>
      <c r="Q16" s="69" t="str">
        <f t="shared" ca="1" si="0"/>
        <v>Vencido</v>
      </c>
      <c r="R16" s="71" t="str">
        <f>IFERROR(VLOOKUP(J16,'Obs Tecnicas'!$D$2:$G$340,2,0),"")</f>
        <v/>
      </c>
      <c r="S16" s="67" t="str">
        <f>IFERROR(VLOOKUP(J16,'Obs Tecnicas'!$D$2:$G$344,3,0),"Hexis")</f>
        <v>Hexis</v>
      </c>
      <c r="T16" s="67" t="str">
        <f>IFERROR(VLOOKUP(J16,'Obs Tecnicas'!$D$2:$G$344,4,0),"")</f>
        <v/>
      </c>
      <c r="U16" s="13" t="s">
        <v>464</v>
      </c>
      <c r="V16" s="13">
        <f t="shared" si="1"/>
        <v>7</v>
      </c>
      <c r="W16" s="72">
        <f t="shared" si="2"/>
        <v>101.655</v>
      </c>
      <c r="X16" s="72">
        <f t="shared" si="3"/>
        <v>390.45599999999996</v>
      </c>
      <c r="AE16" s="13" t="s">
        <v>807</v>
      </c>
      <c r="AF16" s="104">
        <v>44425</v>
      </c>
    </row>
    <row r="17" spans="1:32">
      <c r="A17" s="13" t="s">
        <v>20</v>
      </c>
      <c r="B17" s="13" t="s">
        <v>344</v>
      </c>
      <c r="C17" s="66" t="s">
        <v>345</v>
      </c>
      <c r="D17" s="67" t="s">
        <v>346</v>
      </c>
      <c r="E17" s="13" t="s">
        <v>347</v>
      </c>
      <c r="F17" s="66" t="s">
        <v>348</v>
      </c>
      <c r="G17" s="67" t="s">
        <v>318</v>
      </c>
      <c r="H17" s="67" t="s">
        <v>102</v>
      </c>
      <c r="I17" s="67" t="s">
        <v>34</v>
      </c>
      <c r="J17" s="68" t="s">
        <v>717</v>
      </c>
      <c r="K17" s="67" t="s">
        <v>35</v>
      </c>
      <c r="L17" s="67" t="s">
        <v>36</v>
      </c>
      <c r="M17" s="67" t="s">
        <v>350</v>
      </c>
      <c r="N17" s="67" t="s">
        <v>169</v>
      </c>
      <c r="O17" s="69">
        <v>44035</v>
      </c>
      <c r="P17" s="70">
        <f>IFERROR(VLOOKUP(J17,'Obs Tecnicas'!$D$2:$I$320,5,0),O17)</f>
        <v>44035</v>
      </c>
      <c r="Q17" s="69" t="str">
        <f t="shared" ca="1" si="0"/>
        <v>Vencido</v>
      </c>
      <c r="R17" s="71" t="str">
        <f>IFERROR(VLOOKUP(J17,'Obs Tecnicas'!$D$2:$G$340,2,0),"")</f>
        <v/>
      </c>
      <c r="S17" s="67" t="str">
        <f>IFERROR(VLOOKUP(J17,'Obs Tecnicas'!$D$2:$G$344,3,0),"Hexis")</f>
        <v>Hexis</v>
      </c>
      <c r="T17" s="67" t="str">
        <f>IFERROR(VLOOKUP(J17,'Obs Tecnicas'!$D$2:$G$344,4,0),"")</f>
        <v/>
      </c>
      <c r="U17" s="13" t="s">
        <v>464</v>
      </c>
      <c r="V17" s="13">
        <f t="shared" si="1"/>
        <v>7</v>
      </c>
      <c r="W17" s="72">
        <f t="shared" si="2"/>
        <v>101.655</v>
      </c>
      <c r="X17" s="72">
        <f t="shared" si="3"/>
        <v>195.22799999999998</v>
      </c>
      <c r="AE17" s="13" t="s">
        <v>807</v>
      </c>
      <c r="AF17" s="104">
        <v>44425</v>
      </c>
    </row>
    <row r="18" spans="1:32">
      <c r="A18" s="13" t="s">
        <v>20</v>
      </c>
      <c r="B18" s="13" t="s">
        <v>260</v>
      </c>
      <c r="C18" s="66" t="s">
        <v>261</v>
      </c>
      <c r="D18" s="67" t="s">
        <v>262</v>
      </c>
      <c r="E18" s="13" t="s">
        <v>183</v>
      </c>
      <c r="F18" s="66" t="s">
        <v>184</v>
      </c>
      <c r="G18" s="67" t="s">
        <v>177</v>
      </c>
      <c r="H18" s="67" t="s">
        <v>263</v>
      </c>
      <c r="I18" s="67" t="s">
        <v>28</v>
      </c>
      <c r="J18" s="68" t="s">
        <v>264</v>
      </c>
      <c r="K18" s="67" t="s">
        <v>30</v>
      </c>
      <c r="L18" s="67" t="s">
        <v>186</v>
      </c>
      <c r="M18" s="75" t="s">
        <v>265</v>
      </c>
      <c r="N18" s="67" t="s">
        <v>266</v>
      </c>
      <c r="O18" s="69">
        <v>44068</v>
      </c>
      <c r="P18" s="70">
        <f>IFERROR(VLOOKUP(J18,'Obs Tecnicas'!$D$2:$I$320,5,0),O18)</f>
        <v>44068</v>
      </c>
      <c r="Q18" s="69" t="str">
        <f t="shared" ca="1" si="0"/>
        <v>Calibrado</v>
      </c>
      <c r="R18" s="71" t="str">
        <f>IFERROR(VLOOKUP(J18,'Obs Tecnicas'!$D$2:$G$340,2,0),"")</f>
        <v/>
      </c>
      <c r="S18" s="67" t="str">
        <f>IFERROR(VLOOKUP(J18,'Obs Tecnicas'!$D$2:$G$344,3,0),"Hexis")</f>
        <v>Hexis</v>
      </c>
      <c r="T18" s="67" t="str">
        <f>IFERROR(VLOOKUP(J18,'Obs Tecnicas'!$D$2:$G$344,4,0),"")</f>
        <v/>
      </c>
      <c r="U18" s="13" t="s">
        <v>464</v>
      </c>
      <c r="V18" s="13">
        <f t="shared" si="1"/>
        <v>8</v>
      </c>
      <c r="W18" s="72">
        <f t="shared" si="2"/>
        <v>165.75299999999999</v>
      </c>
      <c r="X18" s="72">
        <f t="shared" si="3"/>
        <v>245.34000000000003</v>
      </c>
      <c r="AF18" s="104">
        <v>44438</v>
      </c>
    </row>
    <row r="19" spans="1:32">
      <c r="A19" s="13" t="s">
        <v>20</v>
      </c>
      <c r="B19" s="13" t="s">
        <v>260</v>
      </c>
      <c r="C19" s="66" t="s">
        <v>261</v>
      </c>
      <c r="D19" s="67" t="s">
        <v>262</v>
      </c>
      <c r="E19" s="13" t="s">
        <v>183</v>
      </c>
      <c r="F19" s="66" t="s">
        <v>184</v>
      </c>
      <c r="G19" s="67" t="s">
        <v>177</v>
      </c>
      <c r="H19" s="67" t="s">
        <v>263</v>
      </c>
      <c r="I19" s="67" t="s">
        <v>52</v>
      </c>
      <c r="J19" s="68" t="s">
        <v>267</v>
      </c>
      <c r="K19" s="67" t="s">
        <v>53</v>
      </c>
      <c r="L19" s="67" t="s">
        <v>86</v>
      </c>
      <c r="M19" s="75" t="s">
        <v>265</v>
      </c>
      <c r="N19" s="67" t="s">
        <v>266</v>
      </c>
      <c r="O19" s="69">
        <v>44068</v>
      </c>
      <c r="P19" s="70">
        <f>IFERROR(VLOOKUP(J19,'Obs Tecnicas'!$D$2:$I$320,5,0),O19)</f>
        <v>44068</v>
      </c>
      <c r="Q19" s="69" t="str">
        <f t="shared" ca="1" si="0"/>
        <v>Calibrado</v>
      </c>
      <c r="R19" s="71" t="str">
        <f>IFERROR(VLOOKUP(J19,'Obs Tecnicas'!$D$2:$G$340,2,0),"")</f>
        <v/>
      </c>
      <c r="S19" s="67" t="str">
        <f>IFERROR(VLOOKUP(J19,'Obs Tecnicas'!$D$2:$G$344,3,0),"Hexis")</f>
        <v>Hexis</v>
      </c>
      <c r="T19" s="67" t="str">
        <f>IFERROR(VLOOKUP(J19,'Obs Tecnicas'!$D$2:$G$344,4,0),"")</f>
        <v/>
      </c>
      <c r="U19" s="13" t="s">
        <v>464</v>
      </c>
      <c r="V19" s="13">
        <f t="shared" si="1"/>
        <v>8</v>
      </c>
      <c r="W19" s="72">
        <f t="shared" si="2"/>
        <v>178.434</v>
      </c>
      <c r="X19" s="72">
        <f t="shared" si="3"/>
        <v>318.94200000000001</v>
      </c>
      <c r="AF19" s="104">
        <v>44438</v>
      </c>
    </row>
    <row r="20" spans="1:32">
      <c r="A20" s="13" t="s">
        <v>20</v>
      </c>
      <c r="B20" s="13" t="s">
        <v>260</v>
      </c>
      <c r="C20" s="66" t="s">
        <v>261</v>
      </c>
      <c r="D20" s="67" t="s">
        <v>262</v>
      </c>
      <c r="E20" s="13" t="s">
        <v>183</v>
      </c>
      <c r="F20" s="66" t="s">
        <v>184</v>
      </c>
      <c r="G20" s="67" t="s">
        <v>177</v>
      </c>
      <c r="H20" s="67" t="s">
        <v>263</v>
      </c>
      <c r="I20" s="67" t="s">
        <v>34</v>
      </c>
      <c r="J20" s="68" t="s">
        <v>672</v>
      </c>
      <c r="K20" s="67" t="s">
        <v>94</v>
      </c>
      <c r="L20" s="67" t="s">
        <v>123</v>
      </c>
      <c r="M20" s="75" t="s">
        <v>265</v>
      </c>
      <c r="N20" s="67" t="s">
        <v>266</v>
      </c>
      <c r="O20" s="69">
        <v>44068</v>
      </c>
      <c r="P20" s="70">
        <f>IFERROR(VLOOKUP(J20,'Obs Tecnicas'!$D$2:$I$320,5,0),O20)</f>
        <v>44068</v>
      </c>
      <c r="Q20" s="69" t="str">
        <f t="shared" ca="1" si="0"/>
        <v>Calibrado</v>
      </c>
      <c r="R20" s="71" t="str">
        <f>IFERROR(VLOOKUP(J20,'Obs Tecnicas'!$D$2:$G$340,2,0),"")</f>
        <v/>
      </c>
      <c r="S20" s="67" t="str">
        <f>IFERROR(VLOOKUP(J20,'Obs Tecnicas'!$D$2:$G$344,3,0),"Hexis")</f>
        <v>Hexis</v>
      </c>
      <c r="T20" s="67" t="str">
        <f>IFERROR(VLOOKUP(J20,'Obs Tecnicas'!$D$2:$G$344,4,0),"")</f>
        <v/>
      </c>
      <c r="U20" s="13" t="s">
        <v>464</v>
      </c>
      <c r="V20" s="13">
        <f t="shared" si="1"/>
        <v>8</v>
      </c>
      <c r="W20" s="72">
        <f t="shared" si="2"/>
        <v>101.655</v>
      </c>
      <c r="X20" s="72">
        <f t="shared" si="3"/>
        <v>195.22799999999998</v>
      </c>
      <c r="AF20" s="104">
        <v>44438</v>
      </c>
    </row>
    <row r="21" spans="1:32">
      <c r="A21" s="13" t="s">
        <v>20</v>
      </c>
      <c r="B21" s="13" t="s">
        <v>260</v>
      </c>
      <c r="C21" s="66" t="s">
        <v>261</v>
      </c>
      <c r="D21" s="67" t="s">
        <v>262</v>
      </c>
      <c r="E21" s="13" t="s">
        <v>183</v>
      </c>
      <c r="F21" s="66" t="s">
        <v>184</v>
      </c>
      <c r="G21" s="67" t="s">
        <v>177</v>
      </c>
      <c r="H21" s="67" t="s">
        <v>263</v>
      </c>
      <c r="I21" s="67" t="s">
        <v>62</v>
      </c>
      <c r="J21" s="80" t="s">
        <v>268</v>
      </c>
      <c r="K21" s="67" t="s">
        <v>53</v>
      </c>
      <c r="L21" s="67" t="s">
        <v>63</v>
      </c>
      <c r="M21" s="67" t="s">
        <v>265</v>
      </c>
      <c r="N21" s="67" t="s">
        <v>266</v>
      </c>
      <c r="O21" s="69">
        <v>44068</v>
      </c>
      <c r="P21" s="70">
        <f>IFERROR(VLOOKUP(J21,'Obs Tecnicas'!$D$2:$I$320,5,0),O21)</f>
        <v>44068</v>
      </c>
      <c r="Q21" s="69" t="str">
        <f t="shared" ca="1" si="0"/>
        <v>Calibrado</v>
      </c>
      <c r="R21" s="71" t="str">
        <f>IFERROR(VLOOKUP(J21,'Obs Tecnicas'!$D$2:$G$340,2,0),"")</f>
        <v/>
      </c>
      <c r="S21" s="67" t="str">
        <f>IFERROR(VLOOKUP(J21,'Obs Tecnicas'!$D$2:$G$344,3,0),"Hexis")</f>
        <v>Hexis</v>
      </c>
      <c r="T21" s="67" t="str">
        <f>IFERROR(VLOOKUP(J21,'Obs Tecnicas'!$D$2:$G$344,4,0),"")</f>
        <v/>
      </c>
      <c r="U21" s="13" t="s">
        <v>464</v>
      </c>
      <c r="V21" s="13">
        <f t="shared" si="1"/>
        <v>8</v>
      </c>
      <c r="W21" s="72">
        <f t="shared" si="2"/>
        <v>198.60299999999998</v>
      </c>
      <c r="X21" s="72">
        <f t="shared" si="3"/>
        <v>217.29599999999999</v>
      </c>
      <c r="AF21" s="104">
        <v>44438</v>
      </c>
    </row>
    <row r="22" spans="1:32">
      <c r="A22" s="13" t="s">
        <v>20</v>
      </c>
      <c r="B22" s="13" t="s">
        <v>260</v>
      </c>
      <c r="C22" s="66" t="s">
        <v>261</v>
      </c>
      <c r="D22" s="67" t="s">
        <v>262</v>
      </c>
      <c r="E22" s="13" t="s">
        <v>183</v>
      </c>
      <c r="F22" s="66" t="s">
        <v>184</v>
      </c>
      <c r="G22" s="67" t="s">
        <v>177</v>
      </c>
      <c r="H22" s="67" t="s">
        <v>263</v>
      </c>
      <c r="I22" s="67" t="s">
        <v>55</v>
      </c>
      <c r="J22" s="80" t="s">
        <v>269</v>
      </c>
      <c r="K22" s="67" t="s">
        <v>53</v>
      </c>
      <c r="L22" s="67" t="s">
        <v>57</v>
      </c>
      <c r="M22" s="75" t="s">
        <v>265</v>
      </c>
      <c r="N22" s="67" t="s">
        <v>266</v>
      </c>
      <c r="O22" s="69">
        <v>44068</v>
      </c>
      <c r="P22" s="70">
        <f>IFERROR(VLOOKUP(J22,'Obs Tecnicas'!$D$2:$I$320,5,0),O22)</f>
        <v>44068</v>
      </c>
      <c r="Q22" s="69" t="str">
        <f t="shared" ca="1" si="0"/>
        <v>Calibrado</v>
      </c>
      <c r="R22" s="71" t="str">
        <f>IFERROR(VLOOKUP(J22,'Obs Tecnicas'!$D$2:$G$340,2,0),"")</f>
        <v/>
      </c>
      <c r="S22" s="67" t="str">
        <f>IFERROR(VLOOKUP(J22,'Obs Tecnicas'!$D$2:$G$344,3,0),"Hexis")</f>
        <v>Hexis</v>
      </c>
      <c r="T22" s="67" t="str">
        <f>IFERROR(VLOOKUP(J22,'Obs Tecnicas'!$D$2:$G$344,4,0),"")</f>
        <v/>
      </c>
      <c r="U22" s="13" t="s">
        <v>464</v>
      </c>
      <c r="V22" s="13">
        <f t="shared" si="1"/>
        <v>8</v>
      </c>
      <c r="W22" s="72" t="e">
        <f t="shared" si="2"/>
        <v>#N/A</v>
      </c>
      <c r="X22" s="72" t="e">
        <f t="shared" si="3"/>
        <v>#N/A</v>
      </c>
      <c r="AF22" s="104">
        <v>44438</v>
      </c>
    </row>
    <row r="23" spans="1:32">
      <c r="A23" s="13" t="s">
        <v>20</v>
      </c>
      <c r="B23" s="13" t="s">
        <v>260</v>
      </c>
      <c r="C23" s="66" t="s">
        <v>261</v>
      </c>
      <c r="D23" s="67" t="s">
        <v>262</v>
      </c>
      <c r="E23" s="13" t="s">
        <v>183</v>
      </c>
      <c r="F23" s="66" t="s">
        <v>184</v>
      </c>
      <c r="G23" s="67" t="s">
        <v>177</v>
      </c>
      <c r="H23" s="67" t="s">
        <v>263</v>
      </c>
      <c r="I23" s="67" t="s">
        <v>55</v>
      </c>
      <c r="J23" s="80" t="s">
        <v>270</v>
      </c>
      <c r="K23" s="67" t="s">
        <v>53</v>
      </c>
      <c r="L23" s="67" t="s">
        <v>57</v>
      </c>
      <c r="M23" s="75" t="s">
        <v>265</v>
      </c>
      <c r="N23" s="67" t="s">
        <v>266</v>
      </c>
      <c r="O23" s="69">
        <v>44068</v>
      </c>
      <c r="P23" s="70">
        <f>IFERROR(VLOOKUP(J23,'Obs Tecnicas'!$D$2:$I$320,5,0),O23)</f>
        <v>44068</v>
      </c>
      <c r="Q23" s="69" t="str">
        <f t="shared" ca="1" si="0"/>
        <v>Calibrado</v>
      </c>
      <c r="R23" s="71" t="str">
        <f>IFERROR(VLOOKUP(J23,'Obs Tecnicas'!$D$2:$G$340,2,0),"")</f>
        <v/>
      </c>
      <c r="S23" s="67" t="str">
        <f>IFERROR(VLOOKUP(J23,'Obs Tecnicas'!$D$2:$G$344,3,0),"Hexis")</f>
        <v>Hexis</v>
      </c>
      <c r="T23" s="67" t="str">
        <f>IFERROR(VLOOKUP(J23,'Obs Tecnicas'!$D$2:$G$344,4,0),"")</f>
        <v/>
      </c>
      <c r="U23" s="13" t="s">
        <v>464</v>
      </c>
      <c r="V23" s="13">
        <f t="shared" si="1"/>
        <v>8</v>
      </c>
      <c r="W23" s="72" t="e">
        <f t="shared" si="2"/>
        <v>#N/A</v>
      </c>
      <c r="X23" s="72" t="e">
        <f t="shared" si="3"/>
        <v>#N/A</v>
      </c>
      <c r="AF23" s="104">
        <v>44438</v>
      </c>
    </row>
    <row r="24" spans="1:32">
      <c r="A24" s="13" t="s">
        <v>20</v>
      </c>
      <c r="B24" s="13" t="s">
        <v>260</v>
      </c>
      <c r="C24" s="66" t="s">
        <v>261</v>
      </c>
      <c r="D24" s="67" t="s">
        <v>262</v>
      </c>
      <c r="E24" s="13" t="s">
        <v>183</v>
      </c>
      <c r="F24" s="66" t="s">
        <v>184</v>
      </c>
      <c r="G24" s="67" t="s">
        <v>177</v>
      </c>
      <c r="H24" s="67" t="s">
        <v>263</v>
      </c>
      <c r="I24" s="67" t="s">
        <v>45</v>
      </c>
      <c r="J24" s="68" t="s">
        <v>673</v>
      </c>
      <c r="K24" s="67" t="s">
        <v>53</v>
      </c>
      <c r="L24" s="67" t="s">
        <v>61</v>
      </c>
      <c r="M24" s="75" t="s">
        <v>265</v>
      </c>
      <c r="N24" s="67" t="s">
        <v>266</v>
      </c>
      <c r="O24" s="69">
        <v>44068</v>
      </c>
      <c r="P24" s="70">
        <f>IFERROR(VLOOKUP(J24,'Obs Tecnicas'!$D$2:$I$320,5,0),O24)</f>
        <v>44068</v>
      </c>
      <c r="Q24" s="69" t="str">
        <f t="shared" ca="1" si="0"/>
        <v>Calibrado</v>
      </c>
      <c r="R24" s="71" t="str">
        <f>IFERROR(VLOOKUP(J24,'Obs Tecnicas'!$D$2:$G$340,2,0),"")</f>
        <v/>
      </c>
      <c r="S24" s="67" t="str">
        <f>IFERROR(VLOOKUP(J24,'Obs Tecnicas'!$D$2:$G$344,3,0),"Hexis")</f>
        <v>Hexis</v>
      </c>
      <c r="T24" s="67" t="str">
        <f>IFERROR(VLOOKUP(J24,'Obs Tecnicas'!$D$2:$G$344,4,0),"")</f>
        <v/>
      </c>
      <c r="U24" s="13" t="s">
        <v>464</v>
      </c>
      <c r="V24" s="13">
        <f t="shared" si="1"/>
        <v>8</v>
      </c>
      <c r="W24" s="72">
        <f t="shared" si="2"/>
        <v>420.44400000000002</v>
      </c>
      <c r="X24" s="72">
        <f t="shared" si="3"/>
        <v>385.26299999999998</v>
      </c>
      <c r="AF24" s="104">
        <v>44438</v>
      </c>
    </row>
    <row r="25" spans="1:32">
      <c r="A25" s="13" t="s">
        <v>20</v>
      </c>
      <c r="B25" s="13" t="s">
        <v>260</v>
      </c>
      <c r="C25" s="66" t="s">
        <v>261</v>
      </c>
      <c r="D25" s="67" t="s">
        <v>262</v>
      </c>
      <c r="E25" s="13" t="s">
        <v>183</v>
      </c>
      <c r="F25" s="66" t="s">
        <v>184</v>
      </c>
      <c r="G25" s="67" t="s">
        <v>177</v>
      </c>
      <c r="H25" s="67" t="s">
        <v>263</v>
      </c>
      <c r="I25" s="67" t="s">
        <v>28</v>
      </c>
      <c r="J25" s="68" t="s">
        <v>271</v>
      </c>
      <c r="K25" s="67" t="s">
        <v>30</v>
      </c>
      <c r="L25" s="67" t="s">
        <v>186</v>
      </c>
      <c r="M25" s="75" t="s">
        <v>265</v>
      </c>
      <c r="N25" s="67" t="s">
        <v>266</v>
      </c>
      <c r="O25" s="69">
        <v>44069</v>
      </c>
      <c r="P25" s="70">
        <f>IFERROR(VLOOKUP(J25,'Obs Tecnicas'!$D$2:$I$320,5,0),O25)</f>
        <v>44069</v>
      </c>
      <c r="Q25" s="69" t="str">
        <f t="shared" ca="1" si="0"/>
        <v>Calibrado</v>
      </c>
      <c r="R25" s="71" t="str">
        <f>IFERROR(VLOOKUP(J25,'Obs Tecnicas'!$D$2:$G$340,2,0),"")</f>
        <v/>
      </c>
      <c r="S25" s="67" t="str">
        <f>IFERROR(VLOOKUP(J25,'Obs Tecnicas'!$D$2:$G$344,3,0),"Hexis")</f>
        <v>Hexis</v>
      </c>
      <c r="T25" s="67" t="str">
        <f>IFERROR(VLOOKUP(J25,'Obs Tecnicas'!$D$2:$G$344,4,0),"")</f>
        <v/>
      </c>
      <c r="U25" s="13" t="s">
        <v>464</v>
      </c>
      <c r="V25" s="13">
        <f t="shared" si="1"/>
        <v>8</v>
      </c>
      <c r="W25" s="72">
        <f t="shared" si="2"/>
        <v>165.75299999999999</v>
      </c>
      <c r="X25" s="72">
        <f t="shared" si="3"/>
        <v>245.34000000000003</v>
      </c>
      <c r="AF25" s="104">
        <v>44438</v>
      </c>
    </row>
    <row r="26" spans="1:32">
      <c r="A26" s="13" t="s">
        <v>20</v>
      </c>
      <c r="B26" s="13" t="s">
        <v>260</v>
      </c>
      <c r="C26" s="66" t="s">
        <v>261</v>
      </c>
      <c r="D26" s="67" t="s">
        <v>262</v>
      </c>
      <c r="E26" s="13" t="s">
        <v>183</v>
      </c>
      <c r="F26" s="66" t="s">
        <v>184</v>
      </c>
      <c r="G26" s="67" t="s">
        <v>177</v>
      </c>
      <c r="H26" s="67" t="s">
        <v>263</v>
      </c>
      <c r="I26" s="67" t="s">
        <v>76</v>
      </c>
      <c r="J26" s="68" t="s">
        <v>674</v>
      </c>
      <c r="K26" s="67" t="s">
        <v>77</v>
      </c>
      <c r="L26" s="75" t="s">
        <v>78</v>
      </c>
      <c r="M26" s="75" t="s">
        <v>265</v>
      </c>
      <c r="N26" s="67" t="s">
        <v>266</v>
      </c>
      <c r="O26" s="69">
        <v>44069</v>
      </c>
      <c r="P26" s="70">
        <f>IFERROR(VLOOKUP(J26,'Obs Tecnicas'!$D$2:$I$320,5,0),O26)</f>
        <v>44069</v>
      </c>
      <c r="Q26" s="69" t="str">
        <f t="shared" ca="1" si="0"/>
        <v>Calibrado</v>
      </c>
      <c r="R26" s="71" t="str">
        <f>IFERROR(VLOOKUP(J26,'Obs Tecnicas'!$D$2:$G$340,2,0),"")</f>
        <v/>
      </c>
      <c r="S26" s="67" t="str">
        <f>IFERROR(VLOOKUP(J26,'Obs Tecnicas'!$D$2:$G$344,3,0),"Hexis")</f>
        <v>Hexis</v>
      </c>
      <c r="T26" s="67" t="str">
        <f>IFERROR(VLOOKUP(J26,'Obs Tecnicas'!$D$2:$G$344,4,0),"")</f>
        <v/>
      </c>
      <c r="U26" s="13" t="s">
        <v>464</v>
      </c>
      <c r="V26" s="13">
        <f t="shared" si="1"/>
        <v>8</v>
      </c>
      <c r="W26" s="72">
        <f t="shared" si="2"/>
        <v>101.655</v>
      </c>
      <c r="X26" s="72">
        <f t="shared" si="3"/>
        <v>195.22799999999998</v>
      </c>
      <c r="AF26" s="104">
        <v>44438</v>
      </c>
    </row>
    <row r="27" spans="1:32">
      <c r="A27" s="13" t="s">
        <v>20</v>
      </c>
      <c r="B27" s="13" t="s">
        <v>260</v>
      </c>
      <c r="C27" s="66" t="s">
        <v>261</v>
      </c>
      <c r="D27" s="67" t="s">
        <v>262</v>
      </c>
      <c r="E27" s="13" t="s">
        <v>183</v>
      </c>
      <c r="F27" s="66" t="s">
        <v>184</v>
      </c>
      <c r="G27" s="67" t="s">
        <v>177</v>
      </c>
      <c r="H27" s="67" t="s">
        <v>263</v>
      </c>
      <c r="I27" s="67" t="s">
        <v>76</v>
      </c>
      <c r="J27" s="68" t="s">
        <v>272</v>
      </c>
      <c r="K27" s="67" t="s">
        <v>210</v>
      </c>
      <c r="L27" s="67" t="s">
        <v>40</v>
      </c>
      <c r="M27" s="75" t="s">
        <v>265</v>
      </c>
      <c r="N27" s="67" t="s">
        <v>266</v>
      </c>
      <c r="O27" s="69">
        <v>44069</v>
      </c>
      <c r="P27" s="70">
        <f>IFERROR(VLOOKUP(J27,'Obs Tecnicas'!$D$2:$I$320,5,0),O27)</f>
        <v>44069</v>
      </c>
      <c r="Q27" s="69" t="str">
        <f t="shared" ca="1" si="0"/>
        <v>Calibrado</v>
      </c>
      <c r="R27" s="71" t="str">
        <f>IFERROR(VLOOKUP(J27,'Obs Tecnicas'!$D$2:$G$340,2,0),"")</f>
        <v/>
      </c>
      <c r="S27" s="67" t="str">
        <f>IFERROR(VLOOKUP(J27,'Obs Tecnicas'!$D$2:$G$344,3,0),"Hexis")</f>
        <v>Hexis</v>
      </c>
      <c r="T27" s="67" t="str">
        <f>IFERROR(VLOOKUP(J27,'Obs Tecnicas'!$D$2:$G$344,4,0),"")</f>
        <v/>
      </c>
      <c r="U27" s="13" t="s">
        <v>464</v>
      </c>
      <c r="V27" s="13">
        <f t="shared" si="1"/>
        <v>8</v>
      </c>
      <c r="W27" s="72">
        <f t="shared" si="2"/>
        <v>101.655</v>
      </c>
      <c r="X27" s="72">
        <f t="shared" si="3"/>
        <v>195.22799999999998</v>
      </c>
      <c r="AF27" s="104">
        <v>44438</v>
      </c>
    </row>
    <row r="28" spans="1:32" s="76" customFormat="1">
      <c r="A28" s="13" t="s">
        <v>20</v>
      </c>
      <c r="B28" s="13" t="s">
        <v>260</v>
      </c>
      <c r="C28" s="66" t="s">
        <v>261</v>
      </c>
      <c r="D28" s="67" t="s">
        <v>262</v>
      </c>
      <c r="E28" s="13" t="s">
        <v>183</v>
      </c>
      <c r="F28" s="66" t="s">
        <v>184</v>
      </c>
      <c r="G28" s="67" t="s">
        <v>177</v>
      </c>
      <c r="H28" s="67" t="s">
        <v>263</v>
      </c>
      <c r="I28" s="67" t="s">
        <v>76</v>
      </c>
      <c r="J28" s="68" t="s">
        <v>273</v>
      </c>
      <c r="K28" s="67" t="s">
        <v>210</v>
      </c>
      <c r="L28" s="67" t="s">
        <v>40</v>
      </c>
      <c r="M28" s="75" t="s">
        <v>265</v>
      </c>
      <c r="N28" s="67" t="s">
        <v>266</v>
      </c>
      <c r="O28" s="69">
        <v>44069</v>
      </c>
      <c r="P28" s="70">
        <f>IFERROR(VLOOKUP(J28,'Obs Tecnicas'!$D$2:$I$320,5,0),O28)</f>
        <v>44069</v>
      </c>
      <c r="Q28" s="69" t="str">
        <f t="shared" ca="1" si="0"/>
        <v>Calibrado</v>
      </c>
      <c r="R28" s="71" t="str">
        <f>IFERROR(VLOOKUP(J28,'Obs Tecnicas'!$D$2:$G$340,2,0),"")</f>
        <v/>
      </c>
      <c r="S28" s="67" t="str">
        <f>IFERROR(VLOOKUP(J28,'Obs Tecnicas'!$D$2:$G$344,3,0),"Hexis")</f>
        <v>Hexis</v>
      </c>
      <c r="T28" s="67" t="str">
        <f>IFERROR(VLOOKUP(J28,'Obs Tecnicas'!$D$2:$G$344,4,0),"")</f>
        <v/>
      </c>
      <c r="U28" s="13" t="s">
        <v>464</v>
      </c>
      <c r="V28" s="13">
        <f t="shared" si="1"/>
        <v>8</v>
      </c>
      <c r="W28" s="72">
        <f t="shared" si="2"/>
        <v>101.655</v>
      </c>
      <c r="X28" s="72">
        <f t="shared" si="3"/>
        <v>195.22799999999998</v>
      </c>
      <c r="AF28" s="104">
        <v>44438</v>
      </c>
    </row>
    <row r="29" spans="1:32">
      <c r="A29" s="13" t="s">
        <v>20</v>
      </c>
      <c r="B29" s="13" t="s">
        <v>260</v>
      </c>
      <c r="C29" s="66" t="s">
        <v>261</v>
      </c>
      <c r="D29" s="67" t="s">
        <v>262</v>
      </c>
      <c r="E29" s="13" t="s">
        <v>183</v>
      </c>
      <c r="F29" s="66" t="s">
        <v>184</v>
      </c>
      <c r="G29" s="67" t="s">
        <v>177</v>
      </c>
      <c r="H29" s="67" t="s">
        <v>263</v>
      </c>
      <c r="I29" s="67" t="s">
        <v>34</v>
      </c>
      <c r="J29" s="68" t="s">
        <v>675</v>
      </c>
      <c r="K29" s="67" t="s">
        <v>35</v>
      </c>
      <c r="L29" s="67" t="s">
        <v>36</v>
      </c>
      <c r="M29" s="75" t="s">
        <v>265</v>
      </c>
      <c r="N29" s="67" t="s">
        <v>266</v>
      </c>
      <c r="O29" s="69">
        <v>44069</v>
      </c>
      <c r="P29" s="70">
        <f>IFERROR(VLOOKUP(J29,'Obs Tecnicas'!$D$2:$I$320,5,0),O29)</f>
        <v>44069</v>
      </c>
      <c r="Q29" s="69" t="str">
        <f t="shared" ca="1" si="0"/>
        <v>Calibrado</v>
      </c>
      <c r="R29" s="71" t="str">
        <f>IFERROR(VLOOKUP(J29,'Obs Tecnicas'!$D$2:$G$340,2,0),"")</f>
        <v/>
      </c>
      <c r="S29" s="67" t="str">
        <f>IFERROR(VLOOKUP(J29,'Obs Tecnicas'!$D$2:$G$344,3,0),"Hexis")</f>
        <v>Hexis</v>
      </c>
      <c r="T29" s="67" t="str">
        <f>IFERROR(VLOOKUP(J29,'Obs Tecnicas'!$D$2:$G$344,4,0),"")</f>
        <v/>
      </c>
      <c r="U29" s="13" t="s">
        <v>464</v>
      </c>
      <c r="V29" s="13">
        <f t="shared" si="1"/>
        <v>8</v>
      </c>
      <c r="W29" s="72">
        <f t="shared" si="2"/>
        <v>101.655</v>
      </c>
      <c r="X29" s="72">
        <f t="shared" si="3"/>
        <v>195.22799999999998</v>
      </c>
      <c r="AF29" s="104">
        <v>44438</v>
      </c>
    </row>
    <row r="30" spans="1:32">
      <c r="A30" s="13" t="s">
        <v>20</v>
      </c>
      <c r="B30" s="13" t="s">
        <v>260</v>
      </c>
      <c r="C30" s="66" t="s">
        <v>261</v>
      </c>
      <c r="D30" s="67" t="s">
        <v>262</v>
      </c>
      <c r="E30" s="13" t="s">
        <v>183</v>
      </c>
      <c r="F30" s="66" t="s">
        <v>184</v>
      </c>
      <c r="G30" s="67" t="s">
        <v>177</v>
      </c>
      <c r="H30" s="67" t="s">
        <v>263</v>
      </c>
      <c r="I30" s="67" t="s">
        <v>34</v>
      </c>
      <c r="J30" s="68" t="s">
        <v>676</v>
      </c>
      <c r="K30" s="67" t="s">
        <v>274</v>
      </c>
      <c r="L30" s="67" t="s">
        <v>275</v>
      </c>
      <c r="M30" s="75" t="s">
        <v>265</v>
      </c>
      <c r="N30" s="67" t="s">
        <v>266</v>
      </c>
      <c r="O30" s="69">
        <v>44069</v>
      </c>
      <c r="P30" s="70">
        <f>IFERROR(VLOOKUP(J30,'Obs Tecnicas'!$D$2:$I$320,5,0),O30)</f>
        <v>44069</v>
      </c>
      <c r="Q30" s="69" t="str">
        <f t="shared" ca="1" si="0"/>
        <v>Calibrado</v>
      </c>
      <c r="R30" s="71" t="str">
        <f>IFERROR(VLOOKUP(J30,'Obs Tecnicas'!$D$2:$G$340,2,0),"")</f>
        <v/>
      </c>
      <c r="S30" s="67" t="str">
        <f>IFERROR(VLOOKUP(J30,'Obs Tecnicas'!$D$2:$G$344,3,0),"Hexis")</f>
        <v>Hexis</v>
      </c>
      <c r="T30" s="67" t="str">
        <f>IFERROR(VLOOKUP(J30,'Obs Tecnicas'!$D$2:$G$344,4,0),"")</f>
        <v/>
      </c>
      <c r="U30" s="13" t="s">
        <v>464</v>
      </c>
      <c r="V30" s="13">
        <f t="shared" si="1"/>
        <v>8</v>
      </c>
      <c r="W30" s="72">
        <f t="shared" si="2"/>
        <v>101.655</v>
      </c>
      <c r="X30" s="72">
        <f t="shared" si="3"/>
        <v>195.22799999999998</v>
      </c>
      <c r="AF30" s="104">
        <v>44438</v>
      </c>
    </row>
    <row r="31" spans="1:32">
      <c r="A31" s="13" t="s">
        <v>20</v>
      </c>
      <c r="B31" s="13" t="s">
        <v>260</v>
      </c>
      <c r="C31" s="66" t="s">
        <v>261</v>
      </c>
      <c r="D31" s="67" t="s">
        <v>262</v>
      </c>
      <c r="E31" s="13" t="s">
        <v>183</v>
      </c>
      <c r="F31" s="66" t="s">
        <v>184</v>
      </c>
      <c r="G31" s="67" t="s">
        <v>177</v>
      </c>
      <c r="H31" s="67" t="s">
        <v>263</v>
      </c>
      <c r="I31" s="67" t="s">
        <v>34</v>
      </c>
      <c r="J31" s="68" t="s">
        <v>276</v>
      </c>
      <c r="K31" s="67" t="s">
        <v>39</v>
      </c>
      <c r="L31" s="67" t="s">
        <v>277</v>
      </c>
      <c r="M31" s="67" t="s">
        <v>265</v>
      </c>
      <c r="N31" s="67" t="s">
        <v>266</v>
      </c>
      <c r="O31" s="69">
        <v>44069</v>
      </c>
      <c r="P31" s="70">
        <f>IFERROR(VLOOKUP(J31,'Obs Tecnicas'!$D$2:$I$320,5,0),O31)</f>
        <v>44069</v>
      </c>
      <c r="Q31" s="69" t="str">
        <f t="shared" ca="1" si="0"/>
        <v>Calibrado</v>
      </c>
      <c r="R31" s="71" t="str">
        <f>IFERROR(VLOOKUP(J31,'Obs Tecnicas'!$D$2:$G$340,2,0),"")</f>
        <v/>
      </c>
      <c r="S31" s="67" t="str">
        <f>IFERROR(VLOOKUP(J31,'Obs Tecnicas'!$D$2:$G$344,3,0),"Hexis")</f>
        <v>Hexis</v>
      </c>
      <c r="T31" s="67" t="str">
        <f>IFERROR(VLOOKUP(J31,'Obs Tecnicas'!$D$2:$G$344,4,0),"")</f>
        <v/>
      </c>
      <c r="U31" s="13" t="s">
        <v>464</v>
      </c>
      <c r="V31" s="13">
        <f t="shared" si="1"/>
        <v>8</v>
      </c>
      <c r="W31" s="72">
        <f t="shared" si="2"/>
        <v>101.655</v>
      </c>
      <c r="X31" s="72">
        <f t="shared" si="3"/>
        <v>195.22799999999998</v>
      </c>
      <c r="AF31" s="104">
        <v>44438</v>
      </c>
    </row>
    <row r="32" spans="1:32">
      <c r="A32" s="13" t="s">
        <v>20</v>
      </c>
      <c r="B32" s="13" t="s">
        <v>260</v>
      </c>
      <c r="C32" s="66" t="s">
        <v>261</v>
      </c>
      <c r="D32" s="67" t="s">
        <v>262</v>
      </c>
      <c r="E32" s="13" t="s">
        <v>183</v>
      </c>
      <c r="F32" s="66" t="s">
        <v>184</v>
      </c>
      <c r="G32" s="67" t="s">
        <v>177</v>
      </c>
      <c r="H32" s="67" t="s">
        <v>263</v>
      </c>
      <c r="I32" s="67" t="s">
        <v>34</v>
      </c>
      <c r="J32" s="68" t="s">
        <v>677</v>
      </c>
      <c r="K32" s="67" t="s">
        <v>94</v>
      </c>
      <c r="L32" s="67" t="s">
        <v>278</v>
      </c>
      <c r="M32" s="75" t="s">
        <v>265</v>
      </c>
      <c r="N32" s="67" t="s">
        <v>266</v>
      </c>
      <c r="O32" s="69">
        <v>44069</v>
      </c>
      <c r="P32" s="70">
        <f>IFERROR(VLOOKUP(J32,'Obs Tecnicas'!$D$2:$I$320,5,0),O32)</f>
        <v>44069</v>
      </c>
      <c r="Q32" s="69" t="str">
        <f t="shared" ca="1" si="0"/>
        <v>Calibrado</v>
      </c>
      <c r="R32" s="71" t="str">
        <f>IFERROR(VLOOKUP(J32,'Obs Tecnicas'!$D$2:$G$340,2,0),"")</f>
        <v/>
      </c>
      <c r="S32" s="67" t="str">
        <f>IFERROR(VLOOKUP(J32,'Obs Tecnicas'!$D$2:$G$344,3,0),"Hexis")</f>
        <v>Hexis</v>
      </c>
      <c r="T32" s="67" t="str">
        <f>IFERROR(VLOOKUP(J32,'Obs Tecnicas'!$D$2:$G$344,4,0),"")</f>
        <v/>
      </c>
      <c r="U32" s="13" t="s">
        <v>464</v>
      </c>
      <c r="V32" s="13">
        <f t="shared" si="1"/>
        <v>8</v>
      </c>
      <c r="W32" s="72">
        <f t="shared" si="2"/>
        <v>101.655</v>
      </c>
      <c r="X32" s="72">
        <f t="shared" si="3"/>
        <v>195.22799999999998</v>
      </c>
      <c r="AF32" s="104">
        <v>44438</v>
      </c>
    </row>
    <row r="33" spans="1:32">
      <c r="A33" s="13" t="s">
        <v>20</v>
      </c>
      <c r="B33" s="13" t="s">
        <v>260</v>
      </c>
      <c r="C33" s="66" t="s">
        <v>261</v>
      </c>
      <c r="D33" s="67" t="s">
        <v>262</v>
      </c>
      <c r="E33" s="13" t="s">
        <v>183</v>
      </c>
      <c r="F33" s="66" t="s">
        <v>184</v>
      </c>
      <c r="G33" s="67" t="s">
        <v>177</v>
      </c>
      <c r="H33" s="67" t="s">
        <v>263</v>
      </c>
      <c r="I33" s="67" t="s">
        <v>62</v>
      </c>
      <c r="J33" s="68" t="s">
        <v>678</v>
      </c>
      <c r="K33" s="67" t="s">
        <v>214</v>
      </c>
      <c r="L33" s="67" t="s">
        <v>279</v>
      </c>
      <c r="M33" s="75" t="s">
        <v>265</v>
      </c>
      <c r="N33" s="67" t="s">
        <v>266</v>
      </c>
      <c r="O33" s="69">
        <v>44069</v>
      </c>
      <c r="P33" s="70">
        <f>IFERROR(VLOOKUP(J33,'Obs Tecnicas'!$D$2:$I$320,5,0),O33)</f>
        <v>44069</v>
      </c>
      <c r="Q33" s="69" t="str">
        <f t="shared" ca="1" si="0"/>
        <v>Calibrado</v>
      </c>
      <c r="R33" s="71" t="str">
        <f>IFERROR(VLOOKUP(J33,'Obs Tecnicas'!$D$2:$G$340,2,0),"")</f>
        <v/>
      </c>
      <c r="S33" s="67" t="str">
        <f>IFERROR(VLOOKUP(J33,'Obs Tecnicas'!$D$2:$G$344,3,0),"Hexis")</f>
        <v>Hexis</v>
      </c>
      <c r="T33" s="67" t="str">
        <f>IFERROR(VLOOKUP(J33,'Obs Tecnicas'!$D$2:$G$344,4,0),"")</f>
        <v/>
      </c>
      <c r="U33" s="13" t="s">
        <v>464</v>
      </c>
      <c r="V33" s="13">
        <f t="shared" si="1"/>
        <v>8</v>
      </c>
      <c r="W33" s="72">
        <f t="shared" si="2"/>
        <v>198.60299999999998</v>
      </c>
      <c r="X33" s="72">
        <f t="shared" si="3"/>
        <v>217.29599999999999</v>
      </c>
      <c r="AF33" s="104">
        <v>44438</v>
      </c>
    </row>
    <row r="34" spans="1:32">
      <c r="A34" s="13" t="s">
        <v>20</v>
      </c>
      <c r="B34" s="13" t="s">
        <v>260</v>
      </c>
      <c r="C34" s="66" t="s">
        <v>261</v>
      </c>
      <c r="D34" s="67" t="s">
        <v>262</v>
      </c>
      <c r="E34" s="13" t="s">
        <v>183</v>
      </c>
      <c r="F34" s="66" t="s">
        <v>184</v>
      </c>
      <c r="G34" s="67" t="s">
        <v>177</v>
      </c>
      <c r="H34" s="67" t="s">
        <v>263</v>
      </c>
      <c r="I34" s="67" t="s">
        <v>55</v>
      </c>
      <c r="J34" s="68" t="s">
        <v>280</v>
      </c>
      <c r="K34" s="75" t="s">
        <v>53</v>
      </c>
      <c r="L34" s="75" t="s">
        <v>57</v>
      </c>
      <c r="M34" s="75" t="s">
        <v>265</v>
      </c>
      <c r="N34" s="67" t="s">
        <v>266</v>
      </c>
      <c r="O34" s="69">
        <v>44069</v>
      </c>
      <c r="P34" s="70">
        <f>IFERROR(VLOOKUP(J34,'Obs Tecnicas'!$D$2:$I$320,5,0),O34)</f>
        <v>44069</v>
      </c>
      <c r="Q34" s="69" t="str">
        <f t="shared" ca="1" si="0"/>
        <v>Calibrado</v>
      </c>
      <c r="R34" s="71" t="str">
        <f>IFERROR(VLOOKUP(J34,'Obs Tecnicas'!$D$2:$G$340,2,0),"")</f>
        <v/>
      </c>
      <c r="S34" s="67" t="str">
        <f>IFERROR(VLOOKUP(J34,'Obs Tecnicas'!$D$2:$G$344,3,0),"Hexis")</f>
        <v>Hexis</v>
      </c>
      <c r="T34" s="67" t="str">
        <f>IFERROR(VLOOKUP(J34,'Obs Tecnicas'!$D$2:$G$344,4,0),"")</f>
        <v/>
      </c>
      <c r="U34" s="13" t="s">
        <v>464</v>
      </c>
      <c r="V34" s="13">
        <f t="shared" si="1"/>
        <v>8</v>
      </c>
      <c r="W34" s="72" t="e">
        <f t="shared" si="2"/>
        <v>#N/A</v>
      </c>
      <c r="X34" s="72" t="e">
        <f t="shared" si="3"/>
        <v>#N/A</v>
      </c>
      <c r="AF34" s="104">
        <v>44438</v>
      </c>
    </row>
    <row r="35" spans="1:32">
      <c r="A35" s="13" t="s">
        <v>20</v>
      </c>
      <c r="B35" s="13" t="s">
        <v>449</v>
      </c>
      <c r="C35" s="66" t="s">
        <v>450</v>
      </c>
      <c r="D35" s="67" t="s">
        <v>451</v>
      </c>
      <c r="E35" s="13" t="s">
        <v>449</v>
      </c>
      <c r="F35" s="66" t="s">
        <v>450</v>
      </c>
      <c r="G35" s="67" t="s">
        <v>434</v>
      </c>
      <c r="H35" s="67" t="s">
        <v>27</v>
      </c>
      <c r="I35" s="67" t="s">
        <v>45</v>
      </c>
      <c r="J35" s="68" t="s">
        <v>752</v>
      </c>
      <c r="K35" s="67" t="s">
        <v>53</v>
      </c>
      <c r="L35" s="67" t="s">
        <v>291</v>
      </c>
      <c r="M35" s="67" t="s">
        <v>32</v>
      </c>
      <c r="N35" s="67" t="s">
        <v>33</v>
      </c>
      <c r="O35" s="69">
        <v>44407</v>
      </c>
      <c r="P35" s="70">
        <f>IFERROR(VLOOKUP(J35,'Obs Tecnicas'!$D$2:$I$320,5,0),O35)</f>
        <v>44407</v>
      </c>
      <c r="Q35" s="69" t="str">
        <f t="shared" ca="1" si="0"/>
        <v>Calibrado</v>
      </c>
      <c r="R35" s="71">
        <f>IFERROR(VLOOKUP(J35,'Obs Tecnicas'!$D$2:$G$340,2,0),"")</f>
        <v>13313</v>
      </c>
      <c r="S35" s="67" t="str">
        <f>IFERROR(VLOOKUP(J35,'Obs Tecnicas'!$D$2:$G$344,3,0),"Hexis")</f>
        <v>ER ANALITICA</v>
      </c>
      <c r="T35" s="67">
        <f>IFERROR(VLOOKUP(J35,'Obs Tecnicas'!$D$2:$G$344,4,0),"")</f>
        <v>0</v>
      </c>
      <c r="U35" s="13" t="s">
        <v>550</v>
      </c>
      <c r="V35" s="13">
        <f t="shared" si="1"/>
        <v>7</v>
      </c>
      <c r="W35" s="72">
        <f t="shared" si="2"/>
        <v>420.44400000000002</v>
      </c>
      <c r="X35" s="72">
        <f t="shared" si="3"/>
        <v>385.26299999999998</v>
      </c>
      <c r="AE35" s="13" t="s">
        <v>807</v>
      </c>
      <c r="AF35" s="104">
        <v>44407</v>
      </c>
    </row>
    <row r="36" spans="1:32">
      <c r="A36" s="13" t="s">
        <v>20</v>
      </c>
      <c r="B36" s="13" t="s">
        <v>449</v>
      </c>
      <c r="C36" s="66" t="s">
        <v>450</v>
      </c>
      <c r="D36" s="67" t="s">
        <v>451</v>
      </c>
      <c r="E36" s="13" t="s">
        <v>449</v>
      </c>
      <c r="F36" s="66" t="s">
        <v>450</v>
      </c>
      <c r="G36" s="67" t="s">
        <v>434</v>
      </c>
      <c r="H36" s="67" t="s">
        <v>27</v>
      </c>
      <c r="I36" s="67" t="s">
        <v>79</v>
      </c>
      <c r="J36" s="68" t="s">
        <v>753</v>
      </c>
      <c r="K36" s="67" t="s">
        <v>77</v>
      </c>
      <c r="L36" s="67" t="s">
        <v>80</v>
      </c>
      <c r="M36" s="67" t="s">
        <v>32</v>
      </c>
      <c r="N36" s="67" t="s">
        <v>33</v>
      </c>
      <c r="O36" s="69">
        <v>44407</v>
      </c>
      <c r="P36" s="70">
        <f>IFERROR(VLOOKUP(J36,'Obs Tecnicas'!$D$2:$I$320,5,0),O36)</f>
        <v>44407</v>
      </c>
      <c r="Q36" s="69" t="str">
        <f t="shared" ref="Q36:Q37" ca="1" si="4">IF(P36&lt;&gt;"",IF(P36+365&gt;TODAY(),"Calibrado","Vencido"),"")</f>
        <v>Calibrado</v>
      </c>
      <c r="R36" s="71">
        <f>IFERROR(VLOOKUP(J36,'Obs Tecnicas'!$D$2:$G$340,2,0),"")</f>
        <v>13312</v>
      </c>
      <c r="S36" s="67" t="str">
        <f>IFERROR(VLOOKUP(J36,'Obs Tecnicas'!$D$2:$G$344,3,0),"Hexis")</f>
        <v>ER ANALITICA</v>
      </c>
      <c r="T36" s="67">
        <f>IFERROR(VLOOKUP(J36,'Obs Tecnicas'!$D$2:$G$344,4,0),"")</f>
        <v>0</v>
      </c>
      <c r="U36" s="13" t="s">
        <v>550</v>
      </c>
      <c r="V36" s="13">
        <f t="shared" si="1"/>
        <v>7</v>
      </c>
      <c r="W36" s="72">
        <f t="shared" si="2"/>
        <v>101.655</v>
      </c>
      <c r="X36" s="72">
        <f t="shared" si="3"/>
        <v>390.45599999999996</v>
      </c>
      <c r="AE36" s="13" t="s">
        <v>807</v>
      </c>
      <c r="AF36" s="104">
        <v>44407</v>
      </c>
    </row>
    <row r="37" spans="1:32">
      <c r="A37" s="13" t="s">
        <v>20</v>
      </c>
      <c r="B37" s="13" t="s">
        <v>449</v>
      </c>
      <c r="C37" s="66" t="s">
        <v>450</v>
      </c>
      <c r="D37" s="67" t="s">
        <v>451</v>
      </c>
      <c r="E37" s="13" t="s">
        <v>449</v>
      </c>
      <c r="F37" s="66" t="s">
        <v>450</v>
      </c>
      <c r="G37" s="67" t="s">
        <v>434</v>
      </c>
      <c r="H37" s="67" t="s">
        <v>27</v>
      </c>
      <c r="I37" s="67" t="s">
        <v>34</v>
      </c>
      <c r="J37" s="68" t="s">
        <v>754</v>
      </c>
      <c r="K37" s="67" t="s">
        <v>94</v>
      </c>
      <c r="L37" s="67" t="s">
        <v>120</v>
      </c>
      <c r="M37" s="67" t="s">
        <v>32</v>
      </c>
      <c r="N37" s="67" t="s">
        <v>33</v>
      </c>
      <c r="O37" s="69">
        <v>44407</v>
      </c>
      <c r="P37" s="70">
        <f>IFERROR(VLOOKUP(J37,'Obs Tecnicas'!$D$2:$I$320,5,0),O37)</f>
        <v>44407</v>
      </c>
      <c r="Q37" s="69" t="str">
        <f t="shared" ca="1" si="4"/>
        <v>Calibrado</v>
      </c>
      <c r="R37" s="71">
        <f>IFERROR(VLOOKUP(J37,'Obs Tecnicas'!$D$2:$G$340,2,0),"")</f>
        <v>13310</v>
      </c>
      <c r="S37" s="67" t="str">
        <f>IFERROR(VLOOKUP(J37,'Obs Tecnicas'!$D$2:$G$344,3,0),"Hexis")</f>
        <v>ER ANALITICA</v>
      </c>
      <c r="T37" s="67" t="str">
        <f>IFERROR(VLOOKUP(J37,'Obs Tecnicas'!$D$2:$G$344,4,0),"")</f>
        <v>Conselhavel a troca do eletrodo, devido instabilidade nas leituras.</v>
      </c>
      <c r="U37" s="13" t="s">
        <v>550</v>
      </c>
      <c r="V37" s="13">
        <f t="shared" si="1"/>
        <v>7</v>
      </c>
      <c r="W37" s="72">
        <f t="shared" si="2"/>
        <v>101.655</v>
      </c>
      <c r="X37" s="72">
        <f t="shared" si="3"/>
        <v>195.22799999999998</v>
      </c>
      <c r="AE37" s="13" t="s">
        <v>807</v>
      </c>
      <c r="AF37" s="104">
        <v>44407</v>
      </c>
    </row>
    <row r="38" spans="1:32">
      <c r="A38" s="77" t="s">
        <v>20</v>
      </c>
      <c r="B38" s="77" t="s">
        <v>381</v>
      </c>
      <c r="C38" s="66" t="s">
        <v>382</v>
      </c>
      <c r="D38" s="67" t="s">
        <v>383</v>
      </c>
      <c r="E38" s="77" t="s">
        <v>384</v>
      </c>
      <c r="F38" s="66" t="s">
        <v>385</v>
      </c>
      <c r="G38" s="67" t="s">
        <v>365</v>
      </c>
      <c r="H38" s="67" t="s">
        <v>386</v>
      </c>
      <c r="I38" s="75" t="s">
        <v>76</v>
      </c>
      <c r="J38" s="68" t="s">
        <v>729</v>
      </c>
      <c r="K38" s="67" t="s">
        <v>77</v>
      </c>
      <c r="L38" s="75" t="s">
        <v>78</v>
      </c>
      <c r="M38" s="67" t="s">
        <v>387</v>
      </c>
      <c r="N38" s="67" t="s">
        <v>388</v>
      </c>
      <c r="O38" s="69">
        <v>44089</v>
      </c>
      <c r="P38" s="70">
        <f>IFERROR(VLOOKUP(J38,'Obs Tecnicas'!$D$2:$I$320,5,0),O38)</f>
        <v>44089</v>
      </c>
      <c r="Q38" s="69" t="str">
        <f t="shared" ref="Q38:Q69" ca="1" si="5">IF(P38&lt;&gt;"",IF(P38+365&gt;TODAY(),"Calibrado","Vencido"),"")</f>
        <v>Calibrado</v>
      </c>
      <c r="R38" s="71" t="str">
        <f>IFERROR(VLOOKUP(J38,'Obs Tecnicas'!$D$2:$G$340,2,0),"")</f>
        <v/>
      </c>
      <c r="S38" s="67" t="str">
        <f>IFERROR(VLOOKUP(J38,'Obs Tecnicas'!$D$2:$G$344,3,0),"Hexis")</f>
        <v>Hexis</v>
      </c>
      <c r="T38" s="67" t="str">
        <f>IFERROR(VLOOKUP(J38,'Obs Tecnicas'!$D$2:$G$344,4,0),"")</f>
        <v/>
      </c>
      <c r="U38" s="13" t="s">
        <v>785</v>
      </c>
      <c r="V38" s="13">
        <f t="shared" si="1"/>
        <v>9</v>
      </c>
      <c r="W38" s="72">
        <f t="shared" si="2"/>
        <v>101.655</v>
      </c>
      <c r="X38" s="72">
        <f t="shared" si="3"/>
        <v>195.22799999999998</v>
      </c>
    </row>
    <row r="39" spans="1:32">
      <c r="A39" s="13" t="s">
        <v>20</v>
      </c>
      <c r="B39" s="77" t="s">
        <v>381</v>
      </c>
      <c r="C39" s="66" t="s">
        <v>382</v>
      </c>
      <c r="D39" s="67" t="s">
        <v>383</v>
      </c>
      <c r="E39" s="77" t="s">
        <v>384</v>
      </c>
      <c r="F39" s="66" t="s">
        <v>385</v>
      </c>
      <c r="G39" s="67" t="s">
        <v>365</v>
      </c>
      <c r="H39" s="67" t="s">
        <v>386</v>
      </c>
      <c r="I39" s="67" t="s">
        <v>45</v>
      </c>
      <c r="J39" s="68" t="s">
        <v>730</v>
      </c>
      <c r="K39" s="67" t="s">
        <v>53</v>
      </c>
      <c r="L39" s="67" t="s">
        <v>61</v>
      </c>
      <c r="M39" s="67" t="s">
        <v>387</v>
      </c>
      <c r="N39" s="67" t="s">
        <v>388</v>
      </c>
      <c r="O39" s="69">
        <v>44089</v>
      </c>
      <c r="P39" s="70">
        <f>IFERROR(VLOOKUP(J39,'Obs Tecnicas'!$D$2:$I$320,5,0),O39)</f>
        <v>44089</v>
      </c>
      <c r="Q39" s="69" t="str">
        <f t="shared" ca="1" si="5"/>
        <v>Calibrado</v>
      </c>
      <c r="R39" s="71" t="str">
        <f>IFERROR(VLOOKUP(J39,'Obs Tecnicas'!$D$2:$G$340,2,0),"")</f>
        <v/>
      </c>
      <c r="S39" s="67" t="str">
        <f>IFERROR(VLOOKUP(J39,'Obs Tecnicas'!$D$2:$G$344,3,0),"Hexis")</f>
        <v>Hexis</v>
      </c>
      <c r="T39" s="67" t="str">
        <f>IFERROR(VLOOKUP(J39,'Obs Tecnicas'!$D$2:$G$344,4,0),"")</f>
        <v/>
      </c>
      <c r="U39" s="13" t="s">
        <v>785</v>
      </c>
      <c r="V39" s="13">
        <f t="shared" si="1"/>
        <v>9</v>
      </c>
      <c r="W39" s="72">
        <f t="shared" si="2"/>
        <v>420.44400000000002</v>
      </c>
      <c r="X39" s="72">
        <f t="shared" si="3"/>
        <v>385.26299999999998</v>
      </c>
    </row>
    <row r="40" spans="1:32">
      <c r="A40" s="13" t="s">
        <v>20</v>
      </c>
      <c r="B40" s="13" t="s">
        <v>381</v>
      </c>
      <c r="C40" s="66" t="s">
        <v>382</v>
      </c>
      <c r="D40" s="67" t="s">
        <v>383</v>
      </c>
      <c r="E40" s="77" t="s">
        <v>384</v>
      </c>
      <c r="F40" s="66" t="s">
        <v>385</v>
      </c>
      <c r="G40" s="67" t="s">
        <v>365</v>
      </c>
      <c r="H40" s="67" t="s">
        <v>386</v>
      </c>
      <c r="I40" s="67" t="s">
        <v>34</v>
      </c>
      <c r="J40" s="68" t="s">
        <v>731</v>
      </c>
      <c r="K40" s="67" t="s">
        <v>53</v>
      </c>
      <c r="L40" s="67" t="s">
        <v>389</v>
      </c>
      <c r="M40" s="67" t="s">
        <v>387</v>
      </c>
      <c r="N40" s="67" t="s">
        <v>388</v>
      </c>
      <c r="O40" s="69">
        <v>44089</v>
      </c>
      <c r="P40" s="70">
        <f>IFERROR(VLOOKUP(J40,'Obs Tecnicas'!$D$2:$I$320,5,0),O40)</f>
        <v>44089</v>
      </c>
      <c r="Q40" s="69" t="str">
        <f t="shared" ca="1" si="5"/>
        <v>Calibrado</v>
      </c>
      <c r="R40" s="71" t="str">
        <f>IFERROR(VLOOKUP(J40,'Obs Tecnicas'!$D$2:$G$340,2,0),"")</f>
        <v/>
      </c>
      <c r="S40" s="67" t="str">
        <f>IFERROR(VLOOKUP(J40,'Obs Tecnicas'!$D$2:$G$344,3,0),"Hexis")</f>
        <v>Hexis</v>
      </c>
      <c r="T40" s="67" t="str">
        <f>IFERROR(VLOOKUP(J40,'Obs Tecnicas'!$D$2:$G$344,4,0),"")</f>
        <v/>
      </c>
      <c r="U40" s="13" t="s">
        <v>785</v>
      </c>
      <c r="V40" s="13">
        <f t="shared" si="1"/>
        <v>9</v>
      </c>
      <c r="W40" s="72">
        <f t="shared" si="2"/>
        <v>101.655</v>
      </c>
      <c r="X40" s="72">
        <f t="shared" si="3"/>
        <v>195.22799999999998</v>
      </c>
    </row>
    <row r="41" spans="1:32">
      <c r="A41" s="13" t="s">
        <v>20</v>
      </c>
      <c r="B41" s="13" t="s">
        <v>381</v>
      </c>
      <c r="C41" s="66" t="s">
        <v>382</v>
      </c>
      <c r="D41" s="67" t="s">
        <v>383</v>
      </c>
      <c r="E41" s="77" t="s">
        <v>384</v>
      </c>
      <c r="F41" s="66" t="s">
        <v>385</v>
      </c>
      <c r="G41" s="67" t="s">
        <v>365</v>
      </c>
      <c r="H41" s="67" t="s">
        <v>386</v>
      </c>
      <c r="I41" s="75" t="s">
        <v>34</v>
      </c>
      <c r="J41" s="68" t="s">
        <v>732</v>
      </c>
      <c r="K41" s="75" t="s">
        <v>390</v>
      </c>
      <c r="L41" s="75" t="s">
        <v>391</v>
      </c>
      <c r="M41" s="67" t="s">
        <v>387</v>
      </c>
      <c r="N41" s="67" t="s">
        <v>388</v>
      </c>
      <c r="O41" s="69">
        <v>44089</v>
      </c>
      <c r="P41" s="70">
        <f>IFERROR(VLOOKUP(J41,'Obs Tecnicas'!$D$2:$I$320,5,0),O41)</f>
        <v>44089</v>
      </c>
      <c r="Q41" s="69" t="str">
        <f t="shared" ca="1" si="5"/>
        <v>Calibrado</v>
      </c>
      <c r="R41" s="71" t="str">
        <f>IFERROR(VLOOKUP(J41,'Obs Tecnicas'!$D$2:$G$340,2,0),"")</f>
        <v/>
      </c>
      <c r="S41" s="67" t="str">
        <f>IFERROR(VLOOKUP(J41,'Obs Tecnicas'!$D$2:$G$344,3,0),"Hexis")</f>
        <v>Hexis</v>
      </c>
      <c r="T41" s="67" t="str">
        <f>IFERROR(VLOOKUP(J41,'Obs Tecnicas'!$D$2:$G$344,4,0),"")</f>
        <v/>
      </c>
      <c r="U41" s="13" t="s">
        <v>785</v>
      </c>
      <c r="V41" s="13">
        <f t="shared" si="1"/>
        <v>9</v>
      </c>
      <c r="W41" s="72">
        <f t="shared" si="2"/>
        <v>101.655</v>
      </c>
      <c r="X41" s="72">
        <f t="shared" si="3"/>
        <v>195.22799999999998</v>
      </c>
    </row>
    <row r="42" spans="1:32">
      <c r="A42" s="13" t="s">
        <v>20</v>
      </c>
      <c r="B42" s="77" t="s">
        <v>381</v>
      </c>
      <c r="C42" s="66" t="s">
        <v>382</v>
      </c>
      <c r="D42" s="67" t="s">
        <v>383</v>
      </c>
      <c r="E42" s="13" t="s">
        <v>384</v>
      </c>
      <c r="F42" s="66" t="s">
        <v>385</v>
      </c>
      <c r="G42" s="67" t="s">
        <v>365</v>
      </c>
      <c r="H42" s="67" t="s">
        <v>386</v>
      </c>
      <c r="I42" s="67" t="s">
        <v>45</v>
      </c>
      <c r="J42" s="68" t="s">
        <v>733</v>
      </c>
      <c r="K42" s="67" t="s">
        <v>53</v>
      </c>
      <c r="L42" s="67" t="s">
        <v>61</v>
      </c>
      <c r="M42" s="67" t="s">
        <v>387</v>
      </c>
      <c r="N42" s="67" t="s">
        <v>388</v>
      </c>
      <c r="O42" s="69">
        <v>44089</v>
      </c>
      <c r="P42" s="70">
        <f>IFERROR(VLOOKUP(J42,'Obs Tecnicas'!$D$2:$I$320,5,0),O42)</f>
        <v>44089</v>
      </c>
      <c r="Q42" s="69" t="str">
        <f t="shared" ca="1" si="5"/>
        <v>Calibrado</v>
      </c>
      <c r="R42" s="71" t="str">
        <f>IFERROR(VLOOKUP(J42,'Obs Tecnicas'!$D$2:$G$340,2,0),"")</f>
        <v/>
      </c>
      <c r="S42" s="67" t="str">
        <f>IFERROR(VLOOKUP(J42,'Obs Tecnicas'!$D$2:$G$344,3,0),"Hexis")</f>
        <v>Hexis</v>
      </c>
      <c r="T42" s="67" t="str">
        <f>IFERROR(VLOOKUP(J42,'Obs Tecnicas'!$D$2:$G$344,4,0),"")</f>
        <v/>
      </c>
      <c r="U42" s="13" t="s">
        <v>785</v>
      </c>
      <c r="V42" s="13">
        <f t="shared" si="1"/>
        <v>9</v>
      </c>
      <c r="W42" s="72">
        <f t="shared" si="2"/>
        <v>420.44400000000002</v>
      </c>
      <c r="X42" s="72">
        <f t="shared" si="3"/>
        <v>385.26299999999998</v>
      </c>
    </row>
    <row r="43" spans="1:32">
      <c r="A43" s="13" t="s">
        <v>20</v>
      </c>
      <c r="B43" s="77" t="s">
        <v>381</v>
      </c>
      <c r="C43" s="66" t="s">
        <v>382</v>
      </c>
      <c r="D43" s="67" t="s">
        <v>383</v>
      </c>
      <c r="E43" s="13" t="s">
        <v>384</v>
      </c>
      <c r="F43" s="66" t="s">
        <v>385</v>
      </c>
      <c r="G43" s="67" t="s">
        <v>365</v>
      </c>
      <c r="H43" s="67" t="s">
        <v>386</v>
      </c>
      <c r="I43" s="67" t="s">
        <v>76</v>
      </c>
      <c r="J43" s="68" t="s">
        <v>734</v>
      </c>
      <c r="K43" s="67" t="s">
        <v>53</v>
      </c>
      <c r="L43" s="67" t="s">
        <v>392</v>
      </c>
      <c r="M43" s="67" t="s">
        <v>387</v>
      </c>
      <c r="N43" s="67" t="s">
        <v>388</v>
      </c>
      <c r="O43" s="69">
        <v>44089</v>
      </c>
      <c r="P43" s="70">
        <f>IFERROR(VLOOKUP(J43,'Obs Tecnicas'!$D$2:$I$320,5,0),O43)</f>
        <v>44089</v>
      </c>
      <c r="Q43" s="69" t="str">
        <f t="shared" ca="1" si="5"/>
        <v>Calibrado</v>
      </c>
      <c r="R43" s="71" t="str">
        <f>IFERROR(VLOOKUP(J43,'Obs Tecnicas'!$D$2:$G$340,2,0),"")</f>
        <v/>
      </c>
      <c r="S43" s="67" t="str">
        <f>IFERROR(VLOOKUP(J43,'Obs Tecnicas'!$D$2:$G$344,3,0),"Hexis")</f>
        <v>Hexis</v>
      </c>
      <c r="T43" s="67" t="str">
        <f>IFERROR(VLOOKUP(J43,'Obs Tecnicas'!$D$2:$G$344,4,0),"")</f>
        <v/>
      </c>
      <c r="U43" s="13" t="s">
        <v>785</v>
      </c>
      <c r="V43" s="13">
        <f t="shared" si="1"/>
        <v>9</v>
      </c>
      <c r="W43" s="72">
        <f t="shared" si="2"/>
        <v>101.655</v>
      </c>
      <c r="X43" s="72">
        <f t="shared" si="3"/>
        <v>195.22799999999998</v>
      </c>
    </row>
    <row r="44" spans="1:32">
      <c r="A44" s="13" t="s">
        <v>20</v>
      </c>
      <c r="B44" s="77" t="s">
        <v>135</v>
      </c>
      <c r="C44" s="66" t="s">
        <v>136</v>
      </c>
      <c r="D44" s="78" t="s">
        <v>137</v>
      </c>
      <c r="E44" s="79" t="s">
        <v>138</v>
      </c>
      <c r="F44" s="66" t="s">
        <v>139</v>
      </c>
      <c r="G44" s="67" t="s">
        <v>132</v>
      </c>
      <c r="H44" s="67" t="s">
        <v>27</v>
      </c>
      <c r="I44" s="67" t="s">
        <v>52</v>
      </c>
      <c r="J44" s="68" t="s">
        <v>140</v>
      </c>
      <c r="K44" s="67" t="s">
        <v>53</v>
      </c>
      <c r="L44" s="67" t="s">
        <v>86</v>
      </c>
      <c r="M44" s="75" t="s">
        <v>141</v>
      </c>
      <c r="N44" s="67" t="s">
        <v>142</v>
      </c>
      <c r="O44" s="69">
        <v>44012</v>
      </c>
      <c r="P44" s="70">
        <f>IFERROR(VLOOKUP(J44,'Obs Tecnicas'!$D$2:$I$320,5,0),O44)</f>
        <v>44370</v>
      </c>
      <c r="Q44" s="69" t="str">
        <f t="shared" ca="1" si="5"/>
        <v>Calibrado</v>
      </c>
      <c r="R44" s="71">
        <f>IFERROR(VLOOKUP(J44,'Obs Tecnicas'!$D$2:$G$340,2,0),"")</f>
        <v>12665</v>
      </c>
      <c r="S44" s="67" t="str">
        <f>IFERROR(VLOOKUP(J44,'Obs Tecnicas'!$D$2:$G$344,3,0),"Hexis")</f>
        <v>ER ANALITICA</v>
      </c>
      <c r="T44" s="67">
        <f>IFERROR(VLOOKUP(J44,'Obs Tecnicas'!$D$2:$G$344,4,0),"")</f>
        <v>0</v>
      </c>
      <c r="U44" s="13" t="s">
        <v>550</v>
      </c>
      <c r="V44" s="13">
        <f t="shared" si="1"/>
        <v>6</v>
      </c>
      <c r="W44" s="72">
        <f t="shared" si="2"/>
        <v>178.434</v>
      </c>
      <c r="X44" s="72">
        <f t="shared" si="3"/>
        <v>318.94200000000001</v>
      </c>
      <c r="AE44" s="13" t="s">
        <v>806</v>
      </c>
    </row>
    <row r="45" spans="1:32">
      <c r="A45" s="13" t="s">
        <v>20</v>
      </c>
      <c r="B45" s="77" t="s">
        <v>135</v>
      </c>
      <c r="C45" s="66" t="s">
        <v>136</v>
      </c>
      <c r="D45" s="78" t="s">
        <v>137</v>
      </c>
      <c r="E45" s="79" t="s">
        <v>138</v>
      </c>
      <c r="F45" s="66" t="s">
        <v>139</v>
      </c>
      <c r="G45" s="67" t="s">
        <v>132</v>
      </c>
      <c r="H45" s="67" t="s">
        <v>27</v>
      </c>
      <c r="I45" s="67" t="s">
        <v>76</v>
      </c>
      <c r="J45" s="68" t="s">
        <v>627</v>
      </c>
      <c r="K45" s="67" t="s">
        <v>94</v>
      </c>
      <c r="L45" s="67" t="s">
        <v>95</v>
      </c>
      <c r="M45" s="67" t="s">
        <v>141</v>
      </c>
      <c r="N45" s="67" t="s">
        <v>142</v>
      </c>
      <c r="O45" s="69">
        <v>44012</v>
      </c>
      <c r="P45" s="70">
        <f>IFERROR(VLOOKUP(J45,'Obs Tecnicas'!$D$2:$I$320,5,0),O45)</f>
        <v>44370</v>
      </c>
      <c r="Q45" s="69" t="str">
        <f t="shared" ca="1" si="5"/>
        <v>Calibrado</v>
      </c>
      <c r="R45" s="71">
        <f>IFERROR(VLOOKUP(J45,'Obs Tecnicas'!$D$2:$G$340,2,0),"")</f>
        <v>12664</v>
      </c>
      <c r="S45" s="67" t="str">
        <f>IFERROR(VLOOKUP(J45,'Obs Tecnicas'!$D$2:$G$344,3,0),"Hexis")</f>
        <v>ER ANALITICA</v>
      </c>
      <c r="T45" s="67">
        <f>IFERROR(VLOOKUP(J45,'Obs Tecnicas'!$D$2:$G$344,4,0),"")</f>
        <v>0</v>
      </c>
      <c r="U45" s="13" t="s">
        <v>550</v>
      </c>
      <c r="V45" s="13">
        <f t="shared" si="1"/>
        <v>6</v>
      </c>
      <c r="W45" s="72">
        <f t="shared" si="2"/>
        <v>101.655</v>
      </c>
      <c r="X45" s="72">
        <f t="shared" si="3"/>
        <v>195.22799999999998</v>
      </c>
      <c r="AE45" s="13" t="s">
        <v>806</v>
      </c>
    </row>
    <row r="46" spans="1:32">
      <c r="A46" s="13" t="s">
        <v>20</v>
      </c>
      <c r="B46" s="13" t="s">
        <v>306</v>
      </c>
      <c r="C46" s="66" t="s">
        <v>307</v>
      </c>
      <c r="D46" s="67" t="s">
        <v>452</v>
      </c>
      <c r="E46" s="13" t="s">
        <v>306</v>
      </c>
      <c r="F46" s="66" t="s">
        <v>307</v>
      </c>
      <c r="G46" s="67" t="s">
        <v>434</v>
      </c>
      <c r="H46" s="67" t="s">
        <v>27</v>
      </c>
      <c r="I46" s="67" t="s">
        <v>28</v>
      </c>
      <c r="J46" s="68" t="s">
        <v>453</v>
      </c>
      <c r="K46" s="67" t="s">
        <v>454</v>
      </c>
      <c r="L46" s="67" t="s">
        <v>297</v>
      </c>
      <c r="M46" s="67" t="s">
        <v>455</v>
      </c>
      <c r="N46" s="67" t="s">
        <v>435</v>
      </c>
      <c r="O46" s="69">
        <v>44173</v>
      </c>
      <c r="P46" s="70">
        <f>IFERROR(VLOOKUP(J46,'Obs Tecnicas'!$D$2:$I$320,5,0),O46)</f>
        <v>44173</v>
      </c>
      <c r="Q46" s="69" t="str">
        <f t="shared" ca="1" si="5"/>
        <v>Calibrado</v>
      </c>
      <c r="R46" s="71" t="str">
        <f>IFERROR(VLOOKUP(J46,'Obs Tecnicas'!$D$2:$G$340,2,0),"")</f>
        <v/>
      </c>
      <c r="S46" s="67" t="str">
        <f>IFERROR(VLOOKUP(J46,'Obs Tecnicas'!$D$2:$G$344,3,0),"Hexis")</f>
        <v>Hexis</v>
      </c>
      <c r="T46" s="67" t="str">
        <f>IFERROR(VLOOKUP(J46,'Obs Tecnicas'!$D$2:$G$344,4,0),"")</f>
        <v/>
      </c>
      <c r="V46" s="13">
        <f t="shared" si="1"/>
        <v>12</v>
      </c>
      <c r="W46" s="72">
        <f t="shared" si="2"/>
        <v>165.75299999999999</v>
      </c>
      <c r="X46" s="72">
        <f t="shared" si="3"/>
        <v>245.34000000000003</v>
      </c>
    </row>
    <row r="47" spans="1:32">
      <c r="A47" s="13" t="s">
        <v>20</v>
      </c>
      <c r="B47" s="13" t="s">
        <v>306</v>
      </c>
      <c r="C47" s="66" t="s">
        <v>307</v>
      </c>
      <c r="D47" s="67" t="s">
        <v>452</v>
      </c>
      <c r="E47" s="13" t="s">
        <v>306</v>
      </c>
      <c r="F47" s="66" t="s">
        <v>307</v>
      </c>
      <c r="G47" s="67" t="s">
        <v>434</v>
      </c>
      <c r="H47" s="67" t="s">
        <v>27</v>
      </c>
      <c r="I47" s="67" t="s">
        <v>76</v>
      </c>
      <c r="J47" s="68" t="s">
        <v>755</v>
      </c>
      <c r="K47" s="67" t="s">
        <v>94</v>
      </c>
      <c r="L47" s="67" t="s">
        <v>95</v>
      </c>
      <c r="M47" s="67" t="s">
        <v>455</v>
      </c>
      <c r="N47" s="67" t="s">
        <v>435</v>
      </c>
      <c r="O47" s="69">
        <v>44173</v>
      </c>
      <c r="P47" s="70">
        <f>IFERROR(VLOOKUP(J47,'Obs Tecnicas'!$D$2:$I$320,5,0),O47)</f>
        <v>44173</v>
      </c>
      <c r="Q47" s="69" t="str">
        <f t="shared" ca="1" si="5"/>
        <v>Calibrado</v>
      </c>
      <c r="R47" s="71" t="str">
        <f>IFERROR(VLOOKUP(J47,'Obs Tecnicas'!$D$2:$G$340,2,0),"")</f>
        <v/>
      </c>
      <c r="S47" s="67" t="str">
        <f>IFERROR(VLOOKUP(J47,'Obs Tecnicas'!$D$2:$G$344,3,0),"Hexis")</f>
        <v>Hexis</v>
      </c>
      <c r="T47" s="67" t="str">
        <f>IFERROR(VLOOKUP(J47,'Obs Tecnicas'!$D$2:$G$344,4,0),"")</f>
        <v/>
      </c>
      <c r="V47" s="13">
        <f t="shared" si="1"/>
        <v>12</v>
      </c>
      <c r="W47" s="72">
        <f t="shared" si="2"/>
        <v>101.655</v>
      </c>
      <c r="X47" s="72">
        <f t="shared" si="3"/>
        <v>195.22799999999998</v>
      </c>
    </row>
    <row r="48" spans="1:32">
      <c r="A48" s="13" t="s">
        <v>20</v>
      </c>
      <c r="B48" s="13" t="s">
        <v>306</v>
      </c>
      <c r="C48" s="66" t="s">
        <v>307</v>
      </c>
      <c r="D48" s="67" t="s">
        <v>452</v>
      </c>
      <c r="E48" s="13" t="s">
        <v>306</v>
      </c>
      <c r="F48" s="66" t="s">
        <v>307</v>
      </c>
      <c r="G48" s="67" t="s">
        <v>434</v>
      </c>
      <c r="H48" s="67" t="s">
        <v>27</v>
      </c>
      <c r="I48" s="67" t="s">
        <v>76</v>
      </c>
      <c r="J48" s="68" t="s">
        <v>756</v>
      </c>
      <c r="K48" s="67" t="s">
        <v>77</v>
      </c>
      <c r="L48" s="75" t="s">
        <v>78</v>
      </c>
      <c r="M48" s="67" t="s">
        <v>455</v>
      </c>
      <c r="N48" s="67" t="s">
        <v>435</v>
      </c>
      <c r="O48" s="69">
        <v>44173</v>
      </c>
      <c r="P48" s="70">
        <f>IFERROR(VLOOKUP(J48,'Obs Tecnicas'!$D$2:$I$320,5,0),O48)</f>
        <v>44173</v>
      </c>
      <c r="Q48" s="69" t="str">
        <f t="shared" ca="1" si="5"/>
        <v>Calibrado</v>
      </c>
      <c r="R48" s="71" t="str">
        <f>IFERROR(VLOOKUP(J48,'Obs Tecnicas'!$D$2:$G$340,2,0),"")</f>
        <v/>
      </c>
      <c r="S48" s="67" t="str">
        <f>IFERROR(VLOOKUP(J48,'Obs Tecnicas'!$D$2:$G$344,3,0),"Hexis")</f>
        <v>Hexis</v>
      </c>
      <c r="T48" s="67" t="str">
        <f>IFERROR(VLOOKUP(J48,'Obs Tecnicas'!$D$2:$G$344,4,0),"")</f>
        <v/>
      </c>
      <c r="V48" s="13">
        <f t="shared" si="1"/>
        <v>12</v>
      </c>
      <c r="W48" s="72">
        <f t="shared" si="2"/>
        <v>101.655</v>
      </c>
      <c r="X48" s="72">
        <f t="shared" si="3"/>
        <v>195.22799999999998</v>
      </c>
    </row>
    <row r="49" spans="1:24">
      <c r="A49" s="13" t="s">
        <v>20</v>
      </c>
      <c r="B49" s="13" t="s">
        <v>306</v>
      </c>
      <c r="C49" s="66" t="s">
        <v>307</v>
      </c>
      <c r="D49" s="67" t="s">
        <v>452</v>
      </c>
      <c r="E49" s="13" t="s">
        <v>306</v>
      </c>
      <c r="F49" s="66" t="s">
        <v>307</v>
      </c>
      <c r="G49" s="67" t="s">
        <v>434</v>
      </c>
      <c r="H49" s="67" t="s">
        <v>27</v>
      </c>
      <c r="I49" s="67" t="s">
        <v>45</v>
      </c>
      <c r="J49" s="68" t="s">
        <v>757</v>
      </c>
      <c r="K49" s="67" t="s">
        <v>53</v>
      </c>
      <c r="L49" s="67" t="s">
        <v>291</v>
      </c>
      <c r="M49" s="67" t="s">
        <v>455</v>
      </c>
      <c r="N49" s="67" t="s">
        <v>435</v>
      </c>
      <c r="O49" s="69">
        <v>44173</v>
      </c>
      <c r="P49" s="70">
        <f>IFERROR(VLOOKUP(J49,'Obs Tecnicas'!$D$2:$I$320,5,0),O49)</f>
        <v>44173</v>
      </c>
      <c r="Q49" s="69" t="str">
        <f t="shared" ca="1" si="5"/>
        <v>Calibrado</v>
      </c>
      <c r="R49" s="71" t="str">
        <f>IFERROR(VLOOKUP(J49,'Obs Tecnicas'!$D$2:$G$340,2,0),"")</f>
        <v/>
      </c>
      <c r="S49" s="67" t="str">
        <f>IFERROR(VLOOKUP(J49,'Obs Tecnicas'!$D$2:$G$344,3,0),"Hexis")</f>
        <v>Hexis</v>
      </c>
      <c r="T49" s="67" t="str">
        <f>IFERROR(VLOOKUP(J49,'Obs Tecnicas'!$D$2:$G$344,4,0),"")</f>
        <v/>
      </c>
      <c r="V49" s="13">
        <f t="shared" si="1"/>
        <v>12</v>
      </c>
      <c r="W49" s="72">
        <f t="shared" si="2"/>
        <v>420.44400000000002</v>
      </c>
      <c r="X49" s="72">
        <f t="shared" si="3"/>
        <v>385.26299999999998</v>
      </c>
    </row>
    <row r="50" spans="1:24">
      <c r="A50" s="13" t="s">
        <v>20</v>
      </c>
      <c r="B50" s="13" t="s">
        <v>306</v>
      </c>
      <c r="C50" s="66" t="s">
        <v>307</v>
      </c>
      <c r="D50" s="67" t="s">
        <v>452</v>
      </c>
      <c r="E50" s="13" t="s">
        <v>306</v>
      </c>
      <c r="F50" s="66" t="s">
        <v>307</v>
      </c>
      <c r="G50" s="67" t="s">
        <v>434</v>
      </c>
      <c r="H50" s="67" t="s">
        <v>27</v>
      </c>
      <c r="I50" s="67" t="s">
        <v>45</v>
      </c>
      <c r="J50" s="68" t="s">
        <v>758</v>
      </c>
      <c r="K50" s="67" t="s">
        <v>53</v>
      </c>
      <c r="L50" s="67" t="s">
        <v>72</v>
      </c>
      <c r="M50" s="67" t="s">
        <v>455</v>
      </c>
      <c r="N50" s="67" t="s">
        <v>435</v>
      </c>
      <c r="O50" s="69">
        <v>44173</v>
      </c>
      <c r="P50" s="70">
        <f>IFERROR(VLOOKUP(J50,'Obs Tecnicas'!$D$2:$I$320,5,0),O50)</f>
        <v>44173</v>
      </c>
      <c r="Q50" s="69" t="str">
        <f t="shared" ca="1" si="5"/>
        <v>Calibrado</v>
      </c>
      <c r="R50" s="71" t="str">
        <f>IFERROR(VLOOKUP(J50,'Obs Tecnicas'!$D$2:$G$340,2,0),"")</f>
        <v/>
      </c>
      <c r="S50" s="67" t="str">
        <f>IFERROR(VLOOKUP(J50,'Obs Tecnicas'!$D$2:$G$344,3,0),"Hexis")</f>
        <v>Hexis</v>
      </c>
      <c r="T50" s="67" t="str">
        <f>IFERROR(VLOOKUP(J50,'Obs Tecnicas'!$D$2:$G$344,4,0),"")</f>
        <v/>
      </c>
      <c r="V50" s="13">
        <f t="shared" si="1"/>
        <v>12</v>
      </c>
      <c r="W50" s="72">
        <f t="shared" si="2"/>
        <v>420.44400000000002</v>
      </c>
      <c r="X50" s="72">
        <f t="shared" si="3"/>
        <v>385.26299999999998</v>
      </c>
    </row>
    <row r="51" spans="1:24">
      <c r="A51" s="77" t="s">
        <v>20</v>
      </c>
      <c r="B51" s="77" t="s">
        <v>306</v>
      </c>
      <c r="C51" s="66" t="s">
        <v>307</v>
      </c>
      <c r="D51" s="67" t="s">
        <v>452</v>
      </c>
      <c r="E51" s="77" t="s">
        <v>306</v>
      </c>
      <c r="F51" s="66" t="s">
        <v>307</v>
      </c>
      <c r="G51" s="67" t="s">
        <v>434</v>
      </c>
      <c r="H51" s="67" t="s">
        <v>27</v>
      </c>
      <c r="I51" s="67" t="s">
        <v>45</v>
      </c>
      <c r="J51" s="68" t="s">
        <v>759</v>
      </c>
      <c r="K51" s="67" t="s">
        <v>53</v>
      </c>
      <c r="L51" s="67" t="s">
        <v>72</v>
      </c>
      <c r="M51" s="67" t="s">
        <v>455</v>
      </c>
      <c r="N51" s="67" t="s">
        <v>435</v>
      </c>
      <c r="O51" s="69">
        <v>44173</v>
      </c>
      <c r="P51" s="70">
        <f>IFERROR(VLOOKUP(J51,'Obs Tecnicas'!$D$2:$I$320,5,0),O51)</f>
        <v>44173</v>
      </c>
      <c r="Q51" s="69" t="str">
        <f t="shared" ca="1" si="5"/>
        <v>Calibrado</v>
      </c>
      <c r="R51" s="71" t="str">
        <f>IFERROR(VLOOKUP(J51,'Obs Tecnicas'!$D$2:$G$340,2,0),"")</f>
        <v/>
      </c>
      <c r="S51" s="67" t="str">
        <f>IFERROR(VLOOKUP(J51,'Obs Tecnicas'!$D$2:$G$344,3,0),"Hexis")</f>
        <v>Hexis</v>
      </c>
      <c r="T51" s="67" t="str">
        <f>IFERROR(VLOOKUP(J51,'Obs Tecnicas'!$D$2:$G$344,4,0),"")</f>
        <v/>
      </c>
      <c r="V51" s="13">
        <f t="shared" si="1"/>
        <v>12</v>
      </c>
      <c r="W51" s="72">
        <f t="shared" si="2"/>
        <v>420.44400000000002</v>
      </c>
      <c r="X51" s="72">
        <f t="shared" si="3"/>
        <v>385.26299999999998</v>
      </c>
    </row>
    <row r="52" spans="1:24">
      <c r="A52" s="13" t="s">
        <v>20</v>
      </c>
      <c r="B52" s="13" t="s">
        <v>306</v>
      </c>
      <c r="C52" s="66" t="s">
        <v>307</v>
      </c>
      <c r="D52" s="67" t="s">
        <v>452</v>
      </c>
      <c r="E52" s="13" t="s">
        <v>306</v>
      </c>
      <c r="F52" s="66" t="s">
        <v>307</v>
      </c>
      <c r="G52" s="67" t="s">
        <v>434</v>
      </c>
      <c r="H52" s="67" t="s">
        <v>27</v>
      </c>
      <c r="I52" s="67" t="s">
        <v>79</v>
      </c>
      <c r="J52" s="68" t="s">
        <v>760</v>
      </c>
      <c r="K52" s="67" t="s">
        <v>77</v>
      </c>
      <c r="L52" s="67" t="s">
        <v>80</v>
      </c>
      <c r="M52" s="67" t="s">
        <v>455</v>
      </c>
      <c r="N52" s="67" t="s">
        <v>435</v>
      </c>
      <c r="O52" s="69">
        <v>44173</v>
      </c>
      <c r="P52" s="70">
        <f>IFERROR(VLOOKUP(J52,'Obs Tecnicas'!$D$2:$I$320,5,0),O52)</f>
        <v>44173</v>
      </c>
      <c r="Q52" s="69" t="str">
        <f t="shared" ca="1" si="5"/>
        <v>Calibrado</v>
      </c>
      <c r="R52" s="71" t="str">
        <f>IFERROR(VLOOKUP(J52,'Obs Tecnicas'!$D$2:$G$340,2,0),"")</f>
        <v/>
      </c>
      <c r="S52" s="67" t="str">
        <f>IFERROR(VLOOKUP(J52,'Obs Tecnicas'!$D$2:$G$344,3,0),"Hexis")</f>
        <v>Hexis</v>
      </c>
      <c r="T52" s="67" t="str">
        <f>IFERROR(VLOOKUP(J52,'Obs Tecnicas'!$D$2:$G$344,4,0),"")</f>
        <v/>
      </c>
      <c r="V52" s="13">
        <f t="shared" si="1"/>
        <v>12</v>
      </c>
      <c r="W52" s="72">
        <f t="shared" si="2"/>
        <v>101.655</v>
      </c>
      <c r="X52" s="72">
        <f t="shared" si="3"/>
        <v>390.45599999999996</v>
      </c>
    </row>
    <row r="53" spans="1:24">
      <c r="A53" s="13" t="s">
        <v>20</v>
      </c>
      <c r="B53" s="13" t="s">
        <v>306</v>
      </c>
      <c r="C53" s="66" t="s">
        <v>307</v>
      </c>
      <c r="D53" s="67" t="s">
        <v>452</v>
      </c>
      <c r="E53" s="13" t="s">
        <v>306</v>
      </c>
      <c r="F53" s="66" t="s">
        <v>307</v>
      </c>
      <c r="G53" s="67" t="s">
        <v>434</v>
      </c>
      <c r="H53" s="67" t="s">
        <v>27</v>
      </c>
      <c r="I53" s="67" t="s">
        <v>79</v>
      </c>
      <c r="J53" s="68" t="s">
        <v>761</v>
      </c>
      <c r="K53" s="67" t="s">
        <v>77</v>
      </c>
      <c r="L53" s="67" t="s">
        <v>80</v>
      </c>
      <c r="M53" s="67" t="s">
        <v>455</v>
      </c>
      <c r="N53" s="67" t="s">
        <v>435</v>
      </c>
      <c r="O53" s="69">
        <v>44173</v>
      </c>
      <c r="P53" s="70">
        <f>IFERROR(VLOOKUP(J53,'Obs Tecnicas'!$D$2:$I$320,5,0),O53)</f>
        <v>44173</v>
      </c>
      <c r="Q53" s="69" t="str">
        <f t="shared" ca="1" si="5"/>
        <v>Calibrado</v>
      </c>
      <c r="R53" s="71" t="str">
        <f>IFERROR(VLOOKUP(J53,'Obs Tecnicas'!$D$2:$G$340,2,0),"")</f>
        <v/>
      </c>
      <c r="S53" s="67" t="str">
        <f>IFERROR(VLOOKUP(J53,'Obs Tecnicas'!$D$2:$G$344,3,0),"Hexis")</f>
        <v>Hexis</v>
      </c>
      <c r="T53" s="67" t="str">
        <f>IFERROR(VLOOKUP(J53,'Obs Tecnicas'!$D$2:$G$344,4,0),"")</f>
        <v/>
      </c>
      <c r="V53" s="13">
        <f t="shared" si="1"/>
        <v>12</v>
      </c>
      <c r="W53" s="72">
        <f t="shared" si="2"/>
        <v>101.655</v>
      </c>
      <c r="X53" s="72">
        <f t="shared" si="3"/>
        <v>390.45599999999996</v>
      </c>
    </row>
    <row r="54" spans="1:24">
      <c r="A54" s="77" t="s">
        <v>20</v>
      </c>
      <c r="B54" s="77" t="s">
        <v>306</v>
      </c>
      <c r="C54" s="66" t="s">
        <v>307</v>
      </c>
      <c r="D54" s="67" t="s">
        <v>452</v>
      </c>
      <c r="E54" s="77" t="s">
        <v>306</v>
      </c>
      <c r="F54" s="66" t="s">
        <v>307</v>
      </c>
      <c r="G54" s="67" t="s">
        <v>434</v>
      </c>
      <c r="H54" s="67" t="s">
        <v>27</v>
      </c>
      <c r="I54" s="67" t="s">
        <v>79</v>
      </c>
      <c r="J54" s="68" t="s">
        <v>762</v>
      </c>
      <c r="K54" s="67" t="s">
        <v>77</v>
      </c>
      <c r="L54" s="67" t="s">
        <v>80</v>
      </c>
      <c r="M54" s="67" t="s">
        <v>455</v>
      </c>
      <c r="N54" s="67" t="s">
        <v>435</v>
      </c>
      <c r="O54" s="69">
        <v>44173</v>
      </c>
      <c r="P54" s="70">
        <f>IFERROR(VLOOKUP(J54,'Obs Tecnicas'!$D$2:$I$320,5,0),O54)</f>
        <v>44173</v>
      </c>
      <c r="Q54" s="69" t="str">
        <f t="shared" ca="1" si="5"/>
        <v>Calibrado</v>
      </c>
      <c r="R54" s="71" t="str">
        <f>IFERROR(VLOOKUP(J54,'Obs Tecnicas'!$D$2:$G$340,2,0),"")</f>
        <v/>
      </c>
      <c r="S54" s="67" t="str">
        <f>IFERROR(VLOOKUP(J54,'Obs Tecnicas'!$D$2:$G$344,3,0),"Hexis")</f>
        <v>Hexis</v>
      </c>
      <c r="T54" s="67" t="str">
        <f>IFERROR(VLOOKUP(J54,'Obs Tecnicas'!$D$2:$G$344,4,0),"")</f>
        <v/>
      </c>
      <c r="V54" s="13">
        <f t="shared" si="1"/>
        <v>12</v>
      </c>
      <c r="W54" s="72">
        <f t="shared" si="2"/>
        <v>101.655</v>
      </c>
      <c r="X54" s="72">
        <f t="shared" si="3"/>
        <v>390.45599999999996</v>
      </c>
    </row>
    <row r="55" spans="1:24">
      <c r="A55" s="13" t="s">
        <v>20</v>
      </c>
      <c r="B55" s="13" t="s">
        <v>306</v>
      </c>
      <c r="C55" s="66" t="s">
        <v>307</v>
      </c>
      <c r="D55" s="67" t="s">
        <v>452</v>
      </c>
      <c r="E55" s="13" t="s">
        <v>306</v>
      </c>
      <c r="F55" s="66" t="s">
        <v>307</v>
      </c>
      <c r="G55" s="67" t="s">
        <v>434</v>
      </c>
      <c r="H55" s="67" t="s">
        <v>27</v>
      </c>
      <c r="I55" s="67" t="s">
        <v>34</v>
      </c>
      <c r="J55" s="88" t="s">
        <v>763</v>
      </c>
      <c r="K55" s="67" t="s">
        <v>94</v>
      </c>
      <c r="L55" s="67" t="s">
        <v>123</v>
      </c>
      <c r="M55" s="67" t="s">
        <v>455</v>
      </c>
      <c r="N55" s="67" t="s">
        <v>435</v>
      </c>
      <c r="O55" s="69">
        <v>44173</v>
      </c>
      <c r="P55" s="70">
        <f>IFERROR(VLOOKUP(J55,'Obs Tecnicas'!$D$2:$I$320,5,0),O55)</f>
        <v>44173</v>
      </c>
      <c r="Q55" s="69" t="str">
        <f t="shared" ca="1" si="5"/>
        <v>Calibrado</v>
      </c>
      <c r="R55" s="71" t="str">
        <f>IFERROR(VLOOKUP(J55,'Obs Tecnicas'!$D$2:$G$340,2,0),"")</f>
        <v/>
      </c>
      <c r="S55" s="67" t="str">
        <f>IFERROR(VLOOKUP(J55,'Obs Tecnicas'!$D$2:$G$344,3,0),"Hexis")</f>
        <v>Hexis</v>
      </c>
      <c r="T55" s="67" t="str">
        <f>IFERROR(VLOOKUP(J55,'Obs Tecnicas'!$D$2:$G$344,4,0),"")</f>
        <v/>
      </c>
      <c r="V55" s="13">
        <f t="shared" si="1"/>
        <v>12</v>
      </c>
      <c r="W55" s="72">
        <f t="shared" si="2"/>
        <v>101.655</v>
      </c>
      <c r="X55" s="72">
        <f t="shared" si="3"/>
        <v>195.22799999999998</v>
      </c>
    </row>
    <row r="56" spans="1:24">
      <c r="A56" s="13" t="s">
        <v>20</v>
      </c>
      <c r="B56" s="13" t="s">
        <v>306</v>
      </c>
      <c r="C56" s="66" t="s">
        <v>307</v>
      </c>
      <c r="D56" s="67" t="s">
        <v>452</v>
      </c>
      <c r="E56" s="13" t="s">
        <v>306</v>
      </c>
      <c r="F56" s="66" t="s">
        <v>307</v>
      </c>
      <c r="G56" s="67" t="s">
        <v>434</v>
      </c>
      <c r="H56" s="67" t="s">
        <v>27</v>
      </c>
      <c r="I56" s="67" t="s">
        <v>34</v>
      </c>
      <c r="J56" s="68" t="s">
        <v>764</v>
      </c>
      <c r="K56" s="67" t="s">
        <v>35</v>
      </c>
      <c r="L56" s="67" t="s">
        <v>36</v>
      </c>
      <c r="M56" s="67" t="s">
        <v>455</v>
      </c>
      <c r="N56" s="67" t="s">
        <v>435</v>
      </c>
      <c r="O56" s="69">
        <v>44173</v>
      </c>
      <c r="P56" s="70">
        <f>IFERROR(VLOOKUP(J56,'Obs Tecnicas'!$D$2:$I$320,5,0),O56)</f>
        <v>44173</v>
      </c>
      <c r="Q56" s="69" t="str">
        <f t="shared" ca="1" si="5"/>
        <v>Calibrado</v>
      </c>
      <c r="R56" s="71" t="str">
        <f>IFERROR(VLOOKUP(J56,'Obs Tecnicas'!$D$2:$G$340,2,0),"")</f>
        <v/>
      </c>
      <c r="S56" s="67" t="str">
        <f>IFERROR(VLOOKUP(J56,'Obs Tecnicas'!$D$2:$G$344,3,0),"Hexis")</f>
        <v>Hexis</v>
      </c>
      <c r="T56" s="67" t="str">
        <f>IFERROR(VLOOKUP(J56,'Obs Tecnicas'!$D$2:$G$344,4,0),"")</f>
        <v/>
      </c>
      <c r="V56" s="13">
        <f t="shared" si="1"/>
        <v>12</v>
      </c>
      <c r="W56" s="72">
        <f t="shared" si="2"/>
        <v>101.655</v>
      </c>
      <c r="X56" s="72">
        <f t="shared" si="3"/>
        <v>195.22799999999998</v>
      </c>
    </row>
    <row r="57" spans="1:24" ht="15" customHeight="1">
      <c r="A57" s="77" t="s">
        <v>20</v>
      </c>
      <c r="B57" s="77" t="s">
        <v>306</v>
      </c>
      <c r="C57" s="66" t="s">
        <v>307</v>
      </c>
      <c r="D57" s="67" t="s">
        <v>452</v>
      </c>
      <c r="E57" s="77" t="s">
        <v>306</v>
      </c>
      <c r="F57" s="66" t="s">
        <v>307</v>
      </c>
      <c r="G57" s="67" t="s">
        <v>434</v>
      </c>
      <c r="H57" s="67" t="s">
        <v>27</v>
      </c>
      <c r="I57" s="67" t="s">
        <v>34</v>
      </c>
      <c r="J57" s="68" t="s">
        <v>765</v>
      </c>
      <c r="K57" s="67" t="s">
        <v>35</v>
      </c>
      <c r="L57" s="67" t="s">
        <v>36</v>
      </c>
      <c r="M57" s="67" t="s">
        <v>455</v>
      </c>
      <c r="N57" s="67" t="s">
        <v>435</v>
      </c>
      <c r="O57" s="69">
        <v>44173</v>
      </c>
      <c r="P57" s="70">
        <f>IFERROR(VLOOKUP(J57,'Obs Tecnicas'!$D$2:$I$320,5,0),O57)</f>
        <v>44173</v>
      </c>
      <c r="Q57" s="69" t="str">
        <f t="shared" ca="1" si="5"/>
        <v>Calibrado</v>
      </c>
      <c r="R57" s="71" t="str">
        <f>IFERROR(VLOOKUP(J57,'Obs Tecnicas'!$D$2:$G$340,2,0),"")</f>
        <v/>
      </c>
      <c r="S57" s="67" t="str">
        <f>IFERROR(VLOOKUP(J57,'Obs Tecnicas'!$D$2:$G$344,3,0),"Hexis")</f>
        <v>Hexis</v>
      </c>
      <c r="T57" s="67" t="str">
        <f>IFERROR(VLOOKUP(J57,'Obs Tecnicas'!$D$2:$G$344,4,0),"")</f>
        <v/>
      </c>
      <c r="V57" s="13">
        <f t="shared" si="1"/>
        <v>12</v>
      </c>
      <c r="W57" s="72">
        <f t="shared" si="2"/>
        <v>101.655</v>
      </c>
      <c r="X57" s="72">
        <f t="shared" si="3"/>
        <v>195.22799999999998</v>
      </c>
    </row>
    <row r="58" spans="1:24">
      <c r="A58" s="13" t="s">
        <v>20</v>
      </c>
      <c r="B58" s="13" t="s">
        <v>306</v>
      </c>
      <c r="C58" s="66" t="s">
        <v>307</v>
      </c>
      <c r="D58" s="67" t="s">
        <v>452</v>
      </c>
      <c r="E58" s="13" t="s">
        <v>306</v>
      </c>
      <c r="F58" s="66" t="s">
        <v>307</v>
      </c>
      <c r="G58" s="67" t="s">
        <v>434</v>
      </c>
      <c r="H58" s="67" t="s">
        <v>27</v>
      </c>
      <c r="I58" s="67" t="s">
        <v>34</v>
      </c>
      <c r="J58" s="68" t="s">
        <v>766</v>
      </c>
      <c r="K58" s="67" t="s">
        <v>35</v>
      </c>
      <c r="L58" s="67" t="s">
        <v>36</v>
      </c>
      <c r="M58" s="67" t="s">
        <v>455</v>
      </c>
      <c r="N58" s="67" t="s">
        <v>435</v>
      </c>
      <c r="O58" s="69">
        <v>44173</v>
      </c>
      <c r="P58" s="70">
        <f>IFERROR(VLOOKUP(J58,'Obs Tecnicas'!$D$2:$I$320,5,0),O58)</f>
        <v>44173</v>
      </c>
      <c r="Q58" s="69" t="str">
        <f t="shared" ca="1" si="5"/>
        <v>Calibrado</v>
      </c>
      <c r="R58" s="71" t="str">
        <f>IFERROR(VLOOKUP(J58,'Obs Tecnicas'!$D$2:$G$340,2,0),"")</f>
        <v/>
      </c>
      <c r="S58" s="67" t="str">
        <f>IFERROR(VLOOKUP(J58,'Obs Tecnicas'!$D$2:$G$344,3,0),"Hexis")</f>
        <v>Hexis</v>
      </c>
      <c r="T58" s="67" t="str">
        <f>IFERROR(VLOOKUP(J58,'Obs Tecnicas'!$D$2:$G$344,4,0),"")</f>
        <v/>
      </c>
      <c r="V58" s="13">
        <f t="shared" si="1"/>
        <v>12</v>
      </c>
      <c r="W58" s="72">
        <f t="shared" si="2"/>
        <v>101.655</v>
      </c>
      <c r="X58" s="72">
        <f t="shared" si="3"/>
        <v>195.22799999999998</v>
      </c>
    </row>
    <row r="59" spans="1:24">
      <c r="A59" s="13" t="s">
        <v>20</v>
      </c>
      <c r="B59" s="13" t="s">
        <v>306</v>
      </c>
      <c r="C59" s="66" t="s">
        <v>307</v>
      </c>
      <c r="D59" s="67" t="s">
        <v>452</v>
      </c>
      <c r="E59" s="13" t="s">
        <v>306</v>
      </c>
      <c r="F59" s="66" t="s">
        <v>307</v>
      </c>
      <c r="G59" s="67" t="s">
        <v>434</v>
      </c>
      <c r="H59" s="67" t="s">
        <v>27</v>
      </c>
      <c r="I59" s="67" t="s">
        <v>55</v>
      </c>
      <c r="J59" s="68" t="s">
        <v>456</v>
      </c>
      <c r="K59" s="67" t="s">
        <v>53</v>
      </c>
      <c r="L59" s="67" t="s">
        <v>57</v>
      </c>
      <c r="M59" s="67" t="s">
        <v>455</v>
      </c>
      <c r="N59" s="67" t="s">
        <v>435</v>
      </c>
      <c r="O59" s="69">
        <v>44173</v>
      </c>
      <c r="P59" s="70">
        <f>IFERROR(VLOOKUP(J59,'Obs Tecnicas'!$D$2:$I$320,5,0),O59)</f>
        <v>44173</v>
      </c>
      <c r="Q59" s="69" t="str">
        <f t="shared" ca="1" si="5"/>
        <v>Calibrado</v>
      </c>
      <c r="R59" s="71" t="str">
        <f>IFERROR(VLOOKUP(J59,'Obs Tecnicas'!$D$2:$G$340,2,0),"")</f>
        <v/>
      </c>
      <c r="S59" s="67" t="str">
        <f>IFERROR(VLOOKUP(J59,'Obs Tecnicas'!$D$2:$G$344,3,0),"Hexis")</f>
        <v>Hexis</v>
      </c>
      <c r="T59" s="67" t="str">
        <f>IFERROR(VLOOKUP(J59,'Obs Tecnicas'!$D$2:$G$344,4,0),"")</f>
        <v/>
      </c>
      <c r="V59" s="13">
        <f t="shared" si="1"/>
        <v>12</v>
      </c>
      <c r="W59" s="72" t="e">
        <f t="shared" si="2"/>
        <v>#N/A</v>
      </c>
      <c r="X59" s="72" t="e">
        <f t="shared" si="3"/>
        <v>#N/A</v>
      </c>
    </row>
    <row r="60" spans="1:24">
      <c r="A60" s="13" t="s">
        <v>20</v>
      </c>
      <c r="B60" s="13" t="s">
        <v>792</v>
      </c>
      <c r="C60" s="66" t="s">
        <v>793</v>
      </c>
      <c r="D60" s="13" t="s">
        <v>1015</v>
      </c>
      <c r="E60" s="13" t="s">
        <v>24</v>
      </c>
      <c r="F60" s="144" t="s">
        <v>25</v>
      </c>
      <c r="G60" s="67" t="s">
        <v>44</v>
      </c>
      <c r="H60" s="13" t="s">
        <v>27</v>
      </c>
      <c r="I60" s="67" t="s">
        <v>28</v>
      </c>
      <c r="J60" s="68" t="s">
        <v>527</v>
      </c>
      <c r="K60" s="13" t="s">
        <v>526</v>
      </c>
      <c r="L60" s="13"/>
      <c r="M60" s="67" t="s">
        <v>49</v>
      </c>
      <c r="N60" s="13"/>
      <c r="O60" s="69"/>
      <c r="P60" s="70">
        <f>IFERROR(VLOOKUP(J60,'Obs Tecnicas'!$D$2:$I$320,5,0),O60)</f>
        <v>44333</v>
      </c>
      <c r="Q60" s="69" t="str">
        <f t="shared" ca="1" si="5"/>
        <v>Calibrado</v>
      </c>
      <c r="R60" s="71">
        <f>IFERROR(VLOOKUP(J60,'Obs Tecnicas'!$D$2:$G$340,2,0),"")</f>
        <v>12351</v>
      </c>
      <c r="S60" s="67" t="str">
        <f>IFERROR(VLOOKUP(J60,'Obs Tecnicas'!$D$2:$G$344,3,0),"Hexis")</f>
        <v>ER ANALITICA</v>
      </c>
      <c r="T60" s="67">
        <f>IFERROR(VLOOKUP(J60,'Obs Tecnicas'!$D$2:$G$344,4,0),"")</f>
        <v>0</v>
      </c>
      <c r="U60" s="13" t="s">
        <v>774</v>
      </c>
      <c r="V60" s="13">
        <f t="shared" si="1"/>
        <v>5</v>
      </c>
      <c r="W60" s="72">
        <f t="shared" si="2"/>
        <v>165.75299999999999</v>
      </c>
      <c r="X60" s="72">
        <f t="shared" si="3"/>
        <v>245.34000000000003</v>
      </c>
    </row>
    <row r="61" spans="1:24">
      <c r="A61" s="13" t="s">
        <v>20</v>
      </c>
      <c r="B61" s="13" t="s">
        <v>792</v>
      </c>
      <c r="C61" s="66" t="s">
        <v>793</v>
      </c>
      <c r="D61" s="13" t="s">
        <v>1015</v>
      </c>
      <c r="E61" s="13" t="s">
        <v>24</v>
      </c>
      <c r="F61" s="144" t="s">
        <v>25</v>
      </c>
      <c r="G61" s="67" t="s">
        <v>44</v>
      </c>
      <c r="H61" s="13" t="s">
        <v>27</v>
      </c>
      <c r="I61" s="67" t="s">
        <v>28</v>
      </c>
      <c r="J61" s="68" t="s">
        <v>539</v>
      </c>
      <c r="K61" s="13" t="s">
        <v>526</v>
      </c>
      <c r="L61" s="13"/>
      <c r="M61" s="67" t="s">
        <v>49</v>
      </c>
      <c r="N61" s="13"/>
      <c r="O61" s="69"/>
      <c r="P61" s="70">
        <f>IFERROR(VLOOKUP(J61,'Obs Tecnicas'!$D$2:$I$320,5,0),O61)</f>
        <v>44333</v>
      </c>
      <c r="Q61" s="69" t="str">
        <f t="shared" ca="1" si="5"/>
        <v>Calibrado</v>
      </c>
      <c r="R61" s="71">
        <f>IFERROR(VLOOKUP(J61,'Obs Tecnicas'!$D$2:$G$340,2,0),"")</f>
        <v>12350</v>
      </c>
      <c r="S61" s="67" t="str">
        <f>IFERROR(VLOOKUP(J61,'Obs Tecnicas'!$D$2:$G$344,3,0),"Hexis")</f>
        <v>ER ANALITICA</v>
      </c>
      <c r="T61" s="67">
        <f>IFERROR(VLOOKUP(J61,'Obs Tecnicas'!$D$2:$G$344,4,0),"")</f>
        <v>0</v>
      </c>
      <c r="U61" s="13" t="s">
        <v>774</v>
      </c>
      <c r="V61" s="13">
        <f t="shared" si="1"/>
        <v>5</v>
      </c>
      <c r="W61" s="72">
        <f t="shared" si="2"/>
        <v>165.75299999999999</v>
      </c>
      <c r="X61" s="72">
        <f t="shared" si="3"/>
        <v>245.34000000000003</v>
      </c>
    </row>
    <row r="62" spans="1:24">
      <c r="A62" s="13" t="s">
        <v>20</v>
      </c>
      <c r="B62" s="13" t="s">
        <v>127</v>
      </c>
      <c r="C62" s="66" t="s">
        <v>128</v>
      </c>
      <c r="D62" s="67" t="s">
        <v>129</v>
      </c>
      <c r="E62" s="13" t="s">
        <v>130</v>
      </c>
      <c r="F62" s="66" t="s">
        <v>131</v>
      </c>
      <c r="G62" s="67" t="s">
        <v>132</v>
      </c>
      <c r="H62" s="67" t="s">
        <v>27</v>
      </c>
      <c r="I62" s="67" t="s">
        <v>76</v>
      </c>
      <c r="J62" s="68" t="s">
        <v>485</v>
      </c>
      <c r="K62" s="67" t="s">
        <v>77</v>
      </c>
      <c r="L62" s="75" t="s">
        <v>78</v>
      </c>
      <c r="M62" s="67" t="s">
        <v>133</v>
      </c>
      <c r="N62" s="67" t="s">
        <v>134</v>
      </c>
      <c r="O62" s="69">
        <v>43979</v>
      </c>
      <c r="P62" s="70">
        <f>IFERROR(VLOOKUP(J62,'Obs Tecnicas'!$D$2:$I$320,5,0),O62)</f>
        <v>44333</v>
      </c>
      <c r="Q62" s="69" t="str">
        <f t="shared" ca="1" si="5"/>
        <v>Calibrado</v>
      </c>
      <c r="R62" s="71">
        <f>IFERROR(VLOOKUP(J62,'Obs Tecnicas'!$D$2:$G$340,2,0),"")</f>
        <v>12337</v>
      </c>
      <c r="S62" s="67" t="str">
        <f>IFERROR(VLOOKUP(J62,'Obs Tecnicas'!$D$2:$G$344,3,0),"Hexis")</f>
        <v>ER ANALITICA</v>
      </c>
      <c r="T62" s="67">
        <f>IFERROR(VLOOKUP(J62,'Obs Tecnicas'!$D$2:$G$344,4,0),"")</f>
        <v>0</v>
      </c>
      <c r="U62" s="13" t="s">
        <v>550</v>
      </c>
      <c r="V62" s="13">
        <f t="shared" si="1"/>
        <v>5</v>
      </c>
      <c r="W62" s="72">
        <f t="shared" si="2"/>
        <v>101.655</v>
      </c>
      <c r="X62" s="72">
        <f t="shared" si="3"/>
        <v>195.22799999999998</v>
      </c>
    </row>
    <row r="63" spans="1:24">
      <c r="A63" s="13" t="s">
        <v>20</v>
      </c>
      <c r="B63" s="13" t="s">
        <v>127</v>
      </c>
      <c r="C63" s="66" t="s">
        <v>128</v>
      </c>
      <c r="D63" s="67" t="s">
        <v>129</v>
      </c>
      <c r="E63" s="13" t="s">
        <v>130</v>
      </c>
      <c r="F63" s="66" t="s">
        <v>131</v>
      </c>
      <c r="G63" s="67" t="s">
        <v>132</v>
      </c>
      <c r="H63" s="67" t="s">
        <v>27</v>
      </c>
      <c r="I63" s="67" t="s">
        <v>76</v>
      </c>
      <c r="J63" s="68" t="s">
        <v>625</v>
      </c>
      <c r="K63" s="67" t="s">
        <v>77</v>
      </c>
      <c r="L63" s="75" t="s">
        <v>78</v>
      </c>
      <c r="M63" s="67" t="s">
        <v>133</v>
      </c>
      <c r="N63" s="67" t="s">
        <v>134</v>
      </c>
      <c r="O63" s="69">
        <v>43979</v>
      </c>
      <c r="P63" s="70">
        <f>IFERROR(VLOOKUP(J63,'Obs Tecnicas'!$D$2:$I$320,5,0),O63)</f>
        <v>44333</v>
      </c>
      <c r="Q63" s="69" t="str">
        <f t="shared" ca="1" si="5"/>
        <v>Calibrado</v>
      </c>
      <c r="R63" s="71">
        <f>IFERROR(VLOOKUP(J63,'Obs Tecnicas'!$D$2:$G$340,2,0),"")</f>
        <v>12317</v>
      </c>
      <c r="S63" s="67" t="str">
        <f>IFERROR(VLOOKUP(J63,'Obs Tecnicas'!$D$2:$G$344,3,0),"Hexis")</f>
        <v>ER ANALITICA</v>
      </c>
      <c r="T63" s="67">
        <f>IFERROR(VLOOKUP(J63,'Obs Tecnicas'!$D$2:$G$344,4,0),"")</f>
        <v>0</v>
      </c>
      <c r="V63" s="13">
        <f t="shared" si="1"/>
        <v>5</v>
      </c>
      <c r="W63" s="72">
        <f t="shared" si="2"/>
        <v>101.655</v>
      </c>
      <c r="X63" s="72">
        <f t="shared" si="3"/>
        <v>195.22799999999998</v>
      </c>
    </row>
    <row r="64" spans="1:24">
      <c r="A64" s="13" t="s">
        <v>20</v>
      </c>
      <c r="B64" s="13" t="s">
        <v>127</v>
      </c>
      <c r="C64" s="66" t="s">
        <v>128</v>
      </c>
      <c r="D64" s="67" t="s">
        <v>129</v>
      </c>
      <c r="E64" s="13" t="s">
        <v>130</v>
      </c>
      <c r="F64" s="66" t="s">
        <v>131</v>
      </c>
      <c r="G64" s="67" t="s">
        <v>132</v>
      </c>
      <c r="H64" s="67" t="s">
        <v>27</v>
      </c>
      <c r="I64" s="67" t="s">
        <v>45</v>
      </c>
      <c r="J64" s="68" t="s">
        <v>549</v>
      </c>
      <c r="K64" s="67" t="s">
        <v>53</v>
      </c>
      <c r="L64" s="67" t="s">
        <v>61</v>
      </c>
      <c r="M64" s="67" t="s">
        <v>133</v>
      </c>
      <c r="N64" s="67" t="s">
        <v>134</v>
      </c>
      <c r="O64" s="69">
        <v>43979</v>
      </c>
      <c r="P64" s="70">
        <f>IFERROR(VLOOKUP(J64,'Obs Tecnicas'!$D$2:$I$320,5,0),O64)</f>
        <v>44333</v>
      </c>
      <c r="Q64" s="69" t="str">
        <f t="shared" ca="1" si="5"/>
        <v>Calibrado</v>
      </c>
      <c r="R64" s="71">
        <f>IFERROR(VLOOKUP(J64,'Obs Tecnicas'!$D$2:$G$340,2,0),"")</f>
        <v>12326</v>
      </c>
      <c r="S64" s="67" t="str">
        <f>IFERROR(VLOOKUP(J64,'Obs Tecnicas'!$D$2:$G$344,3,0),"Hexis")</f>
        <v>ER ANALITICA</v>
      </c>
      <c r="T64" s="67" t="str">
        <f>IFERROR(VLOOKUP(J64,'Obs Tecnicas'!$D$2:$G$344,4,0),"")</f>
        <v>Compartimento de cubeta e bateria de lítio em final de vida útil.</v>
      </c>
      <c r="U64" s="13" t="s">
        <v>550</v>
      </c>
      <c r="V64" s="13">
        <f t="shared" si="1"/>
        <v>5</v>
      </c>
      <c r="W64" s="72">
        <f t="shared" si="2"/>
        <v>420.44400000000002</v>
      </c>
      <c r="X64" s="72">
        <f t="shared" si="3"/>
        <v>385.26299999999998</v>
      </c>
    </row>
    <row r="65" spans="1:32">
      <c r="A65" s="13" t="s">
        <v>20</v>
      </c>
      <c r="B65" s="13" t="s">
        <v>127</v>
      </c>
      <c r="C65" s="66" t="s">
        <v>128</v>
      </c>
      <c r="D65" s="67" t="s">
        <v>129</v>
      </c>
      <c r="E65" s="13" t="s">
        <v>130</v>
      </c>
      <c r="F65" s="66" t="s">
        <v>131</v>
      </c>
      <c r="G65" s="67" t="s">
        <v>132</v>
      </c>
      <c r="H65" s="67" t="s">
        <v>27</v>
      </c>
      <c r="I65" s="67" t="s">
        <v>34</v>
      </c>
      <c r="J65" s="68" t="s">
        <v>491</v>
      </c>
      <c r="K65" s="67" t="s">
        <v>35</v>
      </c>
      <c r="L65" s="67" t="s">
        <v>36</v>
      </c>
      <c r="M65" s="67" t="s">
        <v>133</v>
      </c>
      <c r="N65" s="67" t="s">
        <v>134</v>
      </c>
      <c r="O65" s="69">
        <v>43979</v>
      </c>
      <c r="P65" s="70">
        <f>IFERROR(VLOOKUP(J65,'Obs Tecnicas'!$D$2:$I$320,5,0),O65)</f>
        <v>44333</v>
      </c>
      <c r="Q65" s="69" t="str">
        <f t="shared" ca="1" si="5"/>
        <v>Calibrado</v>
      </c>
      <c r="R65" s="71">
        <f>IFERROR(VLOOKUP(J65,'Obs Tecnicas'!$D$2:$G$340,2,0),"")</f>
        <v>12321</v>
      </c>
      <c r="S65" s="67" t="str">
        <f>IFERROR(VLOOKUP(J65,'Obs Tecnicas'!$D$2:$G$344,3,0),"Hexis")</f>
        <v>ER ANALITICA</v>
      </c>
      <c r="T65" s="67">
        <f>IFERROR(VLOOKUP(J65,'Obs Tecnicas'!$D$2:$G$344,4,0),"")</f>
        <v>0</v>
      </c>
      <c r="U65" s="13" t="s">
        <v>550</v>
      </c>
      <c r="V65" s="13">
        <f t="shared" si="1"/>
        <v>5</v>
      </c>
      <c r="W65" s="72">
        <f t="shared" si="2"/>
        <v>101.655</v>
      </c>
      <c r="X65" s="72">
        <f t="shared" si="3"/>
        <v>195.22799999999998</v>
      </c>
    </row>
    <row r="66" spans="1:32">
      <c r="A66" s="13" t="s">
        <v>20</v>
      </c>
      <c r="B66" s="13" t="s">
        <v>313</v>
      </c>
      <c r="C66" s="85" t="s">
        <v>314</v>
      </c>
      <c r="D66" s="67" t="s">
        <v>315</v>
      </c>
      <c r="E66" s="13" t="s">
        <v>316</v>
      </c>
      <c r="F66" s="66" t="s">
        <v>317</v>
      </c>
      <c r="G66" s="67" t="s">
        <v>318</v>
      </c>
      <c r="H66" s="67" t="s">
        <v>319</v>
      </c>
      <c r="I66" s="67" t="s">
        <v>34</v>
      </c>
      <c r="J66" s="68" t="s">
        <v>697</v>
      </c>
      <c r="K66" s="67" t="s">
        <v>35</v>
      </c>
      <c r="L66" s="67" t="s">
        <v>36</v>
      </c>
      <c r="M66" s="105" t="s">
        <v>320</v>
      </c>
      <c r="N66" s="67" t="s">
        <v>321</v>
      </c>
      <c r="O66" s="69">
        <v>44343</v>
      </c>
      <c r="P66" s="70">
        <f>IFERROR(VLOOKUP(J66,'Obs Tecnicas'!$D$2:$I$320,5,0),O66)</f>
        <v>44343</v>
      </c>
      <c r="Q66" s="69" t="str">
        <f t="shared" ca="1" si="5"/>
        <v>Calibrado</v>
      </c>
      <c r="R66" s="71" t="str">
        <f>IFERROR(VLOOKUP(J66,'Obs Tecnicas'!$D$2:$G$340,2,0),"")</f>
        <v/>
      </c>
      <c r="S66" s="67" t="str">
        <f>IFERROR(VLOOKUP(J66,'Obs Tecnicas'!$D$2:$G$344,3,0),"Hexis")</f>
        <v>Hexis</v>
      </c>
      <c r="T66" s="67" t="str">
        <f>IFERROR(VLOOKUP(J66,'Obs Tecnicas'!$D$2:$G$344,4,0),"")</f>
        <v/>
      </c>
      <c r="V66" s="13">
        <f t="shared" ref="V66:V129" si="6">IF(P66&lt;&gt;"",MONTH(P66),"")</f>
        <v>5</v>
      </c>
      <c r="W66" s="72">
        <f t="shared" ref="W66:W129" si="7">VLOOKUP(I66,$AB$2:$AD$10,2,0)</f>
        <v>101.655</v>
      </c>
      <c r="X66" s="72">
        <f t="shared" ref="X66:X129" si="8">VLOOKUP(I66,$AB$2:$AD$10,3,0)</f>
        <v>195.22799999999998</v>
      </c>
    </row>
    <row r="67" spans="1:32">
      <c r="A67" s="13" t="s">
        <v>20</v>
      </c>
      <c r="B67" s="13" t="s">
        <v>313</v>
      </c>
      <c r="C67" s="85" t="s">
        <v>314</v>
      </c>
      <c r="D67" s="67" t="s">
        <v>315</v>
      </c>
      <c r="E67" s="13" t="s">
        <v>316</v>
      </c>
      <c r="F67" s="66" t="s">
        <v>317</v>
      </c>
      <c r="G67" s="67" t="s">
        <v>318</v>
      </c>
      <c r="H67" s="67" t="s">
        <v>319</v>
      </c>
      <c r="I67" s="67" t="s">
        <v>34</v>
      </c>
      <c r="J67" s="68" t="s">
        <v>698</v>
      </c>
      <c r="K67" s="67" t="s">
        <v>53</v>
      </c>
      <c r="L67" s="67" t="s">
        <v>322</v>
      </c>
      <c r="M67" s="105" t="s">
        <v>320</v>
      </c>
      <c r="N67" s="67" t="s">
        <v>321</v>
      </c>
      <c r="O67" s="69">
        <v>44343</v>
      </c>
      <c r="P67" s="70">
        <f>IFERROR(VLOOKUP(J67,'Obs Tecnicas'!$D$2:$I$320,5,0),O67)</f>
        <v>44343</v>
      </c>
      <c r="Q67" s="69" t="str">
        <f t="shared" ca="1" si="5"/>
        <v>Calibrado</v>
      </c>
      <c r="R67" s="71" t="str">
        <f>IFERROR(VLOOKUP(J67,'Obs Tecnicas'!$D$2:$G$340,2,0),"")</f>
        <v/>
      </c>
      <c r="S67" s="67" t="str">
        <f>IFERROR(VLOOKUP(J67,'Obs Tecnicas'!$D$2:$G$344,3,0),"Hexis")</f>
        <v>Hexis</v>
      </c>
      <c r="T67" s="67" t="str">
        <f>IFERROR(VLOOKUP(J67,'Obs Tecnicas'!$D$2:$G$344,4,0),"")</f>
        <v/>
      </c>
      <c r="V67" s="13">
        <f t="shared" si="6"/>
        <v>5</v>
      </c>
      <c r="W67" s="72">
        <f t="shared" si="7"/>
        <v>101.655</v>
      </c>
      <c r="X67" s="72">
        <f t="shared" si="8"/>
        <v>195.22799999999998</v>
      </c>
    </row>
    <row r="68" spans="1:32">
      <c r="A68" s="13" t="s">
        <v>20</v>
      </c>
      <c r="B68" s="13" t="s">
        <v>50</v>
      </c>
      <c r="C68" s="66" t="s">
        <v>25</v>
      </c>
      <c r="D68" s="67" t="s">
        <v>51</v>
      </c>
      <c r="E68" s="13" t="s">
        <v>24</v>
      </c>
      <c r="F68" s="66" t="s">
        <v>25</v>
      </c>
      <c r="G68" s="67" t="s">
        <v>44</v>
      </c>
      <c r="H68" s="67" t="s">
        <v>27</v>
      </c>
      <c r="I68" s="67" t="s">
        <v>52</v>
      </c>
      <c r="J68" s="68" t="s">
        <v>523</v>
      </c>
      <c r="K68" s="67" t="s">
        <v>53</v>
      </c>
      <c r="L68" s="67" t="s">
        <v>54</v>
      </c>
      <c r="M68" s="67" t="s">
        <v>49</v>
      </c>
      <c r="N68" s="67" t="s">
        <v>33</v>
      </c>
      <c r="O68" s="69">
        <v>43978</v>
      </c>
      <c r="P68" s="70">
        <f>IFERROR(VLOOKUP(J68,'Obs Tecnicas'!$D$2:$I$320,5,0),O68)</f>
        <v>44333</v>
      </c>
      <c r="Q68" s="69" t="str">
        <f t="shared" ca="1" si="5"/>
        <v>Calibrado</v>
      </c>
      <c r="R68" s="71">
        <f>IFERROR(VLOOKUP(J68,'Obs Tecnicas'!$D$2:$G$340,2,0),"")</f>
        <v>12332</v>
      </c>
      <c r="S68" s="67" t="str">
        <f>IFERROR(VLOOKUP(J68,'Obs Tecnicas'!$D$2:$G$344,3,0),"Hexis")</f>
        <v>ER ANALITICA</v>
      </c>
      <c r="T68" s="67">
        <f>IFERROR(VLOOKUP(J68,'Obs Tecnicas'!$D$2:$G$344,4,0),"")</f>
        <v>0</v>
      </c>
      <c r="U68" s="13" t="s">
        <v>550</v>
      </c>
      <c r="V68" s="13">
        <f t="shared" si="6"/>
        <v>5</v>
      </c>
      <c r="W68" s="72">
        <f t="shared" si="7"/>
        <v>178.434</v>
      </c>
      <c r="X68" s="72">
        <f t="shared" si="8"/>
        <v>318.94200000000001</v>
      </c>
    </row>
    <row r="69" spans="1:32">
      <c r="A69" s="13" t="s">
        <v>20</v>
      </c>
      <c r="B69" s="13" t="s">
        <v>50</v>
      </c>
      <c r="C69" s="66" t="s">
        <v>25</v>
      </c>
      <c r="D69" s="67" t="s">
        <v>51</v>
      </c>
      <c r="E69" s="13" t="s">
        <v>24</v>
      </c>
      <c r="F69" s="66" t="s">
        <v>25</v>
      </c>
      <c r="G69" s="67" t="s">
        <v>44</v>
      </c>
      <c r="H69" s="67" t="s">
        <v>27</v>
      </c>
      <c r="I69" s="67" t="s">
        <v>34</v>
      </c>
      <c r="J69" s="68" t="s">
        <v>509</v>
      </c>
      <c r="K69" s="67" t="s">
        <v>35</v>
      </c>
      <c r="L69" s="67" t="s">
        <v>36</v>
      </c>
      <c r="M69" s="67" t="s">
        <v>49</v>
      </c>
      <c r="N69" s="67" t="s">
        <v>33</v>
      </c>
      <c r="O69" s="69">
        <v>43979</v>
      </c>
      <c r="P69" s="70">
        <f>IFERROR(VLOOKUP(J69,'Obs Tecnicas'!$D$2:$I$320,5,0),O69)</f>
        <v>44333</v>
      </c>
      <c r="Q69" s="69" t="str">
        <f t="shared" ca="1" si="5"/>
        <v>Calibrado</v>
      </c>
      <c r="R69" s="71">
        <f>IFERROR(VLOOKUP(J69,'Obs Tecnicas'!$D$2:$G$340,2,0),"")</f>
        <v>12334</v>
      </c>
      <c r="S69" s="67" t="str">
        <f>IFERROR(VLOOKUP(J69,'Obs Tecnicas'!$D$2:$G$344,3,0),"Hexis")</f>
        <v>ER ANALITICA</v>
      </c>
      <c r="T69" s="67" t="str">
        <f>IFERROR(VLOOKUP(J69,'Obs Tecnicas'!$D$2:$G$344,4,0),"")</f>
        <v>Instrumento inoperante, devido vazamento de pilhas. Será encaminhado a ER.</v>
      </c>
      <c r="U69" s="13" t="s">
        <v>436</v>
      </c>
      <c r="V69" s="13">
        <f t="shared" si="6"/>
        <v>5</v>
      </c>
      <c r="W69" s="72">
        <f t="shared" si="7"/>
        <v>101.655</v>
      </c>
      <c r="X69" s="72">
        <f t="shared" si="8"/>
        <v>195.22799999999998</v>
      </c>
    </row>
    <row r="70" spans="1:32">
      <c r="A70" s="13" t="s">
        <v>20</v>
      </c>
      <c r="B70" s="13" t="s">
        <v>50</v>
      </c>
      <c r="C70" s="66" t="s">
        <v>25</v>
      </c>
      <c r="D70" s="67" t="s">
        <v>51</v>
      </c>
      <c r="E70" s="13" t="s">
        <v>24</v>
      </c>
      <c r="F70" s="66" t="s">
        <v>25</v>
      </c>
      <c r="G70" s="67" t="s">
        <v>44</v>
      </c>
      <c r="H70" s="67" t="s">
        <v>27</v>
      </c>
      <c r="I70" s="67" t="s">
        <v>62</v>
      </c>
      <c r="J70" s="68" t="s">
        <v>70</v>
      </c>
      <c r="K70" s="67" t="s">
        <v>53</v>
      </c>
      <c r="L70" s="67" t="s">
        <v>63</v>
      </c>
      <c r="M70" s="67" t="s">
        <v>49</v>
      </c>
      <c r="N70" s="67" t="s">
        <v>33</v>
      </c>
      <c r="O70" s="69">
        <v>43979</v>
      </c>
      <c r="P70" s="70">
        <f>IFERROR(VLOOKUP(J70,'Obs Tecnicas'!$D$2:$I$320,5,0),O70)</f>
        <v>44333</v>
      </c>
      <c r="Q70" s="69" t="str">
        <f t="shared" ref="Q70:Q101" ca="1" si="9">IF(P70&lt;&gt;"",IF(P70+365&gt;TODAY(),"Calibrado","Vencido"),"")</f>
        <v>Calibrado</v>
      </c>
      <c r="R70" s="71">
        <f>IFERROR(VLOOKUP(J70,'Obs Tecnicas'!$D$2:$G$340,2,0),"")</f>
        <v>12327</v>
      </c>
      <c r="S70" s="67" t="str">
        <f>IFERROR(VLOOKUP(J70,'Obs Tecnicas'!$D$2:$G$344,3,0),"Hexis")</f>
        <v>ER ANALITICA</v>
      </c>
      <c r="T70" s="67">
        <f>IFERROR(VLOOKUP(J70,'Obs Tecnicas'!$D$2:$G$344,4,0),"")</f>
        <v>0</v>
      </c>
      <c r="U70" s="13" t="s">
        <v>550</v>
      </c>
      <c r="V70" s="13">
        <f t="shared" si="6"/>
        <v>5</v>
      </c>
      <c r="W70" s="72">
        <f t="shared" si="7"/>
        <v>198.60299999999998</v>
      </c>
      <c r="X70" s="72">
        <f t="shared" si="8"/>
        <v>217.29599999999999</v>
      </c>
    </row>
    <row r="71" spans="1:32">
      <c r="A71" s="13" t="s">
        <v>20</v>
      </c>
      <c r="B71" s="13" t="s">
        <v>50</v>
      </c>
      <c r="C71" s="66" t="s">
        <v>25</v>
      </c>
      <c r="D71" s="67" t="s">
        <v>51</v>
      </c>
      <c r="E71" s="13" t="s">
        <v>24</v>
      </c>
      <c r="F71" s="66" t="s">
        <v>25</v>
      </c>
      <c r="G71" s="67" t="s">
        <v>44</v>
      </c>
      <c r="H71" s="67" t="s">
        <v>27</v>
      </c>
      <c r="I71" s="67" t="s">
        <v>45</v>
      </c>
      <c r="J71" s="68" t="s">
        <v>500</v>
      </c>
      <c r="K71" s="67" t="s">
        <v>53</v>
      </c>
      <c r="L71" s="67" t="s">
        <v>72</v>
      </c>
      <c r="M71" s="67" t="s">
        <v>49</v>
      </c>
      <c r="N71" s="67" t="s">
        <v>33</v>
      </c>
      <c r="O71" s="69">
        <v>43980</v>
      </c>
      <c r="P71" s="70">
        <f>IFERROR(VLOOKUP(J71,'Obs Tecnicas'!$D$2:$I$320,5,0),O71)</f>
        <v>44333</v>
      </c>
      <c r="Q71" s="69" t="str">
        <f t="shared" ca="1" si="9"/>
        <v>Calibrado</v>
      </c>
      <c r="R71" s="71">
        <f>IFERROR(VLOOKUP(J71,'Obs Tecnicas'!$D$2:$G$340,2,0),"")</f>
        <v>12336</v>
      </c>
      <c r="S71" s="67" t="str">
        <f>IFERROR(VLOOKUP(J71,'Obs Tecnicas'!$D$2:$G$344,3,0),"Hexis")</f>
        <v>ER ANALITICA</v>
      </c>
      <c r="T71" s="67">
        <f>IFERROR(VLOOKUP(J71,'Obs Tecnicas'!$D$2:$G$344,4,0),"")</f>
        <v>0</v>
      </c>
      <c r="U71" s="13" t="s">
        <v>550</v>
      </c>
      <c r="V71" s="13">
        <f t="shared" si="6"/>
        <v>5</v>
      </c>
      <c r="W71" s="72">
        <f t="shared" si="7"/>
        <v>420.44400000000002</v>
      </c>
      <c r="X71" s="72">
        <f t="shared" si="8"/>
        <v>385.26299999999998</v>
      </c>
    </row>
    <row r="72" spans="1:32">
      <c r="A72" s="13" t="s">
        <v>20</v>
      </c>
      <c r="B72" s="13" t="s">
        <v>50</v>
      </c>
      <c r="C72" s="66" t="s">
        <v>25</v>
      </c>
      <c r="D72" s="67" t="s">
        <v>51</v>
      </c>
      <c r="E72" s="13" t="s">
        <v>24</v>
      </c>
      <c r="F72" s="66" t="s">
        <v>25</v>
      </c>
      <c r="G72" s="67" t="s">
        <v>44</v>
      </c>
      <c r="H72" s="67" t="s">
        <v>27</v>
      </c>
      <c r="I72" s="67" t="s">
        <v>76</v>
      </c>
      <c r="J72" s="68" t="s">
        <v>598</v>
      </c>
      <c r="K72" s="67" t="s">
        <v>77</v>
      </c>
      <c r="L72" s="67" t="s">
        <v>78</v>
      </c>
      <c r="M72" s="67" t="s">
        <v>49</v>
      </c>
      <c r="N72" s="67" t="s">
        <v>33</v>
      </c>
      <c r="O72" s="69">
        <v>44239</v>
      </c>
      <c r="P72" s="70">
        <f>IFERROR(VLOOKUP(J72,'Obs Tecnicas'!$D$2:$I$320,5,0),O72)</f>
        <v>44239</v>
      </c>
      <c r="Q72" s="69" t="str">
        <f t="shared" ca="1" si="9"/>
        <v>Calibrado</v>
      </c>
      <c r="R72" s="71" t="str">
        <f>IFERROR(VLOOKUP(J72,'Obs Tecnicas'!$D$2:$G$340,2,0),"")</f>
        <v/>
      </c>
      <c r="S72" s="67" t="str">
        <f>IFERROR(VLOOKUP(J72,'Obs Tecnicas'!$D$2:$G$344,3,0),"Hexis")</f>
        <v>Hexis</v>
      </c>
      <c r="T72" s="67" t="str">
        <f>IFERROR(VLOOKUP(J72,'Obs Tecnicas'!$D$2:$G$344,4,0),"")</f>
        <v/>
      </c>
      <c r="V72" s="13">
        <f t="shared" si="6"/>
        <v>2</v>
      </c>
      <c r="W72" s="72">
        <f t="shared" si="7"/>
        <v>101.655</v>
      </c>
      <c r="X72" s="72">
        <f t="shared" si="8"/>
        <v>195.22799999999998</v>
      </c>
    </row>
    <row r="73" spans="1:32">
      <c r="A73" s="13" t="s">
        <v>20</v>
      </c>
      <c r="B73" s="13" t="s">
        <v>50</v>
      </c>
      <c r="C73" s="66" t="s">
        <v>25</v>
      </c>
      <c r="D73" s="67" t="s">
        <v>51</v>
      </c>
      <c r="E73" s="13" t="s">
        <v>24</v>
      </c>
      <c r="F73" s="66" t="s">
        <v>25</v>
      </c>
      <c r="G73" s="67" t="s">
        <v>44</v>
      </c>
      <c r="H73" s="67" t="s">
        <v>27</v>
      </c>
      <c r="I73" s="67" t="s">
        <v>79</v>
      </c>
      <c r="J73" s="68" t="s">
        <v>599</v>
      </c>
      <c r="K73" s="67" t="s">
        <v>77</v>
      </c>
      <c r="L73" s="67" t="s">
        <v>80</v>
      </c>
      <c r="M73" s="67" t="s">
        <v>49</v>
      </c>
      <c r="N73" s="67" t="s">
        <v>33</v>
      </c>
      <c r="O73" s="69">
        <v>44239</v>
      </c>
      <c r="P73" s="70">
        <f>IFERROR(VLOOKUP(J73,'Obs Tecnicas'!$D$2:$I$320,5,0),O73)</f>
        <v>44239</v>
      </c>
      <c r="Q73" s="69" t="str">
        <f t="shared" ca="1" si="9"/>
        <v>Calibrado</v>
      </c>
      <c r="R73" s="71" t="str">
        <f>IFERROR(VLOOKUP(J73,'Obs Tecnicas'!$D$2:$G$340,2,0),"")</f>
        <v/>
      </c>
      <c r="S73" s="67" t="str">
        <f>IFERROR(VLOOKUP(J73,'Obs Tecnicas'!$D$2:$G$344,3,0),"Hexis")</f>
        <v>Hexis</v>
      </c>
      <c r="T73" s="67" t="str">
        <f>IFERROR(VLOOKUP(J73,'Obs Tecnicas'!$D$2:$G$344,4,0),"")</f>
        <v/>
      </c>
      <c r="V73" s="13">
        <f t="shared" si="6"/>
        <v>2</v>
      </c>
      <c r="W73" s="72">
        <f t="shared" si="7"/>
        <v>101.655</v>
      </c>
      <c r="X73" s="72">
        <f t="shared" si="8"/>
        <v>390.45599999999996</v>
      </c>
    </row>
    <row r="74" spans="1:32">
      <c r="A74" s="13" t="s">
        <v>20</v>
      </c>
      <c r="B74" s="13" t="s">
        <v>50</v>
      </c>
      <c r="C74" s="66" t="s">
        <v>25</v>
      </c>
      <c r="D74" s="67" t="s">
        <v>51</v>
      </c>
      <c r="E74" s="13" t="s">
        <v>24</v>
      </c>
      <c r="F74" s="66" t="s">
        <v>25</v>
      </c>
      <c r="G74" s="67" t="s">
        <v>44</v>
      </c>
      <c r="H74" s="67" t="s">
        <v>27</v>
      </c>
      <c r="I74" s="67" t="s">
        <v>79</v>
      </c>
      <c r="J74" s="68" t="s">
        <v>600</v>
      </c>
      <c r="K74" s="67" t="s">
        <v>77</v>
      </c>
      <c r="L74" s="67" t="s">
        <v>80</v>
      </c>
      <c r="M74" s="67" t="s">
        <v>49</v>
      </c>
      <c r="N74" s="67" t="s">
        <v>33</v>
      </c>
      <c r="O74" s="69">
        <v>44239</v>
      </c>
      <c r="P74" s="70">
        <f>IFERROR(VLOOKUP(J74,'Obs Tecnicas'!$D$2:$I$320,5,0),O74)</f>
        <v>44239</v>
      </c>
      <c r="Q74" s="69" t="str">
        <f t="shared" ca="1" si="9"/>
        <v>Calibrado</v>
      </c>
      <c r="R74" s="71" t="str">
        <f>IFERROR(VLOOKUP(J74,'Obs Tecnicas'!$D$2:$G$340,2,0),"")</f>
        <v/>
      </c>
      <c r="S74" s="67" t="str">
        <f>IFERROR(VLOOKUP(J74,'Obs Tecnicas'!$D$2:$G$344,3,0),"Hexis")</f>
        <v>Hexis</v>
      </c>
      <c r="T74" s="67" t="str">
        <f>IFERROR(VLOOKUP(J74,'Obs Tecnicas'!$D$2:$G$344,4,0),"")</f>
        <v/>
      </c>
      <c r="V74" s="13">
        <f t="shared" si="6"/>
        <v>2</v>
      </c>
      <c r="W74" s="72">
        <f t="shared" si="7"/>
        <v>101.655</v>
      </c>
      <c r="X74" s="72">
        <f t="shared" si="8"/>
        <v>390.45599999999996</v>
      </c>
    </row>
    <row r="75" spans="1:32">
      <c r="A75" s="13" t="s">
        <v>20</v>
      </c>
      <c r="B75" s="13" t="s">
        <v>50</v>
      </c>
      <c r="C75" s="66" t="s">
        <v>25</v>
      </c>
      <c r="D75" s="67" t="s">
        <v>51</v>
      </c>
      <c r="E75" s="13" t="s">
        <v>24</v>
      </c>
      <c r="F75" s="66" t="s">
        <v>25</v>
      </c>
      <c r="G75" s="67" t="s">
        <v>44</v>
      </c>
      <c r="H75" s="67" t="s">
        <v>27</v>
      </c>
      <c r="I75" s="67" t="s">
        <v>34</v>
      </c>
      <c r="J75" s="68" t="s">
        <v>601</v>
      </c>
      <c r="K75" s="67" t="s">
        <v>35</v>
      </c>
      <c r="L75" s="67" t="s">
        <v>36</v>
      </c>
      <c r="M75" s="67" t="s">
        <v>49</v>
      </c>
      <c r="N75" s="67" t="s">
        <v>33</v>
      </c>
      <c r="O75" s="69">
        <v>44239</v>
      </c>
      <c r="P75" s="70">
        <f>IFERROR(VLOOKUP(J75,'Obs Tecnicas'!$D$2:$I$320,5,0),O75)</f>
        <v>44239</v>
      </c>
      <c r="Q75" s="69" t="str">
        <f t="shared" ca="1" si="9"/>
        <v>Calibrado</v>
      </c>
      <c r="R75" s="71" t="str">
        <f>IFERROR(VLOOKUP(J75,'Obs Tecnicas'!$D$2:$G$340,2,0),"")</f>
        <v/>
      </c>
      <c r="S75" s="67" t="str">
        <f>IFERROR(VLOOKUP(J75,'Obs Tecnicas'!$D$2:$G$344,3,0),"Hexis")</f>
        <v>Hexis</v>
      </c>
      <c r="T75" s="67" t="str">
        <f>IFERROR(VLOOKUP(J75,'Obs Tecnicas'!$D$2:$G$344,4,0),"")</f>
        <v/>
      </c>
      <c r="V75" s="13">
        <f t="shared" si="6"/>
        <v>2</v>
      </c>
      <c r="W75" s="72">
        <f t="shared" si="7"/>
        <v>101.655</v>
      </c>
      <c r="X75" s="72">
        <f t="shared" si="8"/>
        <v>195.22799999999998</v>
      </c>
    </row>
    <row r="76" spans="1:32">
      <c r="A76" s="13" t="s">
        <v>20</v>
      </c>
      <c r="B76" s="13" t="s">
        <v>316</v>
      </c>
      <c r="C76" s="66" t="s">
        <v>317</v>
      </c>
      <c r="D76" s="67" t="s">
        <v>328</v>
      </c>
      <c r="E76" s="13" t="s">
        <v>316</v>
      </c>
      <c r="F76" s="66" t="s">
        <v>317</v>
      </c>
      <c r="G76" s="67" t="s">
        <v>318</v>
      </c>
      <c r="H76" s="75" t="s">
        <v>324</v>
      </c>
      <c r="I76" s="67" t="s">
        <v>79</v>
      </c>
      <c r="J76" s="68" t="s">
        <v>699</v>
      </c>
      <c r="K76" s="67" t="s">
        <v>77</v>
      </c>
      <c r="L76" s="67" t="s">
        <v>80</v>
      </c>
      <c r="M76" s="67" t="s">
        <v>329</v>
      </c>
      <c r="N76" s="67" t="s">
        <v>330</v>
      </c>
      <c r="O76" s="69">
        <v>43888</v>
      </c>
      <c r="P76" s="70">
        <v>44019</v>
      </c>
      <c r="Q76" s="69" t="str">
        <f t="shared" ca="1" si="9"/>
        <v>Vencido</v>
      </c>
      <c r="R76" s="71" t="str">
        <f>IFERROR(VLOOKUP(J76,'Obs Tecnicas'!$D$2:$G$340,2,0),"")</f>
        <v/>
      </c>
      <c r="S76" s="67" t="str">
        <f>IFERROR(VLOOKUP(J76,'Obs Tecnicas'!$D$2:$G$344,3,0),"Hexis")</f>
        <v>Hexis</v>
      </c>
      <c r="T76" s="67" t="str">
        <f>IFERROR(VLOOKUP(J76,'Obs Tecnicas'!$D$2:$G$344,4,0),"")</f>
        <v/>
      </c>
      <c r="U76" s="13" t="s">
        <v>464</v>
      </c>
      <c r="V76" s="13">
        <f t="shared" si="6"/>
        <v>7</v>
      </c>
      <c r="W76" s="72">
        <f t="shared" si="7"/>
        <v>101.655</v>
      </c>
      <c r="X76" s="72">
        <f t="shared" si="8"/>
        <v>390.45599999999996</v>
      </c>
      <c r="AF76" s="104">
        <v>44425</v>
      </c>
    </row>
    <row r="77" spans="1:32">
      <c r="A77" s="13" t="s">
        <v>20</v>
      </c>
      <c r="B77" s="13" t="s">
        <v>316</v>
      </c>
      <c r="C77" s="66" t="s">
        <v>317</v>
      </c>
      <c r="D77" s="67" t="s">
        <v>328</v>
      </c>
      <c r="E77" s="13" t="s">
        <v>316</v>
      </c>
      <c r="F77" s="66" t="s">
        <v>317</v>
      </c>
      <c r="G77" s="67" t="s">
        <v>318</v>
      </c>
      <c r="H77" s="75" t="s">
        <v>324</v>
      </c>
      <c r="I77" s="67" t="s">
        <v>45</v>
      </c>
      <c r="J77" s="68" t="s">
        <v>707</v>
      </c>
      <c r="K77" s="67" t="s">
        <v>53</v>
      </c>
      <c r="L77" s="75" t="s">
        <v>72</v>
      </c>
      <c r="M77" s="67" t="s">
        <v>329</v>
      </c>
      <c r="N77" s="67" t="s">
        <v>330</v>
      </c>
      <c r="O77" s="69">
        <v>44019</v>
      </c>
      <c r="P77" s="70">
        <f>IFERROR(VLOOKUP(J77,'Obs Tecnicas'!$D$2:$I$320,5,0),O77)</f>
        <v>44019</v>
      </c>
      <c r="Q77" s="69" t="str">
        <f t="shared" ca="1" si="9"/>
        <v>Vencido</v>
      </c>
      <c r="R77" s="71" t="str">
        <f>IFERROR(VLOOKUP(J77,'Obs Tecnicas'!$D$2:$G$340,2,0),"")</f>
        <v/>
      </c>
      <c r="S77" s="67" t="str">
        <f>IFERROR(VLOOKUP(J77,'Obs Tecnicas'!$D$2:$G$344,3,0),"Hexis")</f>
        <v>Hexis</v>
      </c>
      <c r="T77" s="67" t="str">
        <f>IFERROR(VLOOKUP(J77,'Obs Tecnicas'!$D$2:$G$344,4,0),"")</f>
        <v/>
      </c>
      <c r="U77" s="13" t="s">
        <v>464</v>
      </c>
      <c r="V77" s="13">
        <f t="shared" si="6"/>
        <v>7</v>
      </c>
      <c r="W77" s="72">
        <f t="shared" si="7"/>
        <v>420.44400000000002</v>
      </c>
      <c r="X77" s="72">
        <f t="shared" si="8"/>
        <v>385.26299999999998</v>
      </c>
      <c r="AE77" s="13" t="s">
        <v>807</v>
      </c>
      <c r="AF77" s="104">
        <v>44425</v>
      </c>
    </row>
    <row r="78" spans="1:32">
      <c r="A78" s="13" t="s">
        <v>20</v>
      </c>
      <c r="B78" s="13" t="s">
        <v>316</v>
      </c>
      <c r="C78" s="66" t="s">
        <v>317</v>
      </c>
      <c r="D78" s="67" t="s">
        <v>328</v>
      </c>
      <c r="E78" s="13" t="s">
        <v>316</v>
      </c>
      <c r="F78" s="66" t="s">
        <v>317</v>
      </c>
      <c r="G78" s="67" t="s">
        <v>318</v>
      </c>
      <c r="H78" s="75" t="s">
        <v>324</v>
      </c>
      <c r="I78" s="67" t="s">
        <v>45</v>
      </c>
      <c r="J78" s="68" t="s">
        <v>708</v>
      </c>
      <c r="K78" s="67" t="s">
        <v>53</v>
      </c>
      <c r="L78" s="67" t="s">
        <v>72</v>
      </c>
      <c r="M78" s="67" t="s">
        <v>329</v>
      </c>
      <c r="N78" s="67" t="s">
        <v>330</v>
      </c>
      <c r="O78" s="69">
        <v>44019</v>
      </c>
      <c r="P78" s="70">
        <f>IFERROR(VLOOKUP(J78,'Obs Tecnicas'!$D$2:$I$320,5,0),O78)</f>
        <v>44019</v>
      </c>
      <c r="Q78" s="69" t="str">
        <f t="shared" ca="1" si="9"/>
        <v>Vencido</v>
      </c>
      <c r="R78" s="71" t="str">
        <f>IFERROR(VLOOKUP(J78,'Obs Tecnicas'!$D$2:$G$340,2,0),"")</f>
        <v/>
      </c>
      <c r="S78" s="67" t="str">
        <f>IFERROR(VLOOKUP(J78,'Obs Tecnicas'!$D$2:$G$344,3,0),"Hexis")</f>
        <v>Hexis</v>
      </c>
      <c r="T78" s="67" t="str">
        <f>IFERROR(VLOOKUP(J78,'Obs Tecnicas'!$D$2:$G$344,4,0),"")</f>
        <v/>
      </c>
      <c r="U78" s="13" t="s">
        <v>464</v>
      </c>
      <c r="V78" s="13">
        <f t="shared" si="6"/>
        <v>7</v>
      </c>
      <c r="W78" s="72">
        <f t="shared" si="7"/>
        <v>420.44400000000002</v>
      </c>
      <c r="X78" s="72">
        <f t="shared" si="8"/>
        <v>385.26299999999998</v>
      </c>
      <c r="AE78" s="13" t="s">
        <v>807</v>
      </c>
      <c r="AF78" s="104">
        <v>44425</v>
      </c>
    </row>
    <row r="79" spans="1:32">
      <c r="A79" s="13" t="s">
        <v>20</v>
      </c>
      <c r="B79" s="13" t="s">
        <v>316</v>
      </c>
      <c r="C79" s="66" t="s">
        <v>317</v>
      </c>
      <c r="D79" s="67" t="s">
        <v>328</v>
      </c>
      <c r="E79" s="13" t="s">
        <v>316</v>
      </c>
      <c r="F79" s="66" t="s">
        <v>317</v>
      </c>
      <c r="G79" s="67" t="s">
        <v>318</v>
      </c>
      <c r="H79" s="75" t="s">
        <v>324</v>
      </c>
      <c r="I79" s="67" t="s">
        <v>45</v>
      </c>
      <c r="J79" s="68" t="s">
        <v>709</v>
      </c>
      <c r="K79" s="67" t="s">
        <v>53</v>
      </c>
      <c r="L79" s="67" t="s">
        <v>291</v>
      </c>
      <c r="M79" s="67" t="s">
        <v>329</v>
      </c>
      <c r="N79" s="67" t="s">
        <v>330</v>
      </c>
      <c r="O79" s="69">
        <v>44019</v>
      </c>
      <c r="P79" s="70">
        <f>IFERROR(VLOOKUP(J79,'Obs Tecnicas'!$D$2:$I$320,5,0),O79)</f>
        <v>44019</v>
      </c>
      <c r="Q79" s="69" t="str">
        <f t="shared" ca="1" si="9"/>
        <v>Vencido</v>
      </c>
      <c r="R79" s="71" t="str">
        <f>IFERROR(VLOOKUP(J79,'Obs Tecnicas'!$D$2:$G$340,2,0),"")</f>
        <v/>
      </c>
      <c r="S79" s="67" t="str">
        <f>IFERROR(VLOOKUP(J79,'Obs Tecnicas'!$D$2:$G$344,3,0),"Hexis")</f>
        <v>Hexis</v>
      </c>
      <c r="T79" s="67" t="str">
        <f>IFERROR(VLOOKUP(J79,'Obs Tecnicas'!$D$2:$G$344,4,0),"")</f>
        <v/>
      </c>
      <c r="U79" s="13" t="s">
        <v>464</v>
      </c>
      <c r="V79" s="13">
        <f t="shared" si="6"/>
        <v>7</v>
      </c>
      <c r="W79" s="72">
        <f t="shared" si="7"/>
        <v>420.44400000000002</v>
      </c>
      <c r="X79" s="72">
        <f t="shared" si="8"/>
        <v>385.26299999999998</v>
      </c>
      <c r="AE79" s="13" t="s">
        <v>807</v>
      </c>
      <c r="AF79" s="104">
        <v>44425</v>
      </c>
    </row>
    <row r="80" spans="1:32">
      <c r="A80" s="13" t="s">
        <v>20</v>
      </c>
      <c r="B80" s="13" t="s">
        <v>316</v>
      </c>
      <c r="C80" s="66" t="s">
        <v>317</v>
      </c>
      <c r="D80" s="67" t="s">
        <v>328</v>
      </c>
      <c r="E80" s="13" t="s">
        <v>316</v>
      </c>
      <c r="F80" s="66" t="s">
        <v>317</v>
      </c>
      <c r="G80" s="67" t="s">
        <v>318</v>
      </c>
      <c r="H80" s="75" t="s">
        <v>324</v>
      </c>
      <c r="I80" s="67" t="s">
        <v>79</v>
      </c>
      <c r="J80" s="68" t="s">
        <v>710</v>
      </c>
      <c r="K80" s="67" t="s">
        <v>77</v>
      </c>
      <c r="L80" s="75" t="s">
        <v>80</v>
      </c>
      <c r="M80" s="67" t="s">
        <v>329</v>
      </c>
      <c r="N80" s="67" t="s">
        <v>330</v>
      </c>
      <c r="O80" s="69">
        <v>44019</v>
      </c>
      <c r="P80" s="70">
        <f>IFERROR(VLOOKUP(J80,'Obs Tecnicas'!$D$2:$I$320,5,0),O80)</f>
        <v>44019</v>
      </c>
      <c r="Q80" s="69" t="str">
        <f t="shared" ca="1" si="9"/>
        <v>Vencido</v>
      </c>
      <c r="R80" s="71" t="str">
        <f>IFERROR(VLOOKUP(J80,'Obs Tecnicas'!$D$2:$G$340,2,0),"")</f>
        <v/>
      </c>
      <c r="S80" s="67" t="str">
        <f>IFERROR(VLOOKUP(J80,'Obs Tecnicas'!$D$2:$G$344,3,0),"Hexis")</f>
        <v>Hexis</v>
      </c>
      <c r="T80" s="67" t="str">
        <f>IFERROR(VLOOKUP(J80,'Obs Tecnicas'!$D$2:$G$344,4,0),"")</f>
        <v/>
      </c>
      <c r="U80" s="13" t="s">
        <v>464</v>
      </c>
      <c r="V80" s="13">
        <f t="shared" si="6"/>
        <v>7</v>
      </c>
      <c r="W80" s="72">
        <f t="shared" si="7"/>
        <v>101.655</v>
      </c>
      <c r="X80" s="72">
        <f t="shared" si="8"/>
        <v>390.45599999999996</v>
      </c>
      <c r="AE80" s="13" t="s">
        <v>807</v>
      </c>
      <c r="AF80" s="104">
        <v>44425</v>
      </c>
    </row>
    <row r="81" spans="1:32">
      <c r="A81" s="13" t="s">
        <v>20</v>
      </c>
      <c r="B81" s="13" t="s">
        <v>316</v>
      </c>
      <c r="C81" s="66" t="s">
        <v>317</v>
      </c>
      <c r="D81" s="67" t="s">
        <v>328</v>
      </c>
      <c r="E81" s="13" t="s">
        <v>316</v>
      </c>
      <c r="F81" s="66" t="s">
        <v>317</v>
      </c>
      <c r="G81" s="67" t="s">
        <v>318</v>
      </c>
      <c r="H81" s="67" t="s">
        <v>324</v>
      </c>
      <c r="I81" s="67" t="s">
        <v>55</v>
      </c>
      <c r="J81" s="68" t="s">
        <v>339</v>
      </c>
      <c r="K81" s="67" t="s">
        <v>53</v>
      </c>
      <c r="L81" s="67" t="s">
        <v>57</v>
      </c>
      <c r="M81" s="67" t="s">
        <v>329</v>
      </c>
      <c r="N81" s="67" t="s">
        <v>330</v>
      </c>
      <c r="O81" s="69">
        <v>44019</v>
      </c>
      <c r="P81" s="70">
        <f>IFERROR(VLOOKUP(J81,'Obs Tecnicas'!$D$2:$I$320,5,0),O81)</f>
        <v>44019</v>
      </c>
      <c r="Q81" s="69" t="str">
        <f t="shared" ca="1" si="9"/>
        <v>Vencido</v>
      </c>
      <c r="R81" s="71" t="str">
        <f>IFERROR(VLOOKUP(J81,'Obs Tecnicas'!$D$2:$G$340,2,0),"")</f>
        <v/>
      </c>
      <c r="S81" s="67" t="str">
        <f>IFERROR(VLOOKUP(J81,'Obs Tecnicas'!$D$2:$G$344,3,0),"Hexis")</f>
        <v>Hexis</v>
      </c>
      <c r="T81" s="67" t="str">
        <f>IFERROR(VLOOKUP(J81,'Obs Tecnicas'!$D$2:$G$344,4,0),"")</f>
        <v/>
      </c>
      <c r="U81" s="13" t="s">
        <v>464</v>
      </c>
      <c r="V81" s="13">
        <f t="shared" si="6"/>
        <v>7</v>
      </c>
      <c r="W81" s="72" t="e">
        <f t="shared" si="7"/>
        <v>#N/A</v>
      </c>
      <c r="X81" s="72" t="e">
        <f t="shared" si="8"/>
        <v>#N/A</v>
      </c>
      <c r="AE81" s="13" t="s">
        <v>807</v>
      </c>
      <c r="AF81" s="104">
        <v>44425</v>
      </c>
    </row>
    <row r="82" spans="1:32">
      <c r="A82" s="13" t="s">
        <v>20</v>
      </c>
      <c r="B82" s="13" t="s">
        <v>316</v>
      </c>
      <c r="C82" s="66" t="s">
        <v>317</v>
      </c>
      <c r="D82" s="67" t="s">
        <v>328</v>
      </c>
      <c r="E82" s="13" t="s">
        <v>316</v>
      </c>
      <c r="F82" s="66" t="s">
        <v>317</v>
      </c>
      <c r="G82" s="67" t="s">
        <v>318</v>
      </c>
      <c r="H82" s="67" t="s">
        <v>324</v>
      </c>
      <c r="I82" s="67" t="s">
        <v>79</v>
      </c>
      <c r="J82" s="68" t="s">
        <v>711</v>
      </c>
      <c r="K82" s="67" t="s">
        <v>77</v>
      </c>
      <c r="L82" s="67" t="s">
        <v>78</v>
      </c>
      <c r="M82" s="67" t="s">
        <v>329</v>
      </c>
      <c r="N82" s="67" t="s">
        <v>330</v>
      </c>
      <c r="O82" s="69">
        <v>44019</v>
      </c>
      <c r="P82" s="70">
        <f>IFERROR(VLOOKUP(J82,'Obs Tecnicas'!$D$2:$I$320,5,0),O82)</f>
        <v>44019</v>
      </c>
      <c r="Q82" s="69" t="str">
        <f t="shared" ca="1" si="9"/>
        <v>Vencido</v>
      </c>
      <c r="R82" s="71" t="str">
        <f>IFERROR(VLOOKUP(J82,'Obs Tecnicas'!$D$2:$G$340,2,0),"")</f>
        <v/>
      </c>
      <c r="S82" s="67" t="str">
        <f>IFERROR(VLOOKUP(J82,'Obs Tecnicas'!$D$2:$G$344,3,0),"Hexis")</f>
        <v>Hexis</v>
      </c>
      <c r="T82" s="67" t="str">
        <f>IFERROR(VLOOKUP(J82,'Obs Tecnicas'!$D$2:$G$344,4,0),"")</f>
        <v/>
      </c>
      <c r="U82" s="13" t="s">
        <v>785</v>
      </c>
      <c r="V82" s="13">
        <f t="shared" si="6"/>
        <v>7</v>
      </c>
      <c r="W82" s="72">
        <f t="shared" si="7"/>
        <v>101.655</v>
      </c>
      <c r="X82" s="72">
        <f t="shared" si="8"/>
        <v>390.45599999999996</v>
      </c>
      <c r="AE82" s="13" t="s">
        <v>807</v>
      </c>
    </row>
    <row r="83" spans="1:32">
      <c r="A83" s="13" t="s">
        <v>20</v>
      </c>
      <c r="B83" s="13" t="s">
        <v>24</v>
      </c>
      <c r="C83" s="66" t="s">
        <v>25</v>
      </c>
      <c r="D83" s="67" t="s">
        <v>51</v>
      </c>
      <c r="E83" s="13" t="s">
        <v>24</v>
      </c>
      <c r="F83" s="66" t="s">
        <v>25</v>
      </c>
      <c r="G83" s="13" t="s">
        <v>790</v>
      </c>
      <c r="H83" s="13" t="s">
        <v>791</v>
      </c>
      <c r="I83" s="67" t="s">
        <v>76</v>
      </c>
      <c r="J83" s="68" t="s">
        <v>511</v>
      </c>
      <c r="K83" s="67" t="s">
        <v>77</v>
      </c>
      <c r="L83" s="67" t="s">
        <v>78</v>
      </c>
      <c r="M83" s="67" t="s">
        <v>49</v>
      </c>
      <c r="N83" s="13" t="s">
        <v>33</v>
      </c>
      <c r="O83" s="69"/>
      <c r="P83" s="70">
        <f>IFERROR(VLOOKUP(J83,'Obs Tecnicas'!$D$2:$I$320,5,0),O83)</f>
        <v>44333</v>
      </c>
      <c r="Q83" s="69" t="str">
        <f t="shared" ca="1" si="9"/>
        <v>Calibrado</v>
      </c>
      <c r="R83" s="71">
        <f>IFERROR(VLOOKUP(J83,'Obs Tecnicas'!$D$2:$G$340,2,0),"")</f>
        <v>12342</v>
      </c>
      <c r="S83" s="67" t="str">
        <f>IFERROR(VLOOKUP(J83,'Obs Tecnicas'!$D$2:$G$344,3,0),"Hexis")</f>
        <v>ER ANALITICA</v>
      </c>
      <c r="T83" s="67">
        <f>IFERROR(VLOOKUP(J83,'Obs Tecnicas'!$D$2:$G$344,4,0),"")</f>
        <v>0</v>
      </c>
      <c r="U83" s="13" t="s">
        <v>774</v>
      </c>
      <c r="V83" s="13">
        <f t="shared" si="6"/>
        <v>5</v>
      </c>
      <c r="W83" s="72">
        <f t="shared" si="7"/>
        <v>101.655</v>
      </c>
      <c r="X83" s="72">
        <f t="shared" si="8"/>
        <v>195.22799999999998</v>
      </c>
    </row>
    <row r="84" spans="1:32">
      <c r="A84" s="13" t="s">
        <v>20</v>
      </c>
      <c r="B84" s="13" t="s">
        <v>803</v>
      </c>
      <c r="C84" s="66" t="s">
        <v>802</v>
      </c>
      <c r="D84" s="67" t="s">
        <v>801</v>
      </c>
      <c r="E84" s="13" t="s">
        <v>183</v>
      </c>
      <c r="F84" s="66" t="s">
        <v>184</v>
      </c>
      <c r="G84" s="67" t="s">
        <v>177</v>
      </c>
      <c r="H84" s="67" t="s">
        <v>185</v>
      </c>
      <c r="I84" s="67" t="s">
        <v>28</v>
      </c>
      <c r="J84" s="68" t="s">
        <v>955</v>
      </c>
      <c r="K84" s="67" t="s">
        <v>390</v>
      </c>
      <c r="L84" s="67" t="s">
        <v>956</v>
      </c>
      <c r="M84" s="67" t="s">
        <v>187</v>
      </c>
      <c r="N84" s="67" t="s">
        <v>182</v>
      </c>
      <c r="O84" s="69">
        <v>44105</v>
      </c>
      <c r="P84" s="70">
        <f>IFERROR(VLOOKUP(J84,'Obs Tecnicas'!$D$2:$I$320,5,0),O84)</f>
        <v>44105</v>
      </c>
      <c r="Q84" s="69" t="str">
        <f t="shared" ca="1" si="9"/>
        <v>Calibrado</v>
      </c>
      <c r="R84" s="71" t="str">
        <f>IFERROR(VLOOKUP(J84,'Obs Tecnicas'!$D$2:$G$340,2,0),"")</f>
        <v/>
      </c>
      <c r="S84" s="67" t="str">
        <f>IFERROR(VLOOKUP(J84,'Obs Tecnicas'!$D$2:$G$344,3,0),"Hexis")</f>
        <v>Hexis</v>
      </c>
      <c r="T84" s="67" t="str">
        <f>IFERROR(VLOOKUP(J84,'Obs Tecnicas'!$D$2:$G$344,4,0),"")</f>
        <v/>
      </c>
      <c r="U84" s="13" t="s">
        <v>464</v>
      </c>
      <c r="V84" s="13">
        <f t="shared" si="6"/>
        <v>10</v>
      </c>
      <c r="W84" s="72">
        <f t="shared" si="7"/>
        <v>165.75299999999999</v>
      </c>
      <c r="X84" s="72">
        <f t="shared" si="8"/>
        <v>245.34000000000003</v>
      </c>
      <c r="AE84" s="13" t="s">
        <v>810</v>
      </c>
      <c r="AF84" s="104">
        <v>44426</v>
      </c>
    </row>
    <row r="85" spans="1:32">
      <c r="A85" s="13" t="s">
        <v>20</v>
      </c>
      <c r="B85" s="13" t="s">
        <v>803</v>
      </c>
      <c r="C85" s="66" t="s">
        <v>802</v>
      </c>
      <c r="D85" s="67" t="s">
        <v>801</v>
      </c>
      <c r="E85" s="13" t="s">
        <v>183</v>
      </c>
      <c r="F85" s="66" t="s">
        <v>184</v>
      </c>
      <c r="G85" s="67" t="s">
        <v>177</v>
      </c>
      <c r="H85" s="67" t="s">
        <v>185</v>
      </c>
      <c r="I85" s="67" t="s">
        <v>76</v>
      </c>
      <c r="J85" s="68" t="s">
        <v>681</v>
      </c>
      <c r="K85" s="67" t="s">
        <v>94</v>
      </c>
      <c r="L85" s="67" t="s">
        <v>95</v>
      </c>
      <c r="M85" s="67" t="s">
        <v>290</v>
      </c>
      <c r="N85" s="67" t="s">
        <v>169</v>
      </c>
      <c r="O85" s="69">
        <v>44105</v>
      </c>
      <c r="P85" s="70">
        <f>IFERROR(VLOOKUP(J85,'Obs Tecnicas'!$D$2:$I$320,5,0),O85)</f>
        <v>44105</v>
      </c>
      <c r="Q85" s="69" t="str">
        <f t="shared" ca="1" si="9"/>
        <v>Calibrado</v>
      </c>
      <c r="R85" s="71" t="str">
        <f>IFERROR(VLOOKUP(J85,'Obs Tecnicas'!$D$2:$G$340,2,0),"")</f>
        <v/>
      </c>
      <c r="S85" s="67" t="str">
        <f>IFERROR(VLOOKUP(J85,'Obs Tecnicas'!$D$2:$G$344,3,0),"Hexis")</f>
        <v>Hexis</v>
      </c>
      <c r="T85" s="67" t="str">
        <f>IFERROR(VLOOKUP(J85,'Obs Tecnicas'!$D$2:$G$344,4,0),"")</f>
        <v/>
      </c>
      <c r="U85" s="13" t="s">
        <v>464</v>
      </c>
      <c r="V85" s="13">
        <f t="shared" si="6"/>
        <v>10</v>
      </c>
      <c r="W85" s="72">
        <f t="shared" si="7"/>
        <v>101.655</v>
      </c>
      <c r="X85" s="72">
        <f t="shared" si="8"/>
        <v>195.22799999999998</v>
      </c>
      <c r="AE85" s="13" t="s">
        <v>810</v>
      </c>
      <c r="AF85" s="104">
        <v>44426</v>
      </c>
    </row>
    <row r="86" spans="1:32">
      <c r="A86" s="13" t="s">
        <v>20</v>
      </c>
      <c r="B86" s="13" t="s">
        <v>803</v>
      </c>
      <c r="C86" s="66" t="s">
        <v>802</v>
      </c>
      <c r="D86" s="67" t="s">
        <v>801</v>
      </c>
      <c r="E86" s="13" t="s">
        <v>183</v>
      </c>
      <c r="F86" s="66" t="s">
        <v>184</v>
      </c>
      <c r="G86" s="67" t="s">
        <v>177</v>
      </c>
      <c r="H86" s="67" t="s">
        <v>185</v>
      </c>
      <c r="I86" s="67" t="s">
        <v>45</v>
      </c>
      <c r="J86" s="68" t="s">
        <v>682</v>
      </c>
      <c r="K86" s="67" t="s">
        <v>53</v>
      </c>
      <c r="L86" s="67" t="s">
        <v>291</v>
      </c>
      <c r="M86" s="67" t="s">
        <v>290</v>
      </c>
      <c r="N86" s="67" t="s">
        <v>169</v>
      </c>
      <c r="O86" s="69">
        <v>44105</v>
      </c>
      <c r="P86" s="70">
        <f>IFERROR(VLOOKUP(J86,'Obs Tecnicas'!$D$2:$I$320,5,0),O86)</f>
        <v>44105</v>
      </c>
      <c r="Q86" s="69" t="str">
        <f t="shared" ca="1" si="9"/>
        <v>Calibrado</v>
      </c>
      <c r="R86" s="71" t="str">
        <f>IFERROR(VLOOKUP(J86,'Obs Tecnicas'!$D$2:$G$340,2,0),"")</f>
        <v/>
      </c>
      <c r="S86" s="67" t="str">
        <f>IFERROR(VLOOKUP(J86,'Obs Tecnicas'!$D$2:$G$344,3,0),"Hexis")</f>
        <v>Hexis</v>
      </c>
      <c r="T86" s="67" t="str">
        <f>IFERROR(VLOOKUP(J86,'Obs Tecnicas'!$D$2:$G$344,4,0),"")</f>
        <v/>
      </c>
      <c r="U86" s="13" t="s">
        <v>464</v>
      </c>
      <c r="V86" s="13">
        <f t="shared" si="6"/>
        <v>10</v>
      </c>
      <c r="W86" s="72">
        <f t="shared" si="7"/>
        <v>420.44400000000002</v>
      </c>
      <c r="X86" s="72">
        <f t="shared" si="8"/>
        <v>385.26299999999998</v>
      </c>
      <c r="AE86" s="13" t="s">
        <v>810</v>
      </c>
      <c r="AF86" s="104">
        <v>44426</v>
      </c>
    </row>
    <row r="87" spans="1:32">
      <c r="A87" s="13" t="s">
        <v>20</v>
      </c>
      <c r="B87" s="13" t="s">
        <v>803</v>
      </c>
      <c r="C87" s="66" t="s">
        <v>802</v>
      </c>
      <c r="D87" s="67" t="s">
        <v>801</v>
      </c>
      <c r="E87" s="13" t="s">
        <v>183</v>
      </c>
      <c r="F87" s="66" t="s">
        <v>184</v>
      </c>
      <c r="G87" s="67" t="s">
        <v>177</v>
      </c>
      <c r="H87" s="67" t="s">
        <v>185</v>
      </c>
      <c r="I87" s="67" t="s">
        <v>45</v>
      </c>
      <c r="J87" s="68" t="s">
        <v>683</v>
      </c>
      <c r="K87" s="67" t="s">
        <v>53</v>
      </c>
      <c r="L87" s="67" t="s">
        <v>72</v>
      </c>
      <c r="M87" s="67" t="s">
        <v>292</v>
      </c>
      <c r="N87" s="67" t="s">
        <v>293</v>
      </c>
      <c r="O87" s="69">
        <v>44105</v>
      </c>
      <c r="P87" s="70">
        <f>IFERROR(VLOOKUP(J87,'Obs Tecnicas'!$D$2:$I$320,5,0),O87)</f>
        <v>44105</v>
      </c>
      <c r="Q87" s="69" t="str">
        <f t="shared" ca="1" si="9"/>
        <v>Calibrado</v>
      </c>
      <c r="R87" s="71" t="str">
        <f>IFERROR(VLOOKUP(J87,'Obs Tecnicas'!$D$2:$G$340,2,0),"")</f>
        <v/>
      </c>
      <c r="S87" s="67" t="str">
        <f>IFERROR(VLOOKUP(J87,'Obs Tecnicas'!$D$2:$G$344,3,0),"Hexis")</f>
        <v>Hexis</v>
      </c>
      <c r="T87" s="67" t="str">
        <f>IFERROR(VLOOKUP(J87,'Obs Tecnicas'!$D$2:$G$344,4,0),"")</f>
        <v/>
      </c>
      <c r="U87" s="13" t="s">
        <v>464</v>
      </c>
      <c r="V87" s="13">
        <f t="shared" si="6"/>
        <v>10</v>
      </c>
      <c r="W87" s="72">
        <f t="shared" si="7"/>
        <v>420.44400000000002</v>
      </c>
      <c r="X87" s="72">
        <f t="shared" si="8"/>
        <v>385.26299999999998</v>
      </c>
      <c r="AE87" s="13" t="s">
        <v>810</v>
      </c>
      <c r="AF87" s="104">
        <v>44426</v>
      </c>
    </row>
    <row r="88" spans="1:32">
      <c r="A88" s="13" t="s">
        <v>20</v>
      </c>
      <c r="B88" s="13" t="s">
        <v>803</v>
      </c>
      <c r="C88" s="66" t="s">
        <v>802</v>
      </c>
      <c r="D88" s="67" t="s">
        <v>801</v>
      </c>
      <c r="E88" s="13" t="s">
        <v>183</v>
      </c>
      <c r="F88" s="66" t="s">
        <v>184</v>
      </c>
      <c r="G88" s="67" t="s">
        <v>177</v>
      </c>
      <c r="H88" s="67" t="s">
        <v>185</v>
      </c>
      <c r="I88" s="67" t="s">
        <v>34</v>
      </c>
      <c r="J88" s="68" t="s">
        <v>684</v>
      </c>
      <c r="K88" s="67" t="s">
        <v>94</v>
      </c>
      <c r="L88" s="67" t="s">
        <v>123</v>
      </c>
      <c r="M88" s="67" t="s">
        <v>290</v>
      </c>
      <c r="N88" s="67" t="s">
        <v>169</v>
      </c>
      <c r="O88" s="69">
        <v>44105</v>
      </c>
      <c r="P88" s="70">
        <f>IFERROR(VLOOKUP(J88,'Obs Tecnicas'!$D$2:$I$320,5,0),O88)</f>
        <v>44105</v>
      </c>
      <c r="Q88" s="69" t="str">
        <f t="shared" ca="1" si="9"/>
        <v>Calibrado</v>
      </c>
      <c r="R88" s="71" t="str">
        <f>IFERROR(VLOOKUP(J88,'Obs Tecnicas'!$D$2:$G$340,2,0),"")</f>
        <v/>
      </c>
      <c r="S88" s="67" t="str">
        <f>IFERROR(VLOOKUP(J88,'Obs Tecnicas'!$D$2:$G$344,3,0),"Hexis")</f>
        <v>Hexis</v>
      </c>
      <c r="T88" s="67" t="str">
        <f>IFERROR(VLOOKUP(J88,'Obs Tecnicas'!$D$2:$G$344,4,0),"")</f>
        <v/>
      </c>
      <c r="U88" s="13" t="s">
        <v>464</v>
      </c>
      <c r="V88" s="13">
        <f t="shared" si="6"/>
        <v>10</v>
      </c>
      <c r="W88" s="72">
        <f t="shared" si="7"/>
        <v>101.655</v>
      </c>
      <c r="X88" s="72">
        <f t="shared" si="8"/>
        <v>195.22799999999998</v>
      </c>
      <c r="AE88" s="13" t="s">
        <v>810</v>
      </c>
      <c r="AF88" s="104">
        <v>44426</v>
      </c>
    </row>
    <row r="89" spans="1:32">
      <c r="A89" s="13" t="s">
        <v>20</v>
      </c>
      <c r="B89" s="13" t="s">
        <v>803</v>
      </c>
      <c r="C89" s="66" t="s">
        <v>802</v>
      </c>
      <c r="D89" s="67" t="s">
        <v>801</v>
      </c>
      <c r="E89" s="13" t="s">
        <v>183</v>
      </c>
      <c r="F89" s="66" t="s">
        <v>184</v>
      </c>
      <c r="G89" s="67" t="s">
        <v>177</v>
      </c>
      <c r="H89" s="67" t="s">
        <v>185</v>
      </c>
      <c r="I89" s="67" t="s">
        <v>55</v>
      </c>
      <c r="J89" s="68" t="s">
        <v>685</v>
      </c>
      <c r="K89" s="67" t="s">
        <v>94</v>
      </c>
      <c r="L89" s="67" t="s">
        <v>294</v>
      </c>
      <c r="M89" s="67" t="s">
        <v>290</v>
      </c>
      <c r="N89" s="67" t="s">
        <v>169</v>
      </c>
      <c r="O89" s="69">
        <v>44105</v>
      </c>
      <c r="P89" s="70">
        <f>IFERROR(VLOOKUP(J89,'Obs Tecnicas'!$D$2:$I$320,5,0),O89)</f>
        <v>44105</v>
      </c>
      <c r="Q89" s="69" t="str">
        <f t="shared" ca="1" si="9"/>
        <v>Calibrado</v>
      </c>
      <c r="R89" s="71" t="str">
        <f>IFERROR(VLOOKUP(J89,'Obs Tecnicas'!$D$2:$G$340,2,0),"")</f>
        <v/>
      </c>
      <c r="S89" s="67" t="str">
        <f>IFERROR(VLOOKUP(J89,'Obs Tecnicas'!$D$2:$G$344,3,0),"Hexis")</f>
        <v>Hexis</v>
      </c>
      <c r="T89" s="67" t="str">
        <f>IFERROR(VLOOKUP(J89,'Obs Tecnicas'!$D$2:$G$344,4,0),"")</f>
        <v/>
      </c>
      <c r="U89" s="13" t="s">
        <v>464</v>
      </c>
      <c r="V89" s="13">
        <f t="shared" si="6"/>
        <v>10</v>
      </c>
      <c r="W89" s="72" t="e">
        <f t="shared" si="7"/>
        <v>#N/A</v>
      </c>
      <c r="X89" s="72" t="e">
        <f t="shared" si="8"/>
        <v>#N/A</v>
      </c>
      <c r="AE89" s="13" t="s">
        <v>810</v>
      </c>
      <c r="AF89" s="104">
        <v>44426</v>
      </c>
    </row>
    <row r="90" spans="1:32">
      <c r="A90" s="13" t="s">
        <v>20</v>
      </c>
      <c r="B90" s="13" t="s">
        <v>206</v>
      </c>
      <c r="C90" s="66" t="s">
        <v>207</v>
      </c>
      <c r="D90" s="67" t="s">
        <v>208</v>
      </c>
      <c r="E90" s="13" t="s">
        <v>175</v>
      </c>
      <c r="F90" s="66" t="s">
        <v>176</v>
      </c>
      <c r="G90" s="67" t="s">
        <v>177</v>
      </c>
      <c r="H90" s="67" t="s">
        <v>209</v>
      </c>
      <c r="I90" s="67" t="s">
        <v>76</v>
      </c>
      <c r="J90" s="68" t="s">
        <v>651</v>
      </c>
      <c r="K90" s="67" t="s">
        <v>210</v>
      </c>
      <c r="L90" s="67" t="s">
        <v>40</v>
      </c>
      <c r="M90" s="67" t="s">
        <v>211</v>
      </c>
      <c r="N90" s="67" t="s">
        <v>212</v>
      </c>
      <c r="O90" s="69">
        <v>44406</v>
      </c>
      <c r="P90" s="70">
        <f>IFERROR(VLOOKUP(J90,'Obs Tecnicas'!$D$2:$I$320,5,0),O90)</f>
        <v>44406</v>
      </c>
      <c r="Q90" s="69" t="str">
        <f t="shared" ca="1" si="9"/>
        <v>Calibrado</v>
      </c>
      <c r="R90" s="71">
        <f>IFERROR(VLOOKUP(J90,'Obs Tecnicas'!$D$2:$G$340,2,0),"")</f>
        <v>13270</v>
      </c>
      <c r="S90" s="67" t="str">
        <f>IFERROR(VLOOKUP(J90,'Obs Tecnicas'!$D$2:$G$344,3,0),"Hexis")</f>
        <v>ER ANALITICA</v>
      </c>
      <c r="T90" s="67">
        <f>IFERROR(VLOOKUP(J90,'Obs Tecnicas'!$D$2:$G$344,4,0),"")</f>
        <v>0</v>
      </c>
      <c r="U90" s="13" t="s">
        <v>550</v>
      </c>
      <c r="V90" s="13">
        <f t="shared" si="6"/>
        <v>7</v>
      </c>
      <c r="W90" s="72">
        <f t="shared" si="7"/>
        <v>101.655</v>
      </c>
      <c r="X90" s="72">
        <f t="shared" si="8"/>
        <v>195.22799999999998</v>
      </c>
      <c r="AE90" s="13" t="s">
        <v>807</v>
      </c>
    </row>
    <row r="91" spans="1:32">
      <c r="A91" s="13" t="s">
        <v>20</v>
      </c>
      <c r="B91" s="13" t="s">
        <v>206</v>
      </c>
      <c r="C91" s="66" t="s">
        <v>207</v>
      </c>
      <c r="D91" s="67" t="s">
        <v>208</v>
      </c>
      <c r="E91" s="13" t="s">
        <v>175</v>
      </c>
      <c r="F91" s="66" t="s">
        <v>176</v>
      </c>
      <c r="G91" s="67" t="s">
        <v>177</v>
      </c>
      <c r="H91" s="67" t="s">
        <v>209</v>
      </c>
      <c r="I91" s="67" t="s">
        <v>45</v>
      </c>
      <c r="J91" s="68" t="s">
        <v>652</v>
      </c>
      <c r="K91" s="67" t="s">
        <v>53</v>
      </c>
      <c r="L91" s="67" t="s">
        <v>61</v>
      </c>
      <c r="M91" s="67" t="s">
        <v>211</v>
      </c>
      <c r="N91" s="67" t="s">
        <v>212</v>
      </c>
      <c r="O91" s="69">
        <v>44013</v>
      </c>
      <c r="P91" s="70">
        <f>IFERROR(VLOOKUP(J91,'Obs Tecnicas'!$D$2:$I$320,5,0),O91)</f>
        <v>44406</v>
      </c>
      <c r="Q91" s="69" t="str">
        <f t="shared" ca="1" si="9"/>
        <v>Calibrado</v>
      </c>
      <c r="R91" s="71">
        <f>IFERROR(VLOOKUP(J91,'Obs Tecnicas'!$D$2:$G$340,2,0),"")</f>
        <v>13271</v>
      </c>
      <c r="S91" s="67" t="str">
        <f>IFERROR(VLOOKUP(J91,'Obs Tecnicas'!$D$2:$G$344,3,0),"Hexis")</f>
        <v>ER ANALITICA</v>
      </c>
      <c r="T91" s="67" t="str">
        <f>IFERROR(VLOOKUP(J91,'Obs Tecnicas'!$D$2:$G$344,4,0),"")</f>
        <v>Filtro óptico azul encontra-se oxidado e compartimento de cubeta quebrado</v>
      </c>
      <c r="U91" s="13" t="s">
        <v>550</v>
      </c>
      <c r="V91" s="13">
        <f t="shared" si="6"/>
        <v>7</v>
      </c>
      <c r="W91" s="72">
        <f t="shared" si="7"/>
        <v>420.44400000000002</v>
      </c>
      <c r="X91" s="72">
        <f t="shared" si="8"/>
        <v>385.26299999999998</v>
      </c>
      <c r="AE91" s="13" t="s">
        <v>807</v>
      </c>
    </row>
    <row r="92" spans="1:32">
      <c r="A92" s="13" t="s">
        <v>20</v>
      </c>
      <c r="B92" s="13" t="s">
        <v>206</v>
      </c>
      <c r="C92" s="66" t="s">
        <v>207</v>
      </c>
      <c r="D92" s="67" t="s">
        <v>208</v>
      </c>
      <c r="E92" s="13" t="s">
        <v>175</v>
      </c>
      <c r="F92" s="66" t="s">
        <v>176</v>
      </c>
      <c r="G92" s="67" t="s">
        <v>177</v>
      </c>
      <c r="H92" s="67" t="s">
        <v>209</v>
      </c>
      <c r="I92" s="67" t="s">
        <v>79</v>
      </c>
      <c r="J92" s="68" t="s">
        <v>653</v>
      </c>
      <c r="K92" s="67" t="s">
        <v>77</v>
      </c>
      <c r="L92" s="67" t="s">
        <v>80</v>
      </c>
      <c r="M92" s="67" t="s">
        <v>211</v>
      </c>
      <c r="N92" s="67" t="s">
        <v>212</v>
      </c>
      <c r="O92" s="69">
        <v>44406</v>
      </c>
      <c r="P92" s="70">
        <f>IFERROR(VLOOKUP(J92,'Obs Tecnicas'!$D$2:$I$320,5,0),O92)</f>
        <v>44406</v>
      </c>
      <c r="Q92" s="69" t="str">
        <f t="shared" ca="1" si="9"/>
        <v>Calibrado</v>
      </c>
      <c r="R92" s="71">
        <f>IFERROR(VLOOKUP(J92,'Obs Tecnicas'!$D$2:$G$340,2,0),"")</f>
        <v>13272</v>
      </c>
      <c r="S92" s="67" t="str">
        <f>IFERROR(VLOOKUP(J92,'Obs Tecnicas'!$D$2:$G$344,3,0),"Hexis")</f>
        <v>ER ANALITICA</v>
      </c>
      <c r="T92" s="67">
        <f>IFERROR(VLOOKUP(J92,'Obs Tecnicas'!$D$2:$G$344,4,0),"")</f>
        <v>0</v>
      </c>
      <c r="U92" s="13" t="s">
        <v>550</v>
      </c>
      <c r="V92" s="13">
        <f t="shared" si="6"/>
        <v>7</v>
      </c>
      <c r="W92" s="72">
        <f t="shared" si="7"/>
        <v>101.655</v>
      </c>
      <c r="X92" s="72">
        <f t="shared" si="8"/>
        <v>390.45599999999996</v>
      </c>
      <c r="AE92" s="13" t="s">
        <v>807</v>
      </c>
    </row>
    <row r="93" spans="1:32">
      <c r="A93" s="13" t="s">
        <v>20</v>
      </c>
      <c r="B93" s="13" t="s">
        <v>206</v>
      </c>
      <c r="C93" s="66" t="s">
        <v>207</v>
      </c>
      <c r="D93" s="67" t="s">
        <v>208</v>
      </c>
      <c r="E93" s="13" t="s">
        <v>175</v>
      </c>
      <c r="F93" s="66" t="s">
        <v>176</v>
      </c>
      <c r="G93" s="67" t="s">
        <v>177</v>
      </c>
      <c r="H93" s="67" t="s">
        <v>209</v>
      </c>
      <c r="I93" s="67" t="s">
        <v>79</v>
      </c>
      <c r="J93" s="68" t="s">
        <v>654</v>
      </c>
      <c r="K93" s="67" t="s">
        <v>77</v>
      </c>
      <c r="L93" s="67" t="s">
        <v>80</v>
      </c>
      <c r="M93" s="67" t="s">
        <v>211</v>
      </c>
      <c r="N93" s="67" t="s">
        <v>212</v>
      </c>
      <c r="O93" s="69">
        <v>44013</v>
      </c>
      <c r="P93" s="70">
        <f>IFERROR(VLOOKUP(J93,'Obs Tecnicas'!$D$2:$I$320,5,0),O93)</f>
        <v>44406</v>
      </c>
      <c r="Q93" s="69" t="str">
        <f t="shared" ca="1" si="9"/>
        <v>Calibrado</v>
      </c>
      <c r="R93" s="71">
        <f>IFERROR(VLOOKUP(J93,'Obs Tecnicas'!$D$2:$G$340,2,0),"")</f>
        <v>13273</v>
      </c>
      <c r="S93" s="67" t="str">
        <f>IFERROR(VLOOKUP(J93,'Obs Tecnicas'!$D$2:$G$344,3,0),"Hexis")</f>
        <v>ER ANALITICA</v>
      </c>
      <c r="T93" s="67">
        <f>IFERROR(VLOOKUP(J93,'Obs Tecnicas'!$D$2:$G$344,4,0),"")</f>
        <v>0</v>
      </c>
      <c r="U93" s="13" t="s">
        <v>550</v>
      </c>
      <c r="V93" s="13">
        <f t="shared" si="6"/>
        <v>7</v>
      </c>
      <c r="W93" s="72">
        <f t="shared" si="7"/>
        <v>101.655</v>
      </c>
      <c r="X93" s="72">
        <f t="shared" si="8"/>
        <v>390.45599999999996</v>
      </c>
      <c r="AE93" s="13" t="s">
        <v>807</v>
      </c>
    </row>
    <row r="94" spans="1:32">
      <c r="A94" s="13" t="s">
        <v>20</v>
      </c>
      <c r="B94" s="13" t="s">
        <v>206</v>
      </c>
      <c r="C94" s="66" t="s">
        <v>207</v>
      </c>
      <c r="D94" s="67" t="s">
        <v>208</v>
      </c>
      <c r="E94" s="13" t="s">
        <v>175</v>
      </c>
      <c r="F94" s="66" t="s">
        <v>176</v>
      </c>
      <c r="G94" s="67" t="s">
        <v>177</v>
      </c>
      <c r="H94" s="67" t="s">
        <v>209</v>
      </c>
      <c r="I94" s="67" t="s">
        <v>34</v>
      </c>
      <c r="J94" s="68" t="s">
        <v>655</v>
      </c>
      <c r="K94" s="67" t="s">
        <v>94</v>
      </c>
      <c r="L94" s="67" t="s">
        <v>213</v>
      </c>
      <c r="M94" s="67" t="s">
        <v>211</v>
      </c>
      <c r="N94" s="67" t="s">
        <v>212</v>
      </c>
      <c r="O94" s="69">
        <v>44406</v>
      </c>
      <c r="P94" s="70">
        <f>IFERROR(VLOOKUP(J94,'Obs Tecnicas'!$D$2:$I$320,5,0),O94)</f>
        <v>44406</v>
      </c>
      <c r="Q94" s="69" t="str">
        <f t="shared" ca="1" si="9"/>
        <v>Calibrado</v>
      </c>
      <c r="R94" s="71">
        <f>IFERROR(VLOOKUP(J94,'Obs Tecnicas'!$D$2:$G$340,2,0),"")</f>
        <v>13274</v>
      </c>
      <c r="S94" s="67" t="str">
        <f>IFERROR(VLOOKUP(J94,'Obs Tecnicas'!$D$2:$G$344,3,0),"Hexis")</f>
        <v>ER ANALITICA</v>
      </c>
      <c r="T94" s="67">
        <f>IFERROR(VLOOKUP(J94,'Obs Tecnicas'!$D$2:$G$344,4,0),"")</f>
        <v>0</v>
      </c>
      <c r="U94" s="13" t="s">
        <v>550</v>
      </c>
      <c r="V94" s="13">
        <f t="shared" si="6"/>
        <v>7</v>
      </c>
      <c r="W94" s="72">
        <f t="shared" si="7"/>
        <v>101.655</v>
      </c>
      <c r="X94" s="72">
        <f t="shared" si="8"/>
        <v>195.22799999999998</v>
      </c>
      <c r="AE94" s="13" t="s">
        <v>807</v>
      </c>
    </row>
    <row r="95" spans="1:32">
      <c r="A95" s="13" t="s">
        <v>20</v>
      </c>
      <c r="B95" s="13" t="s">
        <v>206</v>
      </c>
      <c r="C95" s="66" t="s">
        <v>207</v>
      </c>
      <c r="D95" s="67" t="s">
        <v>208</v>
      </c>
      <c r="E95" s="13" t="s">
        <v>175</v>
      </c>
      <c r="F95" s="66" t="s">
        <v>176</v>
      </c>
      <c r="G95" s="67" t="s">
        <v>177</v>
      </c>
      <c r="H95" s="67" t="s">
        <v>209</v>
      </c>
      <c r="I95" s="67" t="s">
        <v>55</v>
      </c>
      <c r="J95" s="68" t="s">
        <v>656</v>
      </c>
      <c r="K95" s="67" t="s">
        <v>214</v>
      </c>
      <c r="L95" s="67" t="s">
        <v>215</v>
      </c>
      <c r="M95" s="67" t="s">
        <v>211</v>
      </c>
      <c r="N95" s="67" t="s">
        <v>212</v>
      </c>
      <c r="O95" s="69">
        <v>44013</v>
      </c>
      <c r="P95" s="70">
        <f>IFERROR(VLOOKUP(J95,'Obs Tecnicas'!$D$2:$I$320,5,0),O95)</f>
        <v>44406</v>
      </c>
      <c r="Q95" s="69" t="str">
        <f t="shared" ca="1" si="9"/>
        <v>Calibrado</v>
      </c>
      <c r="R95" s="71">
        <f>IFERROR(VLOOKUP(J95,'Obs Tecnicas'!$D$2:$G$340,2,0),"")</f>
        <v>13276</v>
      </c>
      <c r="S95" s="67" t="str">
        <f>IFERROR(VLOOKUP(J95,'Obs Tecnicas'!$D$2:$G$344,3,0),"Hexis")</f>
        <v>ER ANALITICA</v>
      </c>
      <c r="T95" s="67" t="str">
        <f>IFERROR(VLOOKUP(J95,'Obs Tecnicas'!$D$2:$G$344,4,0),"")</f>
        <v>Tampa corta luz danificada</v>
      </c>
      <c r="U95" s="13" t="s">
        <v>550</v>
      </c>
      <c r="V95" s="13">
        <f t="shared" si="6"/>
        <v>7</v>
      </c>
      <c r="W95" s="72" t="e">
        <f t="shared" si="7"/>
        <v>#N/A</v>
      </c>
      <c r="X95" s="72" t="e">
        <f t="shared" si="8"/>
        <v>#N/A</v>
      </c>
      <c r="AE95" s="13" t="s">
        <v>807</v>
      </c>
    </row>
    <row r="96" spans="1:32">
      <c r="A96" s="13" t="s">
        <v>20</v>
      </c>
      <c r="B96" s="13" t="s">
        <v>206</v>
      </c>
      <c r="C96" s="66" t="s">
        <v>207</v>
      </c>
      <c r="D96" s="67" t="s">
        <v>208</v>
      </c>
      <c r="E96" s="13" t="s">
        <v>175</v>
      </c>
      <c r="F96" s="66" t="s">
        <v>176</v>
      </c>
      <c r="G96" s="67" t="s">
        <v>177</v>
      </c>
      <c r="H96" s="67" t="s">
        <v>209</v>
      </c>
      <c r="I96" s="67" t="s">
        <v>55</v>
      </c>
      <c r="J96" s="68" t="s">
        <v>657</v>
      </c>
      <c r="K96" s="67" t="s">
        <v>94</v>
      </c>
      <c r="L96" s="67" t="s">
        <v>216</v>
      </c>
      <c r="M96" s="67" t="s">
        <v>211</v>
      </c>
      <c r="N96" s="67" t="s">
        <v>212</v>
      </c>
      <c r="O96" s="69">
        <v>44406</v>
      </c>
      <c r="P96" s="70">
        <f>IFERROR(VLOOKUP(J96,'Obs Tecnicas'!$D$2:$I$320,5,0),O96)</f>
        <v>44406</v>
      </c>
      <c r="Q96" s="69" t="str">
        <f t="shared" ca="1" si="9"/>
        <v>Calibrado</v>
      </c>
      <c r="R96" s="71">
        <f>IFERROR(VLOOKUP(J96,'Obs Tecnicas'!$D$2:$G$340,2,0),"")</f>
        <v>13277</v>
      </c>
      <c r="S96" s="67" t="str">
        <f>IFERROR(VLOOKUP(J96,'Obs Tecnicas'!$D$2:$G$344,3,0),"Hexis")</f>
        <v>ER ANALITICA</v>
      </c>
      <c r="T96" s="67">
        <f>IFERROR(VLOOKUP(J96,'Obs Tecnicas'!$D$2:$G$344,4,0),"")</f>
        <v>0</v>
      </c>
      <c r="U96" s="13" t="s">
        <v>550</v>
      </c>
      <c r="V96" s="13">
        <f t="shared" si="6"/>
        <v>7</v>
      </c>
      <c r="W96" s="72" t="e">
        <f t="shared" si="7"/>
        <v>#N/A</v>
      </c>
      <c r="X96" s="72" t="e">
        <f t="shared" si="8"/>
        <v>#N/A</v>
      </c>
      <c r="AE96" s="13" t="s">
        <v>807</v>
      </c>
    </row>
    <row r="97" spans="1:32">
      <c r="A97" s="13" t="s">
        <v>20</v>
      </c>
      <c r="B97" s="13" t="s">
        <v>206</v>
      </c>
      <c r="C97" s="66" t="s">
        <v>207</v>
      </c>
      <c r="D97" s="67" t="s">
        <v>208</v>
      </c>
      <c r="E97" s="13" t="s">
        <v>175</v>
      </c>
      <c r="F97" s="66" t="s">
        <v>176</v>
      </c>
      <c r="G97" s="67" t="s">
        <v>177</v>
      </c>
      <c r="H97" s="67" t="s">
        <v>209</v>
      </c>
      <c r="I97" s="67" t="s">
        <v>28</v>
      </c>
      <c r="J97" s="68" t="s">
        <v>295</v>
      </c>
      <c r="K97" s="67" t="s">
        <v>296</v>
      </c>
      <c r="L97" s="67" t="s">
        <v>297</v>
      </c>
      <c r="M97" s="67" t="s">
        <v>211</v>
      </c>
      <c r="N97" s="67" t="s">
        <v>212</v>
      </c>
      <c r="O97" s="69">
        <v>44118</v>
      </c>
      <c r="P97" s="70">
        <f>IFERROR(VLOOKUP(J97,'Obs Tecnicas'!$D$2:$I$320,5,0),O97)</f>
        <v>44406</v>
      </c>
      <c r="Q97" s="69" t="str">
        <f t="shared" ca="1" si="9"/>
        <v>Calibrado</v>
      </c>
      <c r="R97" s="71">
        <f>IFERROR(VLOOKUP(J97,'Obs Tecnicas'!$D$2:$G$340,2,0),"")</f>
        <v>13278</v>
      </c>
      <c r="S97" s="67" t="str">
        <f>IFERROR(VLOOKUP(J97,'Obs Tecnicas'!$D$2:$G$344,3,0),"Hexis")</f>
        <v>ER ANALITICA</v>
      </c>
      <c r="T97" s="67" t="str">
        <f>IFERROR(VLOOKUP(J97,'Obs Tecnicas'!$D$2:$G$344,4,0),"")</f>
        <v>Equipamento possui demasiada oxidação no seu compartimento de pilhas e placa eletrônica, fazendo com que o instrumento não inicialize. Recomendado o envio do equipamento à ER para verificação</v>
      </c>
      <c r="U97" s="13" t="s">
        <v>550</v>
      </c>
      <c r="V97" s="13">
        <f t="shared" si="6"/>
        <v>7</v>
      </c>
      <c r="W97" s="72">
        <f t="shared" si="7"/>
        <v>165.75299999999999</v>
      </c>
      <c r="X97" s="72">
        <f t="shared" si="8"/>
        <v>245.34000000000003</v>
      </c>
      <c r="AE97" s="13" t="s">
        <v>810</v>
      </c>
    </row>
    <row r="98" spans="1:32">
      <c r="A98" s="13" t="s">
        <v>20</v>
      </c>
      <c r="B98" s="13" t="s">
        <v>403</v>
      </c>
      <c r="C98" s="66" t="s">
        <v>404</v>
      </c>
      <c r="D98" s="67" t="s">
        <v>405</v>
      </c>
      <c r="E98" s="13" t="s">
        <v>403</v>
      </c>
      <c r="F98" s="66" t="s">
        <v>404</v>
      </c>
      <c r="G98" s="67" t="s">
        <v>365</v>
      </c>
      <c r="H98" s="67" t="s">
        <v>178</v>
      </c>
      <c r="I98" s="67" t="s">
        <v>52</v>
      </c>
      <c r="J98" s="68" t="s">
        <v>737</v>
      </c>
      <c r="K98" s="67" t="s">
        <v>53</v>
      </c>
      <c r="L98" s="67" t="s">
        <v>54</v>
      </c>
      <c r="M98" s="67" t="s">
        <v>406</v>
      </c>
      <c r="N98" s="67" t="s">
        <v>327</v>
      </c>
      <c r="O98" s="69">
        <v>44180</v>
      </c>
      <c r="P98" s="70">
        <f>IFERROR(VLOOKUP(J98,'Obs Tecnicas'!$D$2:$I$320,5,0),O98)</f>
        <v>44180</v>
      </c>
      <c r="Q98" s="69" t="str">
        <f t="shared" ca="1" si="9"/>
        <v>Calibrado</v>
      </c>
      <c r="R98" s="71" t="str">
        <f>IFERROR(VLOOKUP(J98,'Obs Tecnicas'!$D$2:$G$340,2,0),"")</f>
        <v/>
      </c>
      <c r="S98" s="67" t="str">
        <f>IFERROR(VLOOKUP(J98,'Obs Tecnicas'!$D$2:$G$344,3,0),"Hexis")</f>
        <v>Hexis</v>
      </c>
      <c r="T98" s="67" t="str">
        <f>IFERROR(VLOOKUP(J98,'Obs Tecnicas'!$D$2:$G$344,4,0),"")</f>
        <v/>
      </c>
      <c r="V98" s="13">
        <f t="shared" si="6"/>
        <v>12</v>
      </c>
      <c r="W98" s="72">
        <f t="shared" si="7"/>
        <v>178.434</v>
      </c>
      <c r="X98" s="72">
        <f t="shared" si="8"/>
        <v>318.94200000000001</v>
      </c>
    </row>
    <row r="99" spans="1:32">
      <c r="A99" s="13" t="s">
        <v>20</v>
      </c>
      <c r="B99" s="13" t="s">
        <v>331</v>
      </c>
      <c r="C99" s="66" t="s">
        <v>332</v>
      </c>
      <c r="D99" s="67" t="s">
        <v>333</v>
      </c>
      <c r="E99" s="13" t="s">
        <v>316</v>
      </c>
      <c r="F99" s="66" t="s">
        <v>317</v>
      </c>
      <c r="G99" s="67" t="s">
        <v>318</v>
      </c>
      <c r="H99" s="67" t="s">
        <v>334</v>
      </c>
      <c r="I99" s="67" t="s">
        <v>52</v>
      </c>
      <c r="J99" s="68" t="s">
        <v>338</v>
      </c>
      <c r="K99" s="67" t="s">
        <v>53</v>
      </c>
      <c r="L99" s="67" t="s">
        <v>54</v>
      </c>
      <c r="M99" s="75" t="s">
        <v>336</v>
      </c>
      <c r="N99" s="67" t="s">
        <v>337</v>
      </c>
      <c r="O99" s="69">
        <v>44369</v>
      </c>
      <c r="P99" s="70">
        <f>IFERROR(VLOOKUP(J99,'Obs Tecnicas'!$D$2:$I$320,5,0),O99)</f>
        <v>44369</v>
      </c>
      <c r="Q99" s="69" t="str">
        <f t="shared" ca="1" si="9"/>
        <v>Calibrado</v>
      </c>
      <c r="R99" s="71">
        <f>IFERROR(VLOOKUP(J99,'Obs Tecnicas'!$D$2:$G$340,2,0),"")</f>
        <v>12612</v>
      </c>
      <c r="S99" s="67" t="str">
        <f>IFERROR(VLOOKUP(J99,'Obs Tecnicas'!$D$2:$G$344,3,0),"Hexis")</f>
        <v>ER ANALITICA</v>
      </c>
      <c r="T99" s="67">
        <f>IFERROR(VLOOKUP(J99,'Obs Tecnicas'!$D$2:$G$344,4,0),"")</f>
        <v>0</v>
      </c>
      <c r="U99" s="13" t="s">
        <v>550</v>
      </c>
      <c r="V99" s="13">
        <f t="shared" si="6"/>
        <v>6</v>
      </c>
      <c r="W99" s="72">
        <f t="shared" si="7"/>
        <v>178.434</v>
      </c>
      <c r="X99" s="72">
        <f t="shared" si="8"/>
        <v>318.94200000000001</v>
      </c>
      <c r="AE99" s="13" t="s">
        <v>806</v>
      </c>
    </row>
    <row r="100" spans="1:32">
      <c r="A100" s="13" t="s">
        <v>20</v>
      </c>
      <c r="B100" s="13" t="s">
        <v>331</v>
      </c>
      <c r="C100" s="66" t="s">
        <v>332</v>
      </c>
      <c r="D100" s="67" t="s">
        <v>333</v>
      </c>
      <c r="E100" s="13" t="s">
        <v>316</v>
      </c>
      <c r="F100" s="66" t="s">
        <v>317</v>
      </c>
      <c r="G100" s="67" t="s">
        <v>318</v>
      </c>
      <c r="H100" s="67" t="s">
        <v>334</v>
      </c>
      <c r="I100" s="67" t="s">
        <v>79</v>
      </c>
      <c r="J100" s="68" t="s">
        <v>700</v>
      </c>
      <c r="K100" s="67" t="s">
        <v>77</v>
      </c>
      <c r="L100" s="67" t="s">
        <v>80</v>
      </c>
      <c r="M100" s="75" t="s">
        <v>336</v>
      </c>
      <c r="N100" s="67" t="s">
        <v>337</v>
      </c>
      <c r="O100" s="69">
        <v>44369</v>
      </c>
      <c r="P100" s="70">
        <f>IFERROR(VLOOKUP(J100,'Obs Tecnicas'!$D$2:$I$320,5,0),O100)</f>
        <v>44369</v>
      </c>
      <c r="Q100" s="69" t="str">
        <f t="shared" ca="1" si="9"/>
        <v>Calibrado</v>
      </c>
      <c r="R100" s="71">
        <f>IFERROR(VLOOKUP(J100,'Obs Tecnicas'!$D$2:$G$340,2,0),"")</f>
        <v>12613</v>
      </c>
      <c r="S100" s="67" t="str">
        <f>IFERROR(VLOOKUP(J100,'Obs Tecnicas'!$D$2:$G$344,3,0),"Hexis")</f>
        <v>ER ANALITICA</v>
      </c>
      <c r="T100" s="67">
        <f>IFERROR(VLOOKUP(J100,'Obs Tecnicas'!$D$2:$G$344,4,0),"")</f>
        <v>0</v>
      </c>
      <c r="U100" s="13" t="s">
        <v>550</v>
      </c>
      <c r="V100" s="13">
        <f t="shared" si="6"/>
        <v>6</v>
      </c>
      <c r="W100" s="72">
        <f t="shared" si="7"/>
        <v>101.655</v>
      </c>
      <c r="X100" s="72">
        <f t="shared" si="8"/>
        <v>390.45599999999996</v>
      </c>
      <c r="AE100" s="13" t="s">
        <v>806</v>
      </c>
    </row>
    <row r="101" spans="1:32">
      <c r="A101" s="13" t="s">
        <v>20</v>
      </c>
      <c r="B101" s="13" t="s">
        <v>331</v>
      </c>
      <c r="C101" s="66" t="s">
        <v>332</v>
      </c>
      <c r="D101" s="67" t="s">
        <v>333</v>
      </c>
      <c r="E101" s="13" t="s">
        <v>316</v>
      </c>
      <c r="F101" s="66" t="s">
        <v>317</v>
      </c>
      <c r="G101" s="67" t="s">
        <v>318</v>
      </c>
      <c r="H101" s="67" t="s">
        <v>334</v>
      </c>
      <c r="I101" s="67" t="s">
        <v>79</v>
      </c>
      <c r="J101" s="68" t="s">
        <v>701</v>
      </c>
      <c r="K101" s="67" t="s">
        <v>77</v>
      </c>
      <c r="L101" s="67" t="s">
        <v>80</v>
      </c>
      <c r="M101" s="75" t="s">
        <v>336</v>
      </c>
      <c r="N101" s="67" t="s">
        <v>337</v>
      </c>
      <c r="O101" s="69">
        <v>44369</v>
      </c>
      <c r="P101" s="70">
        <f>IFERROR(VLOOKUP(J101,'Obs Tecnicas'!$D$2:$I$320,5,0),O101)</f>
        <v>44369</v>
      </c>
      <c r="Q101" s="69" t="str">
        <f t="shared" ca="1" si="9"/>
        <v>Calibrado</v>
      </c>
      <c r="R101" s="71">
        <f>IFERROR(VLOOKUP(J101,'Obs Tecnicas'!$D$2:$G$340,2,0),"")</f>
        <v>12614</v>
      </c>
      <c r="S101" s="67" t="str">
        <f>IFERROR(VLOOKUP(J101,'Obs Tecnicas'!$D$2:$G$344,3,0),"Hexis")</f>
        <v>ER ANALITICA</v>
      </c>
      <c r="T101" s="67">
        <f>IFERROR(VLOOKUP(J101,'Obs Tecnicas'!$D$2:$G$344,4,0),"")</f>
        <v>0</v>
      </c>
      <c r="U101" s="13" t="s">
        <v>550</v>
      </c>
      <c r="V101" s="13">
        <f t="shared" si="6"/>
        <v>6</v>
      </c>
      <c r="W101" s="72">
        <f t="shared" si="7"/>
        <v>101.655</v>
      </c>
      <c r="X101" s="72">
        <f t="shared" si="8"/>
        <v>390.45599999999996</v>
      </c>
      <c r="AE101" s="13" t="s">
        <v>806</v>
      </c>
    </row>
    <row r="102" spans="1:32">
      <c r="A102" s="13" t="s">
        <v>20</v>
      </c>
      <c r="B102" s="13" t="s">
        <v>331</v>
      </c>
      <c r="C102" s="66" t="s">
        <v>332</v>
      </c>
      <c r="D102" s="67" t="s">
        <v>333</v>
      </c>
      <c r="E102" s="13" t="s">
        <v>316</v>
      </c>
      <c r="F102" s="66" t="s">
        <v>317</v>
      </c>
      <c r="G102" s="67" t="s">
        <v>318</v>
      </c>
      <c r="H102" s="67" t="s">
        <v>334</v>
      </c>
      <c r="I102" s="67" t="s">
        <v>79</v>
      </c>
      <c r="J102" s="68" t="s">
        <v>702</v>
      </c>
      <c r="K102" s="67" t="s">
        <v>77</v>
      </c>
      <c r="L102" s="67" t="s">
        <v>80</v>
      </c>
      <c r="M102" s="75" t="s">
        <v>336</v>
      </c>
      <c r="N102" s="67" t="s">
        <v>337</v>
      </c>
      <c r="O102" s="69">
        <v>44369</v>
      </c>
      <c r="P102" s="70">
        <f>IFERROR(VLOOKUP(J102,'Obs Tecnicas'!$D$2:$I$320,5,0),O102)</f>
        <v>44369</v>
      </c>
      <c r="Q102" s="69" t="str">
        <f t="shared" ref="Q102:Q133" ca="1" si="10">IF(P102&lt;&gt;"",IF(P102+365&gt;TODAY(),"Calibrado","Vencido"),"")</f>
        <v>Calibrado</v>
      </c>
      <c r="R102" s="71">
        <f>IFERROR(VLOOKUP(J102,'Obs Tecnicas'!$D$2:$G$340,2,0),"")</f>
        <v>12617</v>
      </c>
      <c r="S102" s="67" t="str">
        <f>IFERROR(VLOOKUP(J102,'Obs Tecnicas'!$D$2:$G$344,3,0),"Hexis")</f>
        <v>ER ANALITICA</v>
      </c>
      <c r="T102" s="67">
        <f>IFERROR(VLOOKUP(J102,'Obs Tecnicas'!$D$2:$G$344,4,0),"")</f>
        <v>0</v>
      </c>
      <c r="U102" s="13" t="s">
        <v>550</v>
      </c>
      <c r="V102" s="13">
        <f t="shared" si="6"/>
        <v>6</v>
      </c>
      <c r="W102" s="72">
        <f t="shared" si="7"/>
        <v>101.655</v>
      </c>
      <c r="X102" s="72">
        <f t="shared" si="8"/>
        <v>390.45599999999996</v>
      </c>
      <c r="AE102" s="13" t="s">
        <v>806</v>
      </c>
    </row>
    <row r="103" spans="1:32">
      <c r="A103" s="13" t="s">
        <v>20</v>
      </c>
      <c r="B103" s="13" t="s">
        <v>331</v>
      </c>
      <c r="C103" s="66" t="s">
        <v>332</v>
      </c>
      <c r="D103" s="67" t="s">
        <v>333</v>
      </c>
      <c r="E103" s="13" t="s">
        <v>316</v>
      </c>
      <c r="F103" s="66" t="s">
        <v>317</v>
      </c>
      <c r="G103" s="67" t="s">
        <v>318</v>
      </c>
      <c r="H103" s="67" t="s">
        <v>334</v>
      </c>
      <c r="I103" s="67" t="s">
        <v>79</v>
      </c>
      <c r="J103" s="68" t="s">
        <v>704</v>
      </c>
      <c r="K103" s="67" t="s">
        <v>77</v>
      </c>
      <c r="L103" s="67" t="s">
        <v>80</v>
      </c>
      <c r="M103" s="75" t="s">
        <v>336</v>
      </c>
      <c r="N103" s="67" t="s">
        <v>337</v>
      </c>
      <c r="O103" s="69">
        <v>44369</v>
      </c>
      <c r="P103" s="70">
        <f>IFERROR(VLOOKUP(J103,'Obs Tecnicas'!$D$2:$I$320,5,0),O103)</f>
        <v>44369</v>
      </c>
      <c r="Q103" s="69" t="str">
        <f t="shared" ca="1" si="10"/>
        <v>Calibrado</v>
      </c>
      <c r="R103" s="71">
        <f>IFERROR(VLOOKUP(J103,'Obs Tecnicas'!$D$2:$G$340,2,0),"")</f>
        <v>12618</v>
      </c>
      <c r="S103" s="67" t="str">
        <f>IFERROR(VLOOKUP(J103,'Obs Tecnicas'!$D$2:$G$344,3,0),"Hexis")</f>
        <v>ER ANALITICA</v>
      </c>
      <c r="T103" s="67">
        <f>IFERROR(VLOOKUP(J103,'Obs Tecnicas'!$D$2:$G$344,4,0),"")</f>
        <v>0</v>
      </c>
      <c r="U103" s="13" t="s">
        <v>550</v>
      </c>
      <c r="V103" s="13">
        <f t="shared" si="6"/>
        <v>6</v>
      </c>
      <c r="W103" s="72">
        <f t="shared" si="7"/>
        <v>101.655</v>
      </c>
      <c r="X103" s="72">
        <f t="shared" si="8"/>
        <v>390.45599999999996</v>
      </c>
      <c r="AE103" s="13" t="s">
        <v>806</v>
      </c>
    </row>
    <row r="104" spans="1:32">
      <c r="A104" s="13" t="s">
        <v>20</v>
      </c>
      <c r="B104" s="13" t="s">
        <v>331</v>
      </c>
      <c r="C104" s="66" t="s">
        <v>332</v>
      </c>
      <c r="D104" s="67" t="s">
        <v>333</v>
      </c>
      <c r="E104" s="13" t="s">
        <v>316</v>
      </c>
      <c r="F104" s="66" t="s">
        <v>317</v>
      </c>
      <c r="G104" s="67" t="s">
        <v>318</v>
      </c>
      <c r="H104" s="67" t="s">
        <v>334</v>
      </c>
      <c r="I104" s="67" t="s">
        <v>79</v>
      </c>
      <c r="J104" s="68" t="s">
        <v>878</v>
      </c>
      <c r="K104" s="67" t="s">
        <v>77</v>
      </c>
      <c r="L104" s="67" t="s">
        <v>80</v>
      </c>
      <c r="M104" s="75" t="s">
        <v>336</v>
      </c>
      <c r="N104" s="67" t="s">
        <v>337</v>
      </c>
      <c r="O104" s="69">
        <v>44369</v>
      </c>
      <c r="P104" s="70">
        <f>IFERROR(VLOOKUP(J104,'Obs Tecnicas'!$D$2:$I$320,5,0),O104)</f>
        <v>44369</v>
      </c>
      <c r="Q104" s="69" t="str">
        <f t="shared" ca="1" si="10"/>
        <v>Calibrado</v>
      </c>
      <c r="R104" s="71">
        <f>IFERROR(VLOOKUP(J104,'Obs Tecnicas'!$D$2:$G$340,2,0),"")</f>
        <v>12616</v>
      </c>
      <c r="S104" s="67" t="str">
        <f>IFERROR(VLOOKUP(J104,'Obs Tecnicas'!$D$2:$G$344,3,0),"Hexis")</f>
        <v>ER ANALITICA</v>
      </c>
      <c r="T104" s="67" t="str">
        <f>IFERROR(VLOOKUP(J104,'Obs Tecnicas'!$D$2:$G$344,4,0),"")</f>
        <v>eletrodo de pH lento, recomendável a troca</v>
      </c>
      <c r="U104" s="13" t="s">
        <v>550</v>
      </c>
      <c r="V104" s="13">
        <f t="shared" si="6"/>
        <v>6</v>
      </c>
      <c r="W104" s="72">
        <f t="shared" si="7"/>
        <v>101.655</v>
      </c>
      <c r="X104" s="72">
        <f t="shared" si="8"/>
        <v>390.45599999999996</v>
      </c>
      <c r="AE104" s="13" t="s">
        <v>806</v>
      </c>
    </row>
    <row r="105" spans="1:32">
      <c r="A105" s="13" t="s">
        <v>20</v>
      </c>
      <c r="B105" s="13" t="s">
        <v>331</v>
      </c>
      <c r="C105" s="66" t="s">
        <v>332</v>
      </c>
      <c r="D105" s="67" t="s">
        <v>333</v>
      </c>
      <c r="E105" s="13" t="s">
        <v>316</v>
      </c>
      <c r="F105" s="66" t="s">
        <v>317</v>
      </c>
      <c r="G105" s="67" t="s">
        <v>318</v>
      </c>
      <c r="H105" s="67" t="s">
        <v>334</v>
      </c>
      <c r="I105" s="67" t="s">
        <v>79</v>
      </c>
      <c r="J105" s="68" t="s">
        <v>706</v>
      </c>
      <c r="K105" s="67" t="s">
        <v>77</v>
      </c>
      <c r="L105" s="67" t="s">
        <v>80</v>
      </c>
      <c r="M105" s="75" t="s">
        <v>336</v>
      </c>
      <c r="N105" s="67" t="s">
        <v>337</v>
      </c>
      <c r="O105" s="69">
        <v>44369</v>
      </c>
      <c r="P105" s="70">
        <f>IFERROR(VLOOKUP(J105,'Obs Tecnicas'!$D$2:$I$320,5,0),O105)</f>
        <v>44369</v>
      </c>
      <c r="Q105" s="69" t="str">
        <f t="shared" ca="1" si="10"/>
        <v>Calibrado</v>
      </c>
      <c r="R105" s="71">
        <f>IFERROR(VLOOKUP(J105,'Obs Tecnicas'!$D$2:$G$340,2,0),"")</f>
        <v>12615</v>
      </c>
      <c r="S105" s="67" t="str">
        <f>IFERROR(VLOOKUP(J105,'Obs Tecnicas'!$D$2:$G$344,3,0),"Hexis")</f>
        <v>ER ANALITICA</v>
      </c>
      <c r="T105" s="67">
        <f>IFERROR(VLOOKUP(J105,'Obs Tecnicas'!$D$2:$G$344,4,0),"")</f>
        <v>0</v>
      </c>
      <c r="U105" s="13" t="s">
        <v>550</v>
      </c>
      <c r="V105" s="13">
        <f t="shared" si="6"/>
        <v>6</v>
      </c>
      <c r="W105" s="72">
        <f t="shared" si="7"/>
        <v>101.655</v>
      </c>
      <c r="X105" s="72">
        <f t="shared" si="8"/>
        <v>390.45599999999996</v>
      </c>
      <c r="AE105" s="13" t="s">
        <v>806</v>
      </c>
    </row>
    <row r="106" spans="1:32" s="76" customFormat="1">
      <c r="A106" s="77" t="s">
        <v>20</v>
      </c>
      <c r="B106" s="77" t="s">
        <v>393</v>
      </c>
      <c r="C106" s="66" t="s">
        <v>394</v>
      </c>
      <c r="D106" s="67" t="s">
        <v>395</v>
      </c>
      <c r="E106" s="13" t="s">
        <v>396</v>
      </c>
      <c r="F106" s="66" t="s">
        <v>397</v>
      </c>
      <c r="G106" s="67" t="s">
        <v>365</v>
      </c>
      <c r="H106" s="67" t="s">
        <v>191</v>
      </c>
      <c r="I106" s="67" t="s">
        <v>52</v>
      </c>
      <c r="J106" s="68" t="s">
        <v>735</v>
      </c>
      <c r="K106" s="67" t="s">
        <v>53</v>
      </c>
      <c r="L106" s="67" t="s">
        <v>54</v>
      </c>
      <c r="M106" s="67" t="s">
        <v>398</v>
      </c>
      <c r="N106" s="67" t="s">
        <v>399</v>
      </c>
      <c r="O106" s="69">
        <v>44173</v>
      </c>
      <c r="P106" s="70">
        <f>IFERROR(VLOOKUP(J106,'Obs Tecnicas'!$D$2:$I$320,5,0),O106)</f>
        <v>44173</v>
      </c>
      <c r="Q106" s="69" t="str">
        <f t="shared" ca="1" si="10"/>
        <v>Calibrado</v>
      </c>
      <c r="R106" s="71" t="str">
        <f>IFERROR(VLOOKUP(J106,'Obs Tecnicas'!$D$2:$G$340,2,0),"")</f>
        <v/>
      </c>
      <c r="S106" s="67" t="str">
        <f>IFERROR(VLOOKUP(J106,'Obs Tecnicas'!$D$2:$G$344,3,0),"Hexis")</f>
        <v>Hexis</v>
      </c>
      <c r="T106" s="67" t="str">
        <f>IFERROR(VLOOKUP(J106,'Obs Tecnicas'!$D$2:$G$344,4,0),"")</f>
        <v/>
      </c>
      <c r="U106" s="13"/>
      <c r="V106" s="13">
        <f t="shared" si="6"/>
        <v>12</v>
      </c>
      <c r="W106" s="72">
        <f t="shared" si="7"/>
        <v>178.434</v>
      </c>
      <c r="X106" s="72">
        <f t="shared" si="8"/>
        <v>318.94200000000001</v>
      </c>
      <c r="AF106" s="104"/>
    </row>
    <row r="107" spans="1:32" s="76" customFormat="1">
      <c r="A107" s="77" t="s">
        <v>20</v>
      </c>
      <c r="B107" s="77" t="s">
        <v>393</v>
      </c>
      <c r="C107" s="66" t="s">
        <v>394</v>
      </c>
      <c r="D107" s="67" t="s">
        <v>395</v>
      </c>
      <c r="E107" s="13" t="s">
        <v>396</v>
      </c>
      <c r="F107" s="66" t="s">
        <v>397</v>
      </c>
      <c r="G107" s="67" t="s">
        <v>365</v>
      </c>
      <c r="H107" s="67" t="s">
        <v>191</v>
      </c>
      <c r="I107" s="67" t="s">
        <v>52</v>
      </c>
      <c r="J107" s="80" t="s">
        <v>736</v>
      </c>
      <c r="K107" s="67" t="s">
        <v>35</v>
      </c>
      <c r="L107" s="67" t="s">
        <v>400</v>
      </c>
      <c r="M107" s="67" t="s">
        <v>401</v>
      </c>
      <c r="N107" s="67" t="s">
        <v>402</v>
      </c>
      <c r="O107" s="69">
        <v>44173</v>
      </c>
      <c r="P107" s="70">
        <f>IFERROR(VLOOKUP(J107,'Obs Tecnicas'!$D$2:$I$320,5,0),O107)</f>
        <v>44173</v>
      </c>
      <c r="Q107" s="69" t="str">
        <f t="shared" ca="1" si="10"/>
        <v>Calibrado</v>
      </c>
      <c r="R107" s="71" t="str">
        <f>IFERROR(VLOOKUP(J107,'Obs Tecnicas'!$D$2:$G$340,2,0),"")</f>
        <v/>
      </c>
      <c r="S107" s="67" t="str">
        <f>IFERROR(VLOOKUP(J107,'Obs Tecnicas'!$D$2:$G$344,3,0),"Hexis")</f>
        <v>Hexis</v>
      </c>
      <c r="T107" s="67" t="str">
        <f>IFERROR(VLOOKUP(J107,'Obs Tecnicas'!$D$2:$G$344,4,0),"")</f>
        <v/>
      </c>
      <c r="U107" s="13"/>
      <c r="V107" s="13">
        <f t="shared" si="6"/>
        <v>12</v>
      </c>
      <c r="W107" s="72">
        <f t="shared" si="7"/>
        <v>178.434</v>
      </c>
      <c r="X107" s="72">
        <f t="shared" si="8"/>
        <v>318.94200000000001</v>
      </c>
      <c r="AF107" s="104"/>
    </row>
    <row r="108" spans="1:32">
      <c r="A108" s="13" t="s">
        <v>20</v>
      </c>
      <c r="B108" s="13" t="s">
        <v>281</v>
      </c>
      <c r="C108" s="66" t="s">
        <v>282</v>
      </c>
      <c r="D108" s="67" t="s">
        <v>283</v>
      </c>
      <c r="E108" s="13" t="s">
        <v>220</v>
      </c>
      <c r="F108" s="66" t="s">
        <v>221</v>
      </c>
      <c r="G108" s="67" t="s">
        <v>177</v>
      </c>
      <c r="H108" s="67" t="s">
        <v>284</v>
      </c>
      <c r="I108" s="67" t="s">
        <v>62</v>
      </c>
      <c r="J108" s="68" t="s">
        <v>679</v>
      </c>
      <c r="K108" s="67" t="s">
        <v>285</v>
      </c>
      <c r="L108" s="67" t="s">
        <v>62</v>
      </c>
      <c r="M108" s="67" t="s">
        <v>286</v>
      </c>
      <c r="N108" s="67" t="s">
        <v>169</v>
      </c>
      <c r="O108" s="69">
        <v>44078</v>
      </c>
      <c r="P108" s="70">
        <f>IFERROR(VLOOKUP(J108,'Obs Tecnicas'!$D$2:$I$320,5,0),O108)</f>
        <v>44078</v>
      </c>
      <c r="Q108" s="69" t="str">
        <f t="shared" ca="1" si="10"/>
        <v>Calibrado</v>
      </c>
      <c r="R108" s="71" t="str">
        <f>IFERROR(VLOOKUP(J108,'Obs Tecnicas'!$D$2:$G$340,2,0),"")</f>
        <v/>
      </c>
      <c r="S108" s="67" t="str">
        <f>IFERROR(VLOOKUP(J108,'Obs Tecnicas'!$D$2:$G$344,3,0),"Hexis")</f>
        <v>Hexis</v>
      </c>
      <c r="T108" s="67" t="str">
        <f>IFERROR(VLOOKUP(J108,'Obs Tecnicas'!$D$2:$G$344,4,0),"")</f>
        <v/>
      </c>
      <c r="U108" s="13" t="s">
        <v>785</v>
      </c>
      <c r="V108" s="13">
        <f t="shared" si="6"/>
        <v>9</v>
      </c>
      <c r="W108" s="72">
        <f t="shared" si="7"/>
        <v>198.60299999999998</v>
      </c>
      <c r="X108" s="72">
        <f t="shared" si="8"/>
        <v>217.29599999999999</v>
      </c>
    </row>
    <row r="109" spans="1:32">
      <c r="A109" s="13" t="s">
        <v>20</v>
      </c>
      <c r="B109" s="13" t="s">
        <v>281</v>
      </c>
      <c r="C109" s="66" t="s">
        <v>282</v>
      </c>
      <c r="D109" s="67" t="s">
        <v>283</v>
      </c>
      <c r="E109" s="13" t="s">
        <v>220</v>
      </c>
      <c r="F109" s="66" t="s">
        <v>221</v>
      </c>
      <c r="G109" s="67" t="s">
        <v>177</v>
      </c>
      <c r="H109" s="67" t="s">
        <v>284</v>
      </c>
      <c r="I109" s="67" t="s">
        <v>52</v>
      </c>
      <c r="J109" s="68" t="s">
        <v>287</v>
      </c>
      <c r="K109" s="67" t="s">
        <v>53</v>
      </c>
      <c r="L109" s="67" t="s">
        <v>86</v>
      </c>
      <c r="M109" s="67" t="s">
        <v>286</v>
      </c>
      <c r="N109" s="67" t="s">
        <v>169</v>
      </c>
      <c r="O109" s="69">
        <v>44078</v>
      </c>
      <c r="P109" s="70">
        <f>IFERROR(VLOOKUP(J109,'Obs Tecnicas'!$D$2:$I$320,5,0),O109)</f>
        <v>44078</v>
      </c>
      <c r="Q109" s="69" t="str">
        <f t="shared" ca="1" si="10"/>
        <v>Calibrado</v>
      </c>
      <c r="R109" s="71" t="str">
        <f>IFERROR(VLOOKUP(J109,'Obs Tecnicas'!$D$2:$G$340,2,0),"")</f>
        <v/>
      </c>
      <c r="S109" s="67" t="str">
        <f>IFERROR(VLOOKUP(J109,'Obs Tecnicas'!$D$2:$G$344,3,0),"Hexis")</f>
        <v>Hexis</v>
      </c>
      <c r="T109" s="67" t="str">
        <f>IFERROR(VLOOKUP(J109,'Obs Tecnicas'!$D$2:$G$344,4,0),"")</f>
        <v/>
      </c>
      <c r="U109" s="13" t="s">
        <v>785</v>
      </c>
      <c r="V109" s="13">
        <f t="shared" si="6"/>
        <v>9</v>
      </c>
      <c r="W109" s="72">
        <f t="shared" si="7"/>
        <v>178.434</v>
      </c>
      <c r="X109" s="72">
        <f t="shared" si="8"/>
        <v>318.94200000000001</v>
      </c>
    </row>
    <row r="110" spans="1:32">
      <c r="A110" s="13" t="s">
        <v>20</v>
      </c>
      <c r="B110" s="13" t="s">
        <v>281</v>
      </c>
      <c r="C110" s="66" t="s">
        <v>282</v>
      </c>
      <c r="D110" s="67" t="s">
        <v>283</v>
      </c>
      <c r="E110" s="13" t="s">
        <v>220</v>
      </c>
      <c r="F110" s="66" t="s">
        <v>221</v>
      </c>
      <c r="G110" s="67" t="s">
        <v>177</v>
      </c>
      <c r="H110" s="67" t="s">
        <v>284</v>
      </c>
      <c r="I110" s="67" t="s">
        <v>76</v>
      </c>
      <c r="J110" s="68">
        <v>4210981</v>
      </c>
      <c r="K110" s="67" t="s">
        <v>77</v>
      </c>
      <c r="L110" s="75" t="s">
        <v>78</v>
      </c>
      <c r="M110" s="67" t="s">
        <v>286</v>
      </c>
      <c r="N110" s="67" t="s">
        <v>169</v>
      </c>
      <c r="O110" s="69">
        <v>44078</v>
      </c>
      <c r="P110" s="70">
        <f>IFERROR(VLOOKUP(J110,'Obs Tecnicas'!$D$2:$I$320,5,0),O110)</f>
        <v>44078</v>
      </c>
      <c r="Q110" s="69" t="str">
        <f t="shared" ca="1" si="10"/>
        <v>Calibrado</v>
      </c>
      <c r="R110" s="71" t="str">
        <f>IFERROR(VLOOKUP(J110,'Obs Tecnicas'!$D$2:$G$340,2,0),"")</f>
        <v/>
      </c>
      <c r="S110" s="67" t="str">
        <f>IFERROR(VLOOKUP(J110,'Obs Tecnicas'!$D$2:$G$344,3,0),"Hexis")</f>
        <v>Hexis</v>
      </c>
      <c r="T110" s="67" t="str">
        <f>IFERROR(VLOOKUP(J110,'Obs Tecnicas'!$D$2:$G$344,4,0),"")</f>
        <v/>
      </c>
      <c r="U110" s="13" t="s">
        <v>785</v>
      </c>
      <c r="V110" s="13">
        <f t="shared" si="6"/>
        <v>9</v>
      </c>
      <c r="W110" s="72">
        <f t="shared" si="7"/>
        <v>101.655</v>
      </c>
      <c r="X110" s="72">
        <f t="shared" si="8"/>
        <v>195.22799999999998</v>
      </c>
    </row>
    <row r="111" spans="1:32">
      <c r="A111" s="13" t="s">
        <v>20</v>
      </c>
      <c r="B111" s="13" t="s">
        <v>281</v>
      </c>
      <c r="C111" s="66" t="s">
        <v>282</v>
      </c>
      <c r="D111" s="67" t="s">
        <v>283</v>
      </c>
      <c r="E111" s="13" t="s">
        <v>220</v>
      </c>
      <c r="F111" s="66" t="s">
        <v>221</v>
      </c>
      <c r="G111" s="67" t="s">
        <v>177</v>
      </c>
      <c r="H111" s="67" t="s">
        <v>284</v>
      </c>
      <c r="I111" s="67" t="s">
        <v>34</v>
      </c>
      <c r="J111" s="68" t="s">
        <v>680</v>
      </c>
      <c r="K111" s="67" t="s">
        <v>94</v>
      </c>
      <c r="L111" s="67" t="s">
        <v>288</v>
      </c>
      <c r="M111" s="67" t="s">
        <v>286</v>
      </c>
      <c r="N111" s="67" t="s">
        <v>169</v>
      </c>
      <c r="O111" s="69">
        <v>44078</v>
      </c>
      <c r="P111" s="70">
        <f>IFERROR(VLOOKUP(J111,'Obs Tecnicas'!$D$2:$I$320,5,0),O111)</f>
        <v>44078</v>
      </c>
      <c r="Q111" s="69" t="str">
        <f t="shared" ca="1" si="10"/>
        <v>Calibrado</v>
      </c>
      <c r="R111" s="71" t="str">
        <f>IFERROR(VLOOKUP(J111,'Obs Tecnicas'!$D$2:$G$340,2,0),"")</f>
        <v/>
      </c>
      <c r="S111" s="67" t="str">
        <f>IFERROR(VLOOKUP(J111,'Obs Tecnicas'!$D$2:$G$344,3,0),"Hexis")</f>
        <v>Hexis</v>
      </c>
      <c r="T111" s="67" t="str">
        <f>IFERROR(VLOOKUP(J111,'Obs Tecnicas'!$D$2:$G$344,4,0),"")</f>
        <v/>
      </c>
      <c r="U111" s="13" t="s">
        <v>785</v>
      </c>
      <c r="V111" s="13">
        <f t="shared" si="6"/>
        <v>9</v>
      </c>
      <c r="W111" s="72">
        <f t="shared" si="7"/>
        <v>101.655</v>
      </c>
      <c r="X111" s="72">
        <f t="shared" si="8"/>
        <v>195.22799999999998</v>
      </c>
    </row>
    <row r="112" spans="1:32">
      <c r="A112" s="13" t="s">
        <v>20</v>
      </c>
      <c r="B112" s="13" t="s">
        <v>281</v>
      </c>
      <c r="C112" s="66" t="s">
        <v>282</v>
      </c>
      <c r="D112" s="67" t="s">
        <v>283</v>
      </c>
      <c r="E112" s="13" t="s">
        <v>220</v>
      </c>
      <c r="F112" s="66" t="s">
        <v>221</v>
      </c>
      <c r="G112" s="67" t="s">
        <v>177</v>
      </c>
      <c r="H112" s="67" t="s">
        <v>284</v>
      </c>
      <c r="I112" s="67" t="s">
        <v>55</v>
      </c>
      <c r="J112" s="80" t="s">
        <v>289</v>
      </c>
      <c r="K112" s="67" t="s">
        <v>53</v>
      </c>
      <c r="L112" s="67" t="s">
        <v>57</v>
      </c>
      <c r="M112" s="67" t="s">
        <v>286</v>
      </c>
      <c r="N112" s="67" t="s">
        <v>169</v>
      </c>
      <c r="O112" s="69">
        <v>44078</v>
      </c>
      <c r="P112" s="70">
        <f>IFERROR(VLOOKUP(J112,'Obs Tecnicas'!$D$2:$I$320,5,0),O112)</f>
        <v>44078</v>
      </c>
      <c r="Q112" s="69" t="str">
        <f t="shared" ca="1" si="10"/>
        <v>Calibrado</v>
      </c>
      <c r="R112" s="71" t="str">
        <f>IFERROR(VLOOKUP(J112,'Obs Tecnicas'!$D$2:$G$340,2,0),"")</f>
        <v/>
      </c>
      <c r="S112" s="67" t="str">
        <f>IFERROR(VLOOKUP(J112,'Obs Tecnicas'!$D$2:$G$344,3,0),"Hexis")</f>
        <v>Hexis</v>
      </c>
      <c r="T112" s="67" t="str">
        <f>IFERROR(VLOOKUP(J112,'Obs Tecnicas'!$D$2:$G$344,4,0),"")</f>
        <v/>
      </c>
      <c r="U112" s="13" t="s">
        <v>785</v>
      </c>
      <c r="V112" s="13">
        <f t="shared" si="6"/>
        <v>9</v>
      </c>
      <c r="W112" s="72" t="e">
        <f t="shared" si="7"/>
        <v>#N/A</v>
      </c>
      <c r="X112" s="72" t="e">
        <f t="shared" si="8"/>
        <v>#N/A</v>
      </c>
    </row>
    <row r="113" spans="1:32">
      <c r="A113" s="13" t="s">
        <v>20</v>
      </c>
      <c r="B113" s="13" t="s">
        <v>784</v>
      </c>
      <c r="C113" s="66" t="s">
        <v>783</v>
      </c>
      <c r="D113" s="67" t="s">
        <v>219</v>
      </c>
      <c r="E113" s="13" t="s">
        <v>220</v>
      </c>
      <c r="F113" s="66" t="s">
        <v>221</v>
      </c>
      <c r="G113" s="67" t="s">
        <v>177</v>
      </c>
      <c r="H113" s="67" t="s">
        <v>222</v>
      </c>
      <c r="I113" s="67" t="s">
        <v>28</v>
      </c>
      <c r="J113" s="68" t="s">
        <v>919</v>
      </c>
      <c r="K113" s="67" t="s">
        <v>30</v>
      </c>
      <c r="L113" s="67" t="s">
        <v>223</v>
      </c>
      <c r="M113" s="67" t="s">
        <v>224</v>
      </c>
      <c r="O113" s="69">
        <v>44397</v>
      </c>
      <c r="P113" s="70">
        <f>IFERROR(VLOOKUP(J113,'Obs Tecnicas'!$D$2:$I$320,5,0),O113)</f>
        <v>44397</v>
      </c>
      <c r="Q113" s="69" t="str">
        <f t="shared" ca="1" si="10"/>
        <v>Calibrado</v>
      </c>
      <c r="R113" s="71">
        <f>IFERROR(VLOOKUP(J113,'Obs Tecnicas'!$D$2:$G$340,2,0),"")</f>
        <v>13163</v>
      </c>
      <c r="S113" s="67" t="str">
        <f>IFERROR(VLOOKUP(J113,'Obs Tecnicas'!$D$2:$G$344,3,0),"Hexis")</f>
        <v>ER ANALITICA</v>
      </c>
      <c r="T113" s="67">
        <f>IFERROR(VLOOKUP(J113,'Obs Tecnicas'!$D$2:$G$344,4,0),"")</f>
        <v>0</v>
      </c>
      <c r="U113" s="13" t="s">
        <v>550</v>
      </c>
      <c r="V113" s="13">
        <f t="shared" si="6"/>
        <v>7</v>
      </c>
      <c r="W113" s="72">
        <f t="shared" si="7"/>
        <v>165.75299999999999</v>
      </c>
      <c r="X113" s="72">
        <f t="shared" si="8"/>
        <v>245.34000000000003</v>
      </c>
      <c r="AE113" s="13" t="s">
        <v>807</v>
      </c>
      <c r="AF113" s="104">
        <v>44397</v>
      </c>
    </row>
    <row r="114" spans="1:32">
      <c r="A114" s="13" t="s">
        <v>20</v>
      </c>
      <c r="B114" s="13" t="s">
        <v>784</v>
      </c>
      <c r="C114" s="66" t="s">
        <v>783</v>
      </c>
      <c r="D114" s="67" t="s">
        <v>219</v>
      </c>
      <c r="E114" s="13" t="s">
        <v>220</v>
      </c>
      <c r="F114" s="66" t="s">
        <v>221</v>
      </c>
      <c r="G114" s="67" t="s">
        <v>177</v>
      </c>
      <c r="H114" s="67" t="s">
        <v>222</v>
      </c>
      <c r="I114" s="67" t="s">
        <v>76</v>
      </c>
      <c r="J114" s="68" t="s">
        <v>225</v>
      </c>
      <c r="K114" s="67" t="s">
        <v>53</v>
      </c>
      <c r="L114" s="67" t="s">
        <v>226</v>
      </c>
      <c r="M114" s="67" t="s">
        <v>224</v>
      </c>
      <c r="O114" s="69">
        <v>44397</v>
      </c>
      <c r="P114" s="70">
        <f>IFERROR(VLOOKUP(J114,'Obs Tecnicas'!$D$2:$I$320,5,0),O114)</f>
        <v>44397</v>
      </c>
      <c r="Q114" s="69" t="str">
        <f t="shared" ca="1" si="10"/>
        <v>Calibrado</v>
      </c>
      <c r="R114" s="71">
        <f>IFERROR(VLOOKUP(J114,'Obs Tecnicas'!$D$2:$G$340,2,0),"")</f>
        <v>13164</v>
      </c>
      <c r="S114" s="67" t="str">
        <f>IFERROR(VLOOKUP(J114,'Obs Tecnicas'!$D$2:$G$344,3,0),"Hexis")</f>
        <v>ER ANALITICA</v>
      </c>
      <c r="T114" s="67">
        <f>IFERROR(VLOOKUP(J114,'Obs Tecnicas'!$D$2:$G$344,4,0),"")</f>
        <v>0</v>
      </c>
      <c r="U114" s="13" t="s">
        <v>550</v>
      </c>
      <c r="V114" s="13">
        <f t="shared" si="6"/>
        <v>7</v>
      </c>
      <c r="W114" s="72">
        <f t="shared" si="7"/>
        <v>101.655</v>
      </c>
      <c r="X114" s="72">
        <f t="shared" si="8"/>
        <v>195.22799999999998</v>
      </c>
      <c r="AE114" s="13" t="s">
        <v>807</v>
      </c>
      <c r="AF114" s="104">
        <v>44397</v>
      </c>
    </row>
    <row r="115" spans="1:32">
      <c r="A115" s="13" t="s">
        <v>20</v>
      </c>
      <c r="B115" s="13" t="s">
        <v>784</v>
      </c>
      <c r="C115" s="66" t="s">
        <v>783</v>
      </c>
      <c r="D115" s="67" t="s">
        <v>219</v>
      </c>
      <c r="E115" s="13" t="s">
        <v>220</v>
      </c>
      <c r="F115" s="66" t="s">
        <v>221</v>
      </c>
      <c r="G115" s="67" t="s">
        <v>177</v>
      </c>
      <c r="H115" s="67" t="s">
        <v>222</v>
      </c>
      <c r="I115" s="67" t="s">
        <v>45</v>
      </c>
      <c r="J115" s="68" t="s">
        <v>920</v>
      </c>
      <c r="K115" s="67" t="s">
        <v>53</v>
      </c>
      <c r="L115" s="67" t="s">
        <v>227</v>
      </c>
      <c r="M115" s="67" t="s">
        <v>224</v>
      </c>
      <c r="O115" s="69">
        <v>44397</v>
      </c>
      <c r="P115" s="70">
        <f>IFERROR(VLOOKUP(J115,'Obs Tecnicas'!$D$2:$I$320,5,0),O115)</f>
        <v>44397</v>
      </c>
      <c r="Q115" s="69" t="str">
        <f t="shared" ca="1" si="10"/>
        <v>Calibrado</v>
      </c>
      <c r="R115" s="71">
        <f>IFERROR(VLOOKUP(J115,'Obs Tecnicas'!$D$2:$G$340,2,0),"")</f>
        <v>13165</v>
      </c>
      <c r="S115" s="67" t="str">
        <f>IFERROR(VLOOKUP(J115,'Obs Tecnicas'!$D$2:$G$344,3,0),"Hexis")</f>
        <v>ER ANALITICA</v>
      </c>
      <c r="T115" s="67">
        <f>IFERROR(VLOOKUP(J115,'Obs Tecnicas'!$D$2:$G$344,4,0),"")</f>
        <v>0</v>
      </c>
      <c r="U115" s="13" t="s">
        <v>550</v>
      </c>
      <c r="V115" s="13">
        <f t="shared" si="6"/>
        <v>7</v>
      </c>
      <c r="W115" s="72">
        <f t="shared" si="7"/>
        <v>420.44400000000002</v>
      </c>
      <c r="X115" s="72">
        <f t="shared" si="8"/>
        <v>385.26299999999998</v>
      </c>
      <c r="AE115" s="13" t="s">
        <v>807</v>
      </c>
      <c r="AF115" s="104">
        <v>44397</v>
      </c>
    </row>
    <row r="116" spans="1:32">
      <c r="A116" s="13" t="s">
        <v>20</v>
      </c>
      <c r="B116" s="13" t="s">
        <v>784</v>
      </c>
      <c r="C116" s="66" t="s">
        <v>783</v>
      </c>
      <c r="D116" s="67" t="s">
        <v>219</v>
      </c>
      <c r="E116" s="13" t="s">
        <v>220</v>
      </c>
      <c r="F116" s="66" t="s">
        <v>221</v>
      </c>
      <c r="G116" s="67" t="s">
        <v>177</v>
      </c>
      <c r="H116" s="67" t="s">
        <v>222</v>
      </c>
      <c r="I116" s="67" t="s">
        <v>34</v>
      </c>
      <c r="J116" s="68" t="s">
        <v>228</v>
      </c>
      <c r="K116" s="67" t="s">
        <v>39</v>
      </c>
      <c r="L116" s="67" t="s">
        <v>40</v>
      </c>
      <c r="M116" s="67" t="s">
        <v>224</v>
      </c>
      <c r="O116" s="69">
        <v>44397</v>
      </c>
      <c r="P116" s="70">
        <f>IFERROR(VLOOKUP(J116,'Obs Tecnicas'!$D$2:$I$320,5,0),O116)</f>
        <v>44397</v>
      </c>
      <c r="Q116" s="69" t="str">
        <f t="shared" ca="1" si="10"/>
        <v>Calibrado</v>
      </c>
      <c r="R116" s="71">
        <f>IFERROR(VLOOKUP(J116,'Obs Tecnicas'!$D$2:$G$340,2,0),"")</f>
        <v>13166</v>
      </c>
      <c r="S116" s="67" t="str">
        <f>IFERROR(VLOOKUP(J116,'Obs Tecnicas'!$D$2:$G$344,3,0),"Hexis")</f>
        <v>ER ANALITICA</v>
      </c>
      <c r="T116" s="67">
        <f>IFERROR(VLOOKUP(J116,'Obs Tecnicas'!$D$2:$G$344,4,0),"")</f>
        <v>0</v>
      </c>
      <c r="U116" s="13" t="s">
        <v>550</v>
      </c>
      <c r="V116" s="13">
        <f t="shared" si="6"/>
        <v>7</v>
      </c>
      <c r="W116" s="72">
        <f t="shared" si="7"/>
        <v>101.655</v>
      </c>
      <c r="X116" s="72">
        <f t="shared" si="8"/>
        <v>195.22799999999998</v>
      </c>
      <c r="AE116" s="13" t="s">
        <v>807</v>
      </c>
      <c r="AF116" s="104">
        <v>44397</v>
      </c>
    </row>
    <row r="117" spans="1:32">
      <c r="A117" s="13" t="s">
        <v>20</v>
      </c>
      <c r="B117" s="13" t="s">
        <v>795</v>
      </c>
      <c r="C117" s="66" t="s">
        <v>66</v>
      </c>
      <c r="D117" s="67" t="s">
        <v>797</v>
      </c>
      <c r="G117" s="13" t="s">
        <v>796</v>
      </c>
      <c r="H117" s="67" t="s">
        <v>27</v>
      </c>
      <c r="I117" s="67" t="s">
        <v>28</v>
      </c>
      <c r="J117" s="68" t="s">
        <v>544</v>
      </c>
      <c r="K117" s="13" t="s">
        <v>542</v>
      </c>
      <c r="L117" s="13"/>
      <c r="M117" s="67" t="s">
        <v>49</v>
      </c>
      <c r="N117" s="13"/>
      <c r="O117" s="69"/>
      <c r="P117" s="70">
        <f>IFERROR(VLOOKUP(J117,'Obs Tecnicas'!$D$2:$I$320,5,0),O117)</f>
        <v>44333</v>
      </c>
      <c r="Q117" s="69" t="str">
        <f t="shared" ca="1" si="10"/>
        <v>Calibrado</v>
      </c>
      <c r="R117" s="71">
        <f>IFERROR(VLOOKUP(J117,'Obs Tecnicas'!$D$2:$G$340,2,0),"")</f>
        <v>12355</v>
      </c>
      <c r="S117" s="67" t="str">
        <f>IFERROR(VLOOKUP(J117,'Obs Tecnicas'!$D$2:$G$344,3,0),"Hexis")</f>
        <v>ER ANALITICA</v>
      </c>
      <c r="T117" s="67">
        <f>IFERROR(VLOOKUP(J117,'Obs Tecnicas'!$D$2:$G$344,4,0),"")</f>
        <v>0</v>
      </c>
      <c r="U117" s="13" t="s">
        <v>550</v>
      </c>
      <c r="V117" s="13">
        <f t="shared" si="6"/>
        <v>5</v>
      </c>
      <c r="W117" s="72">
        <f t="shared" si="7"/>
        <v>165.75299999999999</v>
      </c>
      <c r="X117" s="72">
        <f t="shared" si="8"/>
        <v>245.34000000000003</v>
      </c>
    </row>
    <row r="118" spans="1:32">
      <c r="A118" s="13" t="s">
        <v>20</v>
      </c>
      <c r="B118" s="13" t="s">
        <v>795</v>
      </c>
      <c r="C118" s="66" t="s">
        <v>66</v>
      </c>
      <c r="D118" s="67" t="s">
        <v>797</v>
      </c>
      <c r="G118" s="13" t="s">
        <v>796</v>
      </c>
      <c r="H118" s="67" t="s">
        <v>27</v>
      </c>
      <c r="I118" s="67" t="s">
        <v>28</v>
      </c>
      <c r="J118" s="68" t="s">
        <v>589</v>
      </c>
      <c r="K118" s="90" t="s">
        <v>179</v>
      </c>
      <c r="L118" s="13"/>
      <c r="M118" s="67" t="s">
        <v>49</v>
      </c>
      <c r="N118" s="13"/>
      <c r="O118" s="69"/>
      <c r="P118" s="70">
        <f>IFERROR(VLOOKUP(J118,'Obs Tecnicas'!$D$2:$I$320,5,0),O118)</f>
        <v>44333</v>
      </c>
      <c r="Q118" s="69" t="str">
        <f t="shared" ca="1" si="10"/>
        <v>Calibrado</v>
      </c>
      <c r="R118" s="71">
        <f>IFERROR(VLOOKUP(J118,'Obs Tecnicas'!$D$2:$G$340,2,0),"")</f>
        <v>12352</v>
      </c>
      <c r="S118" s="67" t="str">
        <f>IFERROR(VLOOKUP(J118,'Obs Tecnicas'!$D$2:$G$344,3,0),"Hexis")</f>
        <v>ER ANALITICA</v>
      </c>
      <c r="T118" s="67">
        <f>IFERROR(VLOOKUP(J118,'Obs Tecnicas'!$D$2:$G$344,4,0),"")</f>
        <v>0</v>
      </c>
      <c r="U118" s="13" t="s">
        <v>550</v>
      </c>
      <c r="V118" s="13">
        <f t="shared" si="6"/>
        <v>5</v>
      </c>
      <c r="W118" s="72">
        <f t="shared" si="7"/>
        <v>165.75299999999999</v>
      </c>
      <c r="X118" s="72">
        <f t="shared" si="8"/>
        <v>245.34000000000003</v>
      </c>
    </row>
    <row r="119" spans="1:32" s="76" customFormat="1">
      <c r="A119" s="13" t="s">
        <v>20</v>
      </c>
      <c r="B119" s="13" t="s">
        <v>65</v>
      </c>
      <c r="C119" s="66" t="s">
        <v>66</v>
      </c>
      <c r="D119" s="67" t="s">
        <v>67</v>
      </c>
      <c r="E119" s="13" t="s">
        <v>24</v>
      </c>
      <c r="F119" s="66" t="s">
        <v>25</v>
      </c>
      <c r="G119" s="67" t="s">
        <v>44</v>
      </c>
      <c r="H119" s="67" t="s">
        <v>27</v>
      </c>
      <c r="I119" s="67" t="s">
        <v>34</v>
      </c>
      <c r="J119" s="68" t="s">
        <v>594</v>
      </c>
      <c r="K119" s="67" t="s">
        <v>68</v>
      </c>
      <c r="L119" s="67" t="s">
        <v>69</v>
      </c>
      <c r="M119" s="67" t="s">
        <v>49</v>
      </c>
      <c r="N119" s="67" t="s">
        <v>33</v>
      </c>
      <c r="O119" s="69">
        <v>43978</v>
      </c>
      <c r="P119" s="70">
        <f>IFERROR(VLOOKUP(J119,'Obs Tecnicas'!$D$2:$I$320,5,0),O119)</f>
        <v>44333</v>
      </c>
      <c r="Q119" s="69" t="str">
        <f t="shared" ca="1" si="10"/>
        <v>Calibrado</v>
      </c>
      <c r="R119" s="71">
        <f>IFERROR(VLOOKUP(J119,'Obs Tecnicas'!$D$2:$G$340,2,0),"")</f>
        <v>12329</v>
      </c>
      <c r="S119" s="67" t="str">
        <f>IFERROR(VLOOKUP(J119,'Obs Tecnicas'!$D$2:$G$344,3,0),"Hexis")</f>
        <v>ER ANALITICA</v>
      </c>
      <c r="T119" s="67">
        <f>IFERROR(VLOOKUP(J119,'Obs Tecnicas'!$D$2:$G$344,4,0),"")</f>
        <v>0</v>
      </c>
      <c r="U119" s="13" t="s">
        <v>550</v>
      </c>
      <c r="V119" s="13">
        <f t="shared" si="6"/>
        <v>5</v>
      </c>
      <c r="W119" s="72">
        <f t="shared" si="7"/>
        <v>101.655</v>
      </c>
      <c r="X119" s="72">
        <f t="shared" si="8"/>
        <v>195.22799999999998</v>
      </c>
      <c r="AF119" s="104"/>
    </row>
    <row r="120" spans="1:32" s="77" customFormat="1">
      <c r="A120" s="13" t="s">
        <v>20</v>
      </c>
      <c r="B120" s="13" t="s">
        <v>65</v>
      </c>
      <c r="C120" s="66" t="s">
        <v>66</v>
      </c>
      <c r="D120" s="67" t="s">
        <v>67</v>
      </c>
      <c r="E120" s="13" t="s">
        <v>24</v>
      </c>
      <c r="F120" s="66" t="s">
        <v>25</v>
      </c>
      <c r="G120" s="67" t="s">
        <v>44</v>
      </c>
      <c r="H120" s="67" t="s">
        <v>27</v>
      </c>
      <c r="I120" s="67" t="s">
        <v>55</v>
      </c>
      <c r="J120" s="68" t="s">
        <v>71</v>
      </c>
      <c r="K120" s="67" t="s">
        <v>53</v>
      </c>
      <c r="L120" s="67" t="s">
        <v>57</v>
      </c>
      <c r="M120" s="67" t="s">
        <v>49</v>
      </c>
      <c r="N120" s="67" t="s">
        <v>33</v>
      </c>
      <c r="O120" s="69">
        <v>43979</v>
      </c>
      <c r="P120" s="70">
        <f>IFERROR(VLOOKUP(J120,'Obs Tecnicas'!$D$2:$I$320,5,0),O120)</f>
        <v>44333</v>
      </c>
      <c r="Q120" s="69" t="str">
        <f t="shared" ca="1" si="10"/>
        <v>Calibrado</v>
      </c>
      <c r="R120" s="71">
        <f>IFERROR(VLOOKUP(J120,'Obs Tecnicas'!$D$2:$G$340,2,0),"")</f>
        <v>12330</v>
      </c>
      <c r="S120" s="67" t="str">
        <f>IFERROR(VLOOKUP(J120,'Obs Tecnicas'!$D$2:$G$344,3,0),"Hexis")</f>
        <v>ER ANALITICA</v>
      </c>
      <c r="T120" s="67">
        <f>IFERROR(VLOOKUP(J120,'Obs Tecnicas'!$D$2:$G$344,4,0),"")</f>
        <v>0</v>
      </c>
      <c r="U120" s="13" t="s">
        <v>550</v>
      </c>
      <c r="V120" s="13">
        <f t="shared" si="6"/>
        <v>5</v>
      </c>
      <c r="W120" s="72" t="e">
        <f t="shared" si="7"/>
        <v>#N/A</v>
      </c>
      <c r="X120" s="72" t="e">
        <f t="shared" si="8"/>
        <v>#N/A</v>
      </c>
      <c r="AF120" s="104"/>
    </row>
    <row r="121" spans="1:32" s="77" customFormat="1">
      <c r="A121" s="13" t="s">
        <v>20</v>
      </c>
      <c r="B121" s="13" t="s">
        <v>65</v>
      </c>
      <c r="C121" s="66" t="s">
        <v>66</v>
      </c>
      <c r="D121" s="67" t="s">
        <v>67</v>
      </c>
      <c r="E121" s="13" t="s">
        <v>24</v>
      </c>
      <c r="F121" s="66" t="s">
        <v>25</v>
      </c>
      <c r="G121" s="67" t="s">
        <v>44</v>
      </c>
      <c r="H121" s="67" t="s">
        <v>27</v>
      </c>
      <c r="I121" s="67" t="s">
        <v>45</v>
      </c>
      <c r="J121" s="68" t="s">
        <v>545</v>
      </c>
      <c r="K121" s="67" t="s">
        <v>53</v>
      </c>
      <c r="L121" s="67" t="s">
        <v>61</v>
      </c>
      <c r="M121" s="67" t="s">
        <v>49</v>
      </c>
      <c r="N121" s="67" t="s">
        <v>33</v>
      </c>
      <c r="O121" s="69">
        <v>43980</v>
      </c>
      <c r="P121" s="70">
        <f>IFERROR(VLOOKUP(J121,'Obs Tecnicas'!$D$2:$I$320,5,0),O121)</f>
        <v>44333</v>
      </c>
      <c r="Q121" s="69" t="str">
        <f t="shared" ca="1" si="10"/>
        <v>Calibrado</v>
      </c>
      <c r="R121" s="71">
        <f>IFERROR(VLOOKUP(J121,'Obs Tecnicas'!$D$2:$G$340,2,0),"")</f>
        <v>12324</v>
      </c>
      <c r="S121" s="67" t="str">
        <f>IFERROR(VLOOKUP(J121,'Obs Tecnicas'!$D$2:$G$344,3,0),"Hexis")</f>
        <v>ER ANALITICA</v>
      </c>
      <c r="T121" s="67" t="str">
        <f>IFERROR(VLOOKUP(J121,'Obs Tecnicas'!$D$2:$G$344,4,0),"")</f>
        <v>Bateria de litio com baixa carga.</v>
      </c>
      <c r="U121" s="13" t="s">
        <v>550</v>
      </c>
      <c r="V121" s="13">
        <f t="shared" si="6"/>
        <v>5</v>
      </c>
      <c r="W121" s="72">
        <f t="shared" si="7"/>
        <v>420.44400000000002</v>
      </c>
      <c r="X121" s="72">
        <f t="shared" si="8"/>
        <v>385.26299999999998</v>
      </c>
      <c r="AF121" s="104"/>
    </row>
    <row r="122" spans="1:32" s="76" customFormat="1">
      <c r="A122" s="13" t="s">
        <v>20</v>
      </c>
      <c r="B122" s="13" t="s">
        <v>162</v>
      </c>
      <c r="C122" s="66" t="s">
        <v>163</v>
      </c>
      <c r="D122" s="67" t="s">
        <v>137</v>
      </c>
      <c r="E122" s="13" t="s">
        <v>138</v>
      </c>
      <c r="F122" s="66" t="s">
        <v>139</v>
      </c>
      <c r="G122" s="67" t="s">
        <v>132</v>
      </c>
      <c r="H122" s="67" t="s">
        <v>27</v>
      </c>
      <c r="I122" s="67" t="s">
        <v>52</v>
      </c>
      <c r="J122" s="80" t="s">
        <v>164</v>
      </c>
      <c r="K122" s="67" t="s">
        <v>53</v>
      </c>
      <c r="L122" s="67" t="s">
        <v>86</v>
      </c>
      <c r="M122" s="67" t="s">
        <v>87</v>
      </c>
      <c r="N122" s="67" t="s">
        <v>165</v>
      </c>
      <c r="O122" s="69">
        <v>44068</v>
      </c>
      <c r="P122" s="70">
        <f>IFERROR(VLOOKUP(J122,'Obs Tecnicas'!$D$2:$I$320,5,0),O122)</f>
        <v>44370</v>
      </c>
      <c r="Q122" s="69" t="str">
        <f t="shared" ca="1" si="10"/>
        <v>Calibrado</v>
      </c>
      <c r="R122" s="71">
        <f>IFERROR(VLOOKUP(J122,'Obs Tecnicas'!$D$2:$G$340,2,0),"")</f>
        <v>12668</v>
      </c>
      <c r="S122" s="67" t="str">
        <f>IFERROR(VLOOKUP(J122,'Obs Tecnicas'!$D$2:$G$344,3,0),"Hexis")</f>
        <v>ER ANALITICA</v>
      </c>
      <c r="T122" s="67" t="str">
        <f>IFERROR(VLOOKUP(J122,'Obs Tecnicas'!$D$2:$G$344,4,0),"")</f>
        <v>Necessário a troca de todos filtros opticos para ajustar os valores de leitura.</v>
      </c>
      <c r="U122" s="13" t="s">
        <v>550</v>
      </c>
      <c r="V122" s="13">
        <f t="shared" si="6"/>
        <v>6</v>
      </c>
      <c r="W122" s="72">
        <f t="shared" si="7"/>
        <v>178.434</v>
      </c>
      <c r="X122" s="72">
        <f t="shared" si="8"/>
        <v>318.94200000000001</v>
      </c>
      <c r="AE122" s="13" t="s">
        <v>806</v>
      </c>
      <c r="AF122" s="104"/>
    </row>
    <row r="123" spans="1:32">
      <c r="A123" s="13" t="s">
        <v>20</v>
      </c>
      <c r="B123" s="13" t="s">
        <v>162</v>
      </c>
      <c r="C123" s="66" t="s">
        <v>163</v>
      </c>
      <c r="D123" s="67" t="s">
        <v>137</v>
      </c>
      <c r="E123" s="13" t="s">
        <v>138</v>
      </c>
      <c r="F123" s="66" t="s">
        <v>139</v>
      </c>
      <c r="G123" s="67" t="s">
        <v>132</v>
      </c>
      <c r="H123" s="67" t="s">
        <v>27</v>
      </c>
      <c r="I123" s="67" t="s">
        <v>76</v>
      </c>
      <c r="J123" s="80" t="s">
        <v>635</v>
      </c>
      <c r="K123" s="67" t="s">
        <v>94</v>
      </c>
      <c r="L123" s="67" t="s">
        <v>123</v>
      </c>
      <c r="M123" s="67" t="s">
        <v>87</v>
      </c>
      <c r="N123" s="67" t="s">
        <v>165</v>
      </c>
      <c r="O123" s="69">
        <v>44068</v>
      </c>
      <c r="P123" s="70">
        <f>IFERROR(VLOOKUP(J123,'Obs Tecnicas'!$D$2:$I$320,5,0),O123)</f>
        <v>44370</v>
      </c>
      <c r="Q123" s="69" t="str">
        <f t="shared" ca="1" si="10"/>
        <v>Calibrado</v>
      </c>
      <c r="R123" s="71">
        <f>IFERROR(VLOOKUP(J123,'Obs Tecnicas'!$D$2:$G$340,2,0),"")</f>
        <v>12671</v>
      </c>
      <c r="S123" s="67" t="str">
        <f>IFERROR(VLOOKUP(J123,'Obs Tecnicas'!$D$2:$G$344,3,0),"Hexis")</f>
        <v>ER ANALITICA</v>
      </c>
      <c r="T123" s="67">
        <f>IFERROR(VLOOKUP(J123,'Obs Tecnicas'!$D$2:$G$344,4,0),"")</f>
        <v>0</v>
      </c>
      <c r="U123" s="13" t="s">
        <v>550</v>
      </c>
      <c r="V123" s="13">
        <f t="shared" si="6"/>
        <v>6</v>
      </c>
      <c r="W123" s="72">
        <f t="shared" si="7"/>
        <v>101.655</v>
      </c>
      <c r="X123" s="72">
        <f t="shared" si="8"/>
        <v>195.22799999999998</v>
      </c>
      <c r="AE123" s="13" t="s">
        <v>806</v>
      </c>
    </row>
    <row r="124" spans="1:32">
      <c r="A124" s="13" t="s">
        <v>20</v>
      </c>
      <c r="B124" s="13" t="s">
        <v>162</v>
      </c>
      <c r="C124" s="66" t="s">
        <v>163</v>
      </c>
      <c r="D124" s="67" t="s">
        <v>137</v>
      </c>
      <c r="E124" s="13" t="s">
        <v>138</v>
      </c>
      <c r="F124" s="66" t="s">
        <v>139</v>
      </c>
      <c r="G124" s="67" t="s">
        <v>132</v>
      </c>
      <c r="H124" s="67" t="s">
        <v>27</v>
      </c>
      <c r="I124" s="67" t="s">
        <v>76</v>
      </c>
      <c r="J124" s="80" t="s">
        <v>636</v>
      </c>
      <c r="K124" s="67" t="s">
        <v>94</v>
      </c>
      <c r="L124" s="67" t="s">
        <v>166</v>
      </c>
      <c r="M124" s="67" t="s">
        <v>87</v>
      </c>
      <c r="N124" s="67" t="s">
        <v>165</v>
      </c>
      <c r="O124" s="69">
        <v>44068</v>
      </c>
      <c r="P124" s="70">
        <f>IFERROR(VLOOKUP(J124,'Obs Tecnicas'!$D$2:$I$320,5,0),O124)</f>
        <v>44370</v>
      </c>
      <c r="Q124" s="69" t="str">
        <f t="shared" ca="1" si="10"/>
        <v>Calibrado</v>
      </c>
      <c r="R124" s="71">
        <f>IFERROR(VLOOKUP(J124,'Obs Tecnicas'!$D$2:$G$340,2,0),"")</f>
        <v>12669</v>
      </c>
      <c r="S124" s="67" t="str">
        <f>IFERROR(VLOOKUP(J124,'Obs Tecnicas'!$D$2:$G$344,3,0),"Hexis")</f>
        <v>ER ANALITICA</v>
      </c>
      <c r="T124" s="67">
        <f>IFERROR(VLOOKUP(J124,'Obs Tecnicas'!$D$2:$G$344,4,0),"")</f>
        <v>0</v>
      </c>
      <c r="U124" s="13" t="s">
        <v>550</v>
      </c>
      <c r="V124" s="13">
        <f t="shared" si="6"/>
        <v>6</v>
      </c>
      <c r="W124" s="72">
        <f t="shared" si="7"/>
        <v>101.655</v>
      </c>
      <c r="X124" s="72">
        <f t="shared" si="8"/>
        <v>195.22799999999998</v>
      </c>
      <c r="AE124" s="13" t="s">
        <v>806</v>
      </c>
    </row>
    <row r="125" spans="1:32">
      <c r="A125" s="13" t="s">
        <v>20</v>
      </c>
      <c r="B125" s="13" t="s">
        <v>162</v>
      </c>
      <c r="C125" s="66" t="s">
        <v>163</v>
      </c>
      <c r="D125" s="67" t="s">
        <v>137</v>
      </c>
      <c r="E125" s="13" t="s">
        <v>138</v>
      </c>
      <c r="F125" s="66" t="s">
        <v>139</v>
      </c>
      <c r="G125" s="67" t="s">
        <v>132</v>
      </c>
      <c r="H125" s="67" t="s">
        <v>27</v>
      </c>
      <c r="I125" s="67" t="s">
        <v>76</v>
      </c>
      <c r="J125" s="80" t="s">
        <v>637</v>
      </c>
      <c r="K125" s="67" t="s">
        <v>167</v>
      </c>
      <c r="L125" s="67" t="s">
        <v>168</v>
      </c>
      <c r="M125" s="67" t="s">
        <v>87</v>
      </c>
      <c r="N125" s="67" t="s">
        <v>165</v>
      </c>
      <c r="O125" s="69">
        <v>44068</v>
      </c>
      <c r="P125" s="70">
        <f>IFERROR(VLOOKUP(J125,'Obs Tecnicas'!$D$2:$I$320,5,0),O125)</f>
        <v>44370</v>
      </c>
      <c r="Q125" s="69" t="str">
        <f t="shared" ca="1" si="10"/>
        <v>Calibrado</v>
      </c>
      <c r="R125" s="71">
        <f>IFERROR(VLOOKUP(J125,'Obs Tecnicas'!$D$2:$G$340,2,0),"")</f>
        <v>12666</v>
      </c>
      <c r="S125" s="67" t="str">
        <f>IFERROR(VLOOKUP(J125,'Obs Tecnicas'!$D$2:$G$344,3,0),"Hexis")</f>
        <v>ER ANALITICA</v>
      </c>
      <c r="T125" s="67">
        <f>IFERROR(VLOOKUP(J125,'Obs Tecnicas'!$D$2:$G$344,4,0),"")</f>
        <v>0</v>
      </c>
      <c r="U125" s="13" t="s">
        <v>550</v>
      </c>
      <c r="V125" s="13">
        <f t="shared" si="6"/>
        <v>6</v>
      </c>
      <c r="W125" s="72">
        <f t="shared" si="7"/>
        <v>101.655</v>
      </c>
      <c r="X125" s="72">
        <f t="shared" si="8"/>
        <v>195.22799999999998</v>
      </c>
      <c r="AE125" s="13" t="s">
        <v>806</v>
      </c>
    </row>
    <row r="126" spans="1:32">
      <c r="A126" s="13" t="s">
        <v>20</v>
      </c>
      <c r="B126" s="13" t="s">
        <v>162</v>
      </c>
      <c r="C126" s="66" t="s">
        <v>163</v>
      </c>
      <c r="D126" s="67" t="s">
        <v>137</v>
      </c>
      <c r="E126" s="13" t="s">
        <v>138</v>
      </c>
      <c r="F126" s="66" t="s">
        <v>139</v>
      </c>
      <c r="G126" s="67" t="s">
        <v>132</v>
      </c>
      <c r="H126" s="67" t="s">
        <v>27</v>
      </c>
      <c r="I126" s="67" t="s">
        <v>45</v>
      </c>
      <c r="J126" s="68" t="s">
        <v>638</v>
      </c>
      <c r="K126" s="67" t="s">
        <v>53</v>
      </c>
      <c r="L126" s="67" t="s">
        <v>72</v>
      </c>
      <c r="M126" s="67" t="s">
        <v>87</v>
      </c>
      <c r="N126" s="67" t="s">
        <v>165</v>
      </c>
      <c r="O126" s="69">
        <v>44068</v>
      </c>
      <c r="P126" s="70">
        <f>IFERROR(VLOOKUP(J126,'Obs Tecnicas'!$D$2:$I$320,5,0),O126)</f>
        <v>44370</v>
      </c>
      <c r="Q126" s="69" t="str">
        <f t="shared" ca="1" si="10"/>
        <v>Calibrado</v>
      </c>
      <c r="R126" s="71">
        <f>IFERROR(VLOOKUP(J126,'Obs Tecnicas'!$D$2:$G$340,2,0),"")</f>
        <v>12672</v>
      </c>
      <c r="S126" s="67" t="str">
        <f>IFERROR(VLOOKUP(J126,'Obs Tecnicas'!$D$2:$G$344,3,0),"Hexis")</f>
        <v>ER ANALITICA</v>
      </c>
      <c r="T126" s="67" t="str">
        <f>IFERROR(VLOOKUP(J126,'Obs Tecnicas'!$D$2:$G$344,4,0),"")</f>
        <v>Carcaça do instrumento avariada na tecla "ler/confirma"</v>
      </c>
      <c r="U126" s="13" t="s">
        <v>550</v>
      </c>
      <c r="V126" s="13">
        <f t="shared" si="6"/>
        <v>6</v>
      </c>
      <c r="W126" s="72">
        <f t="shared" si="7"/>
        <v>420.44400000000002</v>
      </c>
      <c r="X126" s="72">
        <f t="shared" si="8"/>
        <v>385.26299999999998</v>
      </c>
      <c r="AE126" s="13" t="s">
        <v>806</v>
      </c>
    </row>
    <row r="127" spans="1:32">
      <c r="A127" s="13" t="s">
        <v>20</v>
      </c>
      <c r="B127" s="13" t="s">
        <v>162</v>
      </c>
      <c r="C127" s="66" t="s">
        <v>163</v>
      </c>
      <c r="D127" s="67" t="s">
        <v>137</v>
      </c>
      <c r="E127" s="13" t="s">
        <v>138</v>
      </c>
      <c r="F127" s="66" t="s">
        <v>139</v>
      </c>
      <c r="G127" s="67" t="s">
        <v>132</v>
      </c>
      <c r="H127" s="67" t="s">
        <v>27</v>
      </c>
      <c r="I127" s="67" t="s">
        <v>34</v>
      </c>
      <c r="J127" s="80" t="s">
        <v>640</v>
      </c>
      <c r="K127" s="67" t="s">
        <v>53</v>
      </c>
      <c r="L127" s="67" t="s">
        <v>170</v>
      </c>
      <c r="M127" s="67" t="s">
        <v>87</v>
      </c>
      <c r="N127" s="67" t="s">
        <v>165</v>
      </c>
      <c r="O127" s="69">
        <v>44068</v>
      </c>
      <c r="P127" s="70">
        <f>IFERROR(VLOOKUP(J127,'Obs Tecnicas'!$D$2:$I$320,5,0),O127)</f>
        <v>44370</v>
      </c>
      <c r="Q127" s="69" t="str">
        <f t="shared" ca="1" si="10"/>
        <v>Calibrado</v>
      </c>
      <c r="R127" s="71">
        <f>IFERROR(VLOOKUP(J127,'Obs Tecnicas'!$D$2:$G$340,2,0),"")</f>
        <v>12661</v>
      </c>
      <c r="S127" s="67" t="str">
        <f>IFERROR(VLOOKUP(J127,'Obs Tecnicas'!$D$2:$G$344,3,0),"Hexis")</f>
        <v>ER ANALITICA</v>
      </c>
      <c r="T127" s="67">
        <f>IFERROR(VLOOKUP(J127,'Obs Tecnicas'!$D$2:$G$344,4,0),"")</f>
        <v>0</v>
      </c>
      <c r="U127" s="13" t="s">
        <v>550</v>
      </c>
      <c r="V127" s="13">
        <f t="shared" si="6"/>
        <v>6</v>
      </c>
      <c r="W127" s="72">
        <f t="shared" si="7"/>
        <v>101.655</v>
      </c>
      <c r="X127" s="72">
        <f t="shared" si="8"/>
        <v>195.22799999999998</v>
      </c>
      <c r="AE127" s="13" t="s">
        <v>806</v>
      </c>
    </row>
    <row r="128" spans="1:32">
      <c r="A128" s="13" t="s">
        <v>20</v>
      </c>
      <c r="B128" s="13" t="s">
        <v>162</v>
      </c>
      <c r="C128" s="66" t="s">
        <v>163</v>
      </c>
      <c r="D128" s="67" t="s">
        <v>137</v>
      </c>
      <c r="E128" s="13" t="s">
        <v>138</v>
      </c>
      <c r="F128" s="66" t="s">
        <v>139</v>
      </c>
      <c r="G128" s="67" t="s">
        <v>132</v>
      </c>
      <c r="H128" s="67" t="s">
        <v>27</v>
      </c>
      <c r="I128" s="67" t="s">
        <v>62</v>
      </c>
      <c r="J128" s="80" t="s">
        <v>171</v>
      </c>
      <c r="K128" s="67" t="s">
        <v>53</v>
      </c>
      <c r="L128" s="67" t="s">
        <v>63</v>
      </c>
      <c r="M128" s="67" t="s">
        <v>87</v>
      </c>
      <c r="N128" s="67" t="s">
        <v>165</v>
      </c>
      <c r="O128" s="69">
        <v>44068</v>
      </c>
      <c r="P128" s="70">
        <f>IFERROR(VLOOKUP(J128,'Obs Tecnicas'!$D$2:$I$320,5,0),O128)</f>
        <v>44370</v>
      </c>
      <c r="Q128" s="69" t="str">
        <f t="shared" ca="1" si="10"/>
        <v>Calibrado</v>
      </c>
      <c r="R128" s="71">
        <f>IFERROR(VLOOKUP(J128,'Obs Tecnicas'!$D$2:$G$340,2,0),"")</f>
        <v>12663</v>
      </c>
      <c r="S128" s="67" t="str">
        <f>IFERROR(VLOOKUP(J128,'Obs Tecnicas'!$D$2:$G$344,3,0),"Hexis")</f>
        <v>ER ANALITICA</v>
      </c>
      <c r="T128" s="67">
        <f>IFERROR(VLOOKUP(J128,'Obs Tecnicas'!$D$2:$G$344,4,0),"")</f>
        <v>0</v>
      </c>
      <c r="U128" s="13" t="s">
        <v>550</v>
      </c>
      <c r="V128" s="13">
        <f t="shared" si="6"/>
        <v>6</v>
      </c>
      <c r="W128" s="72">
        <f t="shared" si="7"/>
        <v>198.60299999999998</v>
      </c>
      <c r="X128" s="72">
        <f t="shared" si="8"/>
        <v>217.29599999999999</v>
      </c>
      <c r="AE128" s="13" t="s">
        <v>806</v>
      </c>
    </row>
    <row r="129" spans="1:32" s="76" customFormat="1">
      <c r="A129" s="13" t="s">
        <v>20</v>
      </c>
      <c r="B129" s="13" t="s">
        <v>58</v>
      </c>
      <c r="C129" s="74" t="s">
        <v>59</v>
      </c>
      <c r="D129" s="67" t="s">
        <v>60</v>
      </c>
      <c r="E129" s="13" t="s">
        <v>24</v>
      </c>
      <c r="F129" s="66" t="s">
        <v>25</v>
      </c>
      <c r="G129" s="75" t="s">
        <v>44</v>
      </c>
      <c r="H129" s="67" t="s">
        <v>27</v>
      </c>
      <c r="I129" s="67" t="s">
        <v>45</v>
      </c>
      <c r="J129" s="68" t="s">
        <v>496</v>
      </c>
      <c r="K129" s="67" t="s">
        <v>53</v>
      </c>
      <c r="L129" s="67" t="s">
        <v>61</v>
      </c>
      <c r="M129" s="67" t="s">
        <v>49</v>
      </c>
      <c r="N129" s="67" t="s">
        <v>33</v>
      </c>
      <c r="O129" s="69">
        <v>43978</v>
      </c>
      <c r="P129" s="70">
        <f>IFERROR(VLOOKUP(J129,'Obs Tecnicas'!$D$2:$I$320,5,0),O129)</f>
        <v>44333</v>
      </c>
      <c r="Q129" s="69" t="str">
        <f t="shared" ca="1" si="10"/>
        <v>Calibrado</v>
      </c>
      <c r="R129" s="71">
        <f>IFERROR(VLOOKUP(J129,'Obs Tecnicas'!$D$2:$G$340,2,0),"")</f>
        <v>12331</v>
      </c>
      <c r="S129" s="67" t="str">
        <f>IFERROR(VLOOKUP(J129,'Obs Tecnicas'!$D$2:$G$344,3,0),"Hexis")</f>
        <v>ER ANALITICA</v>
      </c>
      <c r="T129" s="67" t="str">
        <f>IFERROR(VLOOKUP(J129,'Obs Tecnicas'!$D$2:$G$344,4,0),"")</f>
        <v>Bateria de lítio com baixa carga e lazer de cod. De barras inoperante.</v>
      </c>
      <c r="U129" s="13" t="s">
        <v>550</v>
      </c>
      <c r="V129" s="13">
        <f t="shared" si="6"/>
        <v>5</v>
      </c>
      <c r="W129" s="72">
        <f t="shared" si="7"/>
        <v>420.44400000000002</v>
      </c>
      <c r="X129" s="72">
        <f t="shared" si="8"/>
        <v>385.26299999999998</v>
      </c>
      <c r="AF129" s="104"/>
    </row>
    <row r="130" spans="1:32" s="76" customFormat="1">
      <c r="A130" s="13" t="s">
        <v>20</v>
      </c>
      <c r="B130" s="13" t="s">
        <v>58</v>
      </c>
      <c r="C130" s="74" t="s">
        <v>59</v>
      </c>
      <c r="D130" s="67" t="s">
        <v>60</v>
      </c>
      <c r="E130" s="13" t="s">
        <v>24</v>
      </c>
      <c r="F130" s="66" t="s">
        <v>25</v>
      </c>
      <c r="G130" s="67" t="s">
        <v>44</v>
      </c>
      <c r="H130" s="67" t="s">
        <v>27</v>
      </c>
      <c r="I130" s="67" t="s">
        <v>62</v>
      </c>
      <c r="J130" s="68" t="s">
        <v>503</v>
      </c>
      <c r="K130" s="67" t="s">
        <v>53</v>
      </c>
      <c r="L130" s="67" t="s">
        <v>63</v>
      </c>
      <c r="M130" s="67" t="s">
        <v>49</v>
      </c>
      <c r="N130" s="67" t="s">
        <v>33</v>
      </c>
      <c r="O130" s="69">
        <v>43978</v>
      </c>
      <c r="P130" s="70">
        <f>IFERROR(VLOOKUP(J130,'Obs Tecnicas'!$D$2:$I$320,5,0),O130)</f>
        <v>44333</v>
      </c>
      <c r="Q130" s="69" t="str">
        <f t="shared" ca="1" si="10"/>
        <v>Calibrado</v>
      </c>
      <c r="R130" s="71">
        <f>IFERROR(VLOOKUP(J130,'Obs Tecnicas'!$D$2:$G$340,2,0),"")</f>
        <v>12335</v>
      </c>
      <c r="S130" s="67" t="str">
        <f>IFERROR(VLOOKUP(J130,'Obs Tecnicas'!$D$2:$G$344,3,0),"Hexis")</f>
        <v>ER ANALITICA</v>
      </c>
      <c r="T130" s="67">
        <f>IFERROR(VLOOKUP(J130,'Obs Tecnicas'!$D$2:$G$344,4,0),"")</f>
        <v>0</v>
      </c>
      <c r="U130" s="13" t="s">
        <v>550</v>
      </c>
      <c r="V130" s="13">
        <f t="shared" ref="V130:V193" si="11">IF(P130&lt;&gt;"",MONTH(P130),"")</f>
        <v>5</v>
      </c>
      <c r="W130" s="72">
        <f t="shared" ref="W130:W193" si="12">VLOOKUP(I130,$AB$2:$AD$10,2,0)</f>
        <v>198.60299999999998</v>
      </c>
      <c r="X130" s="72">
        <f t="shared" ref="X130:X193" si="13">VLOOKUP(I130,$AB$2:$AD$10,3,0)</f>
        <v>217.29599999999999</v>
      </c>
      <c r="AF130" s="104"/>
    </row>
    <row r="131" spans="1:32" s="76" customFormat="1">
      <c r="A131" s="13" t="s">
        <v>20</v>
      </c>
      <c r="B131" s="13" t="s">
        <v>58</v>
      </c>
      <c r="C131" s="74" t="s">
        <v>59</v>
      </c>
      <c r="D131" s="67" t="s">
        <v>60</v>
      </c>
      <c r="E131" s="13" t="s">
        <v>24</v>
      </c>
      <c r="F131" s="66" t="s">
        <v>25</v>
      </c>
      <c r="G131" s="67" t="s">
        <v>44</v>
      </c>
      <c r="H131" s="67" t="s">
        <v>27</v>
      </c>
      <c r="I131" s="67" t="s">
        <v>55</v>
      </c>
      <c r="J131" s="68" t="s">
        <v>64</v>
      </c>
      <c r="K131" s="67" t="s">
        <v>53</v>
      </c>
      <c r="L131" s="67" t="s">
        <v>57</v>
      </c>
      <c r="M131" s="67" t="s">
        <v>49</v>
      </c>
      <c r="N131" s="67" t="s">
        <v>33</v>
      </c>
      <c r="O131" s="69">
        <v>43978</v>
      </c>
      <c r="P131" s="70">
        <f>IFERROR(VLOOKUP(J131,'Obs Tecnicas'!$D$2:$I$320,5,0),O131)</f>
        <v>44333</v>
      </c>
      <c r="Q131" s="69" t="str">
        <f t="shared" ca="1" si="10"/>
        <v>Calibrado</v>
      </c>
      <c r="R131" s="71">
        <f>IFERROR(VLOOKUP(J131,'Obs Tecnicas'!$D$2:$G$340,2,0),"")</f>
        <v>12319</v>
      </c>
      <c r="S131" s="67" t="str">
        <f>IFERROR(VLOOKUP(J131,'Obs Tecnicas'!$D$2:$G$344,3,0),"Hexis")</f>
        <v>ER ANALITICA</v>
      </c>
      <c r="T131" s="67" t="str">
        <f>IFERROR(VLOOKUP(J131,'Obs Tecnicas'!$D$2:$G$344,4,0),"")</f>
        <v>Lingueta de fixação da cubeta (tampa superior do conj. Optico) danificada.</v>
      </c>
      <c r="U131" s="13" t="s">
        <v>550</v>
      </c>
      <c r="V131" s="13">
        <f t="shared" si="11"/>
        <v>5</v>
      </c>
      <c r="W131" s="72" t="e">
        <f t="shared" si="12"/>
        <v>#N/A</v>
      </c>
      <c r="X131" s="72" t="e">
        <f t="shared" si="13"/>
        <v>#N/A</v>
      </c>
      <c r="AF131" s="104"/>
    </row>
    <row r="132" spans="1:32">
      <c r="A132" s="13" t="s">
        <v>20</v>
      </c>
      <c r="B132" s="13" t="s">
        <v>58</v>
      </c>
      <c r="C132" s="66" t="s">
        <v>59</v>
      </c>
      <c r="D132" s="67" t="s">
        <v>60</v>
      </c>
      <c r="E132" s="13" t="s">
        <v>24</v>
      </c>
      <c r="F132" s="66" t="s">
        <v>25</v>
      </c>
      <c r="G132" s="13" t="s">
        <v>789</v>
      </c>
      <c r="H132" s="67" t="s">
        <v>27</v>
      </c>
      <c r="I132" s="13" t="s">
        <v>587</v>
      </c>
      <c r="J132" s="68" t="s">
        <v>488</v>
      </c>
      <c r="K132" s="13" t="s">
        <v>487</v>
      </c>
      <c r="L132" s="13"/>
      <c r="M132" s="67" t="s">
        <v>49</v>
      </c>
      <c r="N132" s="67" t="s">
        <v>33</v>
      </c>
      <c r="O132" s="69"/>
      <c r="P132" s="70">
        <f>IFERROR(VLOOKUP(J132,'Obs Tecnicas'!$D$2:$I$320,5,0),O132)</f>
        <v>44333</v>
      </c>
      <c r="Q132" s="69" t="str">
        <f t="shared" ca="1" si="10"/>
        <v>Calibrado</v>
      </c>
      <c r="R132" s="71">
        <f>IFERROR(VLOOKUP(J132,'Obs Tecnicas'!$D$2:$G$340,2,0),"")</f>
        <v>12343</v>
      </c>
      <c r="S132" s="67" t="str">
        <f>IFERROR(VLOOKUP(J132,'Obs Tecnicas'!$D$2:$G$344,3,0),"Hexis")</f>
        <v>ER ANALITICA</v>
      </c>
      <c r="T132" s="67">
        <f>IFERROR(VLOOKUP(J132,'Obs Tecnicas'!$D$2:$G$344,4,0),"")</f>
        <v>0</v>
      </c>
      <c r="U132" s="13" t="s">
        <v>774</v>
      </c>
      <c r="V132" s="13">
        <f t="shared" si="11"/>
        <v>5</v>
      </c>
      <c r="W132" s="72">
        <f t="shared" si="12"/>
        <v>85.34</v>
      </c>
      <c r="X132" s="72">
        <f t="shared" si="13"/>
        <v>199.65600000000001</v>
      </c>
    </row>
    <row r="133" spans="1:32">
      <c r="A133" s="13" t="s">
        <v>20</v>
      </c>
      <c r="B133" s="13" t="s">
        <v>58</v>
      </c>
      <c r="C133" s="66" t="s">
        <v>59</v>
      </c>
      <c r="D133" s="67" t="s">
        <v>60</v>
      </c>
      <c r="E133" s="13" t="s">
        <v>24</v>
      </c>
      <c r="F133" s="66" t="s">
        <v>25</v>
      </c>
      <c r="G133" s="13" t="s">
        <v>789</v>
      </c>
      <c r="H133" s="13" t="s">
        <v>27</v>
      </c>
      <c r="I133" s="67" t="s">
        <v>28</v>
      </c>
      <c r="J133" s="68" t="s">
        <v>537</v>
      </c>
      <c r="K133" s="13" t="s">
        <v>179</v>
      </c>
      <c r="L133" s="13"/>
      <c r="M133" s="67" t="s">
        <v>49</v>
      </c>
      <c r="N133" s="13"/>
      <c r="O133" s="69"/>
      <c r="P133" s="70">
        <f>IFERROR(VLOOKUP(J133,'Obs Tecnicas'!$D$2:$I$320,5,0),O133)</f>
        <v>44333</v>
      </c>
      <c r="Q133" s="69" t="str">
        <f t="shared" ca="1" si="10"/>
        <v>Calibrado</v>
      </c>
      <c r="R133" s="71">
        <f>IFERROR(VLOOKUP(J133,'Obs Tecnicas'!$D$2:$G$340,2,0),"")</f>
        <v>12356</v>
      </c>
      <c r="S133" s="67" t="str">
        <f>IFERROR(VLOOKUP(J133,'Obs Tecnicas'!$D$2:$G$344,3,0),"Hexis")</f>
        <v>ER ANALITICA</v>
      </c>
      <c r="T133" s="67">
        <f>IFERROR(VLOOKUP(J133,'Obs Tecnicas'!$D$2:$G$344,4,0),"")</f>
        <v>0</v>
      </c>
      <c r="U133" s="13" t="s">
        <v>774</v>
      </c>
      <c r="V133" s="13">
        <f t="shared" si="11"/>
        <v>5</v>
      </c>
      <c r="W133" s="72">
        <f t="shared" si="12"/>
        <v>165.75299999999999</v>
      </c>
      <c r="X133" s="72">
        <f t="shared" si="13"/>
        <v>245.34000000000003</v>
      </c>
    </row>
    <row r="134" spans="1:32">
      <c r="A134" s="13" t="s">
        <v>20</v>
      </c>
      <c r="B134" s="13" t="s">
        <v>58</v>
      </c>
      <c r="C134" s="66" t="s">
        <v>59</v>
      </c>
      <c r="D134" s="67" t="s">
        <v>60</v>
      </c>
      <c r="E134" s="13" t="s">
        <v>24</v>
      </c>
      <c r="F134" s="66" t="s">
        <v>25</v>
      </c>
      <c r="G134" s="13" t="s">
        <v>794</v>
      </c>
      <c r="H134" s="13" t="s">
        <v>27</v>
      </c>
      <c r="I134" s="67" t="s">
        <v>28</v>
      </c>
      <c r="J134" s="68" t="s">
        <v>541</v>
      </c>
      <c r="K134" s="13" t="s">
        <v>454</v>
      </c>
      <c r="L134" s="13"/>
      <c r="M134" s="67" t="s">
        <v>49</v>
      </c>
      <c r="N134" s="13"/>
      <c r="O134" s="69"/>
      <c r="P134" s="70">
        <f>IFERROR(VLOOKUP(J134,'Obs Tecnicas'!$D$2:$I$320,5,0),O134)</f>
        <v>44333</v>
      </c>
      <c r="Q134" s="69" t="str">
        <f t="shared" ref="Q134:Q165" ca="1" si="14">IF(P134&lt;&gt;"",IF(P134+365&gt;TODAY(),"Calibrado","Vencido"),"")</f>
        <v>Calibrado</v>
      </c>
      <c r="R134" s="71">
        <f>IFERROR(VLOOKUP(J134,'Obs Tecnicas'!$D$2:$G$340,2,0),"")</f>
        <v>12354</v>
      </c>
      <c r="S134" s="67" t="str">
        <f>IFERROR(VLOOKUP(J134,'Obs Tecnicas'!$D$2:$G$344,3,0),"Hexis")</f>
        <v>ER ANALITICA</v>
      </c>
      <c r="T134" s="67">
        <f>IFERROR(VLOOKUP(J134,'Obs Tecnicas'!$D$2:$G$344,4,0),"")</f>
        <v>0</v>
      </c>
      <c r="U134" s="13" t="s">
        <v>774</v>
      </c>
      <c r="V134" s="13">
        <f t="shared" si="11"/>
        <v>5</v>
      </c>
      <c r="W134" s="72">
        <f t="shared" si="12"/>
        <v>165.75299999999999</v>
      </c>
      <c r="X134" s="72">
        <f t="shared" si="13"/>
        <v>245.34000000000003</v>
      </c>
    </row>
    <row r="135" spans="1:32">
      <c r="A135" s="13" t="s">
        <v>20</v>
      </c>
      <c r="B135" s="13" t="s">
        <v>58</v>
      </c>
      <c r="C135" s="66" t="s">
        <v>59</v>
      </c>
      <c r="D135" s="67" t="s">
        <v>60</v>
      </c>
      <c r="E135" s="13" t="s">
        <v>24</v>
      </c>
      <c r="F135" s="66" t="s">
        <v>25</v>
      </c>
      <c r="G135" s="13" t="s">
        <v>794</v>
      </c>
      <c r="H135" s="13" t="s">
        <v>27</v>
      </c>
      <c r="I135" s="67" t="s">
        <v>28</v>
      </c>
      <c r="J135" s="68" t="s">
        <v>543</v>
      </c>
      <c r="K135" s="13" t="s">
        <v>542</v>
      </c>
      <c r="L135" s="13"/>
      <c r="M135" s="94" t="s">
        <v>49</v>
      </c>
      <c r="N135" s="13"/>
      <c r="O135" s="69"/>
      <c r="P135" s="70">
        <f>IFERROR(VLOOKUP(J135,'Obs Tecnicas'!$D$2:$I$320,5,0),O135)</f>
        <v>44333</v>
      </c>
      <c r="Q135" s="69" t="str">
        <f t="shared" ca="1" si="14"/>
        <v>Calibrado</v>
      </c>
      <c r="R135" s="71">
        <f>IFERROR(VLOOKUP(J135,'Obs Tecnicas'!$D$2:$G$340,2,0),"")</f>
        <v>12353</v>
      </c>
      <c r="S135" s="67" t="str">
        <f>IFERROR(VLOOKUP(J135,'Obs Tecnicas'!$D$2:$G$344,3,0),"Hexis")</f>
        <v>ER ANALITICA</v>
      </c>
      <c r="T135" s="67">
        <f>IFERROR(VLOOKUP(J135,'Obs Tecnicas'!$D$2:$G$344,4,0),"")</f>
        <v>0</v>
      </c>
      <c r="U135" s="13" t="s">
        <v>774</v>
      </c>
      <c r="V135" s="13">
        <f t="shared" si="11"/>
        <v>5</v>
      </c>
      <c r="W135" s="72">
        <f t="shared" si="12"/>
        <v>165.75299999999999</v>
      </c>
      <c r="X135" s="72">
        <f t="shared" si="13"/>
        <v>245.34000000000003</v>
      </c>
    </row>
    <row r="136" spans="1:32">
      <c r="A136" s="13" t="s">
        <v>20</v>
      </c>
      <c r="B136" s="13" t="s">
        <v>58</v>
      </c>
      <c r="C136" s="66" t="s">
        <v>59</v>
      </c>
      <c r="D136" s="67" t="s">
        <v>60</v>
      </c>
      <c r="E136" s="13" t="s">
        <v>24</v>
      </c>
      <c r="F136" s="66" t="s">
        <v>25</v>
      </c>
      <c r="G136" s="13" t="s">
        <v>789</v>
      </c>
      <c r="H136" s="67" t="s">
        <v>27</v>
      </c>
      <c r="I136" s="67" t="s">
        <v>34</v>
      </c>
      <c r="J136" s="68" t="s">
        <v>588</v>
      </c>
      <c r="K136" s="90" t="s">
        <v>596</v>
      </c>
      <c r="L136" s="13"/>
      <c r="M136" s="94" t="s">
        <v>49</v>
      </c>
      <c r="N136" s="67" t="s">
        <v>33</v>
      </c>
      <c r="O136" s="69"/>
      <c r="P136" s="70">
        <f>IFERROR(VLOOKUP(J136,'Obs Tecnicas'!$D$2:$I$320,5,0),O136)</f>
        <v>44333</v>
      </c>
      <c r="Q136" s="69" t="str">
        <f t="shared" ca="1" si="14"/>
        <v>Calibrado</v>
      </c>
      <c r="R136" s="71">
        <f>IFERROR(VLOOKUP(J136,'Obs Tecnicas'!$D$2:$G$340,2,0),"")</f>
        <v>12347</v>
      </c>
      <c r="S136" s="67" t="str">
        <f>IFERROR(VLOOKUP(J136,'Obs Tecnicas'!$D$2:$G$344,3,0),"Hexis")</f>
        <v>ER ANALITICA</v>
      </c>
      <c r="T136" s="67">
        <f>IFERROR(VLOOKUP(J136,'Obs Tecnicas'!$D$2:$G$344,4,0),"")</f>
        <v>0</v>
      </c>
      <c r="U136" s="13" t="s">
        <v>774</v>
      </c>
      <c r="V136" s="13">
        <f t="shared" si="11"/>
        <v>5</v>
      </c>
      <c r="W136" s="72">
        <f t="shared" si="12"/>
        <v>101.655</v>
      </c>
      <c r="X136" s="72">
        <f t="shared" si="13"/>
        <v>195.22799999999998</v>
      </c>
    </row>
    <row r="137" spans="1:32">
      <c r="A137" s="13" t="s">
        <v>20</v>
      </c>
      <c r="B137" s="13" t="s">
        <v>58</v>
      </c>
      <c r="C137" s="66" t="s">
        <v>59</v>
      </c>
      <c r="D137" s="67" t="s">
        <v>60</v>
      </c>
      <c r="E137" s="13" t="s">
        <v>24</v>
      </c>
      <c r="F137" s="66" t="s">
        <v>25</v>
      </c>
      <c r="G137" s="13" t="s">
        <v>789</v>
      </c>
      <c r="H137" s="67" t="s">
        <v>27</v>
      </c>
      <c r="I137" s="13" t="s">
        <v>587</v>
      </c>
      <c r="J137" s="68" t="s">
        <v>590</v>
      </c>
      <c r="K137" s="90" t="s">
        <v>595</v>
      </c>
      <c r="L137" s="13"/>
      <c r="M137" s="94" t="s">
        <v>49</v>
      </c>
      <c r="N137" s="67" t="s">
        <v>33</v>
      </c>
      <c r="O137" s="69"/>
      <c r="P137" s="70">
        <f>IFERROR(VLOOKUP(J137,'Obs Tecnicas'!$D$2:$I$320,5,0),O137)</f>
        <v>44333</v>
      </c>
      <c r="Q137" s="69" t="str">
        <f t="shared" ca="1" si="14"/>
        <v>Calibrado</v>
      </c>
      <c r="R137" s="71">
        <f>IFERROR(VLOOKUP(J137,'Obs Tecnicas'!$D$2:$G$340,2,0),"")</f>
        <v>12376</v>
      </c>
      <c r="S137" s="67" t="str">
        <f>IFERROR(VLOOKUP(J137,'Obs Tecnicas'!$D$2:$G$344,3,0),"Hexis")</f>
        <v>ER ANALITICA</v>
      </c>
      <c r="T137" s="67">
        <f>IFERROR(VLOOKUP(J137,'Obs Tecnicas'!$D$2:$G$344,4,0),"")</f>
        <v>0</v>
      </c>
      <c r="U137" s="13" t="s">
        <v>774</v>
      </c>
      <c r="V137" s="13">
        <f t="shared" si="11"/>
        <v>5</v>
      </c>
      <c r="W137" s="72">
        <f t="shared" si="12"/>
        <v>85.34</v>
      </c>
      <c r="X137" s="72">
        <f t="shared" si="13"/>
        <v>199.65600000000001</v>
      </c>
    </row>
    <row r="138" spans="1:32">
      <c r="A138" s="13" t="s">
        <v>20</v>
      </c>
      <c r="B138" s="13" t="s">
        <v>58</v>
      </c>
      <c r="C138" s="66" t="s">
        <v>59</v>
      </c>
      <c r="D138" s="67" t="s">
        <v>60</v>
      </c>
      <c r="E138" s="13" t="s">
        <v>24</v>
      </c>
      <c r="F138" s="66" t="s">
        <v>25</v>
      </c>
      <c r="G138" s="13" t="s">
        <v>789</v>
      </c>
      <c r="H138" s="67" t="s">
        <v>27</v>
      </c>
      <c r="I138" s="13" t="s">
        <v>587</v>
      </c>
      <c r="J138" s="68" t="s">
        <v>591</v>
      </c>
      <c r="K138" s="90" t="s">
        <v>595</v>
      </c>
      <c r="L138" s="13"/>
      <c r="M138" s="94" t="s">
        <v>49</v>
      </c>
      <c r="N138" s="67" t="s">
        <v>33</v>
      </c>
      <c r="O138" s="69"/>
      <c r="P138" s="70">
        <f>IFERROR(VLOOKUP(J138,'Obs Tecnicas'!$D$2:$I$320,5,0),O138)</f>
        <v>44333</v>
      </c>
      <c r="Q138" s="69" t="str">
        <f t="shared" ca="1" si="14"/>
        <v>Calibrado</v>
      </c>
      <c r="R138" s="71">
        <f>IFERROR(VLOOKUP(J138,'Obs Tecnicas'!$D$2:$G$340,2,0),"")</f>
        <v>12377</v>
      </c>
      <c r="S138" s="67" t="str">
        <f>IFERROR(VLOOKUP(J138,'Obs Tecnicas'!$D$2:$G$344,3,0),"Hexis")</f>
        <v>ER ANALITICA</v>
      </c>
      <c r="T138" s="67">
        <f>IFERROR(VLOOKUP(J138,'Obs Tecnicas'!$D$2:$G$344,4,0),"")</f>
        <v>0</v>
      </c>
      <c r="U138" s="13" t="s">
        <v>774</v>
      </c>
      <c r="V138" s="13">
        <f t="shared" si="11"/>
        <v>5</v>
      </c>
      <c r="W138" s="72">
        <f t="shared" si="12"/>
        <v>85.34</v>
      </c>
      <c r="X138" s="72">
        <f t="shared" si="13"/>
        <v>199.65600000000001</v>
      </c>
    </row>
    <row r="139" spans="1:32">
      <c r="A139" s="13" t="s">
        <v>20</v>
      </c>
      <c r="B139" s="13" t="s">
        <v>58</v>
      </c>
      <c r="C139" s="66" t="s">
        <v>59</v>
      </c>
      <c r="D139" s="67" t="s">
        <v>60</v>
      </c>
      <c r="E139" s="13" t="s">
        <v>24</v>
      </c>
      <c r="F139" s="66" t="s">
        <v>25</v>
      </c>
      <c r="G139" s="13" t="s">
        <v>789</v>
      </c>
      <c r="H139" s="67" t="s">
        <v>27</v>
      </c>
      <c r="I139" s="13" t="s">
        <v>587</v>
      </c>
      <c r="J139" s="68" t="s">
        <v>592</v>
      </c>
      <c r="K139" s="90" t="s">
        <v>10</v>
      </c>
      <c r="L139" s="13"/>
      <c r="M139" s="94" t="s">
        <v>49</v>
      </c>
      <c r="N139" s="67" t="s">
        <v>33</v>
      </c>
      <c r="O139" s="69"/>
      <c r="P139" s="70">
        <f>IFERROR(VLOOKUP(J139,'Obs Tecnicas'!$D$2:$I$320,5,0),O139)</f>
        <v>44333</v>
      </c>
      <c r="Q139" s="69" t="str">
        <f t="shared" ca="1" si="14"/>
        <v>Calibrado</v>
      </c>
      <c r="R139" s="71">
        <f>IFERROR(VLOOKUP(J139,'Obs Tecnicas'!$D$2:$G$340,2,0),"")</f>
        <v>12378</v>
      </c>
      <c r="S139" s="67" t="str">
        <f>IFERROR(VLOOKUP(J139,'Obs Tecnicas'!$D$2:$G$344,3,0),"Hexis")</f>
        <v>ER ANALITICA</v>
      </c>
      <c r="T139" s="67">
        <f>IFERROR(VLOOKUP(J139,'Obs Tecnicas'!$D$2:$G$344,4,0),"")</f>
        <v>0</v>
      </c>
      <c r="U139" s="13" t="s">
        <v>774</v>
      </c>
      <c r="V139" s="13">
        <f t="shared" si="11"/>
        <v>5</v>
      </c>
      <c r="W139" s="72">
        <f t="shared" si="12"/>
        <v>85.34</v>
      </c>
      <c r="X139" s="72">
        <f t="shared" si="13"/>
        <v>199.65600000000001</v>
      </c>
    </row>
    <row r="140" spans="1:32">
      <c r="A140" s="13" t="s">
        <v>20</v>
      </c>
      <c r="B140" s="13" t="s">
        <v>58</v>
      </c>
      <c r="C140" s="66" t="s">
        <v>59</v>
      </c>
      <c r="D140" s="67" t="s">
        <v>60</v>
      </c>
      <c r="E140" s="13" t="s">
        <v>24</v>
      </c>
      <c r="F140" s="66" t="s">
        <v>25</v>
      </c>
      <c r="G140" s="13" t="s">
        <v>789</v>
      </c>
      <c r="H140" s="67" t="s">
        <v>27</v>
      </c>
      <c r="I140" s="13" t="s">
        <v>587</v>
      </c>
      <c r="J140" s="68" t="s">
        <v>593</v>
      </c>
      <c r="K140" s="90" t="s">
        <v>10</v>
      </c>
      <c r="L140" s="13"/>
      <c r="M140" s="94" t="s">
        <v>49</v>
      </c>
      <c r="N140" s="67" t="s">
        <v>33</v>
      </c>
      <c r="O140" s="69"/>
      <c r="P140" s="70">
        <f>IFERROR(VLOOKUP(J140,'Obs Tecnicas'!$D$2:$I$320,5,0),O140)</f>
        <v>44333</v>
      </c>
      <c r="Q140" s="69" t="str">
        <f t="shared" ca="1" si="14"/>
        <v>Calibrado</v>
      </c>
      <c r="R140" s="71">
        <f>IFERROR(VLOOKUP(J140,'Obs Tecnicas'!$D$2:$G$340,2,0),"")</f>
        <v>12379</v>
      </c>
      <c r="S140" s="67" t="str">
        <f>IFERROR(VLOOKUP(J140,'Obs Tecnicas'!$D$2:$G$344,3,0),"Hexis")</f>
        <v>ER ANALITICA</v>
      </c>
      <c r="T140" s="67">
        <f>IFERROR(VLOOKUP(J140,'Obs Tecnicas'!$D$2:$G$344,4,0),"")</f>
        <v>0</v>
      </c>
      <c r="U140" s="13" t="s">
        <v>774</v>
      </c>
      <c r="V140" s="13">
        <f t="shared" si="11"/>
        <v>5</v>
      </c>
      <c r="W140" s="72">
        <f t="shared" si="12"/>
        <v>85.34</v>
      </c>
      <c r="X140" s="72">
        <f t="shared" si="13"/>
        <v>199.65600000000001</v>
      </c>
    </row>
    <row r="141" spans="1:32">
      <c r="A141" s="13" t="s">
        <v>20</v>
      </c>
      <c r="B141" s="13" t="s">
        <v>58</v>
      </c>
      <c r="C141" s="66" t="s">
        <v>59</v>
      </c>
      <c r="D141" s="67" t="s">
        <v>60</v>
      </c>
      <c r="E141" s="13" t="s">
        <v>24</v>
      </c>
      <c r="F141" s="66" t="s">
        <v>25</v>
      </c>
      <c r="G141" s="13" t="s">
        <v>789</v>
      </c>
      <c r="H141" s="67" t="s">
        <v>27</v>
      </c>
      <c r="I141" s="13" t="s">
        <v>587</v>
      </c>
      <c r="J141" s="68" t="s">
        <v>775</v>
      </c>
      <c r="K141" s="90" t="s">
        <v>487</v>
      </c>
      <c r="L141" s="13"/>
      <c r="M141" s="94" t="s">
        <v>49</v>
      </c>
      <c r="N141" s="67" t="s">
        <v>33</v>
      </c>
      <c r="O141" s="69"/>
      <c r="P141" s="70">
        <f>IFERROR(VLOOKUP(J141,'Obs Tecnicas'!$D$2:$I$320,5,0),O141)</f>
        <v>44333</v>
      </c>
      <c r="Q141" s="69" t="str">
        <f t="shared" ca="1" si="14"/>
        <v>Calibrado</v>
      </c>
      <c r="R141" s="71">
        <f>IFERROR(VLOOKUP(J141,'Obs Tecnicas'!$D$2:$G$340,2,0),"")</f>
        <v>12381</v>
      </c>
      <c r="S141" s="67" t="str">
        <f>IFERROR(VLOOKUP(J141,'Obs Tecnicas'!$D$2:$G$344,3,0),"Hexis")</f>
        <v>ER ANALITICA</v>
      </c>
      <c r="T141" s="67">
        <f>IFERROR(VLOOKUP(J141,'Obs Tecnicas'!$D$2:$G$344,4,0),"")</f>
        <v>0</v>
      </c>
      <c r="U141" s="13" t="s">
        <v>774</v>
      </c>
      <c r="V141" s="13">
        <f t="shared" si="11"/>
        <v>5</v>
      </c>
      <c r="W141" s="72">
        <f t="shared" si="12"/>
        <v>85.34</v>
      </c>
      <c r="X141" s="72">
        <f t="shared" si="13"/>
        <v>199.65600000000001</v>
      </c>
    </row>
    <row r="142" spans="1:32">
      <c r="A142" s="13" t="s">
        <v>20</v>
      </c>
      <c r="B142" s="13" t="s">
        <v>229</v>
      </c>
      <c r="C142" s="66" t="s">
        <v>230</v>
      </c>
      <c r="D142" s="67" t="s">
        <v>231</v>
      </c>
      <c r="E142" s="13" t="s">
        <v>175</v>
      </c>
      <c r="F142" s="66" t="s">
        <v>176</v>
      </c>
      <c r="G142" s="67" t="s">
        <v>177</v>
      </c>
      <c r="H142" s="67" t="s">
        <v>191</v>
      </c>
      <c r="I142" s="67" t="s">
        <v>79</v>
      </c>
      <c r="J142" s="68" t="s">
        <v>232</v>
      </c>
      <c r="K142" s="67" t="s">
        <v>53</v>
      </c>
      <c r="L142" s="67" t="s">
        <v>233</v>
      </c>
      <c r="M142" s="67" t="s">
        <v>234</v>
      </c>
      <c r="N142" s="67" t="s">
        <v>182</v>
      </c>
      <c r="O142" s="69">
        <v>44033</v>
      </c>
      <c r="P142" s="70">
        <f>IFERROR(VLOOKUP(J142,'Obs Tecnicas'!$D$2:$I$320,5,0),O142)</f>
        <v>44033</v>
      </c>
      <c r="Q142" s="69" t="str">
        <f t="shared" ca="1" si="14"/>
        <v>Vencido</v>
      </c>
      <c r="R142" s="71" t="str">
        <f>IFERROR(VLOOKUP(J142,'Obs Tecnicas'!$D$2:$G$340,2,0),"")</f>
        <v/>
      </c>
      <c r="S142" s="67" t="str">
        <f>IFERROR(VLOOKUP(J142,'Obs Tecnicas'!$D$2:$G$344,3,0),"Hexis")</f>
        <v>Hexis</v>
      </c>
      <c r="T142" s="67" t="str">
        <f>IFERROR(VLOOKUP(J142,'Obs Tecnicas'!$D$2:$G$344,4,0),"")</f>
        <v/>
      </c>
      <c r="U142" s="13" t="s">
        <v>464</v>
      </c>
      <c r="V142" s="13">
        <f t="shared" si="11"/>
        <v>7</v>
      </c>
      <c r="W142" s="72">
        <f t="shared" si="12"/>
        <v>101.655</v>
      </c>
      <c r="X142" s="72">
        <f t="shared" si="13"/>
        <v>390.45599999999996</v>
      </c>
      <c r="AE142" s="13" t="s">
        <v>807</v>
      </c>
    </row>
    <row r="143" spans="1:32" s="76" customFormat="1">
      <c r="A143" s="13" t="s">
        <v>20</v>
      </c>
      <c r="B143" s="13" t="s">
        <v>229</v>
      </c>
      <c r="C143" s="66" t="s">
        <v>230</v>
      </c>
      <c r="D143" s="67" t="s">
        <v>231</v>
      </c>
      <c r="E143" s="13" t="s">
        <v>175</v>
      </c>
      <c r="F143" s="66" t="s">
        <v>176</v>
      </c>
      <c r="G143" s="67" t="s">
        <v>177</v>
      </c>
      <c r="H143" s="67" t="s">
        <v>191</v>
      </c>
      <c r="I143" s="67" t="s">
        <v>55</v>
      </c>
      <c r="J143" s="68" t="s">
        <v>235</v>
      </c>
      <c r="K143" s="67" t="s">
        <v>53</v>
      </c>
      <c r="L143" s="67" t="s">
        <v>57</v>
      </c>
      <c r="M143" s="67" t="s">
        <v>234</v>
      </c>
      <c r="N143" s="67" t="s">
        <v>182</v>
      </c>
      <c r="O143" s="69">
        <v>44033</v>
      </c>
      <c r="P143" s="70">
        <f>IFERROR(VLOOKUP(J143,'Obs Tecnicas'!$D$2:$I$320,5,0),O143)</f>
        <v>44033</v>
      </c>
      <c r="Q143" s="69" t="str">
        <f t="shared" ca="1" si="14"/>
        <v>Vencido</v>
      </c>
      <c r="R143" s="71" t="str">
        <f>IFERROR(VLOOKUP(J143,'Obs Tecnicas'!$D$2:$G$340,2,0),"")</f>
        <v/>
      </c>
      <c r="S143" s="67" t="str">
        <f>IFERROR(VLOOKUP(J143,'Obs Tecnicas'!$D$2:$G$344,3,0),"Hexis")</f>
        <v>Hexis</v>
      </c>
      <c r="T143" s="67" t="str">
        <f>IFERROR(VLOOKUP(J143,'Obs Tecnicas'!$D$2:$G$344,4,0),"")</f>
        <v/>
      </c>
      <c r="U143" s="13" t="s">
        <v>464</v>
      </c>
      <c r="V143" s="13">
        <f t="shared" si="11"/>
        <v>7</v>
      </c>
      <c r="W143" s="72" t="e">
        <f t="shared" si="12"/>
        <v>#N/A</v>
      </c>
      <c r="X143" s="72" t="e">
        <f t="shared" si="13"/>
        <v>#N/A</v>
      </c>
      <c r="AE143" s="13" t="s">
        <v>807</v>
      </c>
      <c r="AF143" s="104"/>
    </row>
    <row r="144" spans="1:32">
      <c r="A144" s="13" t="s">
        <v>20</v>
      </c>
      <c r="B144" s="13" t="s">
        <v>229</v>
      </c>
      <c r="C144" s="66" t="s">
        <v>230</v>
      </c>
      <c r="D144" s="67" t="s">
        <v>231</v>
      </c>
      <c r="E144" s="13" t="s">
        <v>175</v>
      </c>
      <c r="F144" s="66" t="s">
        <v>176</v>
      </c>
      <c r="G144" s="67" t="s">
        <v>177</v>
      </c>
      <c r="H144" s="67" t="s">
        <v>191</v>
      </c>
      <c r="I144" s="67" t="s">
        <v>52</v>
      </c>
      <c r="J144" s="68" t="s">
        <v>667</v>
      </c>
      <c r="K144" s="67" t="s">
        <v>53</v>
      </c>
      <c r="L144" s="67" t="s">
        <v>54</v>
      </c>
      <c r="M144" s="67" t="s">
        <v>234</v>
      </c>
      <c r="N144" s="67" t="s">
        <v>182</v>
      </c>
      <c r="O144" s="69">
        <v>44035</v>
      </c>
      <c r="P144" s="70">
        <f>IFERROR(VLOOKUP(J144,'Obs Tecnicas'!$D$2:$I$320,5,0),O144)</f>
        <v>44035</v>
      </c>
      <c r="Q144" s="69" t="str">
        <f t="shared" ca="1" si="14"/>
        <v>Vencido</v>
      </c>
      <c r="R144" s="71" t="str">
        <f>IFERROR(VLOOKUP(J144,'Obs Tecnicas'!$D$2:$G$340,2,0),"")</f>
        <v/>
      </c>
      <c r="S144" s="67" t="str">
        <f>IFERROR(VLOOKUP(J144,'Obs Tecnicas'!$D$2:$G$344,3,0),"Hexis")</f>
        <v>Hexis</v>
      </c>
      <c r="T144" s="67" t="str">
        <f>IFERROR(VLOOKUP(J144,'Obs Tecnicas'!$D$2:$G$344,4,0),"")</f>
        <v/>
      </c>
      <c r="U144" s="13" t="s">
        <v>464</v>
      </c>
      <c r="V144" s="13">
        <f t="shared" si="11"/>
        <v>7</v>
      </c>
      <c r="W144" s="72">
        <f t="shared" si="12"/>
        <v>178.434</v>
      </c>
      <c r="X144" s="72">
        <f t="shared" si="13"/>
        <v>318.94200000000001</v>
      </c>
      <c r="AE144" s="13" t="s">
        <v>807</v>
      </c>
    </row>
    <row r="145" spans="1:31">
      <c r="A145" s="13" t="s">
        <v>20</v>
      </c>
      <c r="B145" s="13" t="s">
        <v>229</v>
      </c>
      <c r="C145" s="66" t="s">
        <v>230</v>
      </c>
      <c r="D145" s="67" t="s">
        <v>231</v>
      </c>
      <c r="E145" s="13" t="s">
        <v>175</v>
      </c>
      <c r="F145" s="66" t="s">
        <v>176</v>
      </c>
      <c r="G145" s="67" t="s">
        <v>177</v>
      </c>
      <c r="H145" s="67" t="s">
        <v>191</v>
      </c>
      <c r="I145" s="67" t="s">
        <v>76</v>
      </c>
      <c r="J145" s="68" t="s">
        <v>668</v>
      </c>
      <c r="K145" s="67" t="s">
        <v>77</v>
      </c>
      <c r="L145" s="67" t="s">
        <v>78</v>
      </c>
      <c r="M145" s="67" t="s">
        <v>234</v>
      </c>
      <c r="N145" s="67" t="s">
        <v>182</v>
      </c>
      <c r="O145" s="69">
        <v>44035</v>
      </c>
      <c r="P145" s="70">
        <f>IFERROR(VLOOKUP(J145,'Obs Tecnicas'!$D$2:$I$320,5,0),O145)</f>
        <v>44035</v>
      </c>
      <c r="Q145" s="69" t="str">
        <f t="shared" ca="1" si="14"/>
        <v>Vencido</v>
      </c>
      <c r="R145" s="71" t="str">
        <f>IFERROR(VLOOKUP(J145,'Obs Tecnicas'!$D$2:$G$340,2,0),"")</f>
        <v/>
      </c>
      <c r="S145" s="67" t="str">
        <f>IFERROR(VLOOKUP(J145,'Obs Tecnicas'!$D$2:$G$344,3,0),"Hexis")</f>
        <v>Hexis</v>
      </c>
      <c r="T145" s="67" t="str">
        <f>IFERROR(VLOOKUP(J145,'Obs Tecnicas'!$D$2:$G$344,4,0),"")</f>
        <v/>
      </c>
      <c r="U145" s="13" t="s">
        <v>464</v>
      </c>
      <c r="V145" s="13">
        <f t="shared" si="11"/>
        <v>7</v>
      </c>
      <c r="W145" s="72">
        <f t="shared" si="12"/>
        <v>101.655</v>
      </c>
      <c r="X145" s="72">
        <f t="shared" si="13"/>
        <v>195.22799999999998</v>
      </c>
      <c r="AE145" s="13" t="s">
        <v>807</v>
      </c>
    </row>
    <row r="146" spans="1:31">
      <c r="A146" s="13" t="s">
        <v>20</v>
      </c>
      <c r="B146" s="13" t="s">
        <v>229</v>
      </c>
      <c r="C146" s="66" t="s">
        <v>230</v>
      </c>
      <c r="D146" s="67" t="s">
        <v>231</v>
      </c>
      <c r="E146" s="13" t="s">
        <v>175</v>
      </c>
      <c r="F146" s="66" t="s">
        <v>176</v>
      </c>
      <c r="G146" s="67" t="s">
        <v>177</v>
      </c>
      <c r="H146" s="67" t="s">
        <v>191</v>
      </c>
      <c r="I146" s="67" t="s">
        <v>76</v>
      </c>
      <c r="J146" s="68" t="s">
        <v>669</v>
      </c>
      <c r="K146" s="67" t="s">
        <v>53</v>
      </c>
      <c r="L146" s="67" t="s">
        <v>259</v>
      </c>
      <c r="M146" s="67" t="s">
        <v>234</v>
      </c>
      <c r="N146" s="67" t="s">
        <v>182</v>
      </c>
      <c r="O146" s="69">
        <v>44035</v>
      </c>
      <c r="P146" s="70">
        <f>IFERROR(VLOOKUP(J146,'Obs Tecnicas'!$D$2:$I$320,5,0),O146)</f>
        <v>44035</v>
      </c>
      <c r="Q146" s="69" t="str">
        <f t="shared" ca="1" si="14"/>
        <v>Vencido</v>
      </c>
      <c r="R146" s="71" t="str">
        <f>IFERROR(VLOOKUP(J146,'Obs Tecnicas'!$D$2:$G$340,2,0),"")</f>
        <v/>
      </c>
      <c r="S146" s="67" t="str">
        <f>IFERROR(VLOOKUP(J146,'Obs Tecnicas'!$D$2:$G$344,3,0),"Hexis")</f>
        <v>Hexis</v>
      </c>
      <c r="T146" s="67" t="str">
        <f>IFERROR(VLOOKUP(J146,'Obs Tecnicas'!$D$2:$G$344,4,0),"")</f>
        <v/>
      </c>
      <c r="U146" s="13" t="s">
        <v>464</v>
      </c>
      <c r="V146" s="13">
        <f t="shared" si="11"/>
        <v>7</v>
      </c>
      <c r="W146" s="72">
        <f t="shared" si="12"/>
        <v>101.655</v>
      </c>
      <c r="X146" s="72">
        <f t="shared" si="13"/>
        <v>195.22799999999998</v>
      </c>
      <c r="AE146" s="13" t="s">
        <v>807</v>
      </c>
    </row>
    <row r="147" spans="1:31">
      <c r="A147" s="77" t="s">
        <v>20</v>
      </c>
      <c r="B147" s="77" t="s">
        <v>229</v>
      </c>
      <c r="C147" s="66" t="s">
        <v>230</v>
      </c>
      <c r="D147" s="67" t="s">
        <v>231</v>
      </c>
      <c r="E147" s="13" t="s">
        <v>175</v>
      </c>
      <c r="F147" s="66" t="s">
        <v>176</v>
      </c>
      <c r="G147" s="67" t="s">
        <v>177</v>
      </c>
      <c r="H147" s="75" t="s">
        <v>191</v>
      </c>
      <c r="I147" s="75" t="s">
        <v>45</v>
      </c>
      <c r="J147" s="68" t="s">
        <v>670</v>
      </c>
      <c r="K147" s="75" t="s">
        <v>53</v>
      </c>
      <c r="L147" s="75" t="s">
        <v>72</v>
      </c>
      <c r="M147" s="109" t="s">
        <v>49</v>
      </c>
      <c r="N147" s="67" t="s">
        <v>182</v>
      </c>
      <c r="O147" s="69">
        <v>44035</v>
      </c>
      <c r="P147" s="70">
        <f>IFERROR(VLOOKUP(J147,'Obs Tecnicas'!$D$2:$I$320,5,0),O147)</f>
        <v>44035</v>
      </c>
      <c r="Q147" s="69" t="str">
        <f t="shared" ca="1" si="14"/>
        <v>Vencido</v>
      </c>
      <c r="R147" s="71" t="str">
        <f>IFERROR(VLOOKUP(J147,'Obs Tecnicas'!$D$2:$G$340,2,0),"")</f>
        <v/>
      </c>
      <c r="S147" s="67" t="str">
        <f>IFERROR(VLOOKUP(J147,'Obs Tecnicas'!$D$2:$G$344,3,0),"Hexis")</f>
        <v>Hexis</v>
      </c>
      <c r="T147" s="67" t="str">
        <f>IFERROR(VLOOKUP(J147,'Obs Tecnicas'!$D$2:$G$344,4,0),"")</f>
        <v/>
      </c>
      <c r="U147" s="13" t="s">
        <v>464</v>
      </c>
      <c r="V147" s="13">
        <f t="shared" si="11"/>
        <v>7</v>
      </c>
      <c r="W147" s="72">
        <f t="shared" si="12"/>
        <v>420.44400000000002</v>
      </c>
      <c r="X147" s="72">
        <f t="shared" si="13"/>
        <v>385.26299999999998</v>
      </c>
      <c r="AE147" s="13" t="s">
        <v>807</v>
      </c>
    </row>
    <row r="148" spans="1:31">
      <c r="A148" s="13" t="s">
        <v>20</v>
      </c>
      <c r="B148" s="13" t="s">
        <v>229</v>
      </c>
      <c r="C148" s="66" t="s">
        <v>230</v>
      </c>
      <c r="D148" s="67" t="s">
        <v>231</v>
      </c>
      <c r="E148" s="13" t="s">
        <v>175</v>
      </c>
      <c r="F148" s="66" t="s">
        <v>176</v>
      </c>
      <c r="G148" s="67" t="s">
        <v>177</v>
      </c>
      <c r="H148" s="67" t="s">
        <v>191</v>
      </c>
      <c r="I148" s="67" t="s">
        <v>79</v>
      </c>
      <c r="J148" s="68" t="s">
        <v>671</v>
      </c>
      <c r="K148" s="67" t="s">
        <v>77</v>
      </c>
      <c r="L148" s="67" t="s">
        <v>80</v>
      </c>
      <c r="M148" s="67" t="s">
        <v>234</v>
      </c>
      <c r="N148" s="67" t="s">
        <v>182</v>
      </c>
      <c r="O148" s="69">
        <v>44035</v>
      </c>
      <c r="P148" s="70">
        <f>IFERROR(VLOOKUP(J148,'Obs Tecnicas'!$D$2:$I$320,5,0),O148)</f>
        <v>44035</v>
      </c>
      <c r="Q148" s="69" t="str">
        <f t="shared" ca="1" si="14"/>
        <v>Vencido</v>
      </c>
      <c r="R148" s="71" t="str">
        <f>IFERROR(VLOOKUP(J148,'Obs Tecnicas'!$D$2:$G$340,2,0),"")</f>
        <v/>
      </c>
      <c r="S148" s="67" t="str">
        <f>IFERROR(VLOOKUP(J148,'Obs Tecnicas'!$D$2:$G$344,3,0),"Hexis")</f>
        <v>Hexis</v>
      </c>
      <c r="T148" s="67" t="str">
        <f>IFERROR(VLOOKUP(J148,'Obs Tecnicas'!$D$2:$G$344,4,0),"")</f>
        <v/>
      </c>
      <c r="U148" s="13" t="s">
        <v>464</v>
      </c>
      <c r="V148" s="13">
        <f t="shared" si="11"/>
        <v>7</v>
      </c>
      <c r="W148" s="72">
        <f t="shared" si="12"/>
        <v>101.655</v>
      </c>
      <c r="X148" s="72">
        <f t="shared" si="13"/>
        <v>390.45599999999996</v>
      </c>
      <c r="AE148" s="13" t="s">
        <v>807</v>
      </c>
    </row>
    <row r="149" spans="1:31">
      <c r="A149" s="13" t="s">
        <v>20</v>
      </c>
      <c r="B149" s="13" t="s">
        <v>172</v>
      </c>
      <c r="C149" s="66" t="s">
        <v>173</v>
      </c>
      <c r="D149" s="67" t="s">
        <v>174</v>
      </c>
      <c r="E149" s="13" t="s">
        <v>175</v>
      </c>
      <c r="F149" s="66" t="s">
        <v>176</v>
      </c>
      <c r="G149" s="67" t="s">
        <v>177</v>
      </c>
      <c r="H149" s="67" t="s">
        <v>178</v>
      </c>
      <c r="I149" s="67" t="s">
        <v>28</v>
      </c>
      <c r="J149" s="68" t="s">
        <v>308</v>
      </c>
      <c r="K149" s="67" t="s">
        <v>30</v>
      </c>
      <c r="L149" s="67" t="s">
        <v>309</v>
      </c>
      <c r="M149" s="67" t="s">
        <v>310</v>
      </c>
      <c r="N149" s="67" t="s">
        <v>182</v>
      </c>
      <c r="O149" s="69">
        <v>44229</v>
      </c>
      <c r="P149" s="70">
        <f>IFERROR(VLOOKUP(J149,'Obs Tecnicas'!$D$2:$I$320,5,0),O149)</f>
        <v>44229</v>
      </c>
      <c r="Q149" s="69" t="str">
        <f t="shared" ca="1" si="14"/>
        <v>Calibrado</v>
      </c>
      <c r="R149" s="71" t="str">
        <f>IFERROR(VLOOKUP(J149,'Obs Tecnicas'!$D$2:$G$340,2,0),"")</f>
        <v/>
      </c>
      <c r="S149" s="67" t="str">
        <f>IFERROR(VLOOKUP(J149,'Obs Tecnicas'!$D$2:$G$344,3,0),"Hexis")</f>
        <v>Hexis</v>
      </c>
      <c r="T149" s="67" t="str">
        <f>IFERROR(VLOOKUP(J149,'Obs Tecnicas'!$D$2:$G$344,4,0),"")</f>
        <v/>
      </c>
      <c r="V149" s="13">
        <f t="shared" si="11"/>
        <v>2</v>
      </c>
      <c r="W149" s="72">
        <f t="shared" si="12"/>
        <v>165.75299999999999</v>
      </c>
      <c r="X149" s="72">
        <f t="shared" si="13"/>
        <v>245.34000000000003</v>
      </c>
    </row>
    <row r="150" spans="1:31">
      <c r="A150" s="13" t="s">
        <v>20</v>
      </c>
      <c r="B150" s="13" t="s">
        <v>172</v>
      </c>
      <c r="C150" s="66" t="s">
        <v>173</v>
      </c>
      <c r="D150" s="67" t="s">
        <v>174</v>
      </c>
      <c r="E150" s="13" t="s">
        <v>175</v>
      </c>
      <c r="F150" s="66" t="s">
        <v>176</v>
      </c>
      <c r="G150" s="67" t="s">
        <v>177</v>
      </c>
      <c r="H150" s="67" t="s">
        <v>178</v>
      </c>
      <c r="I150" s="67" t="s">
        <v>52</v>
      </c>
      <c r="J150" s="68" t="s">
        <v>692</v>
      </c>
      <c r="K150" s="67" t="s">
        <v>53</v>
      </c>
      <c r="L150" s="67" t="s">
        <v>54</v>
      </c>
      <c r="M150" s="67" t="s">
        <v>311</v>
      </c>
      <c r="N150" s="67" t="s">
        <v>312</v>
      </c>
      <c r="O150" s="69">
        <v>44279</v>
      </c>
      <c r="P150" s="70">
        <f>IFERROR(VLOOKUP(J150,'Obs Tecnicas'!$D$2:$I$320,5,0),O150)</f>
        <v>44279</v>
      </c>
      <c r="Q150" s="69" t="str">
        <f t="shared" ca="1" si="14"/>
        <v>Calibrado</v>
      </c>
      <c r="R150" s="71" t="str">
        <f>IFERROR(VLOOKUP(J150,'Obs Tecnicas'!$D$2:$G$340,2,0),"")</f>
        <v/>
      </c>
      <c r="S150" s="67" t="str">
        <f>IFERROR(VLOOKUP(J150,'Obs Tecnicas'!$D$2:$G$344,3,0),"Hexis")</f>
        <v>Hexis</v>
      </c>
      <c r="T150" s="67" t="str">
        <f>IFERROR(VLOOKUP(J150,'Obs Tecnicas'!$D$2:$G$344,4,0),"")</f>
        <v/>
      </c>
      <c r="V150" s="13">
        <f t="shared" si="11"/>
        <v>3</v>
      </c>
      <c r="W150" s="72">
        <f t="shared" si="12"/>
        <v>178.434</v>
      </c>
      <c r="X150" s="72">
        <f t="shared" si="13"/>
        <v>318.94200000000001</v>
      </c>
    </row>
    <row r="151" spans="1:31">
      <c r="A151" s="13" t="s">
        <v>20</v>
      </c>
      <c r="B151" s="13" t="s">
        <v>172</v>
      </c>
      <c r="C151" s="66" t="s">
        <v>173</v>
      </c>
      <c r="D151" s="67" t="s">
        <v>174</v>
      </c>
      <c r="E151" s="13" t="s">
        <v>175</v>
      </c>
      <c r="F151" s="66" t="s">
        <v>176</v>
      </c>
      <c r="G151" s="67" t="s">
        <v>177</v>
      </c>
      <c r="H151" s="67" t="s">
        <v>178</v>
      </c>
      <c r="I151" s="67" t="s">
        <v>76</v>
      </c>
      <c r="J151" s="68" t="s">
        <v>693</v>
      </c>
      <c r="K151" s="67" t="s">
        <v>77</v>
      </c>
      <c r="L151" s="75" t="s">
        <v>78</v>
      </c>
      <c r="M151" s="67" t="s">
        <v>311</v>
      </c>
      <c r="N151" s="67" t="s">
        <v>312</v>
      </c>
      <c r="O151" s="69">
        <v>44279</v>
      </c>
      <c r="P151" s="70">
        <f>IFERROR(VLOOKUP(J151,'Obs Tecnicas'!$D$2:$I$320,5,0),O151)</f>
        <v>44279</v>
      </c>
      <c r="Q151" s="69" t="str">
        <f t="shared" ca="1" si="14"/>
        <v>Calibrado</v>
      </c>
      <c r="R151" s="71" t="str">
        <f>IFERROR(VLOOKUP(J151,'Obs Tecnicas'!$D$2:$G$340,2,0),"")</f>
        <v/>
      </c>
      <c r="S151" s="67" t="str">
        <f>IFERROR(VLOOKUP(J151,'Obs Tecnicas'!$D$2:$G$344,3,0),"Hexis")</f>
        <v>Hexis</v>
      </c>
      <c r="T151" s="67" t="str">
        <f>IFERROR(VLOOKUP(J151,'Obs Tecnicas'!$D$2:$G$344,4,0),"")</f>
        <v/>
      </c>
      <c r="U151" s="13" t="s">
        <v>550</v>
      </c>
      <c r="V151" s="13">
        <f t="shared" si="11"/>
        <v>3</v>
      </c>
      <c r="W151" s="72">
        <f t="shared" si="12"/>
        <v>101.655</v>
      </c>
      <c r="X151" s="72">
        <f t="shared" si="13"/>
        <v>195.22799999999998</v>
      </c>
    </row>
    <row r="152" spans="1:31">
      <c r="A152" s="13" t="s">
        <v>20</v>
      </c>
      <c r="B152" s="13" t="s">
        <v>172</v>
      </c>
      <c r="C152" s="66" t="s">
        <v>173</v>
      </c>
      <c r="D152" s="67" t="s">
        <v>174</v>
      </c>
      <c r="E152" s="13" t="s">
        <v>175</v>
      </c>
      <c r="F152" s="66" t="s">
        <v>176</v>
      </c>
      <c r="G152" s="67" t="s">
        <v>177</v>
      </c>
      <c r="H152" s="67" t="s">
        <v>178</v>
      </c>
      <c r="I152" s="67" t="s">
        <v>76</v>
      </c>
      <c r="J152" s="68" t="s">
        <v>694</v>
      </c>
      <c r="K152" s="67" t="s">
        <v>77</v>
      </c>
      <c r="L152" s="75" t="s">
        <v>78</v>
      </c>
      <c r="M152" s="67" t="s">
        <v>311</v>
      </c>
      <c r="N152" s="67" t="s">
        <v>312</v>
      </c>
      <c r="O152" s="69">
        <v>44279</v>
      </c>
      <c r="P152" s="70">
        <f>IFERROR(VLOOKUP(J152,'Obs Tecnicas'!$D$2:$I$320,5,0),O152)</f>
        <v>44279</v>
      </c>
      <c r="Q152" s="69" t="str">
        <f t="shared" ca="1" si="14"/>
        <v>Calibrado</v>
      </c>
      <c r="R152" s="71" t="str">
        <f>IFERROR(VLOOKUP(J152,'Obs Tecnicas'!$D$2:$G$340,2,0),"")</f>
        <v/>
      </c>
      <c r="S152" s="67" t="str">
        <f>IFERROR(VLOOKUP(J152,'Obs Tecnicas'!$D$2:$G$344,3,0),"Hexis")</f>
        <v>Hexis</v>
      </c>
      <c r="T152" s="67" t="str">
        <f>IFERROR(VLOOKUP(J152,'Obs Tecnicas'!$D$2:$G$344,4,0),"")</f>
        <v/>
      </c>
      <c r="V152" s="13">
        <f t="shared" si="11"/>
        <v>3</v>
      </c>
      <c r="W152" s="72">
        <f t="shared" si="12"/>
        <v>101.655</v>
      </c>
      <c r="X152" s="72">
        <f t="shared" si="13"/>
        <v>195.22799999999998</v>
      </c>
    </row>
    <row r="153" spans="1:31">
      <c r="A153" s="13" t="s">
        <v>20</v>
      </c>
      <c r="B153" s="13" t="s">
        <v>172</v>
      </c>
      <c r="C153" s="66" t="s">
        <v>173</v>
      </c>
      <c r="D153" s="67" t="s">
        <v>174</v>
      </c>
      <c r="E153" s="13" t="s">
        <v>175</v>
      </c>
      <c r="F153" s="66" t="s">
        <v>176</v>
      </c>
      <c r="G153" s="67" t="s">
        <v>177</v>
      </c>
      <c r="H153" s="67" t="s">
        <v>178</v>
      </c>
      <c r="I153" s="67" t="s">
        <v>34</v>
      </c>
      <c r="J153" s="68" t="s">
        <v>695</v>
      </c>
      <c r="K153" s="67" t="s">
        <v>35</v>
      </c>
      <c r="L153" s="67" t="s">
        <v>36</v>
      </c>
      <c r="M153" s="67" t="s">
        <v>311</v>
      </c>
      <c r="N153" s="67" t="s">
        <v>312</v>
      </c>
      <c r="O153" s="69">
        <v>44279</v>
      </c>
      <c r="P153" s="70">
        <f>IFERROR(VLOOKUP(J153,'Obs Tecnicas'!$D$2:$I$320,5,0),O153)</f>
        <v>44279</v>
      </c>
      <c r="Q153" s="69" t="str">
        <f t="shared" ca="1" si="14"/>
        <v>Calibrado</v>
      </c>
      <c r="R153" s="71" t="str">
        <f>IFERROR(VLOOKUP(J153,'Obs Tecnicas'!$D$2:$G$340,2,0),"")</f>
        <v/>
      </c>
      <c r="S153" s="67" t="str">
        <f>IFERROR(VLOOKUP(J153,'Obs Tecnicas'!$D$2:$G$344,3,0),"Hexis")</f>
        <v>Hexis</v>
      </c>
      <c r="T153" s="67" t="str">
        <f>IFERROR(VLOOKUP(J153,'Obs Tecnicas'!$D$2:$G$344,4,0),"")</f>
        <v/>
      </c>
      <c r="V153" s="13">
        <f t="shared" si="11"/>
        <v>3</v>
      </c>
      <c r="W153" s="72">
        <f t="shared" si="12"/>
        <v>101.655</v>
      </c>
      <c r="X153" s="72">
        <f t="shared" si="13"/>
        <v>195.22799999999998</v>
      </c>
    </row>
    <row r="154" spans="1:31">
      <c r="A154" s="13" t="s">
        <v>20</v>
      </c>
      <c r="B154" s="13" t="s">
        <v>172</v>
      </c>
      <c r="C154" s="66" t="s">
        <v>173</v>
      </c>
      <c r="D154" s="67" t="s">
        <v>174</v>
      </c>
      <c r="E154" s="13" t="s">
        <v>175</v>
      </c>
      <c r="F154" s="66" t="s">
        <v>176</v>
      </c>
      <c r="G154" s="67" t="s">
        <v>177</v>
      </c>
      <c r="H154" s="67" t="s">
        <v>178</v>
      </c>
      <c r="I154" s="67" t="s">
        <v>52</v>
      </c>
      <c r="J154" s="68" t="s">
        <v>696</v>
      </c>
      <c r="K154" s="67" t="s">
        <v>53</v>
      </c>
      <c r="L154" s="67" t="s">
        <v>54</v>
      </c>
      <c r="M154" s="67" t="s">
        <v>311</v>
      </c>
      <c r="N154" s="67" t="s">
        <v>312</v>
      </c>
      <c r="O154" s="69">
        <v>44284</v>
      </c>
      <c r="P154" s="70">
        <f>IFERROR(VLOOKUP(J154,'Obs Tecnicas'!$D$2:$I$320,5,0),O154)</f>
        <v>44284</v>
      </c>
      <c r="Q154" s="69" t="str">
        <f t="shared" ca="1" si="14"/>
        <v>Calibrado</v>
      </c>
      <c r="R154" s="71" t="str">
        <f>IFERROR(VLOOKUP(J154,'Obs Tecnicas'!$D$2:$G$340,2,0),"")</f>
        <v/>
      </c>
      <c r="S154" s="67" t="str">
        <f>IFERROR(VLOOKUP(J154,'Obs Tecnicas'!$D$2:$G$344,3,0),"Hexis")</f>
        <v>Hexis</v>
      </c>
      <c r="T154" s="67" t="str">
        <f>IFERROR(VLOOKUP(J154,'Obs Tecnicas'!$D$2:$G$344,4,0),"")</f>
        <v/>
      </c>
      <c r="V154" s="13">
        <f t="shared" si="11"/>
        <v>3</v>
      </c>
      <c r="W154" s="72">
        <f t="shared" si="12"/>
        <v>178.434</v>
      </c>
      <c r="X154" s="72">
        <f t="shared" si="13"/>
        <v>318.94200000000001</v>
      </c>
    </row>
    <row r="155" spans="1:31">
      <c r="A155" s="13" t="s">
        <v>20</v>
      </c>
      <c r="B155" s="13" t="s">
        <v>199</v>
      </c>
      <c r="C155" s="66" t="s">
        <v>200</v>
      </c>
      <c r="D155" s="67" t="s">
        <v>201</v>
      </c>
      <c r="E155" s="13" t="s">
        <v>183</v>
      </c>
      <c r="F155" s="66" t="s">
        <v>184</v>
      </c>
      <c r="G155" s="67" t="s">
        <v>177</v>
      </c>
      <c r="H155" s="67" t="s">
        <v>202</v>
      </c>
      <c r="I155" s="67" t="s">
        <v>52</v>
      </c>
      <c r="J155" s="68" t="s">
        <v>645</v>
      </c>
      <c r="K155" s="67" t="s">
        <v>53</v>
      </c>
      <c r="L155" s="75" t="s">
        <v>86</v>
      </c>
      <c r="M155" s="67" t="s">
        <v>203</v>
      </c>
      <c r="O155" s="69">
        <v>44371</v>
      </c>
      <c r="P155" s="70">
        <f>IFERROR(VLOOKUP(J155,'Obs Tecnicas'!$D$2:$I$320,5,0),O155)</f>
        <v>44371</v>
      </c>
      <c r="Q155" s="69" t="str">
        <f t="shared" ca="1" si="14"/>
        <v>Calibrado</v>
      </c>
      <c r="R155" s="106">
        <v>4192142</v>
      </c>
      <c r="S155" s="67" t="str">
        <f>IFERROR(VLOOKUP(J155,'Obs Tecnicas'!$D$2:$G$344,3,0),"Hexis")</f>
        <v>Hexis</v>
      </c>
      <c r="T155" s="67" t="str">
        <f>IFERROR(VLOOKUP(J155,'Obs Tecnicas'!$D$2:$G$344,4,0),"")</f>
        <v/>
      </c>
      <c r="V155" s="13">
        <f t="shared" si="11"/>
        <v>6</v>
      </c>
      <c r="W155" s="72">
        <f t="shared" si="12"/>
        <v>178.434</v>
      </c>
      <c r="X155" s="72">
        <f t="shared" si="13"/>
        <v>318.94200000000001</v>
      </c>
    </row>
    <row r="156" spans="1:31">
      <c r="A156" s="13" t="s">
        <v>20</v>
      </c>
      <c r="B156" s="13" t="s">
        <v>199</v>
      </c>
      <c r="C156" s="66" t="s">
        <v>200</v>
      </c>
      <c r="D156" s="67" t="s">
        <v>201</v>
      </c>
      <c r="E156" s="13" t="s">
        <v>183</v>
      </c>
      <c r="F156" s="66" t="s">
        <v>184</v>
      </c>
      <c r="G156" s="67" t="s">
        <v>177</v>
      </c>
      <c r="H156" s="67" t="s">
        <v>202</v>
      </c>
      <c r="I156" s="67" t="s">
        <v>76</v>
      </c>
      <c r="J156" s="68" t="s">
        <v>646</v>
      </c>
      <c r="K156" s="67" t="s">
        <v>77</v>
      </c>
      <c r="L156" s="75" t="s">
        <v>78</v>
      </c>
      <c r="M156" s="67" t="s">
        <v>203</v>
      </c>
      <c r="O156" s="69">
        <v>44371</v>
      </c>
      <c r="P156" s="70">
        <f>IFERROR(VLOOKUP(J156,'Obs Tecnicas'!$D$2:$I$320,5,0),O156)</f>
        <v>44371</v>
      </c>
      <c r="Q156" s="69" t="str">
        <f t="shared" ca="1" si="14"/>
        <v>Calibrado</v>
      </c>
      <c r="R156" s="106">
        <v>4192142</v>
      </c>
      <c r="S156" s="67" t="str">
        <f>IFERROR(VLOOKUP(J156,'Obs Tecnicas'!$D$2:$G$344,3,0),"Hexis")</f>
        <v>Hexis</v>
      </c>
      <c r="T156" s="67" t="str">
        <f>IFERROR(VLOOKUP(J156,'Obs Tecnicas'!$D$2:$G$344,4,0),"")</f>
        <v/>
      </c>
      <c r="V156" s="13">
        <f t="shared" si="11"/>
        <v>6</v>
      </c>
      <c r="W156" s="72">
        <f t="shared" si="12"/>
        <v>101.655</v>
      </c>
      <c r="X156" s="72">
        <f t="shared" si="13"/>
        <v>195.22799999999998</v>
      </c>
    </row>
    <row r="157" spans="1:31">
      <c r="A157" s="13" t="s">
        <v>20</v>
      </c>
      <c r="B157" s="13" t="s">
        <v>199</v>
      </c>
      <c r="C157" s="66" t="s">
        <v>200</v>
      </c>
      <c r="D157" s="67" t="s">
        <v>201</v>
      </c>
      <c r="E157" s="13" t="s">
        <v>183</v>
      </c>
      <c r="F157" s="66" t="s">
        <v>184</v>
      </c>
      <c r="G157" s="67" t="s">
        <v>177</v>
      </c>
      <c r="H157" s="67" t="s">
        <v>202</v>
      </c>
      <c r="I157" s="67" t="s">
        <v>76</v>
      </c>
      <c r="J157" s="68" t="s">
        <v>647</v>
      </c>
      <c r="K157" s="67" t="s">
        <v>77</v>
      </c>
      <c r="L157" s="75" t="s">
        <v>78</v>
      </c>
      <c r="M157" s="67" t="s">
        <v>203</v>
      </c>
      <c r="O157" s="69">
        <v>44371</v>
      </c>
      <c r="P157" s="70">
        <f>IFERROR(VLOOKUP(J157,'Obs Tecnicas'!$D$2:$I$320,5,0),O157)</f>
        <v>44371</v>
      </c>
      <c r="Q157" s="69" t="str">
        <f t="shared" ca="1" si="14"/>
        <v>Calibrado</v>
      </c>
      <c r="R157" s="106">
        <v>4192142</v>
      </c>
      <c r="S157" s="67" t="str">
        <f>IFERROR(VLOOKUP(J157,'Obs Tecnicas'!$D$2:$G$344,3,0),"Hexis")</f>
        <v>Hexis</v>
      </c>
      <c r="T157" s="67" t="str">
        <f>IFERROR(VLOOKUP(J157,'Obs Tecnicas'!$D$2:$G$344,4,0),"")</f>
        <v/>
      </c>
      <c r="V157" s="13">
        <f t="shared" si="11"/>
        <v>6</v>
      </c>
      <c r="W157" s="72">
        <f t="shared" si="12"/>
        <v>101.655</v>
      </c>
      <c r="X157" s="72">
        <f t="shared" si="13"/>
        <v>195.22799999999998</v>
      </c>
    </row>
    <row r="158" spans="1:31">
      <c r="A158" s="13" t="s">
        <v>20</v>
      </c>
      <c r="B158" s="13" t="s">
        <v>199</v>
      </c>
      <c r="C158" s="66" t="s">
        <v>200</v>
      </c>
      <c r="D158" s="67" t="s">
        <v>201</v>
      </c>
      <c r="E158" s="13" t="s">
        <v>183</v>
      </c>
      <c r="F158" s="66" t="s">
        <v>184</v>
      </c>
      <c r="G158" s="67" t="s">
        <v>177</v>
      </c>
      <c r="H158" s="67" t="s">
        <v>202</v>
      </c>
      <c r="I158" s="67" t="s">
        <v>45</v>
      </c>
      <c r="J158" s="68" t="s">
        <v>648</v>
      </c>
      <c r="K158" s="67" t="s">
        <v>53</v>
      </c>
      <c r="L158" s="67" t="s">
        <v>72</v>
      </c>
      <c r="M158" s="67" t="s">
        <v>203</v>
      </c>
      <c r="O158" s="69">
        <v>44371</v>
      </c>
      <c r="P158" s="70">
        <f>IFERROR(VLOOKUP(J158,'Obs Tecnicas'!$D$2:$I$320,5,0),O158)</f>
        <v>44371</v>
      </c>
      <c r="Q158" s="69" t="str">
        <f t="shared" ca="1" si="14"/>
        <v>Calibrado</v>
      </c>
      <c r="R158" s="106">
        <v>4192142</v>
      </c>
      <c r="S158" s="67" t="str">
        <f>IFERROR(VLOOKUP(J158,'Obs Tecnicas'!$D$2:$G$344,3,0),"Hexis")</f>
        <v>Hexis</v>
      </c>
      <c r="T158" s="67" t="str">
        <f>IFERROR(VLOOKUP(J158,'Obs Tecnicas'!$D$2:$G$344,4,0),"")</f>
        <v/>
      </c>
      <c r="V158" s="13">
        <f t="shared" si="11"/>
        <v>6</v>
      </c>
      <c r="W158" s="72">
        <f t="shared" si="12"/>
        <v>420.44400000000002</v>
      </c>
      <c r="X158" s="72">
        <f t="shared" si="13"/>
        <v>385.26299999999998</v>
      </c>
    </row>
    <row r="159" spans="1:31">
      <c r="A159" s="13" t="s">
        <v>20</v>
      </c>
      <c r="B159" s="13" t="s">
        <v>199</v>
      </c>
      <c r="C159" s="66" t="s">
        <v>200</v>
      </c>
      <c r="D159" s="67" t="s">
        <v>201</v>
      </c>
      <c r="E159" s="13" t="s">
        <v>183</v>
      </c>
      <c r="F159" s="66" t="s">
        <v>184</v>
      </c>
      <c r="G159" s="67" t="s">
        <v>177</v>
      </c>
      <c r="H159" s="67" t="s">
        <v>202</v>
      </c>
      <c r="I159" s="67" t="s">
        <v>34</v>
      </c>
      <c r="J159" s="68" t="s">
        <v>649</v>
      </c>
      <c r="K159" s="67" t="s">
        <v>35</v>
      </c>
      <c r="L159" s="67" t="s">
        <v>36</v>
      </c>
      <c r="M159" s="67" t="s">
        <v>203</v>
      </c>
      <c r="O159" s="69">
        <v>44371</v>
      </c>
      <c r="P159" s="70">
        <f>IFERROR(VLOOKUP(J159,'Obs Tecnicas'!$D$2:$I$320,5,0),O159)</f>
        <v>44371</v>
      </c>
      <c r="Q159" s="69" t="str">
        <f t="shared" ca="1" si="14"/>
        <v>Calibrado</v>
      </c>
      <c r="R159" s="106">
        <v>4192142</v>
      </c>
      <c r="S159" s="67" t="str">
        <f>IFERROR(VLOOKUP(J159,'Obs Tecnicas'!$D$2:$G$344,3,0),"Hexis")</f>
        <v>Hexis</v>
      </c>
      <c r="T159" s="67" t="str">
        <f>IFERROR(VLOOKUP(J159,'Obs Tecnicas'!$D$2:$G$344,4,0),"")</f>
        <v/>
      </c>
      <c r="V159" s="13">
        <f t="shared" si="11"/>
        <v>6</v>
      </c>
      <c r="W159" s="72">
        <f t="shared" si="12"/>
        <v>101.655</v>
      </c>
      <c r="X159" s="72">
        <f t="shared" si="13"/>
        <v>195.22799999999998</v>
      </c>
    </row>
    <row r="160" spans="1:31">
      <c r="A160" s="13" t="s">
        <v>20</v>
      </c>
      <c r="B160" s="13" t="s">
        <v>199</v>
      </c>
      <c r="C160" s="66" t="s">
        <v>200</v>
      </c>
      <c r="D160" s="67" t="s">
        <v>201</v>
      </c>
      <c r="E160" s="13" t="s">
        <v>183</v>
      </c>
      <c r="F160" s="66" t="s">
        <v>184</v>
      </c>
      <c r="G160" s="67" t="s">
        <v>177</v>
      </c>
      <c r="H160" s="67" t="s">
        <v>202</v>
      </c>
      <c r="I160" s="67" t="s">
        <v>34</v>
      </c>
      <c r="J160" s="68" t="s">
        <v>650</v>
      </c>
      <c r="K160" s="67" t="s">
        <v>35</v>
      </c>
      <c r="L160" s="67" t="s">
        <v>36</v>
      </c>
      <c r="M160" s="67" t="s">
        <v>203</v>
      </c>
      <c r="N160" s="81"/>
      <c r="O160" s="69">
        <v>44371</v>
      </c>
      <c r="P160" s="70">
        <f>IFERROR(VLOOKUP(J160,'Obs Tecnicas'!$D$2:$I$320,5,0),O160)</f>
        <v>44371</v>
      </c>
      <c r="Q160" s="69" t="str">
        <f t="shared" ca="1" si="14"/>
        <v>Calibrado</v>
      </c>
      <c r="R160" s="106">
        <v>4192142</v>
      </c>
      <c r="S160" s="67" t="str">
        <f>IFERROR(VLOOKUP(J160,'Obs Tecnicas'!$D$2:$G$344,3,0),"Hexis")</f>
        <v>Hexis</v>
      </c>
      <c r="T160" s="67" t="str">
        <f>IFERROR(VLOOKUP(J160,'Obs Tecnicas'!$D$2:$G$344,4,0),"")</f>
        <v/>
      </c>
      <c r="V160" s="13">
        <f t="shared" si="11"/>
        <v>6</v>
      </c>
      <c r="W160" s="72">
        <f t="shared" si="12"/>
        <v>101.655</v>
      </c>
      <c r="X160" s="72">
        <f t="shared" si="13"/>
        <v>195.22799999999998</v>
      </c>
    </row>
    <row r="161" spans="1:32">
      <c r="A161" s="13" t="s">
        <v>20</v>
      </c>
      <c r="B161" s="13" t="s">
        <v>199</v>
      </c>
      <c r="C161" s="66" t="s">
        <v>200</v>
      </c>
      <c r="D161" s="67" t="s">
        <v>201</v>
      </c>
      <c r="E161" s="13" t="s">
        <v>183</v>
      </c>
      <c r="F161" s="66" t="s">
        <v>184</v>
      </c>
      <c r="G161" s="67" t="s">
        <v>177</v>
      </c>
      <c r="H161" s="67" t="s">
        <v>202</v>
      </c>
      <c r="I161" s="67" t="s">
        <v>55</v>
      </c>
      <c r="J161" s="68" t="s">
        <v>204</v>
      </c>
      <c r="K161" s="67" t="s">
        <v>53</v>
      </c>
      <c r="L161" s="67" t="s">
        <v>205</v>
      </c>
      <c r="M161" s="67" t="s">
        <v>203</v>
      </c>
      <c r="O161" s="69">
        <v>44371</v>
      </c>
      <c r="P161" s="70">
        <f>IFERROR(VLOOKUP(J161,'Obs Tecnicas'!$D$2:$I$320,5,0),O161)</f>
        <v>44371</v>
      </c>
      <c r="Q161" s="69" t="str">
        <f t="shared" ca="1" si="14"/>
        <v>Calibrado</v>
      </c>
      <c r="R161" s="71">
        <v>4192142</v>
      </c>
      <c r="S161" s="67" t="str">
        <f>IFERROR(VLOOKUP(J161,'Obs Tecnicas'!$D$2:$G$344,3,0),"Hexis")</f>
        <v>Hexis</v>
      </c>
      <c r="T161" s="67" t="str">
        <f>IFERROR(VLOOKUP(J161,'Obs Tecnicas'!$D$2:$G$344,4,0),"")</f>
        <v/>
      </c>
      <c r="V161" s="13">
        <f t="shared" si="11"/>
        <v>6</v>
      </c>
      <c r="W161" s="72" t="e">
        <f t="shared" si="12"/>
        <v>#N/A</v>
      </c>
      <c r="X161" s="72" t="e">
        <f t="shared" si="13"/>
        <v>#N/A</v>
      </c>
    </row>
    <row r="162" spans="1:32">
      <c r="A162" s="13" t="s">
        <v>20</v>
      </c>
      <c r="B162" s="13" t="s">
        <v>249</v>
      </c>
      <c r="C162" s="66" t="s">
        <v>250</v>
      </c>
      <c r="D162" s="67" t="s">
        <v>251</v>
      </c>
      <c r="E162" s="13" t="s">
        <v>175</v>
      </c>
      <c r="F162" s="66" t="s">
        <v>176</v>
      </c>
      <c r="G162" s="67" t="s">
        <v>177</v>
      </c>
      <c r="H162" s="67" t="s">
        <v>191</v>
      </c>
      <c r="I162" s="67" t="s">
        <v>52</v>
      </c>
      <c r="J162" s="68" t="s">
        <v>252</v>
      </c>
      <c r="K162" s="67" t="s">
        <v>53</v>
      </c>
      <c r="L162" s="67" t="s">
        <v>86</v>
      </c>
      <c r="M162" s="67" t="s">
        <v>253</v>
      </c>
      <c r="N162" s="67" t="s">
        <v>254</v>
      </c>
      <c r="O162" s="69">
        <v>44034</v>
      </c>
      <c r="P162" s="70">
        <f>IFERROR(VLOOKUP(J162,'Obs Tecnicas'!$D$2:$I$320,5,0),O162)</f>
        <v>44034</v>
      </c>
      <c r="Q162" s="69" t="str">
        <f t="shared" ca="1" si="14"/>
        <v>Vencido</v>
      </c>
      <c r="R162" s="71" t="str">
        <f>IFERROR(VLOOKUP(J162,'Obs Tecnicas'!$D$2:$G$340,2,0),"")</f>
        <v/>
      </c>
      <c r="S162" s="67" t="str">
        <f>IFERROR(VLOOKUP(J162,'Obs Tecnicas'!$D$2:$G$344,3,0),"Hexis")</f>
        <v>Hexis</v>
      </c>
      <c r="T162" s="67" t="str">
        <f>IFERROR(VLOOKUP(J162,'Obs Tecnicas'!$D$2:$G$344,4,0),"")</f>
        <v/>
      </c>
      <c r="U162" s="13" t="s">
        <v>464</v>
      </c>
      <c r="V162" s="13">
        <f t="shared" si="11"/>
        <v>7</v>
      </c>
      <c r="W162" s="72">
        <f t="shared" si="12"/>
        <v>178.434</v>
      </c>
      <c r="X162" s="72">
        <f t="shared" si="13"/>
        <v>318.94200000000001</v>
      </c>
      <c r="AE162" s="13" t="s">
        <v>807</v>
      </c>
      <c r="AF162" s="104">
        <v>44431</v>
      </c>
    </row>
    <row r="163" spans="1:32">
      <c r="A163" s="13" t="s">
        <v>20</v>
      </c>
      <c r="B163" s="13" t="s">
        <v>249</v>
      </c>
      <c r="C163" s="66" t="s">
        <v>250</v>
      </c>
      <c r="D163" s="67" t="s">
        <v>251</v>
      </c>
      <c r="E163" s="13" t="s">
        <v>175</v>
      </c>
      <c r="F163" s="66" t="s">
        <v>176</v>
      </c>
      <c r="G163" s="67" t="s">
        <v>177</v>
      </c>
      <c r="H163" s="67" t="s">
        <v>191</v>
      </c>
      <c r="I163" s="67" t="s">
        <v>76</v>
      </c>
      <c r="J163" s="68" t="s">
        <v>665</v>
      </c>
      <c r="K163" s="67" t="s">
        <v>77</v>
      </c>
      <c r="L163" s="75" t="s">
        <v>78</v>
      </c>
      <c r="M163" s="67" t="s">
        <v>253</v>
      </c>
      <c r="N163" s="67" t="s">
        <v>254</v>
      </c>
      <c r="O163" s="69">
        <v>44034</v>
      </c>
      <c r="P163" s="70">
        <f>IFERROR(VLOOKUP(J163,'Obs Tecnicas'!$D$2:$I$320,5,0),O163)</f>
        <v>44034</v>
      </c>
      <c r="Q163" s="69" t="str">
        <f t="shared" ca="1" si="14"/>
        <v>Vencido</v>
      </c>
      <c r="R163" s="71" t="str">
        <f>IFERROR(VLOOKUP(J163,'Obs Tecnicas'!$D$2:$G$340,2,0),"")</f>
        <v/>
      </c>
      <c r="S163" s="67" t="str">
        <f>IFERROR(VLOOKUP(J163,'Obs Tecnicas'!$D$2:$G$344,3,0),"Hexis")</f>
        <v>Hexis</v>
      </c>
      <c r="T163" s="67" t="str">
        <f>IFERROR(VLOOKUP(J163,'Obs Tecnicas'!$D$2:$G$344,4,0),"")</f>
        <v/>
      </c>
      <c r="U163" s="13" t="s">
        <v>464</v>
      </c>
      <c r="V163" s="13">
        <f t="shared" si="11"/>
        <v>7</v>
      </c>
      <c r="W163" s="72">
        <f t="shared" si="12"/>
        <v>101.655</v>
      </c>
      <c r="X163" s="72">
        <f t="shared" si="13"/>
        <v>195.22799999999998</v>
      </c>
      <c r="AE163" s="13" t="s">
        <v>807</v>
      </c>
      <c r="AF163" s="104">
        <v>44431</v>
      </c>
    </row>
    <row r="164" spans="1:32">
      <c r="A164" s="13" t="s">
        <v>20</v>
      </c>
      <c r="B164" s="13" t="s">
        <v>249</v>
      </c>
      <c r="C164" s="66" t="s">
        <v>250</v>
      </c>
      <c r="D164" s="67" t="s">
        <v>251</v>
      </c>
      <c r="E164" s="13" t="s">
        <v>175</v>
      </c>
      <c r="F164" s="66" t="s">
        <v>176</v>
      </c>
      <c r="G164" s="67" t="s">
        <v>177</v>
      </c>
      <c r="H164" s="67" t="s">
        <v>191</v>
      </c>
      <c r="I164" s="67" t="s">
        <v>55</v>
      </c>
      <c r="J164" s="68" t="s">
        <v>666</v>
      </c>
      <c r="K164" s="67" t="s">
        <v>214</v>
      </c>
      <c r="L164" s="67" t="s">
        <v>215</v>
      </c>
      <c r="M164" s="67" t="s">
        <v>253</v>
      </c>
      <c r="N164" s="67" t="s">
        <v>254</v>
      </c>
      <c r="O164" s="69">
        <v>44034</v>
      </c>
      <c r="P164" s="70">
        <f>IFERROR(VLOOKUP(J164,'Obs Tecnicas'!$D$2:$I$320,5,0),O164)</f>
        <v>44034</v>
      </c>
      <c r="Q164" s="69" t="str">
        <f t="shared" ca="1" si="14"/>
        <v>Vencido</v>
      </c>
      <c r="R164" s="71" t="str">
        <f>IFERROR(VLOOKUP(J164,'Obs Tecnicas'!$D$2:$G$340,2,0),"")</f>
        <v/>
      </c>
      <c r="S164" s="67" t="str">
        <f>IFERROR(VLOOKUP(J164,'Obs Tecnicas'!$D$2:$G$344,3,0),"Hexis")</f>
        <v>Hexis</v>
      </c>
      <c r="T164" s="67" t="str">
        <f>IFERROR(VLOOKUP(J164,'Obs Tecnicas'!$D$2:$G$344,4,0),"")</f>
        <v/>
      </c>
      <c r="U164" s="13" t="s">
        <v>464</v>
      </c>
      <c r="V164" s="13">
        <f t="shared" si="11"/>
        <v>7</v>
      </c>
      <c r="W164" s="72" t="e">
        <f t="shared" si="12"/>
        <v>#N/A</v>
      </c>
      <c r="X164" s="72" t="e">
        <f t="shared" si="13"/>
        <v>#N/A</v>
      </c>
      <c r="AE164" s="13" t="s">
        <v>807</v>
      </c>
      <c r="AF164" s="104">
        <v>44431</v>
      </c>
    </row>
    <row r="165" spans="1:32">
      <c r="A165" s="13" t="s">
        <v>20</v>
      </c>
      <c r="B165" s="13" t="s">
        <v>420</v>
      </c>
      <c r="C165" s="66" t="s">
        <v>421</v>
      </c>
      <c r="D165" s="67" t="s">
        <v>422</v>
      </c>
      <c r="E165" s="13" t="s">
        <v>420</v>
      </c>
      <c r="F165" s="66" t="s">
        <v>421</v>
      </c>
      <c r="G165" s="67" t="s">
        <v>365</v>
      </c>
      <c r="H165" s="67" t="s">
        <v>27</v>
      </c>
      <c r="I165" s="67" t="s">
        <v>52</v>
      </c>
      <c r="J165" s="68" t="s">
        <v>742</v>
      </c>
      <c r="K165" s="67" t="s">
        <v>53</v>
      </c>
      <c r="L165" s="67" t="s">
        <v>54</v>
      </c>
      <c r="M165" s="67" t="s">
        <v>423</v>
      </c>
      <c r="N165" s="67" t="s">
        <v>169</v>
      </c>
      <c r="O165" s="69">
        <v>44263</v>
      </c>
      <c r="P165" s="70">
        <f>IFERROR(VLOOKUP(J165,'Obs Tecnicas'!$D$2:$I$320,5,0),O165)</f>
        <v>44263</v>
      </c>
      <c r="Q165" s="69" t="str">
        <f t="shared" ca="1" si="14"/>
        <v>Calibrado</v>
      </c>
      <c r="R165" s="71" t="str">
        <f>IFERROR(VLOOKUP(J165,'Obs Tecnicas'!$D$2:$G$340,2,0),"")</f>
        <v/>
      </c>
      <c r="S165" s="67" t="str">
        <f>IFERROR(VLOOKUP(J165,'Obs Tecnicas'!$D$2:$G$344,3,0),"Hexis")</f>
        <v>Hexis</v>
      </c>
      <c r="T165" s="67" t="str">
        <f>IFERROR(VLOOKUP(J165,'Obs Tecnicas'!$D$2:$G$344,4,0),"")</f>
        <v/>
      </c>
      <c r="V165" s="13">
        <f t="shared" si="11"/>
        <v>3</v>
      </c>
      <c r="W165" s="72">
        <f t="shared" si="12"/>
        <v>178.434</v>
      </c>
      <c r="X165" s="72">
        <f t="shared" si="13"/>
        <v>318.94200000000001</v>
      </c>
    </row>
    <row r="166" spans="1:32">
      <c r="A166" s="13" t="s">
        <v>20</v>
      </c>
      <c r="B166" s="13" t="s">
        <v>194</v>
      </c>
      <c r="C166" s="66" t="s">
        <v>195</v>
      </c>
      <c r="D166" s="67" t="s">
        <v>196</v>
      </c>
      <c r="E166" s="13" t="s">
        <v>183</v>
      </c>
      <c r="F166" s="66" t="s">
        <v>184</v>
      </c>
      <c r="G166" s="67" t="s">
        <v>177</v>
      </c>
      <c r="H166" s="67" t="s">
        <v>197</v>
      </c>
      <c r="I166" s="67" t="s">
        <v>52</v>
      </c>
      <c r="J166" s="68" t="s">
        <v>644</v>
      </c>
      <c r="K166" s="67" t="s">
        <v>53</v>
      </c>
      <c r="L166" s="67" t="s">
        <v>54</v>
      </c>
      <c r="M166" s="67" t="s">
        <v>198</v>
      </c>
      <c r="O166" s="69">
        <v>44368</v>
      </c>
      <c r="P166" s="70">
        <f>IFERROR(VLOOKUP(J166,'Obs Tecnicas'!$D$2:$I$320,5,0),O166)</f>
        <v>44368</v>
      </c>
      <c r="Q166" s="69" t="str">
        <f t="shared" ref="Q166:Q195" ca="1" si="15">IF(P166&lt;&gt;"",IF(P166+365&gt;TODAY(),"Calibrado","Vencido"),"")</f>
        <v>Calibrado</v>
      </c>
      <c r="R166" s="71" t="str">
        <f>IFERROR(VLOOKUP(J166,'Obs Tecnicas'!$D$2:$G$340,2,0),"")</f>
        <v/>
      </c>
      <c r="S166" s="67" t="str">
        <f>IFERROR(VLOOKUP(J166,'Obs Tecnicas'!$D$2:$G$344,3,0),"Hexis")</f>
        <v>Hexis</v>
      </c>
      <c r="T166" s="67" t="str">
        <f>IFERROR(VLOOKUP(J166,'Obs Tecnicas'!$D$2:$G$344,4,0),"")</f>
        <v/>
      </c>
      <c r="V166" s="13">
        <f t="shared" si="11"/>
        <v>6</v>
      </c>
      <c r="W166" s="72">
        <f t="shared" si="12"/>
        <v>178.434</v>
      </c>
      <c r="X166" s="72">
        <f t="shared" si="13"/>
        <v>318.94200000000001</v>
      </c>
    </row>
    <row r="167" spans="1:32">
      <c r="A167" s="13" t="s">
        <v>20</v>
      </c>
      <c r="B167" s="13" t="s">
        <v>156</v>
      </c>
      <c r="C167" s="66" t="s">
        <v>157</v>
      </c>
      <c r="D167" s="67" t="s">
        <v>158</v>
      </c>
      <c r="E167" s="13" t="s">
        <v>146</v>
      </c>
      <c r="F167" s="66" t="s">
        <v>147</v>
      </c>
      <c r="G167" s="67" t="s">
        <v>132</v>
      </c>
      <c r="H167" s="67" t="s">
        <v>27</v>
      </c>
      <c r="I167" s="67" t="s">
        <v>52</v>
      </c>
      <c r="J167" s="68" t="s">
        <v>159</v>
      </c>
      <c r="K167" s="67" t="s">
        <v>53</v>
      </c>
      <c r="L167" s="67" t="s">
        <v>86</v>
      </c>
      <c r="M167" s="75" t="s">
        <v>160</v>
      </c>
      <c r="N167" s="75" t="s">
        <v>161</v>
      </c>
      <c r="O167" s="69">
        <v>44067</v>
      </c>
      <c r="P167" s="70">
        <f>IFERROR(VLOOKUP(J167,'Obs Tecnicas'!$D$2:$I$320,5,0),O167)</f>
        <v>44421</v>
      </c>
      <c r="Q167" s="69" t="str">
        <f t="shared" ca="1" si="15"/>
        <v>Calibrado</v>
      </c>
      <c r="R167" s="71">
        <f>IFERROR(VLOOKUP(J167,'Obs Tecnicas'!$D$2:$G$340,2,0),"")</f>
        <v>13345</v>
      </c>
      <c r="S167" s="67" t="str">
        <f>IFERROR(VLOOKUP(J167,'Obs Tecnicas'!$D$2:$G$344,3,0),"Hexis")</f>
        <v>ER ANALITICA</v>
      </c>
      <c r="T167" s="67" t="str">
        <f>IFERROR(VLOOKUP(J167,'Obs Tecnicas'!$D$2:$G$344,4,0),"")</f>
        <v>Todos filtros oxidados (420, 520, 560 e 610nm) e teclado de borracha descolado.</v>
      </c>
      <c r="U167" s="13" t="s">
        <v>464</v>
      </c>
      <c r="V167" s="13">
        <f t="shared" si="11"/>
        <v>8</v>
      </c>
      <c r="W167" s="72">
        <f t="shared" si="12"/>
        <v>178.434</v>
      </c>
      <c r="X167" s="72">
        <f t="shared" si="13"/>
        <v>318.94200000000001</v>
      </c>
      <c r="AF167" s="104">
        <v>44421</v>
      </c>
    </row>
    <row r="168" spans="1:32">
      <c r="A168" s="77" t="s">
        <v>20</v>
      </c>
      <c r="B168" s="13" t="s">
        <v>156</v>
      </c>
      <c r="C168" s="66" t="s">
        <v>157</v>
      </c>
      <c r="D168" s="67" t="s">
        <v>158</v>
      </c>
      <c r="E168" s="13" t="s">
        <v>146</v>
      </c>
      <c r="F168" s="66" t="s">
        <v>147</v>
      </c>
      <c r="G168" s="67" t="s">
        <v>132</v>
      </c>
      <c r="H168" s="67" t="s">
        <v>27</v>
      </c>
      <c r="I168" s="75" t="s">
        <v>76</v>
      </c>
      <c r="J168" s="68" t="s">
        <v>631</v>
      </c>
      <c r="K168" s="67" t="s">
        <v>77</v>
      </c>
      <c r="L168" s="75" t="s">
        <v>78</v>
      </c>
      <c r="M168" s="75" t="s">
        <v>160</v>
      </c>
      <c r="N168" s="75" t="s">
        <v>161</v>
      </c>
      <c r="O168" s="69">
        <v>44067</v>
      </c>
      <c r="P168" s="70">
        <f>IFERROR(VLOOKUP(J168,'Obs Tecnicas'!$D$2:$I$320,5,0),O168)</f>
        <v>44421</v>
      </c>
      <c r="Q168" s="69" t="str">
        <f t="shared" ca="1" si="15"/>
        <v>Calibrado</v>
      </c>
      <c r="R168" s="71">
        <f>IFERROR(VLOOKUP(J168,'Obs Tecnicas'!$D$2:$G$340,2,0),"")</f>
        <v>13346</v>
      </c>
      <c r="S168" s="67" t="str">
        <f>IFERROR(VLOOKUP(J168,'Obs Tecnicas'!$D$2:$G$344,3,0),"Hexis")</f>
        <v>ER ANALITICA</v>
      </c>
      <c r="T168" s="67">
        <f>IFERROR(VLOOKUP(J168,'Obs Tecnicas'!$D$2:$G$344,4,0),"")</f>
        <v>0</v>
      </c>
      <c r="U168" s="13" t="s">
        <v>464</v>
      </c>
      <c r="V168" s="13">
        <f t="shared" si="11"/>
        <v>8</v>
      </c>
      <c r="W168" s="72">
        <f t="shared" si="12"/>
        <v>101.655</v>
      </c>
      <c r="X168" s="72">
        <f t="shared" si="13"/>
        <v>195.22799999999998</v>
      </c>
      <c r="AF168" s="104">
        <v>44421</v>
      </c>
    </row>
    <row r="169" spans="1:32">
      <c r="A169" s="77" t="s">
        <v>20</v>
      </c>
      <c r="B169" s="13" t="s">
        <v>156</v>
      </c>
      <c r="C169" s="66" t="s">
        <v>157</v>
      </c>
      <c r="D169" s="67" t="s">
        <v>158</v>
      </c>
      <c r="E169" s="13" t="s">
        <v>146</v>
      </c>
      <c r="F169" s="66" t="s">
        <v>147</v>
      </c>
      <c r="G169" s="67" t="s">
        <v>132</v>
      </c>
      <c r="H169" s="67" t="s">
        <v>27</v>
      </c>
      <c r="I169" s="67" t="s">
        <v>45</v>
      </c>
      <c r="J169" s="68" t="s">
        <v>632</v>
      </c>
      <c r="K169" s="67" t="s">
        <v>53</v>
      </c>
      <c r="L169" s="67" t="s">
        <v>61</v>
      </c>
      <c r="M169" s="75" t="s">
        <v>160</v>
      </c>
      <c r="N169" s="75" t="s">
        <v>161</v>
      </c>
      <c r="O169" s="69">
        <v>44067</v>
      </c>
      <c r="P169" s="70">
        <f>IFERROR(VLOOKUP(J169,'Obs Tecnicas'!$D$2:$I$320,5,0),O169)</f>
        <v>44421</v>
      </c>
      <c r="Q169" s="69" t="str">
        <f t="shared" ca="1" si="15"/>
        <v>Calibrado</v>
      </c>
      <c r="R169" s="71">
        <f>IFERROR(VLOOKUP(J169,'Obs Tecnicas'!$D$2:$G$340,2,0),"")</f>
        <v>13348</v>
      </c>
      <c r="S169" s="67" t="str">
        <f>IFERROR(VLOOKUP(J169,'Obs Tecnicas'!$D$2:$G$344,3,0),"Hexis")</f>
        <v>ER ANALITICA</v>
      </c>
      <c r="T169" s="67" t="str">
        <f>IFERROR(VLOOKUP(J169,'Obs Tecnicas'!$D$2:$G$344,4,0),"")</f>
        <v>Bateria de litio com baixa carga.</v>
      </c>
      <c r="U169" s="13" t="s">
        <v>464</v>
      </c>
      <c r="V169" s="13">
        <f t="shared" si="11"/>
        <v>8</v>
      </c>
      <c r="W169" s="72">
        <f t="shared" si="12"/>
        <v>420.44400000000002</v>
      </c>
      <c r="X169" s="72">
        <f t="shared" si="13"/>
        <v>385.26299999999998</v>
      </c>
      <c r="AF169" s="104">
        <v>44421</v>
      </c>
    </row>
    <row r="170" spans="1:32">
      <c r="A170" s="13" t="s">
        <v>20</v>
      </c>
      <c r="B170" s="13" t="s">
        <v>156</v>
      </c>
      <c r="C170" s="66" t="s">
        <v>157</v>
      </c>
      <c r="D170" s="67" t="s">
        <v>158</v>
      </c>
      <c r="E170" s="13" t="s">
        <v>146</v>
      </c>
      <c r="F170" s="66" t="s">
        <v>147</v>
      </c>
      <c r="G170" s="67" t="s">
        <v>132</v>
      </c>
      <c r="H170" s="67" t="s">
        <v>27</v>
      </c>
      <c r="I170" s="67" t="s">
        <v>45</v>
      </c>
      <c r="J170" s="68" t="s">
        <v>633</v>
      </c>
      <c r="K170" s="67" t="s">
        <v>53</v>
      </c>
      <c r="L170" s="67" t="s">
        <v>61</v>
      </c>
      <c r="M170" s="75" t="s">
        <v>160</v>
      </c>
      <c r="N170" s="75" t="s">
        <v>161</v>
      </c>
      <c r="O170" s="69">
        <v>44067</v>
      </c>
      <c r="P170" s="70">
        <f>IFERROR(VLOOKUP(J170,'Obs Tecnicas'!$D$2:$I$320,5,0),O170)</f>
        <v>44421</v>
      </c>
      <c r="Q170" s="69" t="str">
        <f t="shared" ca="1" si="15"/>
        <v>Calibrado</v>
      </c>
      <c r="R170" s="71">
        <f>IFERROR(VLOOKUP(J170,'Obs Tecnicas'!$D$2:$G$340,2,0),"")</f>
        <v>13347</v>
      </c>
      <c r="S170" s="67" t="str">
        <f>IFERROR(VLOOKUP(J170,'Obs Tecnicas'!$D$2:$G$344,3,0),"Hexis")</f>
        <v>ER ANALITICA</v>
      </c>
      <c r="T170" s="67" t="str">
        <f>IFERROR(VLOOKUP(J170,'Obs Tecnicas'!$D$2:$G$344,4,0),"")</f>
        <v xml:space="preserve"> Bateria de litio com baixa carga.</v>
      </c>
      <c r="U170" s="13" t="s">
        <v>464</v>
      </c>
      <c r="V170" s="13">
        <f t="shared" si="11"/>
        <v>8</v>
      </c>
      <c r="W170" s="72">
        <f t="shared" si="12"/>
        <v>420.44400000000002</v>
      </c>
      <c r="X170" s="72">
        <f t="shared" si="13"/>
        <v>385.26299999999998</v>
      </c>
      <c r="AF170" s="104">
        <v>44421</v>
      </c>
    </row>
    <row r="171" spans="1:32">
      <c r="A171" s="77" t="s">
        <v>20</v>
      </c>
      <c r="B171" s="13" t="s">
        <v>156</v>
      </c>
      <c r="C171" s="66" t="s">
        <v>157</v>
      </c>
      <c r="D171" s="67" t="s">
        <v>158</v>
      </c>
      <c r="E171" s="13" t="s">
        <v>146</v>
      </c>
      <c r="F171" s="66" t="s">
        <v>147</v>
      </c>
      <c r="G171" s="67" t="s">
        <v>132</v>
      </c>
      <c r="H171" s="67" t="s">
        <v>27</v>
      </c>
      <c r="I171" s="75" t="s">
        <v>34</v>
      </c>
      <c r="J171" s="68" t="s">
        <v>634</v>
      </c>
      <c r="K171" s="67" t="s">
        <v>35</v>
      </c>
      <c r="L171" s="67" t="s">
        <v>36</v>
      </c>
      <c r="M171" s="75" t="s">
        <v>160</v>
      </c>
      <c r="N171" s="75" t="s">
        <v>161</v>
      </c>
      <c r="O171" s="69">
        <v>44067</v>
      </c>
      <c r="P171" s="70">
        <f>IFERROR(VLOOKUP(J171,'Obs Tecnicas'!$D$2:$I$320,5,0),O171)</f>
        <v>44421</v>
      </c>
      <c r="Q171" s="69" t="str">
        <f t="shared" ca="1" si="15"/>
        <v>Calibrado</v>
      </c>
      <c r="R171" s="71">
        <f>IFERROR(VLOOKUP(J171,'Obs Tecnicas'!$D$2:$G$340,2,0),"")</f>
        <v>13349</v>
      </c>
      <c r="S171" s="67" t="str">
        <f>IFERROR(VLOOKUP(J171,'Obs Tecnicas'!$D$2:$G$344,3,0),"Hexis")</f>
        <v>ER ANALITICA</v>
      </c>
      <c r="T171" s="67">
        <f>IFERROR(VLOOKUP(J171,'Obs Tecnicas'!$D$2:$G$344,4,0),"")</f>
        <v>0</v>
      </c>
      <c r="U171" s="13" t="s">
        <v>464</v>
      </c>
      <c r="V171" s="13">
        <f t="shared" si="11"/>
        <v>8</v>
      </c>
      <c r="W171" s="72">
        <f t="shared" si="12"/>
        <v>101.655</v>
      </c>
      <c r="X171" s="72">
        <f t="shared" si="13"/>
        <v>195.22799999999998</v>
      </c>
      <c r="AF171" s="104">
        <v>44421</v>
      </c>
    </row>
    <row r="172" spans="1:32">
      <c r="A172" s="13" t="s">
        <v>20</v>
      </c>
      <c r="B172" s="13" t="s">
        <v>375</v>
      </c>
      <c r="C172" s="66" t="s">
        <v>376</v>
      </c>
      <c r="D172" s="67" t="s">
        <v>377</v>
      </c>
      <c r="E172" s="13" t="s">
        <v>378</v>
      </c>
      <c r="F172" s="66" t="s">
        <v>379</v>
      </c>
      <c r="G172" s="67" t="s">
        <v>365</v>
      </c>
      <c r="H172" s="67" t="s">
        <v>185</v>
      </c>
      <c r="I172" s="67" t="s">
        <v>52</v>
      </c>
      <c r="J172" s="80" t="s">
        <v>726</v>
      </c>
      <c r="K172" s="67" t="s">
        <v>53</v>
      </c>
      <c r="L172" s="67" t="s">
        <v>86</v>
      </c>
      <c r="M172" s="67" t="s">
        <v>290</v>
      </c>
      <c r="N172" s="67" t="s">
        <v>380</v>
      </c>
      <c r="O172" s="69">
        <v>44049</v>
      </c>
      <c r="P172" s="70">
        <f>IFERROR(VLOOKUP(J172,'Obs Tecnicas'!$D$2:$I$320,5,0),O172)</f>
        <v>44049</v>
      </c>
      <c r="Q172" s="69" t="str">
        <f t="shared" ca="1" si="15"/>
        <v>Vencido</v>
      </c>
      <c r="R172" s="71" t="str">
        <f>IFERROR(VLOOKUP(J172,'Obs Tecnicas'!$D$2:$G$340,2,0),"")</f>
        <v/>
      </c>
      <c r="S172" s="67" t="str">
        <f>IFERROR(VLOOKUP(J172,'Obs Tecnicas'!$D$2:$G$344,3,0),"Hexis")</f>
        <v>Hexis</v>
      </c>
      <c r="T172" s="67" t="str">
        <f>IFERROR(VLOOKUP(J172,'Obs Tecnicas'!$D$2:$G$344,4,0),"")</f>
        <v/>
      </c>
      <c r="U172" s="13" t="s">
        <v>464</v>
      </c>
      <c r="V172" s="13">
        <f t="shared" si="11"/>
        <v>8</v>
      </c>
      <c r="W172" s="72">
        <f t="shared" si="12"/>
        <v>178.434</v>
      </c>
      <c r="X172" s="72">
        <f t="shared" si="13"/>
        <v>318.94200000000001</v>
      </c>
      <c r="AF172" s="104">
        <v>44427</v>
      </c>
    </row>
    <row r="173" spans="1:32">
      <c r="A173" s="13" t="s">
        <v>20</v>
      </c>
      <c r="B173" s="13" t="s">
        <v>375</v>
      </c>
      <c r="C173" s="66" t="s">
        <v>376</v>
      </c>
      <c r="D173" s="67" t="s">
        <v>377</v>
      </c>
      <c r="E173" s="13" t="s">
        <v>378</v>
      </c>
      <c r="F173" s="66" t="s">
        <v>379</v>
      </c>
      <c r="G173" s="67" t="s">
        <v>365</v>
      </c>
      <c r="H173" s="67" t="s">
        <v>185</v>
      </c>
      <c r="I173" s="67" t="s">
        <v>76</v>
      </c>
      <c r="J173" s="68" t="s">
        <v>727</v>
      </c>
      <c r="K173" s="67" t="s">
        <v>94</v>
      </c>
      <c r="L173" s="67" t="s">
        <v>95</v>
      </c>
      <c r="M173" s="67" t="s">
        <v>290</v>
      </c>
      <c r="N173" s="67" t="s">
        <v>380</v>
      </c>
      <c r="O173" s="69">
        <v>44049</v>
      </c>
      <c r="P173" s="70">
        <f>IFERROR(VLOOKUP(J173,'Obs Tecnicas'!$D$2:$I$320,5,0),O173)</f>
        <v>44049</v>
      </c>
      <c r="Q173" s="69" t="str">
        <f t="shared" ca="1" si="15"/>
        <v>Vencido</v>
      </c>
      <c r="R173" s="71" t="str">
        <f>IFERROR(VLOOKUP(J173,'Obs Tecnicas'!$D$2:$G$340,2,0),"")</f>
        <v/>
      </c>
      <c r="S173" s="67" t="str">
        <f>IFERROR(VLOOKUP(J173,'Obs Tecnicas'!$D$2:$G$344,3,0),"Hexis")</f>
        <v>Hexis</v>
      </c>
      <c r="T173" s="67" t="str">
        <f>IFERROR(VLOOKUP(J173,'Obs Tecnicas'!$D$2:$G$344,4,0),"")</f>
        <v/>
      </c>
      <c r="U173" s="13" t="s">
        <v>464</v>
      </c>
      <c r="V173" s="13">
        <f t="shared" si="11"/>
        <v>8</v>
      </c>
      <c r="W173" s="72">
        <f t="shared" si="12"/>
        <v>101.655</v>
      </c>
      <c r="X173" s="72">
        <f t="shared" si="13"/>
        <v>195.22799999999998</v>
      </c>
      <c r="AF173" s="104">
        <v>44427</v>
      </c>
    </row>
    <row r="174" spans="1:32">
      <c r="A174" s="13" t="s">
        <v>20</v>
      </c>
      <c r="B174" s="13" t="s">
        <v>375</v>
      </c>
      <c r="C174" s="66" t="s">
        <v>376</v>
      </c>
      <c r="D174" s="67" t="s">
        <v>377</v>
      </c>
      <c r="E174" s="13" t="s">
        <v>378</v>
      </c>
      <c r="F174" s="66" t="s">
        <v>379</v>
      </c>
      <c r="G174" s="67" t="s">
        <v>365</v>
      </c>
      <c r="H174" s="67" t="s">
        <v>185</v>
      </c>
      <c r="I174" s="67" t="s">
        <v>34</v>
      </c>
      <c r="J174" s="68" t="s">
        <v>728</v>
      </c>
      <c r="K174" s="67" t="s">
        <v>94</v>
      </c>
      <c r="L174" s="67" t="s">
        <v>123</v>
      </c>
      <c r="M174" s="67" t="s">
        <v>290</v>
      </c>
      <c r="N174" s="67" t="s">
        <v>380</v>
      </c>
      <c r="O174" s="69">
        <v>44049</v>
      </c>
      <c r="P174" s="70">
        <f>IFERROR(VLOOKUP(J174,'Obs Tecnicas'!$D$2:$I$320,5,0),O174)</f>
        <v>44049</v>
      </c>
      <c r="Q174" s="69" t="str">
        <f t="shared" ca="1" si="15"/>
        <v>Vencido</v>
      </c>
      <c r="R174" s="71" t="str">
        <f>IFERROR(VLOOKUP(J174,'Obs Tecnicas'!$D$2:$G$340,2,0),"")</f>
        <v/>
      </c>
      <c r="S174" s="67" t="str">
        <f>IFERROR(VLOOKUP(J174,'Obs Tecnicas'!$D$2:$G$344,3,0),"Hexis")</f>
        <v>Hexis</v>
      </c>
      <c r="T174" s="67" t="str">
        <f>IFERROR(VLOOKUP(J174,'Obs Tecnicas'!$D$2:$G$344,4,0),"")</f>
        <v/>
      </c>
      <c r="U174" s="13" t="s">
        <v>464</v>
      </c>
      <c r="V174" s="13">
        <f t="shared" si="11"/>
        <v>8</v>
      </c>
      <c r="W174" s="72">
        <f t="shared" si="12"/>
        <v>101.655</v>
      </c>
      <c r="X174" s="72">
        <f t="shared" si="13"/>
        <v>195.22799999999998</v>
      </c>
      <c r="AF174" s="104">
        <v>44427</v>
      </c>
    </row>
    <row r="175" spans="1:32">
      <c r="A175" s="13" t="s">
        <v>20</v>
      </c>
      <c r="B175" s="13" t="s">
        <v>799</v>
      </c>
      <c r="C175" s="66" t="s">
        <v>798</v>
      </c>
      <c r="D175" t="s">
        <v>800</v>
      </c>
      <c r="E175" s="13" t="s">
        <v>786</v>
      </c>
      <c r="F175" s="66" t="s">
        <v>787</v>
      </c>
      <c r="G175" s="67" t="s">
        <v>318</v>
      </c>
      <c r="H175" s="67" t="s">
        <v>324</v>
      </c>
      <c r="I175" s="67" t="s">
        <v>52</v>
      </c>
      <c r="J175" s="68" t="s">
        <v>712</v>
      </c>
      <c r="K175" s="67" t="s">
        <v>53</v>
      </c>
      <c r="L175" s="67" t="s">
        <v>54</v>
      </c>
      <c r="M175" s="67" t="s">
        <v>326</v>
      </c>
      <c r="N175" s="67" t="s">
        <v>327</v>
      </c>
      <c r="O175" s="69">
        <v>44022</v>
      </c>
      <c r="P175" s="70">
        <f>IFERROR(VLOOKUP(J175,'Obs Tecnicas'!$D$2:$I$320,5,0),O175)</f>
        <v>44371</v>
      </c>
      <c r="Q175" s="69" t="str">
        <f t="shared" ca="1" si="15"/>
        <v>Calibrado</v>
      </c>
      <c r="R175" s="71">
        <f>IFERROR(VLOOKUP(J175,'Obs Tecnicas'!$D$2:$G$340,2,0),"")</f>
        <v>12677</v>
      </c>
      <c r="S175" s="67" t="str">
        <f>IFERROR(VLOOKUP(J175,'Obs Tecnicas'!$D$2:$G$344,3,0),"Hexis")</f>
        <v>ER ANALITICA</v>
      </c>
      <c r="T175" s="67">
        <f>IFERROR(VLOOKUP(J175,'Obs Tecnicas'!$D$2:$G$344,4,0),"")</f>
        <v>0</v>
      </c>
      <c r="U175" s="13" t="s">
        <v>550</v>
      </c>
      <c r="V175" s="13">
        <f t="shared" si="11"/>
        <v>6</v>
      </c>
      <c r="W175" s="72">
        <f t="shared" si="12"/>
        <v>178.434</v>
      </c>
      <c r="X175" s="72">
        <f t="shared" si="13"/>
        <v>318.94200000000001</v>
      </c>
      <c r="AE175" s="13" t="s">
        <v>806</v>
      </c>
    </row>
    <row r="176" spans="1:32">
      <c r="A176" s="13" t="s">
        <v>20</v>
      </c>
      <c r="B176" s="13" t="s">
        <v>799</v>
      </c>
      <c r="C176" s="66" t="s">
        <v>798</v>
      </c>
      <c r="D176" t="s">
        <v>800</v>
      </c>
      <c r="E176" s="13" t="s">
        <v>786</v>
      </c>
      <c r="F176" s="66" t="s">
        <v>787</v>
      </c>
      <c r="G176" s="67" t="s">
        <v>318</v>
      </c>
      <c r="H176" s="67" t="s">
        <v>324</v>
      </c>
      <c r="I176" s="67" t="s">
        <v>76</v>
      </c>
      <c r="J176" s="68" t="s">
        <v>713</v>
      </c>
      <c r="K176" s="67" t="s">
        <v>340</v>
      </c>
      <c r="L176" s="67" t="s">
        <v>341</v>
      </c>
      <c r="M176" s="67" t="s">
        <v>326</v>
      </c>
      <c r="N176" s="67" t="s">
        <v>327</v>
      </c>
      <c r="O176" s="69">
        <v>44022</v>
      </c>
      <c r="P176" s="70">
        <f>IFERROR(VLOOKUP(J176,'Obs Tecnicas'!$D$2:$I$320,5,0),O176)</f>
        <v>44371</v>
      </c>
      <c r="Q176" s="69" t="str">
        <f t="shared" ca="1" si="15"/>
        <v>Calibrado</v>
      </c>
      <c r="R176" s="71">
        <f>IFERROR(VLOOKUP(J176,'Obs Tecnicas'!$D$2:$G$340,2,0),"")</f>
        <v>12679</v>
      </c>
      <c r="S176" s="67" t="str">
        <f>IFERROR(VLOOKUP(J176,'Obs Tecnicas'!$D$2:$G$344,3,0),"Hexis")</f>
        <v>ER ANALITICA</v>
      </c>
      <c r="T176" s="67" t="str">
        <f>IFERROR(VLOOKUP(J176,'Obs Tecnicas'!$D$2:$G$344,4,0),"")</f>
        <v>Sonda com a ponta quebrada.</v>
      </c>
      <c r="U176" s="13" t="s">
        <v>550</v>
      </c>
      <c r="V176" s="13">
        <f t="shared" si="11"/>
        <v>6</v>
      </c>
      <c r="W176" s="72">
        <f t="shared" si="12"/>
        <v>101.655</v>
      </c>
      <c r="X176" s="72">
        <f t="shared" si="13"/>
        <v>195.22799999999998</v>
      </c>
      <c r="AE176" s="13" t="s">
        <v>806</v>
      </c>
    </row>
    <row r="177" spans="1:32">
      <c r="A177" s="13" t="s">
        <v>20</v>
      </c>
      <c r="B177" s="13" t="s">
        <v>799</v>
      </c>
      <c r="C177" s="66" t="s">
        <v>798</v>
      </c>
      <c r="D177" t="s">
        <v>800</v>
      </c>
      <c r="E177" s="13" t="s">
        <v>786</v>
      </c>
      <c r="F177" s="66" t="s">
        <v>787</v>
      </c>
      <c r="G177" s="67" t="s">
        <v>318</v>
      </c>
      <c r="H177" s="67" t="s">
        <v>324</v>
      </c>
      <c r="I177" s="67" t="s">
        <v>79</v>
      </c>
      <c r="J177" s="68" t="s">
        <v>869</v>
      </c>
      <c r="K177" s="67" t="s">
        <v>77</v>
      </c>
      <c r="L177" s="67" t="s">
        <v>80</v>
      </c>
      <c r="M177" s="67" t="s">
        <v>326</v>
      </c>
      <c r="N177" s="67" t="s">
        <v>327</v>
      </c>
      <c r="O177" s="69">
        <v>44022</v>
      </c>
      <c r="P177" s="70">
        <f>IFERROR(VLOOKUP(J177,'Obs Tecnicas'!$D$2:$I$320,5,0),O177)</f>
        <v>44371</v>
      </c>
      <c r="Q177" s="69" t="str">
        <f t="shared" ca="1" si="15"/>
        <v>Calibrado</v>
      </c>
      <c r="R177" s="71">
        <f>IFERROR(VLOOKUP(J177,'Obs Tecnicas'!$D$2:$G$340,2,0),"")</f>
        <v>12710</v>
      </c>
      <c r="S177" s="67" t="str">
        <f>IFERROR(VLOOKUP(J177,'Obs Tecnicas'!$D$2:$G$344,3,0),"Hexis")</f>
        <v>ER ANALITICA</v>
      </c>
      <c r="T177" s="67">
        <f>IFERROR(VLOOKUP(J177,'Obs Tecnicas'!$D$2:$G$344,4,0),"")</f>
        <v>0</v>
      </c>
      <c r="U177" s="13" t="s">
        <v>550</v>
      </c>
      <c r="V177" s="13">
        <f t="shared" si="11"/>
        <v>6</v>
      </c>
      <c r="W177" s="72">
        <f t="shared" si="12"/>
        <v>101.655</v>
      </c>
      <c r="X177" s="72">
        <f t="shared" si="13"/>
        <v>390.45599999999996</v>
      </c>
      <c r="AE177" s="13" t="s">
        <v>806</v>
      </c>
    </row>
    <row r="178" spans="1:32">
      <c r="A178" s="13" t="s">
        <v>20</v>
      </c>
      <c r="B178" s="13" t="s">
        <v>799</v>
      </c>
      <c r="C178" s="66" t="s">
        <v>798</v>
      </c>
      <c r="D178" s="3" t="s">
        <v>800</v>
      </c>
      <c r="E178" s="13" t="s">
        <v>786</v>
      </c>
      <c r="F178" s="66" t="s">
        <v>787</v>
      </c>
      <c r="G178" s="67" t="s">
        <v>318</v>
      </c>
      <c r="H178" s="67" t="s">
        <v>324</v>
      </c>
      <c r="I178" s="67" t="s">
        <v>79</v>
      </c>
      <c r="J178" s="68" t="s">
        <v>342</v>
      </c>
      <c r="K178" s="67" t="s">
        <v>340</v>
      </c>
      <c r="L178" s="67" t="s">
        <v>343</v>
      </c>
      <c r="M178" s="67" t="s">
        <v>326</v>
      </c>
      <c r="N178" s="67" t="s">
        <v>327</v>
      </c>
      <c r="O178" s="69">
        <v>44022</v>
      </c>
      <c r="P178" s="70">
        <f>IFERROR(VLOOKUP(J178,'Obs Tecnicas'!$D$2:$I$320,5,0),O178)</f>
        <v>44371</v>
      </c>
      <c r="Q178" s="69" t="str">
        <f t="shared" ca="1" si="15"/>
        <v>Calibrado</v>
      </c>
      <c r="R178" s="71">
        <f>IFERROR(VLOOKUP(J178,'Obs Tecnicas'!$D$2:$G$340,2,0),"")</f>
        <v>12678</v>
      </c>
      <c r="S178" s="67" t="str">
        <f>IFERROR(VLOOKUP(J178,'Obs Tecnicas'!$D$2:$G$344,3,0),"Hexis")</f>
        <v>ER ANALITICA</v>
      </c>
      <c r="T178" s="67" t="str">
        <f>IFERROR(VLOOKUP(J178,'Obs Tecnicas'!$D$2:$G$344,4,0),"")</f>
        <v>Eletrodo com Slope abaixo do recomendado pelo fabricante (85%).</v>
      </c>
      <c r="U178" s="13" t="s">
        <v>550</v>
      </c>
      <c r="V178" s="13">
        <f t="shared" si="11"/>
        <v>6</v>
      </c>
      <c r="W178" s="72">
        <f t="shared" si="12"/>
        <v>101.655</v>
      </c>
      <c r="X178" s="72">
        <f t="shared" si="13"/>
        <v>390.45599999999996</v>
      </c>
      <c r="AE178" s="13" t="s">
        <v>806</v>
      </c>
    </row>
    <row r="179" spans="1:32">
      <c r="A179" s="13" t="s">
        <v>20</v>
      </c>
      <c r="B179" s="13" t="s">
        <v>457</v>
      </c>
      <c r="C179" s="66" t="s">
        <v>458</v>
      </c>
      <c r="D179" s="67" t="s">
        <v>459</v>
      </c>
      <c r="E179" s="13" t="s">
        <v>460</v>
      </c>
      <c r="F179" s="66" t="s">
        <v>461</v>
      </c>
      <c r="G179" s="67" t="s">
        <v>462</v>
      </c>
      <c r="H179" s="67" t="s">
        <v>27</v>
      </c>
      <c r="I179" s="67" t="s">
        <v>55</v>
      </c>
      <c r="J179" s="68" t="s">
        <v>812</v>
      </c>
      <c r="K179" s="67" t="s">
        <v>53</v>
      </c>
      <c r="L179" s="67" t="s">
        <v>57</v>
      </c>
      <c r="M179" s="67" t="s">
        <v>463</v>
      </c>
      <c r="N179" s="67" t="s">
        <v>33</v>
      </c>
      <c r="O179" s="69">
        <v>44007</v>
      </c>
      <c r="P179" s="70">
        <f>IFERROR(VLOOKUP(J179,'Obs Tecnicas'!$D$2:$I$320,5,0),O179)</f>
        <v>44368</v>
      </c>
      <c r="Q179" s="69" t="str">
        <f t="shared" ca="1" si="15"/>
        <v>Calibrado</v>
      </c>
      <c r="R179" s="71">
        <f>IFERROR(VLOOKUP(J179,'Obs Tecnicas'!$D$2:$G$340,2,0),"")</f>
        <v>12620</v>
      </c>
      <c r="S179" s="67" t="str">
        <f>IFERROR(VLOOKUP(J179,'Obs Tecnicas'!$D$2:$G$344,3,0),"Hexis")</f>
        <v>ER ANALITICA</v>
      </c>
      <c r="T179" s="67">
        <f>IFERROR(VLOOKUP(J179,'Obs Tecnicas'!$D$2:$G$344,4,0),"")</f>
        <v>0</v>
      </c>
      <c r="U179" s="13" t="s">
        <v>550</v>
      </c>
      <c r="V179" s="13">
        <f t="shared" si="11"/>
        <v>6</v>
      </c>
      <c r="W179" s="72" t="e">
        <f t="shared" si="12"/>
        <v>#N/A</v>
      </c>
      <c r="X179" s="72" t="e">
        <f t="shared" si="13"/>
        <v>#N/A</v>
      </c>
    </row>
    <row r="180" spans="1:32">
      <c r="A180" s="13" t="s">
        <v>20</v>
      </c>
      <c r="B180" s="13" t="s">
        <v>457</v>
      </c>
      <c r="C180" s="66" t="s">
        <v>458</v>
      </c>
      <c r="D180" s="67" t="s">
        <v>459</v>
      </c>
      <c r="E180" s="13" t="s">
        <v>460</v>
      </c>
      <c r="F180" s="66" t="s">
        <v>461</v>
      </c>
      <c r="G180" s="67" t="s">
        <v>462</v>
      </c>
      <c r="H180" s="67" t="s">
        <v>27</v>
      </c>
      <c r="I180" s="67" t="s">
        <v>76</v>
      </c>
      <c r="J180" s="68" t="s">
        <v>767</v>
      </c>
      <c r="K180" s="67" t="s">
        <v>68</v>
      </c>
      <c r="L180" s="67">
        <v>912</v>
      </c>
      <c r="M180" s="67" t="s">
        <v>463</v>
      </c>
      <c r="N180" s="67" t="s">
        <v>33</v>
      </c>
      <c r="O180" s="69">
        <v>44007</v>
      </c>
      <c r="P180" s="70">
        <f>IFERROR(VLOOKUP(J180,'Obs Tecnicas'!$D$2:$I$320,5,0),O180)</f>
        <v>44368</v>
      </c>
      <c r="Q180" s="69" t="str">
        <f t="shared" ca="1" si="15"/>
        <v>Calibrado</v>
      </c>
      <c r="R180" s="71">
        <f>IFERROR(VLOOKUP(J180,'Obs Tecnicas'!$D$2:$G$340,2,0),"")</f>
        <v>12621</v>
      </c>
      <c r="S180" s="67" t="str">
        <f>IFERROR(VLOOKUP(J180,'Obs Tecnicas'!$D$2:$G$344,3,0),"Hexis")</f>
        <v>ER ANALITICA</v>
      </c>
      <c r="T180" s="67">
        <f>IFERROR(VLOOKUP(J180,'Obs Tecnicas'!$D$2:$G$344,4,0),"")</f>
        <v>0</v>
      </c>
      <c r="U180" s="13" t="s">
        <v>550</v>
      </c>
      <c r="V180" s="13">
        <f t="shared" si="11"/>
        <v>6</v>
      </c>
      <c r="W180" s="72">
        <f t="shared" si="12"/>
        <v>101.655</v>
      </c>
      <c r="X180" s="72">
        <f t="shared" si="13"/>
        <v>195.22799999999998</v>
      </c>
    </row>
    <row r="181" spans="1:32" ht="15.75" customHeight="1">
      <c r="A181" s="13" t="s">
        <v>20</v>
      </c>
      <c r="B181" s="13" t="s">
        <v>457</v>
      </c>
      <c r="C181" s="66" t="s">
        <v>458</v>
      </c>
      <c r="D181" s="67" t="s">
        <v>459</v>
      </c>
      <c r="E181" s="13" t="s">
        <v>460</v>
      </c>
      <c r="F181" s="66" t="s">
        <v>461</v>
      </c>
      <c r="G181" s="67" t="s">
        <v>462</v>
      </c>
      <c r="H181" s="67" t="s">
        <v>27</v>
      </c>
      <c r="I181" s="67" t="s">
        <v>45</v>
      </c>
      <c r="J181" s="68" t="s">
        <v>465</v>
      </c>
      <c r="K181" s="67" t="s">
        <v>47</v>
      </c>
      <c r="L181" s="67" t="s">
        <v>466</v>
      </c>
      <c r="M181" s="67" t="s">
        <v>463</v>
      </c>
      <c r="N181" s="67" t="s">
        <v>33</v>
      </c>
      <c r="O181" s="69">
        <v>44007</v>
      </c>
      <c r="P181" s="70">
        <f>IFERROR(VLOOKUP(J181,'Obs Tecnicas'!$D$2:$I$320,5,0),O181)</f>
        <v>44368</v>
      </c>
      <c r="Q181" s="69" t="str">
        <f t="shared" ca="1" si="15"/>
        <v>Calibrado</v>
      </c>
      <c r="R181" s="71">
        <f>IFERROR(VLOOKUP(J181,'Obs Tecnicas'!$D$2:$G$340,2,0),"")</f>
        <v>12622</v>
      </c>
      <c r="S181" s="67" t="str">
        <f>IFERROR(VLOOKUP(J181,'Obs Tecnicas'!$D$2:$G$344,3,0),"Hexis")</f>
        <v>ER ANALITICA</v>
      </c>
      <c r="T181" s="67">
        <f>IFERROR(VLOOKUP(J181,'Obs Tecnicas'!$D$2:$G$344,4,0),"")</f>
        <v>0</v>
      </c>
      <c r="U181" s="13" t="s">
        <v>550</v>
      </c>
      <c r="V181" s="13">
        <f t="shared" si="11"/>
        <v>6</v>
      </c>
      <c r="W181" s="72">
        <f t="shared" si="12"/>
        <v>420.44400000000002</v>
      </c>
      <c r="X181" s="72">
        <f t="shared" si="13"/>
        <v>385.26299999999998</v>
      </c>
    </row>
    <row r="182" spans="1:32">
      <c r="A182" s="13" t="s">
        <v>20</v>
      </c>
      <c r="B182" s="13" t="s">
        <v>457</v>
      </c>
      <c r="C182" s="66" t="s">
        <v>458</v>
      </c>
      <c r="D182" s="67" t="s">
        <v>459</v>
      </c>
      <c r="E182" s="13" t="s">
        <v>460</v>
      </c>
      <c r="F182" s="66" t="s">
        <v>461</v>
      </c>
      <c r="G182" s="67" t="s">
        <v>462</v>
      </c>
      <c r="H182" s="67" t="s">
        <v>27</v>
      </c>
      <c r="I182" s="67" t="s">
        <v>34</v>
      </c>
      <c r="J182" s="68" t="s">
        <v>469</v>
      </c>
      <c r="K182" s="67" t="s">
        <v>30</v>
      </c>
      <c r="L182" s="67" t="s">
        <v>470</v>
      </c>
      <c r="M182" s="67" t="s">
        <v>463</v>
      </c>
      <c r="N182" s="67" t="s">
        <v>33</v>
      </c>
      <c r="O182" s="69">
        <v>44007</v>
      </c>
      <c r="P182" s="70">
        <f>IFERROR(VLOOKUP(J182,'Obs Tecnicas'!$D$2:$I$320,5,0),O182)</f>
        <v>44368</v>
      </c>
      <c r="Q182" s="69" t="str">
        <f t="shared" ca="1" si="15"/>
        <v>Calibrado</v>
      </c>
      <c r="R182" s="71">
        <f>IFERROR(VLOOKUP(J182,'Obs Tecnicas'!$D$2:$G$340,2,0),"")</f>
        <v>12625</v>
      </c>
      <c r="S182" s="67" t="str">
        <f>IFERROR(VLOOKUP(J182,'Obs Tecnicas'!$D$2:$G$344,3,0),"Hexis")</f>
        <v>ER ANALITICA</v>
      </c>
      <c r="T182" s="67">
        <f>IFERROR(VLOOKUP(J182,'Obs Tecnicas'!$D$2:$G$344,4,0),"")</f>
        <v>0</v>
      </c>
      <c r="U182" s="13" t="s">
        <v>550</v>
      </c>
      <c r="V182" s="13">
        <f t="shared" si="11"/>
        <v>6</v>
      </c>
      <c r="W182" s="72">
        <f t="shared" si="12"/>
        <v>101.655</v>
      </c>
      <c r="X182" s="72">
        <f t="shared" si="13"/>
        <v>195.22799999999998</v>
      </c>
    </row>
    <row r="183" spans="1:32">
      <c r="A183" s="13" t="s">
        <v>20</v>
      </c>
      <c r="B183" s="13" t="s">
        <v>457</v>
      </c>
      <c r="C183" s="66" t="s">
        <v>458</v>
      </c>
      <c r="D183" s="67" t="s">
        <v>459</v>
      </c>
      <c r="E183" s="13" t="s">
        <v>460</v>
      </c>
      <c r="F183" s="66" t="s">
        <v>461</v>
      </c>
      <c r="G183" s="67" t="s">
        <v>462</v>
      </c>
      <c r="H183" s="67" t="s">
        <v>27</v>
      </c>
      <c r="I183" s="67" t="s">
        <v>34</v>
      </c>
      <c r="J183" s="68" t="s">
        <v>823</v>
      </c>
      <c r="K183" s="67" t="s">
        <v>68</v>
      </c>
      <c r="L183" s="67" t="s">
        <v>69</v>
      </c>
      <c r="M183" s="67" t="s">
        <v>463</v>
      </c>
      <c r="N183" s="67" t="s">
        <v>33</v>
      </c>
      <c r="O183" s="69">
        <v>44007</v>
      </c>
      <c r="P183" s="70">
        <f>IFERROR(VLOOKUP(J183,'Obs Tecnicas'!$D$2:$I$320,5,0),O183)</f>
        <v>44368</v>
      </c>
      <c r="Q183" s="69" t="str">
        <f t="shared" ca="1" si="15"/>
        <v>Calibrado</v>
      </c>
      <c r="R183" s="71">
        <f>IFERROR(VLOOKUP(J183,'Obs Tecnicas'!$D$2:$G$340,2,0),"")</f>
        <v>12626</v>
      </c>
      <c r="S183" s="67" t="str">
        <f>IFERROR(VLOOKUP(J183,'Obs Tecnicas'!$D$2:$G$344,3,0),"Hexis")</f>
        <v>ER ANALITICA</v>
      </c>
      <c r="T183" s="67">
        <f>IFERROR(VLOOKUP(J183,'Obs Tecnicas'!$D$2:$G$344,4,0),"")</f>
        <v>0</v>
      </c>
      <c r="U183" s="13" t="s">
        <v>550</v>
      </c>
      <c r="V183" s="13">
        <f t="shared" si="11"/>
        <v>6</v>
      </c>
      <c r="W183" s="72">
        <f t="shared" si="12"/>
        <v>101.655</v>
      </c>
      <c r="X183" s="72">
        <f t="shared" si="13"/>
        <v>195.22799999999998</v>
      </c>
    </row>
    <row r="184" spans="1:32">
      <c r="A184" s="13" t="s">
        <v>20</v>
      </c>
      <c r="B184" s="13" t="s">
        <v>457</v>
      </c>
      <c r="C184" s="66" t="s">
        <v>458</v>
      </c>
      <c r="D184" s="67" t="s">
        <v>459</v>
      </c>
      <c r="E184" s="13" t="s">
        <v>460</v>
      </c>
      <c r="F184" s="66" t="s">
        <v>461</v>
      </c>
      <c r="G184" s="67" t="s">
        <v>462</v>
      </c>
      <c r="H184" s="67" t="s">
        <v>27</v>
      </c>
      <c r="I184" s="67" t="s">
        <v>34</v>
      </c>
      <c r="J184" s="68" t="s">
        <v>770</v>
      </c>
      <c r="K184" s="67" t="s">
        <v>68</v>
      </c>
      <c r="L184" s="67" t="s">
        <v>69</v>
      </c>
      <c r="M184" s="67" t="s">
        <v>463</v>
      </c>
      <c r="N184" s="67" t="s">
        <v>33</v>
      </c>
      <c r="O184" s="69">
        <v>44007</v>
      </c>
      <c r="P184" s="70">
        <f>IFERROR(VLOOKUP(J184,'Obs Tecnicas'!$D$2:$I$320,5,0),O184)</f>
        <v>44368</v>
      </c>
      <c r="Q184" s="69" t="str">
        <f t="shared" ca="1" si="15"/>
        <v>Calibrado</v>
      </c>
      <c r="R184" s="71">
        <f>IFERROR(VLOOKUP(J184,'Obs Tecnicas'!$D$2:$G$340,2,0),"")</f>
        <v>12627</v>
      </c>
      <c r="S184" s="67" t="str">
        <f>IFERROR(VLOOKUP(J184,'Obs Tecnicas'!$D$2:$G$344,3,0),"Hexis")</f>
        <v>ER ANALITICA</v>
      </c>
      <c r="T184" s="67">
        <f>IFERROR(VLOOKUP(J184,'Obs Tecnicas'!$D$2:$G$344,4,0),"")</f>
        <v>0</v>
      </c>
      <c r="U184" s="13" t="s">
        <v>550</v>
      </c>
      <c r="V184" s="13">
        <f t="shared" si="11"/>
        <v>6</v>
      </c>
      <c r="W184" s="72">
        <f t="shared" si="12"/>
        <v>101.655</v>
      </c>
      <c r="X184" s="72">
        <f t="shared" si="13"/>
        <v>195.22799999999998</v>
      </c>
    </row>
    <row r="185" spans="1:32">
      <c r="A185" s="13" t="s">
        <v>20</v>
      </c>
      <c r="B185" s="13" t="s">
        <v>426</v>
      </c>
      <c r="C185" s="66" t="s">
        <v>427</v>
      </c>
      <c r="D185" s="67" t="s">
        <v>395</v>
      </c>
      <c r="E185" s="13" t="s">
        <v>396</v>
      </c>
      <c r="F185" s="66" t="s">
        <v>397</v>
      </c>
      <c r="G185" s="67" t="s">
        <v>365</v>
      </c>
      <c r="H185" s="67" t="s">
        <v>191</v>
      </c>
      <c r="I185" s="67" t="s">
        <v>52</v>
      </c>
      <c r="J185" s="80" t="s">
        <v>744</v>
      </c>
      <c r="K185" s="67" t="s">
        <v>53</v>
      </c>
      <c r="L185" s="67" t="s">
        <v>54</v>
      </c>
      <c r="M185" s="67" t="s">
        <v>428</v>
      </c>
      <c r="N185" s="67" t="s">
        <v>169</v>
      </c>
      <c r="O185" s="69">
        <v>44306</v>
      </c>
      <c r="P185" s="70">
        <f>IFERROR(VLOOKUP(J185,'Obs Tecnicas'!$D$2:$I$320,5,0),O185)</f>
        <v>44306</v>
      </c>
      <c r="Q185" s="69" t="str">
        <f t="shared" ca="1" si="15"/>
        <v>Calibrado</v>
      </c>
      <c r="R185" s="71" t="str">
        <f>IFERROR(VLOOKUP(J185,'Obs Tecnicas'!$D$2:$G$340,2,0),"")</f>
        <v/>
      </c>
      <c r="S185" s="67" t="str">
        <f>IFERROR(VLOOKUP(J185,'Obs Tecnicas'!$D$2:$G$344,3,0),"Hexis")</f>
        <v>Hexis</v>
      </c>
      <c r="T185" s="67" t="str">
        <f>IFERROR(VLOOKUP(J185,'Obs Tecnicas'!$D$2:$G$344,4,0),"")</f>
        <v/>
      </c>
      <c r="U185" s="13" t="s">
        <v>550</v>
      </c>
      <c r="V185" s="13">
        <f t="shared" si="11"/>
        <v>4</v>
      </c>
      <c r="W185" s="72">
        <f t="shared" si="12"/>
        <v>178.434</v>
      </c>
      <c r="X185" s="72">
        <f t="shared" si="13"/>
        <v>318.94200000000001</v>
      </c>
    </row>
    <row r="186" spans="1:32">
      <c r="A186" s="13" t="s">
        <v>20</v>
      </c>
      <c r="B186" s="77" t="s">
        <v>188</v>
      </c>
      <c r="C186" s="66" t="s">
        <v>189</v>
      </c>
      <c r="D186" s="67" t="s">
        <v>190</v>
      </c>
      <c r="E186" s="13" t="s">
        <v>175</v>
      </c>
      <c r="F186" s="66" t="s">
        <v>176</v>
      </c>
      <c r="G186" s="67" t="s">
        <v>177</v>
      </c>
      <c r="H186" s="67" t="s">
        <v>191</v>
      </c>
      <c r="I186" s="67" t="s">
        <v>55</v>
      </c>
      <c r="J186" s="68" t="s">
        <v>192</v>
      </c>
      <c r="K186" s="67" t="s">
        <v>53</v>
      </c>
      <c r="L186" s="67" t="s">
        <v>57</v>
      </c>
      <c r="M186" s="67" t="s">
        <v>193</v>
      </c>
      <c r="O186" s="69">
        <v>43739</v>
      </c>
      <c r="P186" s="70">
        <f>IFERROR(VLOOKUP(J186,'Obs Tecnicas'!$D$2:$I$320,5,0),O186)</f>
        <v>43739</v>
      </c>
      <c r="Q186" s="69" t="str">
        <f t="shared" ca="1" si="15"/>
        <v>Vencido</v>
      </c>
      <c r="R186" s="71" t="str">
        <f>IFERROR(VLOOKUP(J186,'Obs Tecnicas'!$D$2:$G$340,2,0),"")</f>
        <v/>
      </c>
      <c r="S186" s="67" t="str">
        <f>IFERROR(VLOOKUP(J186,'Obs Tecnicas'!$D$2:$G$344,3,0),"Hexis")</f>
        <v>Hexis</v>
      </c>
      <c r="T186" s="67" t="str">
        <f>IFERROR(VLOOKUP(J186,'Obs Tecnicas'!$D$2:$G$344,4,0),"")</f>
        <v/>
      </c>
      <c r="U186" s="13" t="s">
        <v>464</v>
      </c>
      <c r="V186" s="13">
        <f t="shared" si="11"/>
        <v>10</v>
      </c>
      <c r="W186" s="72" t="e">
        <f t="shared" si="12"/>
        <v>#N/A</v>
      </c>
      <c r="X186" s="72" t="e">
        <f t="shared" si="13"/>
        <v>#N/A</v>
      </c>
      <c r="AF186" s="104">
        <v>44433</v>
      </c>
    </row>
    <row r="187" spans="1:32">
      <c r="A187" s="13" t="s">
        <v>20</v>
      </c>
      <c r="B187" s="13" t="s">
        <v>188</v>
      </c>
      <c r="C187" s="66" t="s">
        <v>189</v>
      </c>
      <c r="D187" s="67" t="s">
        <v>190</v>
      </c>
      <c r="E187" s="13" t="s">
        <v>175</v>
      </c>
      <c r="F187" s="66" t="s">
        <v>176</v>
      </c>
      <c r="G187" s="67" t="s">
        <v>177</v>
      </c>
      <c r="H187" s="67" t="s">
        <v>191</v>
      </c>
      <c r="I187" s="67" t="s">
        <v>76</v>
      </c>
      <c r="J187" s="68" t="s">
        <v>660</v>
      </c>
      <c r="K187" s="67" t="s">
        <v>94</v>
      </c>
      <c r="L187" s="67" t="s">
        <v>244</v>
      </c>
      <c r="M187" s="67" t="s">
        <v>193</v>
      </c>
      <c r="N187" s="67" t="s">
        <v>182</v>
      </c>
      <c r="O187" s="69">
        <v>44034</v>
      </c>
      <c r="P187" s="70">
        <f>IFERROR(VLOOKUP(J187,'Obs Tecnicas'!$D$2:$I$320,5,0),O187)</f>
        <v>44034</v>
      </c>
      <c r="Q187" s="69" t="str">
        <f t="shared" ca="1" si="15"/>
        <v>Vencido</v>
      </c>
      <c r="R187" s="71" t="str">
        <f>IFERROR(VLOOKUP(J187,'Obs Tecnicas'!$D$2:$G$340,2,0),"")</f>
        <v/>
      </c>
      <c r="S187" s="67" t="str">
        <f>IFERROR(VLOOKUP(J187,'Obs Tecnicas'!$D$2:$G$344,3,0),"Hexis")</f>
        <v>Hexis</v>
      </c>
      <c r="T187" s="67" t="str">
        <f>IFERROR(VLOOKUP(J187,'Obs Tecnicas'!$D$2:$G$344,4,0),"")</f>
        <v/>
      </c>
      <c r="U187" s="13" t="s">
        <v>464</v>
      </c>
      <c r="V187" s="13">
        <f t="shared" si="11"/>
        <v>7</v>
      </c>
      <c r="W187" s="72">
        <f t="shared" si="12"/>
        <v>101.655</v>
      </c>
      <c r="X187" s="72">
        <f t="shared" si="13"/>
        <v>195.22799999999998</v>
      </c>
      <c r="AE187" s="13" t="s">
        <v>807</v>
      </c>
      <c r="AF187" s="104">
        <v>44433</v>
      </c>
    </row>
    <row r="188" spans="1:32">
      <c r="A188" s="13" t="s">
        <v>20</v>
      </c>
      <c r="B188" s="77" t="s">
        <v>188</v>
      </c>
      <c r="C188" s="66" t="s">
        <v>189</v>
      </c>
      <c r="D188" s="67" t="s">
        <v>190</v>
      </c>
      <c r="E188" s="13" t="s">
        <v>175</v>
      </c>
      <c r="F188" s="66" t="s">
        <v>176</v>
      </c>
      <c r="G188" s="67" t="s">
        <v>177</v>
      </c>
      <c r="H188" s="67" t="s">
        <v>191</v>
      </c>
      <c r="I188" s="67" t="s">
        <v>76</v>
      </c>
      <c r="J188" s="68" t="s">
        <v>661</v>
      </c>
      <c r="K188" s="67" t="s">
        <v>77</v>
      </c>
      <c r="L188" s="75" t="s">
        <v>78</v>
      </c>
      <c r="M188" s="67" t="s">
        <v>193</v>
      </c>
      <c r="N188" s="67" t="s">
        <v>182</v>
      </c>
      <c r="O188" s="69">
        <v>44034</v>
      </c>
      <c r="P188" s="70">
        <f>IFERROR(VLOOKUP(J188,'Obs Tecnicas'!$D$2:$I$320,5,0),O188)</f>
        <v>44034</v>
      </c>
      <c r="Q188" s="69" t="str">
        <f t="shared" ca="1" si="15"/>
        <v>Vencido</v>
      </c>
      <c r="R188" s="71" t="str">
        <f>IFERROR(VLOOKUP(J188,'Obs Tecnicas'!$D$2:$G$340,2,0),"")</f>
        <v/>
      </c>
      <c r="S188" s="67" t="str">
        <f>IFERROR(VLOOKUP(J188,'Obs Tecnicas'!$D$2:$G$344,3,0),"Hexis")</f>
        <v>Hexis</v>
      </c>
      <c r="T188" s="67" t="str">
        <f>IFERROR(VLOOKUP(J188,'Obs Tecnicas'!$D$2:$G$344,4,0),"")</f>
        <v/>
      </c>
      <c r="U188" s="13" t="s">
        <v>464</v>
      </c>
      <c r="V188" s="13">
        <f t="shared" si="11"/>
        <v>7</v>
      </c>
      <c r="W188" s="72">
        <f t="shared" si="12"/>
        <v>101.655</v>
      </c>
      <c r="X188" s="72">
        <f t="shared" si="13"/>
        <v>195.22799999999998</v>
      </c>
      <c r="AE188" s="13" t="s">
        <v>807</v>
      </c>
      <c r="AF188" s="104">
        <v>44433</v>
      </c>
    </row>
    <row r="189" spans="1:32">
      <c r="A189" s="13" t="s">
        <v>20</v>
      </c>
      <c r="B189" s="77" t="s">
        <v>188</v>
      </c>
      <c r="C189" s="66" t="s">
        <v>189</v>
      </c>
      <c r="D189" s="67" t="s">
        <v>190</v>
      </c>
      <c r="E189" s="13" t="s">
        <v>175</v>
      </c>
      <c r="F189" s="66" t="s">
        <v>176</v>
      </c>
      <c r="G189" s="67" t="s">
        <v>177</v>
      </c>
      <c r="H189" s="67" t="s">
        <v>191</v>
      </c>
      <c r="I189" s="67" t="s">
        <v>45</v>
      </c>
      <c r="J189" s="68" t="s">
        <v>662</v>
      </c>
      <c r="K189" s="67" t="s">
        <v>53</v>
      </c>
      <c r="L189" s="67" t="s">
        <v>72</v>
      </c>
      <c r="M189" s="67" t="s">
        <v>193</v>
      </c>
      <c r="N189" s="67" t="s">
        <v>182</v>
      </c>
      <c r="O189" s="69">
        <v>44034</v>
      </c>
      <c r="P189" s="70">
        <f>IFERROR(VLOOKUP(J189,'Obs Tecnicas'!$D$2:$I$320,5,0),O189)</f>
        <v>44034</v>
      </c>
      <c r="Q189" s="69" t="str">
        <f t="shared" ca="1" si="15"/>
        <v>Vencido</v>
      </c>
      <c r="R189" s="71" t="str">
        <f>IFERROR(VLOOKUP(J189,'Obs Tecnicas'!$D$2:$G$340,2,0),"")</f>
        <v/>
      </c>
      <c r="S189" s="67" t="str">
        <f>IFERROR(VLOOKUP(J189,'Obs Tecnicas'!$D$2:$G$344,3,0),"Hexis")</f>
        <v>Hexis</v>
      </c>
      <c r="T189" s="67" t="str">
        <f>IFERROR(VLOOKUP(J189,'Obs Tecnicas'!$D$2:$G$344,4,0),"")</f>
        <v/>
      </c>
      <c r="U189" s="13" t="s">
        <v>464</v>
      </c>
      <c r="V189" s="13">
        <f t="shared" si="11"/>
        <v>7</v>
      </c>
      <c r="W189" s="72">
        <f t="shared" si="12"/>
        <v>420.44400000000002</v>
      </c>
      <c r="X189" s="72">
        <f t="shared" si="13"/>
        <v>385.26299999999998</v>
      </c>
      <c r="AE189" s="13" t="s">
        <v>807</v>
      </c>
      <c r="AF189" s="104">
        <v>44433</v>
      </c>
    </row>
    <row r="190" spans="1:32">
      <c r="A190" s="13" t="s">
        <v>20</v>
      </c>
      <c r="B190" s="13" t="s">
        <v>188</v>
      </c>
      <c r="C190" s="66" t="s">
        <v>189</v>
      </c>
      <c r="D190" s="67" t="s">
        <v>190</v>
      </c>
      <c r="E190" s="13" t="s">
        <v>175</v>
      </c>
      <c r="F190" s="66" t="s">
        <v>176</v>
      </c>
      <c r="G190" s="67" t="s">
        <v>177</v>
      </c>
      <c r="H190" s="67" t="s">
        <v>191</v>
      </c>
      <c r="I190" s="67" t="s">
        <v>45</v>
      </c>
      <c r="J190" s="82" t="s">
        <v>245</v>
      </c>
      <c r="K190" s="67" t="s">
        <v>53</v>
      </c>
      <c r="L190" s="67" t="s">
        <v>246</v>
      </c>
      <c r="M190" s="67" t="s">
        <v>193</v>
      </c>
      <c r="N190" s="67" t="s">
        <v>182</v>
      </c>
      <c r="O190" s="69">
        <v>44034</v>
      </c>
      <c r="P190" s="70">
        <f>IFERROR(VLOOKUP(J190,'Obs Tecnicas'!$D$2:$I$320,5,0),O190)</f>
        <v>44034</v>
      </c>
      <c r="Q190" s="69" t="str">
        <f t="shared" ca="1" si="15"/>
        <v>Vencido</v>
      </c>
      <c r="R190" s="71" t="str">
        <f>IFERROR(VLOOKUP(J190,'Obs Tecnicas'!$D$2:$G$340,2,0),"")</f>
        <v/>
      </c>
      <c r="S190" s="67" t="str">
        <f>IFERROR(VLOOKUP(J190,'Obs Tecnicas'!$D$2:$G$344,3,0),"Hexis")</f>
        <v>Hexis</v>
      </c>
      <c r="T190" s="67" t="str">
        <f>IFERROR(VLOOKUP(J190,'Obs Tecnicas'!$D$2:$G$344,4,0),"")</f>
        <v/>
      </c>
      <c r="U190" s="13" t="s">
        <v>464</v>
      </c>
      <c r="V190" s="13">
        <f t="shared" si="11"/>
        <v>7</v>
      </c>
      <c r="W190" s="72">
        <f t="shared" si="12"/>
        <v>420.44400000000002</v>
      </c>
      <c r="X190" s="72">
        <f t="shared" si="13"/>
        <v>385.26299999999998</v>
      </c>
      <c r="AE190" s="13" t="s">
        <v>807</v>
      </c>
      <c r="AF190" s="104">
        <v>44433</v>
      </c>
    </row>
    <row r="191" spans="1:32">
      <c r="A191" s="13" t="s">
        <v>20</v>
      </c>
      <c r="B191" s="13" t="s">
        <v>188</v>
      </c>
      <c r="C191" s="66" t="s">
        <v>189</v>
      </c>
      <c r="D191" s="67" t="s">
        <v>190</v>
      </c>
      <c r="E191" s="13" t="s">
        <v>175</v>
      </c>
      <c r="F191" s="66" t="s">
        <v>176</v>
      </c>
      <c r="G191" s="67" t="s">
        <v>177</v>
      </c>
      <c r="H191" s="67" t="s">
        <v>191</v>
      </c>
      <c r="I191" s="67" t="s">
        <v>45</v>
      </c>
      <c r="J191" s="68" t="s">
        <v>663</v>
      </c>
      <c r="K191" s="67" t="s">
        <v>53</v>
      </c>
      <c r="L191" s="67" t="s">
        <v>72</v>
      </c>
      <c r="M191" s="67" t="s">
        <v>193</v>
      </c>
      <c r="N191" s="67" t="s">
        <v>182</v>
      </c>
      <c r="O191" s="69">
        <v>44034</v>
      </c>
      <c r="P191" s="70">
        <f>IFERROR(VLOOKUP(J191,'Obs Tecnicas'!$D$2:$I$320,5,0),O191)</f>
        <v>44034</v>
      </c>
      <c r="Q191" s="69" t="str">
        <f t="shared" ca="1" si="15"/>
        <v>Vencido</v>
      </c>
      <c r="R191" s="71" t="str">
        <f>IFERROR(VLOOKUP(J191,'Obs Tecnicas'!$D$2:$G$340,2,0),"")</f>
        <v/>
      </c>
      <c r="S191" s="67" t="str">
        <f>IFERROR(VLOOKUP(J191,'Obs Tecnicas'!$D$2:$G$344,3,0),"Hexis")</f>
        <v>Hexis</v>
      </c>
      <c r="T191" s="67" t="str">
        <f>IFERROR(VLOOKUP(J191,'Obs Tecnicas'!$D$2:$G$344,4,0),"")</f>
        <v/>
      </c>
      <c r="U191" s="13" t="s">
        <v>464</v>
      </c>
      <c r="V191" s="13">
        <f t="shared" si="11"/>
        <v>7</v>
      </c>
      <c r="W191" s="72">
        <f t="shared" si="12"/>
        <v>420.44400000000002</v>
      </c>
      <c r="X191" s="72">
        <f t="shared" si="13"/>
        <v>385.26299999999998</v>
      </c>
      <c r="AE191" s="13" t="s">
        <v>807</v>
      </c>
      <c r="AF191" s="104">
        <v>44433</v>
      </c>
    </row>
    <row r="192" spans="1:32">
      <c r="A192" s="13" t="s">
        <v>20</v>
      </c>
      <c r="B192" s="77" t="s">
        <v>188</v>
      </c>
      <c r="C192" s="66" t="s">
        <v>189</v>
      </c>
      <c r="D192" s="67" t="s">
        <v>190</v>
      </c>
      <c r="E192" s="13" t="s">
        <v>175</v>
      </c>
      <c r="F192" s="66" t="s">
        <v>176</v>
      </c>
      <c r="G192" s="67" t="s">
        <v>177</v>
      </c>
      <c r="H192" s="67" t="s">
        <v>191</v>
      </c>
      <c r="I192" s="67" t="s">
        <v>79</v>
      </c>
      <c r="J192" s="68" t="s">
        <v>247</v>
      </c>
      <c r="K192" s="67" t="s">
        <v>53</v>
      </c>
      <c r="L192" s="67" t="s">
        <v>233</v>
      </c>
      <c r="M192" s="67" t="s">
        <v>193</v>
      </c>
      <c r="N192" s="67" t="s">
        <v>182</v>
      </c>
      <c r="O192" s="69">
        <v>44034</v>
      </c>
      <c r="P192" s="70">
        <f>IFERROR(VLOOKUP(J192,'Obs Tecnicas'!$D$2:$I$320,5,0),O192)</f>
        <v>44034</v>
      </c>
      <c r="Q192" s="69" t="str">
        <f t="shared" ca="1" si="15"/>
        <v>Vencido</v>
      </c>
      <c r="R192" s="71" t="str">
        <f>IFERROR(VLOOKUP(J192,'Obs Tecnicas'!$D$2:$G$340,2,0),"")</f>
        <v/>
      </c>
      <c r="S192" s="67" t="str">
        <f>IFERROR(VLOOKUP(J192,'Obs Tecnicas'!$D$2:$G$344,3,0),"Hexis")</f>
        <v>Hexis</v>
      </c>
      <c r="T192" s="67" t="str">
        <f>IFERROR(VLOOKUP(J192,'Obs Tecnicas'!$D$2:$G$344,4,0),"")</f>
        <v/>
      </c>
      <c r="U192" s="13" t="s">
        <v>464</v>
      </c>
      <c r="V192" s="13">
        <f t="shared" si="11"/>
        <v>7</v>
      </c>
      <c r="W192" s="72">
        <f t="shared" si="12"/>
        <v>101.655</v>
      </c>
      <c r="X192" s="72">
        <f t="shared" si="13"/>
        <v>390.45599999999996</v>
      </c>
      <c r="AE192" s="13" t="s">
        <v>807</v>
      </c>
      <c r="AF192" s="104">
        <v>44433</v>
      </c>
    </row>
    <row r="193" spans="1:32">
      <c r="A193" s="13" t="s">
        <v>20</v>
      </c>
      <c r="B193" s="13" t="s">
        <v>188</v>
      </c>
      <c r="C193" s="66" t="s">
        <v>189</v>
      </c>
      <c r="D193" s="67" t="s">
        <v>190</v>
      </c>
      <c r="E193" s="13" t="s">
        <v>175</v>
      </c>
      <c r="F193" s="66" t="s">
        <v>176</v>
      </c>
      <c r="G193" s="67" t="s">
        <v>177</v>
      </c>
      <c r="H193" s="67" t="s">
        <v>191</v>
      </c>
      <c r="I193" s="67" t="s">
        <v>34</v>
      </c>
      <c r="J193" s="68" t="s">
        <v>664</v>
      </c>
      <c r="K193" s="67" t="s">
        <v>35</v>
      </c>
      <c r="L193" s="67" t="s">
        <v>36</v>
      </c>
      <c r="M193" s="67" t="s">
        <v>193</v>
      </c>
      <c r="N193" s="67" t="s">
        <v>248</v>
      </c>
      <c r="O193" s="69">
        <v>44034</v>
      </c>
      <c r="P193" s="70">
        <f>IFERROR(VLOOKUP(J193,'Obs Tecnicas'!$D$2:$I$320,5,0),O193)</f>
        <v>44034</v>
      </c>
      <c r="Q193" s="69" t="str">
        <f t="shared" ca="1" si="15"/>
        <v>Vencido</v>
      </c>
      <c r="R193" s="71" t="str">
        <f>IFERROR(VLOOKUP(J193,'Obs Tecnicas'!$D$2:$G$340,2,0),"")</f>
        <v/>
      </c>
      <c r="S193" s="67" t="str">
        <f>IFERROR(VLOOKUP(J193,'Obs Tecnicas'!$D$2:$G$344,3,0),"Hexis")</f>
        <v>Hexis</v>
      </c>
      <c r="T193" s="67" t="str">
        <f>IFERROR(VLOOKUP(J193,'Obs Tecnicas'!$D$2:$G$344,4,0),"")</f>
        <v/>
      </c>
      <c r="U193" s="13" t="s">
        <v>464</v>
      </c>
      <c r="V193" s="13">
        <f t="shared" si="11"/>
        <v>7</v>
      </c>
      <c r="W193" s="72">
        <f t="shared" si="12"/>
        <v>101.655</v>
      </c>
      <c r="X193" s="72">
        <f t="shared" si="13"/>
        <v>195.22799999999998</v>
      </c>
      <c r="AE193" s="13" t="s">
        <v>807</v>
      </c>
      <c r="AF193" s="104">
        <v>44433</v>
      </c>
    </row>
    <row r="194" spans="1:32">
      <c r="A194" s="13" t="s">
        <v>20</v>
      </c>
      <c r="B194" s="13" t="s">
        <v>188</v>
      </c>
      <c r="C194" s="66" t="s">
        <v>189</v>
      </c>
      <c r="D194" s="67" t="s">
        <v>190</v>
      </c>
      <c r="E194" s="13" t="s">
        <v>175</v>
      </c>
      <c r="F194" s="66" t="s">
        <v>176</v>
      </c>
      <c r="G194" s="67" t="s">
        <v>177</v>
      </c>
      <c r="H194" s="67" t="s">
        <v>191</v>
      </c>
      <c r="I194" s="67" t="s">
        <v>28</v>
      </c>
      <c r="J194" s="82" t="s">
        <v>255</v>
      </c>
      <c r="K194" s="67" t="s">
        <v>256</v>
      </c>
      <c r="L194" s="67" t="s">
        <v>257</v>
      </c>
      <c r="M194" s="67" t="s">
        <v>193</v>
      </c>
      <c r="N194" s="83" t="s">
        <v>182</v>
      </c>
      <c r="O194" s="69">
        <v>44035</v>
      </c>
      <c r="P194" s="70">
        <f>IFERROR(VLOOKUP(J194,'Obs Tecnicas'!$D$2:$I$320,5,0),O194)</f>
        <v>44035</v>
      </c>
      <c r="Q194" s="69" t="str">
        <f t="shared" ca="1" si="15"/>
        <v>Vencido</v>
      </c>
      <c r="R194" s="71" t="str">
        <f>IFERROR(VLOOKUP(J194,'Obs Tecnicas'!$D$2:$G$340,2,0),"")</f>
        <v/>
      </c>
      <c r="S194" s="67" t="str">
        <f>IFERROR(VLOOKUP(J194,'Obs Tecnicas'!$D$2:$G$344,3,0),"Hexis")</f>
        <v>Hexis</v>
      </c>
      <c r="T194" s="67" t="str">
        <f>IFERROR(VLOOKUP(J194,'Obs Tecnicas'!$D$2:$G$344,4,0),"")</f>
        <v/>
      </c>
      <c r="U194" s="13" t="s">
        <v>464</v>
      </c>
      <c r="V194" s="13">
        <f t="shared" ref="V194:V216" si="16">IF(P194&lt;&gt;"",MONTH(P194),"")</f>
        <v>7</v>
      </c>
      <c r="W194" s="72">
        <f t="shared" ref="W194:W246" si="17">VLOOKUP(I194,$AB$2:$AD$10,2,0)</f>
        <v>165.75299999999999</v>
      </c>
      <c r="X194" s="72">
        <f t="shared" ref="X194:X246" si="18">VLOOKUP(I194,$AB$2:$AD$10,3,0)</f>
        <v>245.34000000000003</v>
      </c>
      <c r="AE194" s="13" t="s">
        <v>807</v>
      </c>
      <c r="AF194" s="104">
        <v>44433</v>
      </c>
    </row>
    <row r="195" spans="1:32">
      <c r="A195" s="13" t="s">
        <v>20</v>
      </c>
      <c r="B195" s="13" t="s">
        <v>188</v>
      </c>
      <c r="C195" s="66" t="s">
        <v>189</v>
      </c>
      <c r="D195" s="67" t="s">
        <v>190</v>
      </c>
      <c r="E195" s="13" t="s">
        <v>175</v>
      </c>
      <c r="F195" s="66" t="s">
        <v>176</v>
      </c>
      <c r="G195" s="67" t="s">
        <v>177</v>
      </c>
      <c r="H195" s="67" t="s">
        <v>191</v>
      </c>
      <c r="I195" s="67" t="s">
        <v>55</v>
      </c>
      <c r="J195" s="68" t="s">
        <v>258</v>
      </c>
      <c r="K195" s="67" t="s">
        <v>53</v>
      </c>
      <c r="L195" s="67" t="s">
        <v>57</v>
      </c>
      <c r="M195" s="67" t="s">
        <v>193</v>
      </c>
      <c r="N195" s="67" t="s">
        <v>182</v>
      </c>
      <c r="O195" s="69">
        <v>44035</v>
      </c>
      <c r="P195" s="70">
        <f>IFERROR(VLOOKUP(J195,'Obs Tecnicas'!$D$2:$I$320,5,0),O195)</f>
        <v>44035</v>
      </c>
      <c r="Q195" s="69" t="str">
        <f t="shared" ca="1" si="15"/>
        <v>Vencido</v>
      </c>
      <c r="R195" s="71" t="str">
        <f>IFERROR(VLOOKUP(J195,'Obs Tecnicas'!$D$2:$G$340,2,0),"")</f>
        <v/>
      </c>
      <c r="S195" s="67" t="str">
        <f>IFERROR(VLOOKUP(J195,'Obs Tecnicas'!$D$2:$G$344,3,0),"Hexis")</f>
        <v>Hexis</v>
      </c>
      <c r="T195" s="67" t="str">
        <f>IFERROR(VLOOKUP(J195,'Obs Tecnicas'!$D$2:$G$344,4,0),"")</f>
        <v/>
      </c>
      <c r="U195" s="13" t="s">
        <v>464</v>
      </c>
      <c r="V195" s="13">
        <f t="shared" si="16"/>
        <v>7</v>
      </c>
      <c r="W195" s="72" t="e">
        <f t="shared" si="17"/>
        <v>#N/A</v>
      </c>
      <c r="X195" s="72" t="e">
        <f t="shared" si="18"/>
        <v>#N/A</v>
      </c>
      <c r="AE195" s="13" t="s">
        <v>807</v>
      </c>
      <c r="AF195" s="104">
        <v>44433</v>
      </c>
    </row>
    <row r="196" spans="1:32" ht="15.75" customHeight="1">
      <c r="A196" s="13" t="s">
        <v>20</v>
      </c>
      <c r="B196" s="13" t="s">
        <v>21</v>
      </c>
      <c r="C196" s="66" t="s">
        <v>22</v>
      </c>
      <c r="D196" s="67" t="s">
        <v>23</v>
      </c>
      <c r="E196" s="13" t="s">
        <v>24</v>
      </c>
      <c r="F196" s="66" t="s">
        <v>25</v>
      </c>
      <c r="G196" s="67" t="s">
        <v>26</v>
      </c>
      <c r="H196" s="67" t="s">
        <v>27</v>
      </c>
      <c r="I196" s="67" t="s">
        <v>28</v>
      </c>
      <c r="J196" s="68" t="s">
        <v>29</v>
      </c>
      <c r="K196" s="67" t="s">
        <v>30</v>
      </c>
      <c r="L196" s="67" t="s">
        <v>31</v>
      </c>
      <c r="M196" s="67" t="s">
        <v>32</v>
      </c>
      <c r="N196" s="67" t="s">
        <v>33</v>
      </c>
      <c r="O196" s="69">
        <v>44239</v>
      </c>
      <c r="P196" s="70">
        <f>IFERROR(VLOOKUP(J196,'Obs Tecnicas'!$D$2:$I$320,5,0),O196)</f>
        <v>44239</v>
      </c>
      <c r="Q196" s="69" t="str">
        <f t="shared" ref="Q196:Q197" ca="1" si="19">IF(P196&lt;&gt;"",IF(P196+365&gt;TODAY(),"Calibrado","Vencido"),"")</f>
        <v>Calibrado</v>
      </c>
      <c r="R196" s="71" t="s">
        <v>1024</v>
      </c>
      <c r="S196" s="67" t="str">
        <f>IFERROR(VLOOKUP(J196,'Obs Tecnicas'!$D$2:$G$344,3,0),"Hexis")</f>
        <v>Hexis</v>
      </c>
      <c r="T196" s="67" t="str">
        <f>IFERROR(VLOOKUP(J196,'Obs Tecnicas'!$D$2:$G$344,4,0),"")</f>
        <v/>
      </c>
      <c r="V196" s="13">
        <f t="shared" si="16"/>
        <v>2</v>
      </c>
      <c r="W196" s="72">
        <f t="shared" si="17"/>
        <v>165.75299999999999</v>
      </c>
      <c r="X196" s="72">
        <f t="shared" si="18"/>
        <v>245.34000000000003</v>
      </c>
    </row>
    <row r="197" spans="1:32">
      <c r="A197" s="13" t="s">
        <v>20</v>
      </c>
      <c r="B197" s="13" t="s">
        <v>21</v>
      </c>
      <c r="C197" s="66" t="s">
        <v>22</v>
      </c>
      <c r="D197" s="67" t="s">
        <v>23</v>
      </c>
      <c r="E197" s="13" t="s">
        <v>24</v>
      </c>
      <c r="F197" s="66" t="s">
        <v>25</v>
      </c>
      <c r="G197" s="67" t="s">
        <v>26</v>
      </c>
      <c r="H197" s="67" t="s">
        <v>27</v>
      </c>
      <c r="I197" s="67" t="s">
        <v>34</v>
      </c>
      <c r="J197" s="68" t="s">
        <v>1016</v>
      </c>
      <c r="K197" s="67" t="s">
        <v>35</v>
      </c>
      <c r="L197" s="67" t="s">
        <v>36</v>
      </c>
      <c r="M197" s="67" t="s">
        <v>32</v>
      </c>
      <c r="N197" s="67" t="s">
        <v>33</v>
      </c>
      <c r="O197" s="69">
        <v>44239</v>
      </c>
      <c r="P197" s="70">
        <f>IFERROR(VLOOKUP(J197,'Obs Tecnicas'!$D$2:$I$320,5,0),O197)</f>
        <v>44239</v>
      </c>
      <c r="Q197" s="69" t="str">
        <f t="shared" ca="1" si="19"/>
        <v>Calibrado</v>
      </c>
      <c r="R197" s="71" t="str">
        <f>IFERROR(VLOOKUP(J197,'Obs Tecnicas'!$D$2:$G$340,2,0),"")</f>
        <v/>
      </c>
      <c r="S197" s="67" t="str">
        <f>IFERROR(VLOOKUP(J197,'Obs Tecnicas'!$D$2:$G$344,3,0),"Hexis")</f>
        <v>Hexis</v>
      </c>
      <c r="T197" s="67" t="str">
        <f>IFERROR(VLOOKUP(J197,'Obs Tecnicas'!$D$2:$G$344,4,0),"")</f>
        <v/>
      </c>
      <c r="V197" s="13">
        <f t="shared" si="16"/>
        <v>2</v>
      </c>
      <c r="W197" s="72">
        <f t="shared" si="17"/>
        <v>101.655</v>
      </c>
      <c r="X197" s="72">
        <f t="shared" si="18"/>
        <v>195.22799999999998</v>
      </c>
    </row>
    <row r="198" spans="1:32">
      <c r="A198" s="13" t="s">
        <v>20</v>
      </c>
      <c r="B198" s="13" t="s">
        <v>111</v>
      </c>
      <c r="C198" s="66" t="s">
        <v>112</v>
      </c>
      <c r="D198" s="67" t="s">
        <v>113</v>
      </c>
      <c r="E198" s="13" t="s">
        <v>111</v>
      </c>
      <c r="F198" s="66" t="s">
        <v>112</v>
      </c>
      <c r="G198" s="67" t="s">
        <v>84</v>
      </c>
      <c r="H198" s="67" t="s">
        <v>102</v>
      </c>
      <c r="I198" s="67" t="s">
        <v>76</v>
      </c>
      <c r="J198" s="68" t="s">
        <v>605</v>
      </c>
      <c r="K198" s="67" t="s">
        <v>77</v>
      </c>
      <c r="L198" s="75" t="s">
        <v>78</v>
      </c>
      <c r="M198" s="67" t="s">
        <v>103</v>
      </c>
      <c r="N198" s="67" t="s">
        <v>88</v>
      </c>
      <c r="O198" s="69">
        <v>44055</v>
      </c>
      <c r="P198" s="70">
        <f>IFERROR(VLOOKUP(J198,'Obs Tecnicas'!$D$2:$I$320,5,0),O198)</f>
        <v>44055</v>
      </c>
      <c r="Q198" s="69" t="str">
        <f t="shared" ref="Q198:Q229" ca="1" si="20">IF(P198&lt;&gt;"",IF(P198+365&gt;TODAY(),"Calibrado","Vencido"),"")</f>
        <v>Vencido</v>
      </c>
      <c r="R198" s="71" t="str">
        <f>IFERROR(VLOOKUP(J198,'Obs Tecnicas'!$D$2:$G$340,2,0),"")</f>
        <v/>
      </c>
      <c r="S198" s="67" t="str">
        <f>IFERROR(VLOOKUP(J198,'Obs Tecnicas'!$D$2:$G$344,3,0),"Hexis")</f>
        <v>Hexis</v>
      </c>
      <c r="T198" s="67" t="str">
        <f>IFERROR(VLOOKUP(J198,'Obs Tecnicas'!$D$2:$G$344,4,0),"")</f>
        <v/>
      </c>
      <c r="U198" s="13" t="s">
        <v>464</v>
      </c>
      <c r="V198" s="13">
        <f t="shared" si="16"/>
        <v>8</v>
      </c>
      <c r="W198" s="72">
        <f t="shared" si="17"/>
        <v>101.655</v>
      </c>
      <c r="X198" s="72">
        <f t="shared" si="18"/>
        <v>195.22799999999998</v>
      </c>
      <c r="AE198" s="13" t="s">
        <v>809</v>
      </c>
      <c r="AF198" s="104">
        <v>44425</v>
      </c>
    </row>
    <row r="199" spans="1:32">
      <c r="A199" s="13" t="s">
        <v>20</v>
      </c>
      <c r="B199" s="13" t="s">
        <v>111</v>
      </c>
      <c r="C199" s="66" t="s">
        <v>112</v>
      </c>
      <c r="D199" s="67" t="s">
        <v>113</v>
      </c>
      <c r="E199" s="13" t="s">
        <v>111</v>
      </c>
      <c r="F199" s="66" t="s">
        <v>112</v>
      </c>
      <c r="G199" s="67" t="s">
        <v>84</v>
      </c>
      <c r="H199" s="67" t="s">
        <v>102</v>
      </c>
      <c r="I199" s="67" t="s">
        <v>45</v>
      </c>
      <c r="J199" s="68" t="s">
        <v>606</v>
      </c>
      <c r="K199" s="67" t="s">
        <v>53</v>
      </c>
      <c r="L199" s="67" t="s">
        <v>61</v>
      </c>
      <c r="M199" s="67" t="s">
        <v>103</v>
      </c>
      <c r="N199" s="67" t="s">
        <v>88</v>
      </c>
      <c r="O199" s="69">
        <v>44055</v>
      </c>
      <c r="P199" s="70">
        <f>IFERROR(VLOOKUP(J199,'Obs Tecnicas'!$D$2:$I$320,5,0),O199)</f>
        <v>44055</v>
      </c>
      <c r="Q199" s="69" t="str">
        <f t="shared" ca="1" si="20"/>
        <v>Vencido</v>
      </c>
      <c r="R199" s="71" t="str">
        <f>IFERROR(VLOOKUP(J199,'Obs Tecnicas'!$D$2:$G$340,2,0),"")</f>
        <v/>
      </c>
      <c r="S199" s="67" t="str">
        <f>IFERROR(VLOOKUP(J199,'Obs Tecnicas'!$D$2:$G$344,3,0),"Hexis")</f>
        <v>Hexis</v>
      </c>
      <c r="T199" s="67" t="str">
        <f>IFERROR(VLOOKUP(J199,'Obs Tecnicas'!$D$2:$G$344,4,0),"")</f>
        <v/>
      </c>
      <c r="U199" s="13" t="s">
        <v>464</v>
      </c>
      <c r="V199" s="13">
        <f t="shared" si="16"/>
        <v>8</v>
      </c>
      <c r="W199" s="72">
        <f t="shared" si="17"/>
        <v>420.44400000000002</v>
      </c>
      <c r="X199" s="72">
        <f t="shared" si="18"/>
        <v>385.26299999999998</v>
      </c>
      <c r="AE199" s="13" t="s">
        <v>809</v>
      </c>
      <c r="AF199" s="104">
        <v>44425</v>
      </c>
    </row>
    <row r="200" spans="1:32">
      <c r="A200" s="13" t="s">
        <v>20</v>
      </c>
      <c r="B200" s="13" t="s">
        <v>111</v>
      </c>
      <c r="C200" s="66" t="s">
        <v>112</v>
      </c>
      <c r="D200" s="67" t="s">
        <v>113</v>
      </c>
      <c r="E200" s="13" t="s">
        <v>111</v>
      </c>
      <c r="F200" s="66" t="s">
        <v>112</v>
      </c>
      <c r="G200" s="67" t="s">
        <v>84</v>
      </c>
      <c r="H200" s="67" t="s">
        <v>102</v>
      </c>
      <c r="I200" s="67" t="s">
        <v>28</v>
      </c>
      <c r="J200" s="68" t="s">
        <v>607</v>
      </c>
      <c r="K200" s="67" t="s">
        <v>30</v>
      </c>
      <c r="L200" s="67" t="s">
        <v>114</v>
      </c>
      <c r="M200" s="67" t="s">
        <v>103</v>
      </c>
      <c r="N200" s="67" t="s">
        <v>88</v>
      </c>
      <c r="O200" s="69">
        <v>44056</v>
      </c>
      <c r="P200" s="70">
        <f>IFERROR(VLOOKUP(J200,'Obs Tecnicas'!$D$2:$I$320,5,0),O200)</f>
        <v>44056</v>
      </c>
      <c r="Q200" s="69" t="str">
        <f t="shared" ca="1" si="20"/>
        <v>Vencido</v>
      </c>
      <c r="R200" s="71" t="str">
        <f>IFERROR(VLOOKUP(J200,'Obs Tecnicas'!$D$2:$G$340,2,0),"")</f>
        <v/>
      </c>
      <c r="S200" s="67" t="str">
        <f>IFERROR(VLOOKUP(J200,'Obs Tecnicas'!$D$2:$G$344,3,0),"Hexis")</f>
        <v>Hexis</v>
      </c>
      <c r="T200" s="67" t="str">
        <f>IFERROR(VLOOKUP(J200,'Obs Tecnicas'!$D$2:$G$344,4,0),"")</f>
        <v/>
      </c>
      <c r="U200" s="13" t="s">
        <v>464</v>
      </c>
      <c r="V200" s="13">
        <f t="shared" si="16"/>
        <v>8</v>
      </c>
      <c r="W200" s="72">
        <f t="shared" si="17"/>
        <v>165.75299999999999</v>
      </c>
      <c r="X200" s="72">
        <f t="shared" si="18"/>
        <v>245.34000000000003</v>
      </c>
      <c r="AE200" s="13" t="s">
        <v>809</v>
      </c>
      <c r="AF200" s="104">
        <v>44425</v>
      </c>
    </row>
    <row r="201" spans="1:32">
      <c r="A201" s="13" t="s">
        <v>20</v>
      </c>
      <c r="B201" s="13" t="s">
        <v>111</v>
      </c>
      <c r="C201" s="66" t="s">
        <v>112</v>
      </c>
      <c r="D201" s="67" t="s">
        <v>113</v>
      </c>
      <c r="E201" s="13" t="s">
        <v>111</v>
      </c>
      <c r="F201" s="66" t="s">
        <v>112</v>
      </c>
      <c r="G201" s="67" t="s">
        <v>84</v>
      </c>
      <c r="H201" s="67" t="s">
        <v>102</v>
      </c>
      <c r="I201" s="67" t="s">
        <v>52</v>
      </c>
      <c r="J201" s="68" t="s">
        <v>608</v>
      </c>
      <c r="K201" s="67" t="s">
        <v>53</v>
      </c>
      <c r="L201" s="67" t="s">
        <v>54</v>
      </c>
      <c r="M201" s="67" t="s">
        <v>103</v>
      </c>
      <c r="N201" s="67" t="s">
        <v>88</v>
      </c>
      <c r="O201" s="69">
        <v>44056</v>
      </c>
      <c r="P201" s="70">
        <f>IFERROR(VLOOKUP(J201,'Obs Tecnicas'!$D$2:$I$320,5,0),O201)</f>
        <v>44056</v>
      </c>
      <c r="Q201" s="69" t="str">
        <f t="shared" ca="1" si="20"/>
        <v>Vencido</v>
      </c>
      <c r="R201" s="71" t="str">
        <f>IFERROR(VLOOKUP(J201,'Obs Tecnicas'!$D$2:$G$340,2,0),"")</f>
        <v/>
      </c>
      <c r="S201" s="67" t="str">
        <f>IFERROR(VLOOKUP(J201,'Obs Tecnicas'!$D$2:$G$344,3,0),"Hexis")</f>
        <v>Hexis</v>
      </c>
      <c r="T201" s="67" t="str">
        <f>IFERROR(VLOOKUP(J201,'Obs Tecnicas'!$D$2:$G$344,4,0),"")</f>
        <v/>
      </c>
      <c r="U201" s="13" t="s">
        <v>464</v>
      </c>
      <c r="V201" s="13">
        <f t="shared" si="16"/>
        <v>8</v>
      </c>
      <c r="W201" s="72">
        <f t="shared" si="17"/>
        <v>178.434</v>
      </c>
      <c r="X201" s="72">
        <f t="shared" si="18"/>
        <v>318.94200000000001</v>
      </c>
      <c r="AE201" s="13" t="s">
        <v>809</v>
      </c>
      <c r="AF201" s="104">
        <v>44425</v>
      </c>
    </row>
    <row r="202" spans="1:32">
      <c r="A202" s="13" t="s">
        <v>20</v>
      </c>
      <c r="B202" s="13" t="s">
        <v>111</v>
      </c>
      <c r="C202" s="66" t="s">
        <v>112</v>
      </c>
      <c r="D202" s="67" t="s">
        <v>113</v>
      </c>
      <c r="E202" s="13" t="s">
        <v>111</v>
      </c>
      <c r="F202" s="66" t="s">
        <v>112</v>
      </c>
      <c r="G202" s="67" t="s">
        <v>84</v>
      </c>
      <c r="H202" s="67" t="s">
        <v>102</v>
      </c>
      <c r="I202" s="67" t="s">
        <v>52</v>
      </c>
      <c r="J202" s="68" t="s">
        <v>609</v>
      </c>
      <c r="K202" s="67" t="s">
        <v>53</v>
      </c>
      <c r="L202" s="67" t="s">
        <v>54</v>
      </c>
      <c r="M202" s="67" t="s">
        <v>103</v>
      </c>
      <c r="N202" s="67" t="s">
        <v>88</v>
      </c>
      <c r="O202" s="69">
        <v>44056</v>
      </c>
      <c r="P202" s="70">
        <f>IFERROR(VLOOKUP(J202,'Obs Tecnicas'!$D$2:$I$320,5,0),O202)</f>
        <v>44056</v>
      </c>
      <c r="Q202" s="69" t="str">
        <f t="shared" ca="1" si="20"/>
        <v>Vencido</v>
      </c>
      <c r="R202" s="71" t="str">
        <f>IFERROR(VLOOKUP(J202,'Obs Tecnicas'!$D$2:$G$340,2,0),"")</f>
        <v/>
      </c>
      <c r="S202" s="67" t="str">
        <f>IFERROR(VLOOKUP(J202,'Obs Tecnicas'!$D$2:$G$344,3,0),"Hexis")</f>
        <v>Hexis</v>
      </c>
      <c r="T202" s="67" t="str">
        <f>IFERROR(VLOOKUP(J202,'Obs Tecnicas'!$D$2:$G$344,4,0),"")</f>
        <v/>
      </c>
      <c r="U202" s="13" t="s">
        <v>464</v>
      </c>
      <c r="V202" s="13">
        <f t="shared" si="16"/>
        <v>8</v>
      </c>
      <c r="W202" s="72">
        <f t="shared" si="17"/>
        <v>178.434</v>
      </c>
      <c r="X202" s="72">
        <f t="shared" si="18"/>
        <v>318.94200000000001</v>
      </c>
      <c r="AE202" s="13" t="s">
        <v>809</v>
      </c>
      <c r="AF202" s="104">
        <v>44425</v>
      </c>
    </row>
    <row r="203" spans="1:32">
      <c r="A203" s="13" t="s">
        <v>20</v>
      </c>
      <c r="B203" s="13" t="s">
        <v>111</v>
      </c>
      <c r="C203" s="66" t="s">
        <v>112</v>
      </c>
      <c r="D203" s="67" t="s">
        <v>113</v>
      </c>
      <c r="E203" s="13" t="s">
        <v>111</v>
      </c>
      <c r="F203" s="66" t="s">
        <v>112</v>
      </c>
      <c r="G203" s="67" t="s">
        <v>84</v>
      </c>
      <c r="H203" s="67" t="s">
        <v>102</v>
      </c>
      <c r="I203" s="67" t="s">
        <v>76</v>
      </c>
      <c r="J203" s="68" t="s">
        <v>610</v>
      </c>
      <c r="K203" s="67" t="s">
        <v>77</v>
      </c>
      <c r="L203" s="75" t="s">
        <v>78</v>
      </c>
      <c r="M203" s="67" t="s">
        <v>103</v>
      </c>
      <c r="N203" s="67" t="s">
        <v>88</v>
      </c>
      <c r="O203" s="69">
        <v>44056</v>
      </c>
      <c r="P203" s="70">
        <f>IFERROR(VLOOKUP(J203,'Obs Tecnicas'!$D$2:$I$320,5,0),O203)</f>
        <v>44056</v>
      </c>
      <c r="Q203" s="69" t="str">
        <f t="shared" ca="1" si="20"/>
        <v>Vencido</v>
      </c>
      <c r="R203" s="71" t="str">
        <f>IFERROR(VLOOKUP(J203,'Obs Tecnicas'!$D$2:$G$340,2,0),"")</f>
        <v/>
      </c>
      <c r="S203" s="67" t="str">
        <f>IFERROR(VLOOKUP(J203,'Obs Tecnicas'!$D$2:$G$344,3,0),"Hexis")</f>
        <v>Hexis</v>
      </c>
      <c r="T203" s="67" t="str">
        <f>IFERROR(VLOOKUP(J203,'Obs Tecnicas'!$D$2:$G$344,4,0),"")</f>
        <v/>
      </c>
      <c r="U203" s="13" t="s">
        <v>464</v>
      </c>
      <c r="V203" s="13">
        <f t="shared" si="16"/>
        <v>8</v>
      </c>
      <c r="W203" s="72">
        <f t="shared" si="17"/>
        <v>101.655</v>
      </c>
      <c r="X203" s="72">
        <f t="shared" si="18"/>
        <v>195.22799999999998</v>
      </c>
      <c r="AE203" s="13" t="s">
        <v>809</v>
      </c>
      <c r="AF203" s="104">
        <v>44425</v>
      </c>
    </row>
    <row r="204" spans="1:32">
      <c r="A204" s="13" t="s">
        <v>20</v>
      </c>
      <c r="B204" s="13" t="s">
        <v>111</v>
      </c>
      <c r="C204" s="66" t="s">
        <v>112</v>
      </c>
      <c r="D204" s="67" t="s">
        <v>113</v>
      </c>
      <c r="E204" s="13" t="s">
        <v>111</v>
      </c>
      <c r="F204" s="66" t="s">
        <v>112</v>
      </c>
      <c r="G204" s="67" t="s">
        <v>84</v>
      </c>
      <c r="H204" s="67" t="s">
        <v>102</v>
      </c>
      <c r="I204" s="67" t="s">
        <v>76</v>
      </c>
      <c r="J204" s="68" t="s">
        <v>611</v>
      </c>
      <c r="K204" s="67" t="s">
        <v>77</v>
      </c>
      <c r="L204" s="75" t="s">
        <v>78</v>
      </c>
      <c r="M204" s="67" t="s">
        <v>103</v>
      </c>
      <c r="N204" s="67" t="s">
        <v>88</v>
      </c>
      <c r="O204" s="69">
        <v>44056</v>
      </c>
      <c r="P204" s="70">
        <f>IFERROR(VLOOKUP(J204,'Obs Tecnicas'!$D$2:$I$320,5,0),O204)</f>
        <v>44056</v>
      </c>
      <c r="Q204" s="69" t="str">
        <f t="shared" ca="1" si="20"/>
        <v>Vencido</v>
      </c>
      <c r="R204" s="71" t="str">
        <f>IFERROR(VLOOKUP(J204,'Obs Tecnicas'!$D$2:$G$340,2,0),"")</f>
        <v/>
      </c>
      <c r="S204" s="67" t="str">
        <f>IFERROR(VLOOKUP(J204,'Obs Tecnicas'!$D$2:$G$344,3,0),"Hexis")</f>
        <v>Hexis</v>
      </c>
      <c r="T204" s="67" t="str">
        <f>IFERROR(VLOOKUP(J204,'Obs Tecnicas'!$D$2:$G$344,4,0),"")</f>
        <v/>
      </c>
      <c r="U204" s="13" t="s">
        <v>464</v>
      </c>
      <c r="V204" s="13">
        <f t="shared" si="16"/>
        <v>8</v>
      </c>
      <c r="W204" s="72">
        <f t="shared" si="17"/>
        <v>101.655</v>
      </c>
      <c r="X204" s="72">
        <f t="shared" si="18"/>
        <v>195.22799999999998</v>
      </c>
      <c r="AE204" s="13" t="s">
        <v>809</v>
      </c>
      <c r="AF204" s="104">
        <v>44425</v>
      </c>
    </row>
    <row r="205" spans="1:32">
      <c r="A205" s="13" t="s">
        <v>20</v>
      </c>
      <c r="B205" s="13" t="s">
        <v>111</v>
      </c>
      <c r="C205" s="66" t="s">
        <v>112</v>
      </c>
      <c r="D205" s="67" t="s">
        <v>113</v>
      </c>
      <c r="E205" s="13" t="s">
        <v>111</v>
      </c>
      <c r="F205" s="66" t="s">
        <v>112</v>
      </c>
      <c r="G205" s="67" t="s">
        <v>84</v>
      </c>
      <c r="H205" s="67" t="s">
        <v>102</v>
      </c>
      <c r="I205" s="67" t="s">
        <v>45</v>
      </c>
      <c r="J205" s="68" t="s">
        <v>612</v>
      </c>
      <c r="K205" s="67" t="s">
        <v>53</v>
      </c>
      <c r="L205" s="67" t="s">
        <v>61</v>
      </c>
      <c r="M205" s="67" t="s">
        <v>103</v>
      </c>
      <c r="N205" s="67" t="s">
        <v>88</v>
      </c>
      <c r="O205" s="69">
        <v>44056</v>
      </c>
      <c r="P205" s="70">
        <f>IFERROR(VLOOKUP(J205,'Obs Tecnicas'!$D$2:$I$320,5,0),O205)</f>
        <v>44056</v>
      </c>
      <c r="Q205" s="69" t="str">
        <f t="shared" ca="1" si="20"/>
        <v>Vencido</v>
      </c>
      <c r="R205" s="71" t="str">
        <f>IFERROR(VLOOKUP(J205,'Obs Tecnicas'!$D$2:$G$340,2,0),"")</f>
        <v/>
      </c>
      <c r="S205" s="67" t="str">
        <f>IFERROR(VLOOKUP(J205,'Obs Tecnicas'!$D$2:$G$344,3,0),"Hexis")</f>
        <v>Hexis</v>
      </c>
      <c r="T205" s="67" t="str">
        <f>IFERROR(VLOOKUP(J205,'Obs Tecnicas'!$D$2:$G$344,4,0),"")</f>
        <v/>
      </c>
      <c r="U205" s="13" t="s">
        <v>464</v>
      </c>
      <c r="V205" s="13">
        <f t="shared" si="16"/>
        <v>8</v>
      </c>
      <c r="W205" s="72">
        <f t="shared" si="17"/>
        <v>420.44400000000002</v>
      </c>
      <c r="X205" s="72">
        <f t="shared" si="18"/>
        <v>385.26299999999998</v>
      </c>
      <c r="AE205" s="13" t="s">
        <v>809</v>
      </c>
      <c r="AF205" s="104">
        <v>44425</v>
      </c>
    </row>
    <row r="206" spans="1:32">
      <c r="A206" s="13" t="s">
        <v>20</v>
      </c>
      <c r="B206" s="13" t="s">
        <v>111</v>
      </c>
      <c r="C206" s="66" t="s">
        <v>112</v>
      </c>
      <c r="D206" s="67" t="s">
        <v>113</v>
      </c>
      <c r="E206" s="13" t="s">
        <v>111</v>
      </c>
      <c r="F206" s="66" t="s">
        <v>112</v>
      </c>
      <c r="G206" s="67" t="s">
        <v>84</v>
      </c>
      <c r="H206" s="67" t="s">
        <v>102</v>
      </c>
      <c r="I206" s="67" t="s">
        <v>115</v>
      </c>
      <c r="J206" s="68" t="s">
        <v>613</v>
      </c>
      <c r="K206" s="67" t="s">
        <v>53</v>
      </c>
      <c r="L206" s="67" t="s">
        <v>116</v>
      </c>
      <c r="M206" s="67" t="s">
        <v>103</v>
      </c>
      <c r="N206" s="67" t="s">
        <v>88</v>
      </c>
      <c r="O206" s="69">
        <v>44056</v>
      </c>
      <c r="P206" s="70">
        <f>IFERROR(VLOOKUP(J206,'Obs Tecnicas'!$D$2:$I$320,5,0),O206)</f>
        <v>44056</v>
      </c>
      <c r="Q206" s="69" t="str">
        <f t="shared" ca="1" si="20"/>
        <v>Vencido</v>
      </c>
      <c r="R206" s="71" t="str">
        <f>IFERROR(VLOOKUP(J206,'Obs Tecnicas'!$D$2:$G$340,2,0),"")</f>
        <v/>
      </c>
      <c r="S206" s="67" t="str">
        <f>IFERROR(VLOOKUP(J206,'Obs Tecnicas'!$D$2:$G$344,3,0),"Hexis")</f>
        <v>Hexis</v>
      </c>
      <c r="T206" s="67" t="str">
        <f>IFERROR(VLOOKUP(J206,'Obs Tecnicas'!$D$2:$G$344,4,0),"")</f>
        <v/>
      </c>
      <c r="U206" s="13" t="s">
        <v>464</v>
      </c>
      <c r="V206" s="13">
        <f t="shared" si="16"/>
        <v>8</v>
      </c>
      <c r="W206" s="72">
        <f t="shared" si="17"/>
        <v>116.496</v>
      </c>
      <c r="X206" s="72">
        <f t="shared" si="18"/>
        <v>286.11900000000003</v>
      </c>
      <c r="AE206" s="13" t="s">
        <v>809</v>
      </c>
      <c r="AF206" s="104">
        <v>44425</v>
      </c>
    </row>
    <row r="207" spans="1:32">
      <c r="A207" s="13" t="s">
        <v>20</v>
      </c>
      <c r="B207" s="13" t="s">
        <v>111</v>
      </c>
      <c r="C207" s="66" t="s">
        <v>112</v>
      </c>
      <c r="D207" s="67" t="s">
        <v>113</v>
      </c>
      <c r="E207" s="13" t="s">
        <v>111</v>
      </c>
      <c r="F207" s="66" t="s">
        <v>112</v>
      </c>
      <c r="G207" s="67" t="s">
        <v>84</v>
      </c>
      <c r="H207" s="67" t="s">
        <v>102</v>
      </c>
      <c r="I207" s="67" t="s">
        <v>79</v>
      </c>
      <c r="J207" s="68" t="s">
        <v>614</v>
      </c>
      <c r="K207" s="67" t="s">
        <v>117</v>
      </c>
      <c r="L207" s="67" t="s">
        <v>118</v>
      </c>
      <c r="M207" s="67" t="s">
        <v>103</v>
      </c>
      <c r="N207" s="67" t="s">
        <v>88</v>
      </c>
      <c r="O207" s="69">
        <v>44056</v>
      </c>
      <c r="P207" s="70">
        <f>IFERROR(VLOOKUP(J207,'Obs Tecnicas'!$D$2:$I$320,5,0),O207)</f>
        <v>44056</v>
      </c>
      <c r="Q207" s="69" t="str">
        <f t="shared" ca="1" si="20"/>
        <v>Vencido</v>
      </c>
      <c r="R207" s="71" t="str">
        <f>IFERROR(VLOOKUP(J207,'Obs Tecnicas'!$D$2:$G$340,2,0),"")</f>
        <v/>
      </c>
      <c r="S207" s="67" t="str">
        <f>IFERROR(VLOOKUP(J207,'Obs Tecnicas'!$D$2:$G$344,3,0),"Hexis")</f>
        <v>Hexis</v>
      </c>
      <c r="T207" s="67" t="str">
        <f>IFERROR(VLOOKUP(J207,'Obs Tecnicas'!$D$2:$G$344,4,0),"")</f>
        <v/>
      </c>
      <c r="U207" s="13" t="s">
        <v>464</v>
      </c>
      <c r="V207" s="13">
        <f t="shared" si="16"/>
        <v>8</v>
      </c>
      <c r="W207" s="72">
        <f t="shared" si="17"/>
        <v>101.655</v>
      </c>
      <c r="X207" s="72">
        <f t="shared" si="18"/>
        <v>390.45599999999996</v>
      </c>
      <c r="AE207" s="13" t="s">
        <v>809</v>
      </c>
      <c r="AF207" s="104">
        <v>44425</v>
      </c>
    </row>
    <row r="208" spans="1:32">
      <c r="A208" s="13" t="s">
        <v>20</v>
      </c>
      <c r="B208" s="13" t="s">
        <v>111</v>
      </c>
      <c r="C208" s="66" t="s">
        <v>112</v>
      </c>
      <c r="D208" s="67" t="s">
        <v>113</v>
      </c>
      <c r="E208" s="13" t="s">
        <v>111</v>
      </c>
      <c r="F208" s="66" t="s">
        <v>112</v>
      </c>
      <c r="G208" s="67" t="s">
        <v>84</v>
      </c>
      <c r="H208" s="67" t="s">
        <v>102</v>
      </c>
      <c r="I208" s="67" t="s">
        <v>34</v>
      </c>
      <c r="J208" s="68" t="s">
        <v>615</v>
      </c>
      <c r="K208" s="67" t="s">
        <v>35</v>
      </c>
      <c r="L208" s="67" t="s">
        <v>36</v>
      </c>
      <c r="M208" s="67" t="s">
        <v>103</v>
      </c>
      <c r="N208" s="67" t="s">
        <v>88</v>
      </c>
      <c r="O208" s="69">
        <v>44056</v>
      </c>
      <c r="P208" s="70">
        <f>IFERROR(VLOOKUP(J208,'Obs Tecnicas'!$D$2:$I$320,5,0),O208)</f>
        <v>44056</v>
      </c>
      <c r="Q208" s="69" t="str">
        <f t="shared" ca="1" si="20"/>
        <v>Vencido</v>
      </c>
      <c r="R208" s="71" t="str">
        <f>IFERROR(VLOOKUP(J208,'Obs Tecnicas'!$D$2:$G$340,2,0),"")</f>
        <v/>
      </c>
      <c r="S208" s="67" t="str">
        <f>IFERROR(VLOOKUP(J208,'Obs Tecnicas'!$D$2:$G$344,3,0),"Hexis")</f>
        <v>Hexis</v>
      </c>
      <c r="T208" s="67" t="str">
        <f>IFERROR(VLOOKUP(J208,'Obs Tecnicas'!$D$2:$G$344,4,0),"")</f>
        <v/>
      </c>
      <c r="U208" s="13" t="s">
        <v>464</v>
      </c>
      <c r="V208" s="13">
        <f t="shared" si="16"/>
        <v>8</v>
      </c>
      <c r="W208" s="72">
        <f t="shared" si="17"/>
        <v>101.655</v>
      </c>
      <c r="X208" s="72">
        <f t="shared" si="18"/>
        <v>195.22799999999998</v>
      </c>
      <c r="AE208" s="13" t="s">
        <v>809</v>
      </c>
      <c r="AF208" s="104">
        <v>44425</v>
      </c>
    </row>
    <row r="209" spans="1:32">
      <c r="A209" s="13" t="s">
        <v>20</v>
      </c>
      <c r="B209" s="13" t="s">
        <v>111</v>
      </c>
      <c r="C209" s="66" t="s">
        <v>112</v>
      </c>
      <c r="D209" s="67" t="s">
        <v>113</v>
      </c>
      <c r="E209" s="13" t="s">
        <v>111</v>
      </c>
      <c r="F209" s="66" t="s">
        <v>112</v>
      </c>
      <c r="G209" s="67" t="s">
        <v>84</v>
      </c>
      <c r="H209" s="67" t="s">
        <v>102</v>
      </c>
      <c r="I209" s="67" t="s">
        <v>34</v>
      </c>
      <c r="J209" s="68" t="s">
        <v>616</v>
      </c>
      <c r="K209" s="67" t="s">
        <v>35</v>
      </c>
      <c r="L209" s="67" t="s">
        <v>36</v>
      </c>
      <c r="M209" s="67" t="s">
        <v>103</v>
      </c>
      <c r="N209" s="67" t="s">
        <v>88</v>
      </c>
      <c r="O209" s="69">
        <v>44056</v>
      </c>
      <c r="P209" s="70">
        <f>IFERROR(VLOOKUP(J209,'Obs Tecnicas'!$D$2:$I$320,5,0),O209)</f>
        <v>44056</v>
      </c>
      <c r="Q209" s="69" t="str">
        <f t="shared" ca="1" si="20"/>
        <v>Vencido</v>
      </c>
      <c r="R209" s="71" t="str">
        <f>IFERROR(VLOOKUP(J209,'Obs Tecnicas'!$D$2:$G$340,2,0),"")</f>
        <v/>
      </c>
      <c r="S209" s="67" t="str">
        <f>IFERROR(VLOOKUP(J209,'Obs Tecnicas'!$D$2:$G$344,3,0),"Hexis")</f>
        <v>Hexis</v>
      </c>
      <c r="T209" s="67" t="str">
        <f>IFERROR(VLOOKUP(J209,'Obs Tecnicas'!$D$2:$G$344,4,0),"")</f>
        <v/>
      </c>
      <c r="U209" s="13" t="s">
        <v>464</v>
      </c>
      <c r="V209" s="13">
        <f t="shared" si="16"/>
        <v>8</v>
      </c>
      <c r="W209" s="72">
        <f t="shared" si="17"/>
        <v>101.655</v>
      </c>
      <c r="X209" s="72">
        <f t="shared" si="18"/>
        <v>195.22799999999998</v>
      </c>
      <c r="AE209" s="13" t="s">
        <v>809</v>
      </c>
      <c r="AF209" s="104">
        <v>44425</v>
      </c>
    </row>
    <row r="210" spans="1:32">
      <c r="A210" s="13" t="s">
        <v>20</v>
      </c>
      <c r="B210" s="13" t="s">
        <v>111</v>
      </c>
      <c r="C210" s="66" t="s">
        <v>112</v>
      </c>
      <c r="D210" s="67" t="s">
        <v>113</v>
      </c>
      <c r="E210" s="13" t="s">
        <v>111</v>
      </c>
      <c r="F210" s="66" t="s">
        <v>112</v>
      </c>
      <c r="G210" s="67" t="s">
        <v>84</v>
      </c>
      <c r="H210" s="67" t="s">
        <v>102</v>
      </c>
      <c r="I210" s="67" t="s">
        <v>34</v>
      </c>
      <c r="J210" s="68" t="s">
        <v>617</v>
      </c>
      <c r="K210" s="67" t="s">
        <v>35</v>
      </c>
      <c r="L210" s="67" t="s">
        <v>36</v>
      </c>
      <c r="M210" s="67" t="s">
        <v>103</v>
      </c>
      <c r="N210" s="67" t="s">
        <v>88</v>
      </c>
      <c r="O210" s="69">
        <v>44056</v>
      </c>
      <c r="P210" s="70">
        <f>IFERROR(VLOOKUP(J210,'Obs Tecnicas'!$D$2:$I$320,5,0),O210)</f>
        <v>44056</v>
      </c>
      <c r="Q210" s="69" t="str">
        <f t="shared" ca="1" si="20"/>
        <v>Vencido</v>
      </c>
      <c r="R210" s="71" t="str">
        <f>IFERROR(VLOOKUP(J210,'Obs Tecnicas'!$D$2:$G$340,2,0),"")</f>
        <v/>
      </c>
      <c r="S210" s="67" t="str">
        <f>IFERROR(VLOOKUP(J210,'Obs Tecnicas'!$D$2:$G$344,3,0),"Hexis")</f>
        <v>Hexis</v>
      </c>
      <c r="T210" s="67" t="str">
        <f>IFERROR(VLOOKUP(J210,'Obs Tecnicas'!$D$2:$G$344,4,0),"")</f>
        <v/>
      </c>
      <c r="U210" s="13" t="s">
        <v>464</v>
      </c>
      <c r="V210" s="13">
        <f t="shared" si="16"/>
        <v>8</v>
      </c>
      <c r="W210" s="72">
        <f t="shared" si="17"/>
        <v>101.655</v>
      </c>
      <c r="X210" s="72">
        <f t="shared" si="18"/>
        <v>195.22799999999998</v>
      </c>
      <c r="AE210" s="13" t="s">
        <v>809</v>
      </c>
      <c r="AF210" s="104">
        <v>44425</v>
      </c>
    </row>
    <row r="211" spans="1:32">
      <c r="A211" s="13" t="s">
        <v>20</v>
      </c>
      <c r="B211" s="13" t="s">
        <v>111</v>
      </c>
      <c r="C211" s="66" t="s">
        <v>112</v>
      </c>
      <c r="D211" s="67" t="s">
        <v>113</v>
      </c>
      <c r="E211" s="13" t="s">
        <v>111</v>
      </c>
      <c r="F211" s="66" t="s">
        <v>112</v>
      </c>
      <c r="G211" s="67" t="s">
        <v>84</v>
      </c>
      <c r="H211" s="67" t="s">
        <v>102</v>
      </c>
      <c r="I211" s="67" t="s">
        <v>34</v>
      </c>
      <c r="J211" s="68" t="s">
        <v>618</v>
      </c>
      <c r="K211" s="67" t="s">
        <v>53</v>
      </c>
      <c r="L211" s="67" t="s">
        <v>119</v>
      </c>
      <c r="M211" s="67" t="s">
        <v>103</v>
      </c>
      <c r="N211" s="67" t="s">
        <v>88</v>
      </c>
      <c r="O211" s="69">
        <v>44056</v>
      </c>
      <c r="P211" s="70">
        <f>IFERROR(VLOOKUP(J211,'Obs Tecnicas'!$D$2:$I$320,5,0),O211)</f>
        <v>44056</v>
      </c>
      <c r="Q211" s="69" t="str">
        <f t="shared" ca="1" si="20"/>
        <v>Vencido</v>
      </c>
      <c r="R211" s="71" t="str">
        <f>IFERROR(VLOOKUP(J211,'Obs Tecnicas'!$D$2:$G$340,2,0),"")</f>
        <v/>
      </c>
      <c r="S211" s="67" t="str">
        <f>IFERROR(VLOOKUP(J211,'Obs Tecnicas'!$D$2:$G$344,3,0),"Hexis")</f>
        <v>Hexis</v>
      </c>
      <c r="T211" s="67" t="str">
        <f>IFERROR(VLOOKUP(J211,'Obs Tecnicas'!$D$2:$G$344,4,0),"")</f>
        <v/>
      </c>
      <c r="U211" s="13" t="s">
        <v>464</v>
      </c>
      <c r="V211" s="13">
        <f t="shared" si="16"/>
        <v>8</v>
      </c>
      <c r="W211" s="72">
        <f t="shared" si="17"/>
        <v>101.655</v>
      </c>
      <c r="X211" s="72">
        <f t="shared" si="18"/>
        <v>195.22799999999998</v>
      </c>
      <c r="AE211" s="13" t="s">
        <v>809</v>
      </c>
      <c r="AF211" s="104">
        <v>44425</v>
      </c>
    </row>
    <row r="212" spans="1:32">
      <c r="A212" s="13" t="s">
        <v>20</v>
      </c>
      <c r="B212" s="13" t="s">
        <v>111</v>
      </c>
      <c r="C212" s="66" t="s">
        <v>112</v>
      </c>
      <c r="D212" s="67" t="s">
        <v>113</v>
      </c>
      <c r="E212" s="13" t="s">
        <v>111</v>
      </c>
      <c r="F212" s="66" t="s">
        <v>112</v>
      </c>
      <c r="G212" s="67" t="s">
        <v>84</v>
      </c>
      <c r="H212" s="67" t="s">
        <v>102</v>
      </c>
      <c r="I212" s="67" t="s">
        <v>34</v>
      </c>
      <c r="J212" s="68" t="s">
        <v>619</v>
      </c>
      <c r="K212" s="67" t="s">
        <v>94</v>
      </c>
      <c r="L212" s="67" t="s">
        <v>120</v>
      </c>
      <c r="M212" s="67" t="s">
        <v>103</v>
      </c>
      <c r="N212" s="67" t="s">
        <v>88</v>
      </c>
      <c r="O212" s="69">
        <v>44056</v>
      </c>
      <c r="P212" s="70">
        <f>IFERROR(VLOOKUP(J212,'Obs Tecnicas'!$D$2:$I$320,5,0),O212)</f>
        <v>44056</v>
      </c>
      <c r="Q212" s="69" t="str">
        <f t="shared" ca="1" si="20"/>
        <v>Vencido</v>
      </c>
      <c r="R212" s="71" t="str">
        <f>IFERROR(VLOOKUP(J212,'Obs Tecnicas'!$D$2:$G$340,2,0),"")</f>
        <v/>
      </c>
      <c r="S212" s="67" t="str">
        <f>IFERROR(VLOOKUP(J212,'Obs Tecnicas'!$D$2:$G$344,3,0),"Hexis")</f>
        <v>Hexis</v>
      </c>
      <c r="T212" s="67" t="str">
        <f>IFERROR(VLOOKUP(J212,'Obs Tecnicas'!$D$2:$G$344,4,0),"")</f>
        <v/>
      </c>
      <c r="U212" s="13" t="s">
        <v>464</v>
      </c>
      <c r="V212" s="13">
        <f t="shared" si="16"/>
        <v>8</v>
      </c>
      <c r="W212" s="72">
        <f t="shared" si="17"/>
        <v>101.655</v>
      </c>
      <c r="X212" s="72">
        <f t="shared" si="18"/>
        <v>195.22799999999998</v>
      </c>
      <c r="AE212" s="13" t="s">
        <v>809</v>
      </c>
      <c r="AF212" s="104">
        <v>44425</v>
      </c>
    </row>
    <row r="213" spans="1:32" s="86" customFormat="1">
      <c r="A213" s="13" t="s">
        <v>20</v>
      </c>
      <c r="B213" s="13" t="s">
        <v>111</v>
      </c>
      <c r="C213" s="66" t="s">
        <v>112</v>
      </c>
      <c r="D213" s="67" t="s">
        <v>113</v>
      </c>
      <c r="E213" s="13" t="s">
        <v>111</v>
      </c>
      <c r="F213" s="66" t="s">
        <v>112</v>
      </c>
      <c r="G213" s="67" t="s">
        <v>84</v>
      </c>
      <c r="H213" s="67" t="s">
        <v>102</v>
      </c>
      <c r="I213" s="67" t="s">
        <v>34</v>
      </c>
      <c r="J213" s="68" t="s">
        <v>620</v>
      </c>
      <c r="K213" s="67" t="s">
        <v>35</v>
      </c>
      <c r="L213" s="67" t="s">
        <v>36</v>
      </c>
      <c r="M213" s="67" t="s">
        <v>103</v>
      </c>
      <c r="N213" s="67" t="s">
        <v>88</v>
      </c>
      <c r="O213" s="69">
        <v>44056</v>
      </c>
      <c r="P213" s="70">
        <f>IFERROR(VLOOKUP(J213,'Obs Tecnicas'!$D$2:$I$320,5,0),O213)</f>
        <v>44056</v>
      </c>
      <c r="Q213" s="69" t="str">
        <f t="shared" ca="1" si="20"/>
        <v>Vencido</v>
      </c>
      <c r="R213" s="71" t="str">
        <f>IFERROR(VLOOKUP(J213,'Obs Tecnicas'!$D$2:$G$340,2,0),"")</f>
        <v/>
      </c>
      <c r="S213" s="67" t="str">
        <f>IFERROR(VLOOKUP(J213,'Obs Tecnicas'!$D$2:$G$344,3,0),"Hexis")</f>
        <v>Hexis</v>
      </c>
      <c r="T213" s="67" t="str">
        <f>IFERROR(VLOOKUP(J213,'Obs Tecnicas'!$D$2:$G$344,4,0),"")</f>
        <v/>
      </c>
      <c r="U213" s="13" t="s">
        <v>464</v>
      </c>
      <c r="V213" s="13">
        <f t="shared" si="16"/>
        <v>8</v>
      </c>
      <c r="W213" s="72">
        <f t="shared" si="17"/>
        <v>101.655</v>
      </c>
      <c r="X213" s="72">
        <f t="shared" si="18"/>
        <v>195.22799999999998</v>
      </c>
      <c r="AE213" s="13" t="s">
        <v>809</v>
      </c>
      <c r="AF213" s="104">
        <v>44425</v>
      </c>
    </row>
    <row r="214" spans="1:32">
      <c r="A214" s="13" t="s">
        <v>20</v>
      </c>
      <c r="B214" s="13" t="s">
        <v>111</v>
      </c>
      <c r="C214" s="66" t="s">
        <v>112</v>
      </c>
      <c r="D214" s="67" t="s">
        <v>113</v>
      </c>
      <c r="E214" s="13" t="s">
        <v>111</v>
      </c>
      <c r="F214" s="66" t="s">
        <v>112</v>
      </c>
      <c r="G214" s="67" t="s">
        <v>84</v>
      </c>
      <c r="H214" s="67" t="s">
        <v>102</v>
      </c>
      <c r="I214" s="67" t="s">
        <v>62</v>
      </c>
      <c r="J214" s="68" t="s">
        <v>121</v>
      </c>
      <c r="K214" s="67" t="s">
        <v>53</v>
      </c>
      <c r="L214" s="67" t="s">
        <v>63</v>
      </c>
      <c r="M214" s="67" t="s">
        <v>103</v>
      </c>
      <c r="N214" s="67" t="s">
        <v>88</v>
      </c>
      <c r="O214" s="69">
        <v>44056</v>
      </c>
      <c r="P214" s="70">
        <f>IFERROR(VLOOKUP(J214,'Obs Tecnicas'!$D$2:$I$320,5,0),O214)</f>
        <v>44056</v>
      </c>
      <c r="Q214" s="69" t="str">
        <f t="shared" ca="1" si="20"/>
        <v>Vencido</v>
      </c>
      <c r="R214" s="71" t="str">
        <f>IFERROR(VLOOKUP(J214,'Obs Tecnicas'!$D$2:$G$340,2,0),"")</f>
        <v/>
      </c>
      <c r="S214" s="67" t="str">
        <f>IFERROR(VLOOKUP(J214,'Obs Tecnicas'!$D$2:$G$344,3,0),"Hexis")</f>
        <v>Hexis</v>
      </c>
      <c r="T214" s="67" t="str">
        <f>IFERROR(VLOOKUP(J214,'Obs Tecnicas'!$D$2:$G$344,4,0),"")</f>
        <v/>
      </c>
      <c r="U214" s="13" t="s">
        <v>464</v>
      </c>
      <c r="V214" s="13">
        <f t="shared" si="16"/>
        <v>8</v>
      </c>
      <c r="W214" s="72">
        <f t="shared" si="17"/>
        <v>198.60299999999998</v>
      </c>
      <c r="X214" s="72">
        <f t="shared" si="18"/>
        <v>217.29599999999999</v>
      </c>
      <c r="AE214" s="13" t="s">
        <v>809</v>
      </c>
      <c r="AF214" s="104">
        <v>44425</v>
      </c>
    </row>
    <row r="215" spans="1:32">
      <c r="A215" s="13" t="s">
        <v>20</v>
      </c>
      <c r="B215" s="13" t="s">
        <v>111</v>
      </c>
      <c r="C215" s="66" t="s">
        <v>112</v>
      </c>
      <c r="D215" s="67" t="s">
        <v>113</v>
      </c>
      <c r="E215" s="13" t="s">
        <v>111</v>
      </c>
      <c r="F215" s="66" t="s">
        <v>112</v>
      </c>
      <c r="G215" s="67" t="s">
        <v>84</v>
      </c>
      <c r="H215" s="67" t="s">
        <v>102</v>
      </c>
      <c r="I215" s="67" t="s">
        <v>34</v>
      </c>
      <c r="J215" s="68" t="s">
        <v>621</v>
      </c>
      <c r="K215" s="67" t="s">
        <v>35</v>
      </c>
      <c r="L215" s="67" t="s">
        <v>36</v>
      </c>
      <c r="M215" s="67" t="s">
        <v>103</v>
      </c>
      <c r="N215" s="67" t="s">
        <v>88</v>
      </c>
      <c r="O215" s="69">
        <v>44057</v>
      </c>
      <c r="P215" s="70">
        <f>IFERROR(VLOOKUP(J215,'Obs Tecnicas'!$D$2:$I$320,5,0),O215)</f>
        <v>44057</v>
      </c>
      <c r="Q215" s="69" t="str">
        <f t="shared" ca="1" si="20"/>
        <v>Vencido</v>
      </c>
      <c r="R215" s="71" t="str">
        <f>IFERROR(VLOOKUP(J215,'Obs Tecnicas'!$D$2:$G$340,2,0),"")</f>
        <v/>
      </c>
      <c r="S215" s="67" t="str">
        <f>IFERROR(VLOOKUP(J215,'Obs Tecnicas'!$D$2:$G$344,3,0),"Hexis")</f>
        <v>Hexis</v>
      </c>
      <c r="T215" s="67" t="str">
        <f>IFERROR(VLOOKUP(J215,'Obs Tecnicas'!$D$2:$G$344,4,0),"")</f>
        <v/>
      </c>
      <c r="U215" s="13" t="s">
        <v>464</v>
      </c>
      <c r="V215" s="13">
        <f t="shared" si="16"/>
        <v>8</v>
      </c>
      <c r="W215" s="72">
        <f t="shared" si="17"/>
        <v>101.655</v>
      </c>
      <c r="X215" s="72">
        <f t="shared" si="18"/>
        <v>195.22799999999998</v>
      </c>
      <c r="AE215" s="13" t="s">
        <v>809</v>
      </c>
      <c r="AF215" s="104">
        <v>44425</v>
      </c>
    </row>
    <row r="216" spans="1:32">
      <c r="A216" s="13" t="s">
        <v>20</v>
      </c>
      <c r="B216" s="13" t="s">
        <v>301</v>
      </c>
      <c r="C216" s="66" t="s">
        <v>302</v>
      </c>
      <c r="D216" s="67" t="s">
        <v>444</v>
      </c>
      <c r="E216" s="13" t="s">
        <v>301</v>
      </c>
      <c r="F216" s="66" t="s">
        <v>302</v>
      </c>
      <c r="G216" s="67" t="s">
        <v>434</v>
      </c>
      <c r="H216" s="67" t="s">
        <v>191</v>
      </c>
      <c r="I216" s="67" t="s">
        <v>52</v>
      </c>
      <c r="J216" s="68" t="s">
        <v>445</v>
      </c>
      <c r="K216" s="67" t="s">
        <v>53</v>
      </c>
      <c r="L216" s="67" t="s">
        <v>86</v>
      </c>
      <c r="M216" s="67" t="s">
        <v>446</v>
      </c>
      <c r="N216" s="67" t="s">
        <v>447</v>
      </c>
      <c r="O216" s="69">
        <v>44040</v>
      </c>
      <c r="P216" s="70">
        <f>IFERROR(VLOOKUP(J216,'Obs Tecnicas'!$D$2:$I$320,5,0),O216)</f>
        <v>44404</v>
      </c>
      <c r="Q216" s="69" t="str">
        <f t="shared" ca="1" si="20"/>
        <v>Calibrado</v>
      </c>
      <c r="R216" s="71">
        <f>IFERROR(VLOOKUP(J216,'Obs Tecnicas'!$D$2:$G$340,2,0),"")</f>
        <v>13244</v>
      </c>
      <c r="S216" s="67" t="str">
        <f>IFERROR(VLOOKUP(J216,'Obs Tecnicas'!$D$2:$G$344,3,0),"Hexis")</f>
        <v>ER ANALITICA</v>
      </c>
      <c r="T216" s="67" t="str">
        <f>IFERROR(VLOOKUP(J216,'Obs Tecnicas'!$D$2:$G$344,4,0),"")</f>
        <v>Compartimento de pilhas oxidado, recomendado a troca na próxima manutenção.</v>
      </c>
      <c r="U216" s="13" t="s">
        <v>550</v>
      </c>
      <c r="V216" s="13">
        <f t="shared" si="16"/>
        <v>7</v>
      </c>
      <c r="W216" s="72">
        <f t="shared" si="17"/>
        <v>178.434</v>
      </c>
      <c r="X216" s="72">
        <f t="shared" si="18"/>
        <v>318.94200000000001</v>
      </c>
      <c r="AE216" s="13" t="s">
        <v>807</v>
      </c>
      <c r="AF216" s="104">
        <v>44404</v>
      </c>
    </row>
    <row r="217" spans="1:32">
      <c r="A217" s="13" t="s">
        <v>20</v>
      </c>
      <c r="B217" s="13" t="s">
        <v>301</v>
      </c>
      <c r="C217" s="66" t="s">
        <v>302</v>
      </c>
      <c r="D217" s="67" t="s">
        <v>958</v>
      </c>
      <c r="E217" s="13" t="s">
        <v>301</v>
      </c>
      <c r="F217" s="66" t="s">
        <v>302</v>
      </c>
      <c r="G217" s="67" t="s">
        <v>434</v>
      </c>
      <c r="H217" s="67" t="s">
        <v>191</v>
      </c>
      <c r="I217" s="67" t="s">
        <v>45</v>
      </c>
      <c r="J217" s="68" t="s">
        <v>959</v>
      </c>
      <c r="K217" s="67" t="s">
        <v>960</v>
      </c>
      <c r="L217" s="67" t="s">
        <v>935</v>
      </c>
      <c r="M217" s="67" t="s">
        <v>446</v>
      </c>
      <c r="N217" s="67" t="s">
        <v>447</v>
      </c>
      <c r="O217" s="69">
        <v>44040</v>
      </c>
      <c r="P217" s="70">
        <f>IFERROR(VLOOKUP(J217,'Obs Tecnicas'!$D$2:$I$320,5,0),O217)</f>
        <v>44404</v>
      </c>
      <c r="Q217" s="69" t="str">
        <f t="shared" ca="1" si="20"/>
        <v>Calibrado</v>
      </c>
      <c r="R217" s="71">
        <f>IFERROR(VLOOKUP(J217,'Obs Tecnicas'!$D$2:$G$340,2,0),"")</f>
        <v>13247</v>
      </c>
      <c r="S217" s="67" t="str">
        <f>IFERROR(VLOOKUP(J217,'Obs Tecnicas'!$D$2:$G$344,3,0),"Hexis")</f>
        <v>ER ANALITICA</v>
      </c>
      <c r="T217" s="67" t="str">
        <f>IFERROR(VLOOKUP(J217,'Obs Tecnicas'!$D$2:$G$344,4,0),"")</f>
        <v>Bateria de lítio responsavel pelo armazenamento de dados e configurações de usuário enconra-se sem carga e o filtro óptico azul está oxidado.</v>
      </c>
      <c r="U217" s="13" t="s">
        <v>550</v>
      </c>
      <c r="W217" s="72">
        <f t="shared" si="17"/>
        <v>420.44400000000002</v>
      </c>
      <c r="X217" s="72">
        <f t="shared" si="18"/>
        <v>385.26299999999998</v>
      </c>
    </row>
    <row r="218" spans="1:32">
      <c r="A218" s="13" t="s">
        <v>20</v>
      </c>
      <c r="B218" s="13" t="s">
        <v>805</v>
      </c>
      <c r="C218" s="66" t="s">
        <v>804</v>
      </c>
      <c r="D218" s="67" t="s">
        <v>444</v>
      </c>
      <c r="E218" s="13" t="s">
        <v>301</v>
      </c>
      <c r="F218" s="66" t="s">
        <v>302</v>
      </c>
      <c r="G218" s="67" t="s">
        <v>434</v>
      </c>
      <c r="H218" s="67" t="s">
        <v>191</v>
      </c>
      <c r="I218" s="67" t="s">
        <v>79</v>
      </c>
      <c r="J218" s="68" t="s">
        <v>826</v>
      </c>
      <c r="K218" s="67" t="s">
        <v>77</v>
      </c>
      <c r="L218" s="67" t="s">
        <v>80</v>
      </c>
      <c r="M218" s="67" t="s">
        <v>446</v>
      </c>
      <c r="N218" s="67" t="s">
        <v>447</v>
      </c>
      <c r="O218" s="69">
        <v>44040</v>
      </c>
      <c r="P218" s="70">
        <f>IFERROR(VLOOKUP(J218,'Obs Tecnicas'!$D$2:$I$320,5,0),O218)</f>
        <v>44404</v>
      </c>
      <c r="Q218" s="69" t="str">
        <f t="shared" ca="1" si="20"/>
        <v>Calibrado</v>
      </c>
      <c r="R218" s="71">
        <f>IFERROR(VLOOKUP(J218,'Obs Tecnicas'!$D$2:$G$340,2,0),"")</f>
        <v>13246</v>
      </c>
      <c r="S218" s="67" t="str">
        <f>IFERROR(VLOOKUP(J218,'Obs Tecnicas'!$D$2:$G$344,3,0),"Hexis")</f>
        <v>ER ANALITICA</v>
      </c>
      <c r="T218" s="67">
        <f>IFERROR(VLOOKUP(J218,'Obs Tecnicas'!$D$2:$G$344,4,0),"")</f>
        <v>0</v>
      </c>
      <c r="U218" s="13" t="s">
        <v>550</v>
      </c>
      <c r="V218" s="13">
        <f t="shared" ref="V218:V246" si="21">IF(P218&lt;&gt;"",MONTH(P218),"")</f>
        <v>7</v>
      </c>
      <c r="W218" s="72">
        <f t="shared" si="17"/>
        <v>101.655</v>
      </c>
      <c r="X218" s="72">
        <f t="shared" si="18"/>
        <v>390.45599999999996</v>
      </c>
      <c r="AE218" s="13" t="s">
        <v>807</v>
      </c>
      <c r="AF218" s="104">
        <v>44404</v>
      </c>
    </row>
    <row r="219" spans="1:32">
      <c r="A219" s="13" t="s">
        <v>20</v>
      </c>
      <c r="B219" s="13" t="s">
        <v>301</v>
      </c>
      <c r="C219" s="66" t="s">
        <v>302</v>
      </c>
      <c r="D219" s="67" t="s">
        <v>444</v>
      </c>
      <c r="E219" s="13" t="s">
        <v>301</v>
      </c>
      <c r="F219" s="66" t="s">
        <v>302</v>
      </c>
      <c r="G219" s="67" t="s">
        <v>434</v>
      </c>
      <c r="H219" s="67" t="s">
        <v>191</v>
      </c>
      <c r="I219" s="67" t="s">
        <v>34</v>
      </c>
      <c r="J219" s="68" t="s">
        <v>448</v>
      </c>
      <c r="K219" s="67" t="s">
        <v>53</v>
      </c>
      <c r="L219" s="67" t="s">
        <v>233</v>
      </c>
      <c r="M219" s="67" t="s">
        <v>446</v>
      </c>
      <c r="N219" s="67" t="s">
        <v>447</v>
      </c>
      <c r="O219" s="69">
        <v>44040</v>
      </c>
      <c r="P219" s="70">
        <f>IFERROR(VLOOKUP(J219,'Obs Tecnicas'!$D$2:$I$320,5,0),O219)</f>
        <v>44404</v>
      </c>
      <c r="Q219" s="69" t="str">
        <f t="shared" ca="1" si="20"/>
        <v>Calibrado</v>
      </c>
      <c r="R219" s="71">
        <f>IFERROR(VLOOKUP(J219,'Obs Tecnicas'!$D$2:$G$340,2,0),"")</f>
        <v>13245</v>
      </c>
      <c r="S219" s="67" t="str">
        <f>IFERROR(VLOOKUP(J219,'Obs Tecnicas'!$D$2:$G$344,3,0),"Hexis")</f>
        <v>ER ANALITICA</v>
      </c>
      <c r="T219" s="67">
        <f>IFERROR(VLOOKUP(J219,'Obs Tecnicas'!$D$2:$G$344,4,0),"")</f>
        <v>0</v>
      </c>
      <c r="U219" s="13" t="s">
        <v>550</v>
      </c>
      <c r="V219" s="13">
        <f t="shared" si="21"/>
        <v>7</v>
      </c>
      <c r="W219" s="72">
        <f t="shared" si="17"/>
        <v>101.655</v>
      </c>
      <c r="X219" s="72">
        <f t="shared" si="18"/>
        <v>195.22799999999998</v>
      </c>
      <c r="AE219" s="13" t="s">
        <v>807</v>
      </c>
      <c r="AF219" s="104">
        <v>44404</v>
      </c>
    </row>
    <row r="220" spans="1:32">
      <c r="A220" s="13" t="s">
        <v>20</v>
      </c>
      <c r="B220" s="13" t="s">
        <v>81</v>
      </c>
      <c r="C220" s="66" t="s">
        <v>862</v>
      </c>
      <c r="D220" s="67" t="s">
        <v>83</v>
      </c>
      <c r="E220" s="13" t="s">
        <v>81</v>
      </c>
      <c r="F220" s="66" t="s">
        <v>82</v>
      </c>
      <c r="G220" s="67" t="s">
        <v>84</v>
      </c>
      <c r="H220" s="67" t="s">
        <v>27</v>
      </c>
      <c r="I220" s="67" t="s">
        <v>52</v>
      </c>
      <c r="J220" s="68" t="s">
        <v>85</v>
      </c>
      <c r="K220" s="67" t="s">
        <v>53</v>
      </c>
      <c r="L220" s="67" t="s">
        <v>86</v>
      </c>
      <c r="M220" s="67" t="s">
        <v>87</v>
      </c>
      <c r="N220" s="67" t="s">
        <v>88</v>
      </c>
      <c r="O220" s="69">
        <v>44147</v>
      </c>
      <c r="P220" s="70">
        <f>IFERROR(VLOOKUP(J220,'Obs Tecnicas'!$D$2:$I$320,5,0),O220)</f>
        <v>44147</v>
      </c>
      <c r="Q220" s="69" t="str">
        <f t="shared" ca="1" si="20"/>
        <v>Calibrado</v>
      </c>
      <c r="R220" s="71" t="str">
        <f>IFERROR(VLOOKUP(J220,'Obs Tecnicas'!$D$2:$G$340,2,0),"")</f>
        <v/>
      </c>
      <c r="S220" s="67" t="str">
        <f>IFERROR(VLOOKUP(J220,'Obs Tecnicas'!$D$2:$G$344,3,0),"Hexis")</f>
        <v>Hexis</v>
      </c>
      <c r="T220" s="67" t="str">
        <f>IFERROR(VLOOKUP(J220,'Obs Tecnicas'!$D$2:$G$344,4,0),"")</f>
        <v/>
      </c>
      <c r="U220" s="13" t="s">
        <v>550</v>
      </c>
      <c r="V220" s="13">
        <f t="shared" si="21"/>
        <v>11</v>
      </c>
      <c r="W220" s="72">
        <f t="shared" si="17"/>
        <v>178.434</v>
      </c>
      <c r="X220" s="72">
        <f t="shared" si="18"/>
        <v>318.94200000000001</v>
      </c>
    </row>
    <row r="221" spans="1:32">
      <c r="A221" s="13" t="s">
        <v>20</v>
      </c>
      <c r="B221" s="13" t="s">
        <v>353</v>
      </c>
      <c r="C221" s="66" t="s">
        <v>354</v>
      </c>
      <c r="D221" s="67" t="s">
        <v>355</v>
      </c>
      <c r="E221" s="13" t="s">
        <v>306</v>
      </c>
      <c r="F221" s="66" t="s">
        <v>307</v>
      </c>
      <c r="G221" s="67" t="s">
        <v>318</v>
      </c>
      <c r="H221" s="67" t="s">
        <v>27</v>
      </c>
      <c r="I221" s="67" t="s">
        <v>45</v>
      </c>
      <c r="J221" s="68" t="s">
        <v>718</v>
      </c>
      <c r="K221" s="67" t="s">
        <v>53</v>
      </c>
      <c r="L221" s="67" t="s">
        <v>72</v>
      </c>
      <c r="M221" s="75" t="s">
        <v>356</v>
      </c>
      <c r="N221" s="67" t="s">
        <v>357</v>
      </c>
      <c r="O221" s="69">
        <v>44406</v>
      </c>
      <c r="P221" s="70">
        <f>IFERROR(VLOOKUP(J221,'Obs Tecnicas'!$D$2:$I$320,5,0),O221)</f>
        <v>44406</v>
      </c>
      <c r="Q221" s="69" t="str">
        <f t="shared" ca="1" si="20"/>
        <v>Calibrado</v>
      </c>
      <c r="R221" s="71">
        <f>IFERROR(VLOOKUP(J221,'Obs Tecnicas'!$D$2:$G$340,2,0),"")</f>
        <v>13283</v>
      </c>
      <c r="S221" s="67" t="str">
        <f>IFERROR(VLOOKUP(J221,'Obs Tecnicas'!$D$2:$G$344,3,0),"Hexis")</f>
        <v>ER ANALITICA</v>
      </c>
      <c r="T221" s="67">
        <f>IFERROR(VLOOKUP(J221,'Obs Tecnicas'!$D$2:$G$344,4,0),"")</f>
        <v>0</v>
      </c>
      <c r="U221" s="13" t="s">
        <v>550</v>
      </c>
      <c r="V221" s="13">
        <f t="shared" si="21"/>
        <v>7</v>
      </c>
      <c r="W221" s="72">
        <f t="shared" si="17"/>
        <v>420.44400000000002</v>
      </c>
      <c r="X221" s="72">
        <f t="shared" si="18"/>
        <v>385.26299999999998</v>
      </c>
    </row>
    <row r="222" spans="1:32" s="86" customFormat="1">
      <c r="A222" s="13" t="s">
        <v>20</v>
      </c>
      <c r="B222" s="13" t="s">
        <v>353</v>
      </c>
      <c r="C222" s="66" t="s">
        <v>354</v>
      </c>
      <c r="D222" s="67" t="s">
        <v>355</v>
      </c>
      <c r="E222" s="13" t="s">
        <v>306</v>
      </c>
      <c r="F222" s="66" t="s">
        <v>307</v>
      </c>
      <c r="G222" s="67" t="s">
        <v>318</v>
      </c>
      <c r="H222" s="67" t="s">
        <v>27</v>
      </c>
      <c r="I222" s="67" t="s">
        <v>45</v>
      </c>
      <c r="J222" s="68" t="s">
        <v>719</v>
      </c>
      <c r="K222" s="67" t="s">
        <v>53</v>
      </c>
      <c r="L222" s="67" t="s">
        <v>246</v>
      </c>
      <c r="M222" s="75" t="s">
        <v>356</v>
      </c>
      <c r="N222" s="67" t="s">
        <v>357</v>
      </c>
      <c r="O222" s="69">
        <v>44406</v>
      </c>
      <c r="P222" s="70">
        <f>IFERROR(VLOOKUP(J222,'Obs Tecnicas'!$D$2:$I$320,5,0),O222)</f>
        <v>44406</v>
      </c>
      <c r="Q222" s="69" t="str">
        <f t="shared" ca="1" si="20"/>
        <v>Calibrado</v>
      </c>
      <c r="R222" s="71">
        <f>IFERROR(VLOOKUP(J222,'Obs Tecnicas'!$D$2:$G$340,2,0),"")</f>
        <v>13284</v>
      </c>
      <c r="S222" s="67" t="str">
        <f>IFERROR(VLOOKUP(J222,'Obs Tecnicas'!$D$2:$G$344,3,0),"Hexis")</f>
        <v>ER ANALITICA</v>
      </c>
      <c r="T222" s="67" t="str">
        <f>IFERROR(VLOOKUP(J222,'Obs Tecnicas'!$D$2:$G$344,4,0),"")</f>
        <v xml:space="preserve"> Carcaça com avarias</v>
      </c>
      <c r="U222" s="13" t="s">
        <v>550</v>
      </c>
      <c r="V222" s="13">
        <f t="shared" si="21"/>
        <v>7</v>
      </c>
      <c r="W222" s="72">
        <f t="shared" si="17"/>
        <v>420.44400000000002</v>
      </c>
      <c r="X222" s="72">
        <f t="shared" si="18"/>
        <v>385.26299999999998</v>
      </c>
      <c r="AF222" s="104"/>
    </row>
    <row r="223" spans="1:32" s="86" customFormat="1">
      <c r="A223" s="13" t="s">
        <v>20</v>
      </c>
      <c r="B223" s="13" t="s">
        <v>353</v>
      </c>
      <c r="C223" s="66" t="s">
        <v>354</v>
      </c>
      <c r="D223" s="67" t="s">
        <v>355</v>
      </c>
      <c r="E223" s="13" t="s">
        <v>306</v>
      </c>
      <c r="F223" s="66" t="s">
        <v>307</v>
      </c>
      <c r="G223" s="67" t="s">
        <v>318</v>
      </c>
      <c r="H223" s="67" t="s">
        <v>27</v>
      </c>
      <c r="I223" s="67" t="s">
        <v>79</v>
      </c>
      <c r="J223" s="68" t="s">
        <v>720</v>
      </c>
      <c r="K223" s="67" t="s">
        <v>77</v>
      </c>
      <c r="L223" s="67" t="s">
        <v>80</v>
      </c>
      <c r="M223" s="75" t="s">
        <v>356</v>
      </c>
      <c r="N223" s="67" t="s">
        <v>357</v>
      </c>
      <c r="O223" s="69">
        <v>44406</v>
      </c>
      <c r="P223" s="70">
        <f>IFERROR(VLOOKUP(J223,'Obs Tecnicas'!$D$2:$I$320,5,0),O223)</f>
        <v>44406</v>
      </c>
      <c r="Q223" s="69" t="str">
        <f t="shared" ca="1" si="20"/>
        <v>Calibrado</v>
      </c>
      <c r="R223" s="71">
        <f>IFERROR(VLOOKUP(J223,'Obs Tecnicas'!$D$2:$G$340,2,0),"")</f>
        <v>13285</v>
      </c>
      <c r="S223" s="67" t="str">
        <f>IFERROR(VLOOKUP(J223,'Obs Tecnicas'!$D$2:$G$344,3,0),"Hexis")</f>
        <v>ER ANALITICA</v>
      </c>
      <c r="T223" s="67">
        <f>IFERROR(VLOOKUP(J223,'Obs Tecnicas'!$D$2:$G$344,4,0),"")</f>
        <v>0</v>
      </c>
      <c r="U223" s="13" t="s">
        <v>550</v>
      </c>
      <c r="V223" s="13">
        <f t="shared" si="21"/>
        <v>7</v>
      </c>
      <c r="W223" s="72">
        <f t="shared" si="17"/>
        <v>101.655</v>
      </c>
      <c r="X223" s="72">
        <f t="shared" si="18"/>
        <v>390.45599999999996</v>
      </c>
      <c r="AF223" s="104"/>
    </row>
    <row r="224" spans="1:32" s="86" customFormat="1">
      <c r="A224" s="13" t="s">
        <v>20</v>
      </c>
      <c r="B224" s="13" t="s">
        <v>353</v>
      </c>
      <c r="C224" s="66" t="s">
        <v>354</v>
      </c>
      <c r="D224" s="67" t="s">
        <v>355</v>
      </c>
      <c r="E224" s="77" t="s">
        <v>306</v>
      </c>
      <c r="F224" s="66" t="s">
        <v>307</v>
      </c>
      <c r="G224" s="67" t="s">
        <v>318</v>
      </c>
      <c r="H224" s="67" t="s">
        <v>27</v>
      </c>
      <c r="I224" s="67" t="s">
        <v>34</v>
      </c>
      <c r="J224" s="68" t="s">
        <v>721</v>
      </c>
      <c r="K224" s="67" t="s">
        <v>94</v>
      </c>
      <c r="L224" s="67" t="s">
        <v>120</v>
      </c>
      <c r="M224" s="67" t="s">
        <v>356</v>
      </c>
      <c r="N224" s="67" t="s">
        <v>357</v>
      </c>
      <c r="O224" s="69">
        <v>44406</v>
      </c>
      <c r="P224" s="70">
        <f>IFERROR(VLOOKUP(J224,'Obs Tecnicas'!$D$2:$I$320,5,0),O224)</f>
        <v>44406</v>
      </c>
      <c r="Q224" s="69" t="str">
        <f t="shared" ca="1" si="20"/>
        <v>Calibrado</v>
      </c>
      <c r="R224" s="71">
        <f>IFERROR(VLOOKUP(J224,'Obs Tecnicas'!$D$2:$G$340,2,0),"")</f>
        <v>13286</v>
      </c>
      <c r="S224" s="67" t="str">
        <f>IFERROR(VLOOKUP(J224,'Obs Tecnicas'!$D$2:$G$344,3,0),"Hexis")</f>
        <v>ER ANALITICA</v>
      </c>
      <c r="T224" s="67" t="str">
        <f>IFERROR(VLOOKUP(J224,'Obs Tecnicas'!$D$2:$G$344,4,0),"")</f>
        <v>Equipamento será encaminhado a ER junto o técnico devido avarias nas teclas. Serão encaminhados dois medidores 6P Ultrameter II junto ao técnico para ER, para manutenção corretiva.</v>
      </c>
      <c r="U224" s="13" t="s">
        <v>550</v>
      </c>
      <c r="V224" s="13">
        <f t="shared" si="21"/>
        <v>7</v>
      </c>
      <c r="W224" s="72">
        <f t="shared" si="17"/>
        <v>101.655</v>
      </c>
      <c r="X224" s="72">
        <f t="shared" si="18"/>
        <v>195.22799999999998</v>
      </c>
      <c r="AF224" s="104"/>
    </row>
    <row r="225" spans="1:32">
      <c r="A225" s="13" t="s">
        <v>20</v>
      </c>
      <c r="B225" s="13" t="s">
        <v>353</v>
      </c>
      <c r="C225" s="66" t="s">
        <v>354</v>
      </c>
      <c r="D225" s="67" t="s">
        <v>355</v>
      </c>
      <c r="E225" s="13" t="s">
        <v>306</v>
      </c>
      <c r="F225" s="66" t="s">
        <v>307</v>
      </c>
      <c r="G225" s="67" t="s">
        <v>318</v>
      </c>
      <c r="H225" s="67" t="s">
        <v>27</v>
      </c>
      <c r="I225" s="67" t="s">
        <v>55</v>
      </c>
      <c r="J225" s="68" t="s">
        <v>358</v>
      </c>
      <c r="K225" s="67" t="s">
        <v>53</v>
      </c>
      <c r="L225" s="67" t="s">
        <v>57</v>
      </c>
      <c r="M225" s="75" t="s">
        <v>356</v>
      </c>
      <c r="N225" s="67" t="s">
        <v>357</v>
      </c>
      <c r="O225" s="69">
        <v>44406</v>
      </c>
      <c r="P225" s="70">
        <f>IFERROR(VLOOKUP(J225,'Obs Tecnicas'!$D$2:$I$320,5,0),O225)</f>
        <v>44406</v>
      </c>
      <c r="Q225" s="69" t="str">
        <f t="shared" ca="1" si="20"/>
        <v>Calibrado</v>
      </c>
      <c r="R225" s="71">
        <f>IFERROR(VLOOKUP(J225,'Obs Tecnicas'!$D$2:$G$340,2,0),"")</f>
        <v>13287</v>
      </c>
      <c r="S225" s="67" t="str">
        <f>IFERROR(VLOOKUP(J225,'Obs Tecnicas'!$D$2:$G$344,3,0),"Hexis")</f>
        <v>ER ANALITICA</v>
      </c>
      <c r="T225" s="67">
        <f>IFERROR(VLOOKUP(J225,'Obs Tecnicas'!$D$2:$G$344,4,0),"")</f>
        <v>0</v>
      </c>
      <c r="U225" s="13" t="s">
        <v>550</v>
      </c>
      <c r="V225" s="13">
        <f t="shared" si="21"/>
        <v>7</v>
      </c>
      <c r="W225" s="72" t="e">
        <f t="shared" si="17"/>
        <v>#N/A</v>
      </c>
      <c r="X225" s="72" t="e">
        <f t="shared" si="18"/>
        <v>#N/A</v>
      </c>
    </row>
    <row r="226" spans="1:32">
      <c r="A226" s="13" t="s">
        <v>20</v>
      </c>
      <c r="B226" s="84" t="s">
        <v>298</v>
      </c>
      <c r="C226" s="66" t="s">
        <v>299</v>
      </c>
      <c r="D226" s="67" t="s">
        <v>300</v>
      </c>
      <c r="E226" s="13" t="s">
        <v>301</v>
      </c>
      <c r="F226" s="66" t="s">
        <v>302</v>
      </c>
      <c r="G226" s="67" t="s">
        <v>177</v>
      </c>
      <c r="H226" s="67" t="s">
        <v>178</v>
      </c>
      <c r="I226" s="67" t="s">
        <v>76</v>
      </c>
      <c r="J226" s="68" t="s">
        <v>303</v>
      </c>
      <c r="K226" s="67" t="s">
        <v>210</v>
      </c>
      <c r="L226" s="67" t="s">
        <v>40</v>
      </c>
      <c r="M226" s="67" t="s">
        <v>304</v>
      </c>
      <c r="N226" s="67" t="s">
        <v>182</v>
      </c>
      <c r="O226" s="69">
        <v>44229</v>
      </c>
      <c r="P226" s="70">
        <f>IFERROR(VLOOKUP(J226,'Obs Tecnicas'!$D$2:$I$320,5,0),O226)</f>
        <v>44229</v>
      </c>
      <c r="Q226" s="69" t="str">
        <f t="shared" ca="1" si="20"/>
        <v>Calibrado</v>
      </c>
      <c r="R226" s="71" t="str">
        <f>IFERROR(VLOOKUP(J226,'Obs Tecnicas'!$D$2:$G$340,2,0),"")</f>
        <v/>
      </c>
      <c r="S226" s="67" t="str">
        <f>IFERROR(VLOOKUP(J226,'Obs Tecnicas'!$D$2:$G$344,3,0),"Hexis")</f>
        <v>Hexis</v>
      </c>
      <c r="T226" s="67" t="str">
        <f>IFERROR(VLOOKUP(J226,'Obs Tecnicas'!$D$2:$G$344,4,0),"")</f>
        <v/>
      </c>
      <c r="V226" s="13">
        <f t="shared" si="21"/>
        <v>2</v>
      </c>
      <c r="W226" s="72">
        <f t="shared" si="17"/>
        <v>101.655</v>
      </c>
      <c r="X226" s="72">
        <f t="shared" si="18"/>
        <v>195.22799999999998</v>
      </c>
    </row>
    <row r="227" spans="1:32">
      <c r="A227" s="13" t="s">
        <v>20</v>
      </c>
      <c r="B227" s="84" t="s">
        <v>298</v>
      </c>
      <c r="C227" s="66" t="s">
        <v>299</v>
      </c>
      <c r="D227" s="67" t="s">
        <v>300</v>
      </c>
      <c r="E227" s="13" t="s">
        <v>301</v>
      </c>
      <c r="F227" s="66" t="s">
        <v>302</v>
      </c>
      <c r="G227" s="67" t="s">
        <v>177</v>
      </c>
      <c r="H227" s="67" t="s">
        <v>178</v>
      </c>
      <c r="I227" s="67" t="s">
        <v>45</v>
      </c>
      <c r="J227" s="68" t="s">
        <v>686</v>
      </c>
      <c r="K227" s="67" t="s">
        <v>53</v>
      </c>
      <c r="L227" s="67" t="s">
        <v>54</v>
      </c>
      <c r="M227" s="67" t="s">
        <v>304</v>
      </c>
      <c r="N227" s="67" t="s">
        <v>182</v>
      </c>
      <c r="O227" s="69">
        <v>44229</v>
      </c>
      <c r="P227" s="70">
        <f>IFERROR(VLOOKUP(J227,'Obs Tecnicas'!$D$2:$I$320,5,0),O227)</f>
        <v>44229</v>
      </c>
      <c r="Q227" s="69" t="str">
        <f t="shared" ca="1" si="20"/>
        <v>Calibrado</v>
      </c>
      <c r="R227" s="71" t="str">
        <f>IFERROR(VLOOKUP(J227,'Obs Tecnicas'!$D$2:$G$340,2,0),"")</f>
        <v/>
      </c>
      <c r="S227" s="67" t="str">
        <f>IFERROR(VLOOKUP(J227,'Obs Tecnicas'!$D$2:$G$344,3,0),"Hexis")</f>
        <v>Hexis</v>
      </c>
      <c r="T227" s="67" t="str">
        <f>IFERROR(VLOOKUP(J227,'Obs Tecnicas'!$D$2:$G$344,4,0),"")</f>
        <v/>
      </c>
      <c r="V227" s="13">
        <f t="shared" si="21"/>
        <v>2</v>
      </c>
      <c r="W227" s="72">
        <f t="shared" si="17"/>
        <v>420.44400000000002</v>
      </c>
      <c r="X227" s="72">
        <f t="shared" si="18"/>
        <v>385.26299999999998</v>
      </c>
    </row>
    <row r="228" spans="1:32">
      <c r="A228" s="13" t="s">
        <v>20</v>
      </c>
      <c r="B228" s="84" t="s">
        <v>298</v>
      </c>
      <c r="C228" s="66" t="s">
        <v>299</v>
      </c>
      <c r="D228" s="67" t="s">
        <v>300</v>
      </c>
      <c r="E228" s="13" t="s">
        <v>301</v>
      </c>
      <c r="F228" s="66" t="s">
        <v>302</v>
      </c>
      <c r="G228" s="67" t="s">
        <v>177</v>
      </c>
      <c r="H228" s="67" t="s">
        <v>178</v>
      </c>
      <c r="I228" s="67" t="s">
        <v>34</v>
      </c>
      <c r="J228" s="68" t="s">
        <v>687</v>
      </c>
      <c r="K228" s="67" t="s">
        <v>53</v>
      </c>
      <c r="L228" s="67" t="s">
        <v>170</v>
      </c>
      <c r="M228" s="67" t="s">
        <v>304</v>
      </c>
      <c r="N228" s="67" t="s">
        <v>182</v>
      </c>
      <c r="O228" s="69">
        <v>44229</v>
      </c>
      <c r="P228" s="70">
        <f>IFERROR(VLOOKUP(J228,'Obs Tecnicas'!$D$2:$I$320,5,0),O228)</f>
        <v>44229</v>
      </c>
      <c r="Q228" s="69" t="str">
        <f t="shared" ca="1" si="20"/>
        <v>Calibrado</v>
      </c>
      <c r="R228" s="71" t="str">
        <f>IFERROR(VLOOKUP(J228,'Obs Tecnicas'!$D$2:$G$340,2,0),"")</f>
        <v/>
      </c>
      <c r="S228" s="67" t="str">
        <f>IFERROR(VLOOKUP(J228,'Obs Tecnicas'!$D$2:$G$344,3,0),"Hexis")</f>
        <v>Hexis</v>
      </c>
      <c r="T228" s="67" t="str">
        <f>IFERROR(VLOOKUP(J228,'Obs Tecnicas'!$D$2:$G$344,4,0),"")</f>
        <v/>
      </c>
      <c r="V228" s="13">
        <f t="shared" si="21"/>
        <v>2</v>
      </c>
      <c r="W228" s="72">
        <f t="shared" si="17"/>
        <v>101.655</v>
      </c>
      <c r="X228" s="72">
        <f t="shared" si="18"/>
        <v>195.22799999999998</v>
      </c>
    </row>
    <row r="229" spans="1:32">
      <c r="A229" s="13" t="s">
        <v>20</v>
      </c>
      <c r="B229" s="84" t="s">
        <v>298</v>
      </c>
      <c r="C229" s="66" t="s">
        <v>299</v>
      </c>
      <c r="D229" s="67" t="s">
        <v>300</v>
      </c>
      <c r="E229" s="13" t="s">
        <v>301</v>
      </c>
      <c r="F229" s="66" t="s">
        <v>302</v>
      </c>
      <c r="G229" s="67" t="s">
        <v>177</v>
      </c>
      <c r="H229" s="67" t="s">
        <v>178</v>
      </c>
      <c r="I229" s="67" t="s">
        <v>55</v>
      </c>
      <c r="J229" s="68" t="s">
        <v>305</v>
      </c>
      <c r="K229" s="67" t="s">
        <v>53</v>
      </c>
      <c r="L229" s="67" t="s">
        <v>57</v>
      </c>
      <c r="M229" s="67" t="s">
        <v>304</v>
      </c>
      <c r="N229" s="67" t="s">
        <v>182</v>
      </c>
      <c r="O229" s="69">
        <v>44229</v>
      </c>
      <c r="P229" s="70">
        <f>IFERROR(VLOOKUP(J229,'Obs Tecnicas'!$D$2:$I$320,5,0),O229)</f>
        <v>44229</v>
      </c>
      <c r="Q229" s="69" t="str">
        <f t="shared" ca="1" si="20"/>
        <v>Calibrado</v>
      </c>
      <c r="R229" s="71" t="str">
        <f>IFERROR(VLOOKUP(J229,'Obs Tecnicas'!$D$2:$G$340,2,0),"")</f>
        <v/>
      </c>
      <c r="S229" s="67" t="str">
        <f>IFERROR(VLOOKUP(J229,'Obs Tecnicas'!$D$2:$G$344,3,0),"Hexis")</f>
        <v>Hexis</v>
      </c>
      <c r="T229" s="67" t="str">
        <f>IFERROR(VLOOKUP(J229,'Obs Tecnicas'!$D$2:$G$344,4,0),"")</f>
        <v/>
      </c>
      <c r="V229" s="13">
        <f t="shared" si="21"/>
        <v>2</v>
      </c>
      <c r="W229" s="72" t="e">
        <f t="shared" si="17"/>
        <v>#N/A</v>
      </c>
      <c r="X229" s="72" t="e">
        <f t="shared" si="18"/>
        <v>#N/A</v>
      </c>
    </row>
    <row r="230" spans="1:32">
      <c r="A230" s="13" t="s">
        <v>20</v>
      </c>
      <c r="B230" s="84" t="s">
        <v>298</v>
      </c>
      <c r="C230" s="66" t="s">
        <v>299</v>
      </c>
      <c r="D230" s="67" t="s">
        <v>300</v>
      </c>
      <c r="E230" s="13" t="s">
        <v>306</v>
      </c>
      <c r="F230" s="66" t="s">
        <v>307</v>
      </c>
      <c r="G230" s="67" t="s">
        <v>177</v>
      </c>
      <c r="H230" s="67" t="s">
        <v>178</v>
      </c>
      <c r="I230" s="67" t="s">
        <v>76</v>
      </c>
      <c r="J230" s="68" t="s">
        <v>688</v>
      </c>
      <c r="K230" s="67" t="s">
        <v>77</v>
      </c>
      <c r="L230" s="75" t="s">
        <v>78</v>
      </c>
      <c r="M230" s="67" t="s">
        <v>304</v>
      </c>
      <c r="N230" s="67" t="s">
        <v>182</v>
      </c>
      <c r="O230" s="69">
        <v>44229</v>
      </c>
      <c r="P230" s="70">
        <f>IFERROR(VLOOKUP(J230,'Obs Tecnicas'!$D$2:$I$320,5,0),O230)</f>
        <v>44229</v>
      </c>
      <c r="Q230" s="69" t="str">
        <f t="shared" ref="Q230:Q246" ca="1" si="22">IF(P230&lt;&gt;"",IF(P230+365&gt;TODAY(),"Calibrado","Vencido"),"")</f>
        <v>Calibrado</v>
      </c>
      <c r="R230" s="71" t="str">
        <f>IFERROR(VLOOKUP(J230,'Obs Tecnicas'!$D$2:$G$340,2,0),"")</f>
        <v/>
      </c>
      <c r="S230" s="67" t="str">
        <f>IFERROR(VLOOKUP(J230,'Obs Tecnicas'!$D$2:$G$344,3,0),"Hexis")</f>
        <v>Hexis</v>
      </c>
      <c r="T230" s="67" t="str">
        <f>IFERROR(VLOOKUP(J230,'Obs Tecnicas'!$D$2:$G$344,4,0),"")</f>
        <v/>
      </c>
      <c r="V230" s="13">
        <f t="shared" si="21"/>
        <v>2</v>
      </c>
      <c r="W230" s="72">
        <f t="shared" si="17"/>
        <v>101.655</v>
      </c>
      <c r="X230" s="72">
        <f t="shared" si="18"/>
        <v>195.22799999999998</v>
      </c>
    </row>
    <row r="231" spans="1:32">
      <c r="A231" s="13" t="s">
        <v>20</v>
      </c>
      <c r="B231" s="84" t="s">
        <v>298</v>
      </c>
      <c r="C231" s="66" t="s">
        <v>299</v>
      </c>
      <c r="D231" s="67" t="s">
        <v>300</v>
      </c>
      <c r="E231" s="13" t="s">
        <v>306</v>
      </c>
      <c r="F231" s="66" t="s">
        <v>307</v>
      </c>
      <c r="G231" s="67" t="s">
        <v>177</v>
      </c>
      <c r="H231" s="67" t="s">
        <v>178</v>
      </c>
      <c r="I231" s="67" t="s">
        <v>45</v>
      </c>
      <c r="J231" s="68" t="s">
        <v>689</v>
      </c>
      <c r="K231" s="67" t="s">
        <v>53</v>
      </c>
      <c r="L231" s="67" t="s">
        <v>291</v>
      </c>
      <c r="M231" s="67" t="s">
        <v>304</v>
      </c>
      <c r="N231" s="67" t="s">
        <v>182</v>
      </c>
      <c r="O231" s="69">
        <v>44229</v>
      </c>
      <c r="P231" s="70">
        <f>IFERROR(VLOOKUP(J231,'Obs Tecnicas'!$D$2:$I$320,5,0),O231)</f>
        <v>44229</v>
      </c>
      <c r="Q231" s="69" t="str">
        <f t="shared" ca="1" si="22"/>
        <v>Calibrado</v>
      </c>
      <c r="R231" s="71" t="str">
        <f>IFERROR(VLOOKUP(J231,'Obs Tecnicas'!$D$2:$G$340,2,0),"")</f>
        <v/>
      </c>
      <c r="S231" s="67" t="str">
        <f>IFERROR(VLOOKUP(J231,'Obs Tecnicas'!$D$2:$G$344,3,0),"Hexis")</f>
        <v>Hexis</v>
      </c>
      <c r="T231" s="67" t="str">
        <f>IFERROR(VLOOKUP(J231,'Obs Tecnicas'!$D$2:$G$344,4,0),"")</f>
        <v/>
      </c>
      <c r="V231" s="13">
        <f t="shared" si="21"/>
        <v>2</v>
      </c>
      <c r="W231" s="72">
        <f t="shared" si="17"/>
        <v>420.44400000000002</v>
      </c>
      <c r="X231" s="72">
        <f t="shared" si="18"/>
        <v>385.26299999999998</v>
      </c>
    </row>
    <row r="232" spans="1:32">
      <c r="A232" s="13" t="s">
        <v>20</v>
      </c>
      <c r="B232" s="84" t="s">
        <v>298</v>
      </c>
      <c r="C232" s="66" t="s">
        <v>299</v>
      </c>
      <c r="D232" s="67" t="s">
        <v>300</v>
      </c>
      <c r="E232" s="13" t="s">
        <v>306</v>
      </c>
      <c r="F232" s="66" t="s">
        <v>307</v>
      </c>
      <c r="G232" s="67" t="s">
        <v>177</v>
      </c>
      <c r="H232" s="67" t="s">
        <v>178</v>
      </c>
      <c r="I232" s="67" t="s">
        <v>79</v>
      </c>
      <c r="J232" s="68" t="s">
        <v>690</v>
      </c>
      <c r="K232" s="67" t="s">
        <v>77</v>
      </c>
      <c r="L232" s="75" t="s">
        <v>80</v>
      </c>
      <c r="M232" s="67" t="s">
        <v>304</v>
      </c>
      <c r="N232" s="67" t="s">
        <v>182</v>
      </c>
      <c r="O232" s="69">
        <v>44229</v>
      </c>
      <c r="P232" s="70">
        <f>IFERROR(VLOOKUP(J232,'Obs Tecnicas'!$D$2:$I$320,5,0),O232)</f>
        <v>44229</v>
      </c>
      <c r="Q232" s="69" t="str">
        <f t="shared" ca="1" si="22"/>
        <v>Calibrado</v>
      </c>
      <c r="R232" s="71" t="str">
        <f>IFERROR(VLOOKUP(J232,'Obs Tecnicas'!$D$2:$G$340,2,0),"")</f>
        <v/>
      </c>
      <c r="S232" s="67" t="str">
        <f>IFERROR(VLOOKUP(J232,'Obs Tecnicas'!$D$2:$G$344,3,0),"Hexis")</f>
        <v>Hexis</v>
      </c>
      <c r="T232" s="67" t="str">
        <f>IFERROR(VLOOKUP(J232,'Obs Tecnicas'!$D$2:$G$344,4,0),"")</f>
        <v/>
      </c>
      <c r="V232" s="13">
        <f t="shared" si="21"/>
        <v>2</v>
      </c>
      <c r="W232" s="72">
        <f t="shared" si="17"/>
        <v>101.655</v>
      </c>
      <c r="X232" s="72">
        <f t="shared" si="18"/>
        <v>390.45599999999996</v>
      </c>
    </row>
    <row r="233" spans="1:32">
      <c r="A233" s="13" t="s">
        <v>20</v>
      </c>
      <c r="B233" s="84" t="s">
        <v>298</v>
      </c>
      <c r="C233" s="66" t="s">
        <v>299</v>
      </c>
      <c r="D233" s="67" t="s">
        <v>300</v>
      </c>
      <c r="E233" s="13" t="s">
        <v>306</v>
      </c>
      <c r="F233" s="66" t="s">
        <v>307</v>
      </c>
      <c r="G233" s="67" t="s">
        <v>177</v>
      </c>
      <c r="H233" s="67" t="s">
        <v>178</v>
      </c>
      <c r="I233" s="67" t="s">
        <v>34</v>
      </c>
      <c r="J233" s="68" t="s">
        <v>691</v>
      </c>
      <c r="K233" s="67" t="s">
        <v>35</v>
      </c>
      <c r="L233" s="67" t="s">
        <v>36</v>
      </c>
      <c r="M233" s="67" t="s">
        <v>304</v>
      </c>
      <c r="N233" s="67" t="s">
        <v>182</v>
      </c>
      <c r="O233" s="69">
        <v>44229</v>
      </c>
      <c r="P233" s="70">
        <f>IFERROR(VLOOKUP(J233,'Obs Tecnicas'!$D$2:$I$320,5,0),O233)</f>
        <v>44229</v>
      </c>
      <c r="Q233" s="69" t="str">
        <f t="shared" ca="1" si="22"/>
        <v>Calibrado</v>
      </c>
      <c r="R233" s="71" t="str">
        <f>IFERROR(VLOOKUP(J233,'Obs Tecnicas'!$D$2:$G$340,2,0),"")</f>
        <v/>
      </c>
      <c r="S233" s="67" t="str">
        <f>IFERROR(VLOOKUP(J233,'Obs Tecnicas'!$D$2:$G$344,3,0),"Hexis")</f>
        <v>Hexis</v>
      </c>
      <c r="T233" s="67" t="str">
        <f>IFERROR(VLOOKUP(J233,'Obs Tecnicas'!$D$2:$G$344,4,0),"")</f>
        <v/>
      </c>
      <c r="V233" s="13">
        <f t="shared" si="21"/>
        <v>2</v>
      </c>
      <c r="W233" s="72">
        <f t="shared" si="17"/>
        <v>101.655</v>
      </c>
      <c r="X233" s="72">
        <f t="shared" si="18"/>
        <v>195.22799999999998</v>
      </c>
    </row>
    <row r="234" spans="1:32">
      <c r="A234" s="13" t="s">
        <v>20</v>
      </c>
      <c r="B234" s="13" t="s">
        <v>440</v>
      </c>
      <c r="C234" s="66" t="s">
        <v>441</v>
      </c>
      <c r="D234" s="143" t="s">
        <v>1014</v>
      </c>
      <c r="E234" s="13" t="s">
        <v>831</v>
      </c>
      <c r="F234" s="66" t="s">
        <v>832</v>
      </c>
      <c r="G234" s="67" t="s">
        <v>434</v>
      </c>
      <c r="H234" s="67" t="s">
        <v>27</v>
      </c>
      <c r="I234" s="67" t="s">
        <v>76</v>
      </c>
      <c r="J234" s="68" t="s">
        <v>749</v>
      </c>
      <c r="K234" s="67" t="s">
        <v>210</v>
      </c>
      <c r="L234" s="67" t="s">
        <v>442</v>
      </c>
      <c r="M234" s="67" t="s">
        <v>443</v>
      </c>
      <c r="N234" s="67" t="s">
        <v>327</v>
      </c>
      <c r="O234" s="69">
        <v>44001</v>
      </c>
      <c r="P234" s="70">
        <f>IFERROR(VLOOKUP(J234,'Obs Tecnicas'!$D$2:$I$320,5,0),O234)</f>
        <v>44420</v>
      </c>
      <c r="Q234" s="69" t="str">
        <f t="shared" ca="1" si="22"/>
        <v>Calibrado</v>
      </c>
      <c r="R234" s="71">
        <f>IFERROR(VLOOKUP(J234,'Obs Tecnicas'!$D$2:$G$340,2,0),"")</f>
        <v>13301</v>
      </c>
      <c r="S234" s="67" t="str">
        <f>IFERROR(VLOOKUP(J234,'Obs Tecnicas'!$D$2:$G$344,3,0),"Hexis")</f>
        <v>ER ANALITICA</v>
      </c>
      <c r="T234" s="67" t="str">
        <f>IFERROR(VLOOKUP(J234,'Obs Tecnicas'!$D$2:$G$344,4,0),"")</f>
        <v xml:space="preserve"> Equipamento inoperante, cliente não ira realizar o serviço</v>
      </c>
      <c r="U234" s="13" t="s">
        <v>550</v>
      </c>
      <c r="V234" s="13">
        <f t="shared" si="21"/>
        <v>8</v>
      </c>
      <c r="W234" s="72">
        <f t="shared" si="17"/>
        <v>101.655</v>
      </c>
      <c r="X234" s="72">
        <f t="shared" si="18"/>
        <v>195.22799999999998</v>
      </c>
      <c r="AF234" s="104">
        <v>44406</v>
      </c>
    </row>
    <row r="235" spans="1:32">
      <c r="A235" s="13" t="s">
        <v>20</v>
      </c>
      <c r="B235" s="13" t="s">
        <v>440</v>
      </c>
      <c r="C235" s="66" t="s">
        <v>441</v>
      </c>
      <c r="D235" s="143" t="s">
        <v>1014</v>
      </c>
      <c r="E235" s="13" t="s">
        <v>831</v>
      </c>
      <c r="F235" s="66" t="s">
        <v>832</v>
      </c>
      <c r="G235" s="67" t="s">
        <v>434</v>
      </c>
      <c r="H235" s="67" t="s">
        <v>27</v>
      </c>
      <c r="I235" s="67" t="s">
        <v>45</v>
      </c>
      <c r="J235" s="68" t="s">
        <v>750</v>
      </c>
      <c r="K235" s="67" t="s">
        <v>53</v>
      </c>
      <c r="L235" s="67" t="s">
        <v>72</v>
      </c>
      <c r="M235" s="67" t="s">
        <v>443</v>
      </c>
      <c r="N235" s="67" t="s">
        <v>327</v>
      </c>
      <c r="O235" s="69">
        <v>44001</v>
      </c>
      <c r="P235" s="70">
        <f>IFERROR(VLOOKUP(J235,'Obs Tecnicas'!$D$2:$I$320,5,0),O235)</f>
        <v>44420</v>
      </c>
      <c r="Q235" s="69" t="str">
        <f t="shared" ca="1" si="22"/>
        <v>Calibrado</v>
      </c>
      <c r="R235" s="71">
        <f>IFERROR(VLOOKUP(J235,'Obs Tecnicas'!$D$2:$G$340,2,0),"")</f>
        <v>13302</v>
      </c>
      <c r="S235" s="67" t="str">
        <f>IFERROR(VLOOKUP(J235,'Obs Tecnicas'!$D$2:$G$344,3,0),"Hexis")</f>
        <v>ER ANALITICA</v>
      </c>
      <c r="T235" s="67" t="str">
        <f>IFERROR(VLOOKUP(J235,'Obs Tecnicas'!$D$2:$G$344,4,0),"")</f>
        <v xml:space="preserve"> Carcaça superior com avarias. Necessário a troca</v>
      </c>
      <c r="U235" s="13" t="s">
        <v>464</v>
      </c>
      <c r="V235" s="13">
        <f t="shared" si="21"/>
        <v>8</v>
      </c>
      <c r="W235" s="72">
        <f t="shared" si="17"/>
        <v>420.44400000000002</v>
      </c>
      <c r="X235" s="72">
        <f t="shared" si="18"/>
        <v>385.26299999999998</v>
      </c>
      <c r="AF235" s="104">
        <v>44406</v>
      </c>
    </row>
    <row r="236" spans="1:32">
      <c r="A236" s="13" t="s">
        <v>20</v>
      </c>
      <c r="B236" s="13" t="s">
        <v>206</v>
      </c>
      <c r="C236" s="66" t="s">
        <v>207</v>
      </c>
      <c r="D236" s="67" t="s">
        <v>217</v>
      </c>
      <c r="E236" s="13" t="s">
        <v>175</v>
      </c>
      <c r="F236" s="66" t="s">
        <v>176</v>
      </c>
      <c r="G236" s="67" t="s">
        <v>177</v>
      </c>
      <c r="H236" s="67" t="s">
        <v>209</v>
      </c>
      <c r="I236" s="67" t="s">
        <v>52</v>
      </c>
      <c r="J236" s="68" t="s">
        <v>218</v>
      </c>
      <c r="K236" s="67" t="s">
        <v>53</v>
      </c>
      <c r="L236" s="67" t="s">
        <v>86</v>
      </c>
      <c r="M236" s="67" t="s">
        <v>211</v>
      </c>
      <c r="N236" s="67" t="s">
        <v>212</v>
      </c>
      <c r="O236" s="69">
        <v>44013</v>
      </c>
      <c r="P236" s="70">
        <f>IFERROR(VLOOKUP(J236,'Obs Tecnicas'!$D$2:$I$320,5,0),O236)</f>
        <v>44406</v>
      </c>
      <c r="Q236" s="69" t="str">
        <f t="shared" ca="1" si="22"/>
        <v>Calibrado</v>
      </c>
      <c r="R236" s="71">
        <f>IFERROR(VLOOKUP(J236,'Obs Tecnicas'!$D$2:$G$340,2,0),"")</f>
        <v>13279</v>
      </c>
      <c r="S236" s="67" t="str">
        <f>IFERROR(VLOOKUP(J236,'Obs Tecnicas'!$D$2:$G$344,3,0),"Hexis")</f>
        <v>ER ANALITICA</v>
      </c>
      <c r="T236" s="67">
        <f>IFERROR(VLOOKUP(J236,'Obs Tecnicas'!$D$2:$G$344,4,0),"")</f>
        <v>0</v>
      </c>
      <c r="U236" s="13" t="s">
        <v>550</v>
      </c>
      <c r="V236" s="13">
        <f t="shared" si="21"/>
        <v>7</v>
      </c>
      <c r="W236" s="72">
        <f t="shared" si="17"/>
        <v>178.434</v>
      </c>
      <c r="X236" s="72">
        <f t="shared" si="18"/>
        <v>318.94200000000001</v>
      </c>
      <c r="AE236" s="13" t="s">
        <v>807</v>
      </c>
    </row>
    <row r="237" spans="1:32">
      <c r="A237" s="13" t="s">
        <v>20</v>
      </c>
      <c r="B237" s="13" t="s">
        <v>97</v>
      </c>
      <c r="C237" s="66" t="s">
        <v>98</v>
      </c>
      <c r="D237" s="67" t="s">
        <v>99</v>
      </c>
      <c r="E237" s="13" t="s">
        <v>100</v>
      </c>
      <c r="F237" s="66" t="s">
        <v>101</v>
      </c>
      <c r="G237" s="67" t="s">
        <v>84</v>
      </c>
      <c r="H237" s="67" t="s">
        <v>102</v>
      </c>
      <c r="I237" s="67" t="s">
        <v>45</v>
      </c>
      <c r="J237" s="68" t="s">
        <v>603</v>
      </c>
      <c r="K237" s="67" t="s">
        <v>53</v>
      </c>
      <c r="L237" s="67" t="s">
        <v>72</v>
      </c>
      <c r="M237" s="67" t="s">
        <v>103</v>
      </c>
      <c r="N237" s="67" t="s">
        <v>104</v>
      </c>
      <c r="O237" s="69">
        <v>44054</v>
      </c>
      <c r="P237" s="70">
        <f>IFERROR(VLOOKUP(J237,'Obs Tecnicas'!$D$2:$I$320,5,0),O237)</f>
        <v>44054</v>
      </c>
      <c r="Q237" s="69" t="str">
        <f t="shared" ca="1" si="22"/>
        <v>Vencido</v>
      </c>
      <c r="R237" s="71" t="str">
        <f>IFERROR(VLOOKUP(J237,'Obs Tecnicas'!$D$2:$G$340,2,0),"")</f>
        <v/>
      </c>
      <c r="S237" s="67" t="str">
        <f>IFERROR(VLOOKUP(J237,'Obs Tecnicas'!$D$2:$G$344,3,0),"Hexis")</f>
        <v>Hexis</v>
      </c>
      <c r="T237" s="67" t="str">
        <f>IFERROR(VLOOKUP(J237,'Obs Tecnicas'!$D$2:$G$344,4,0),"")</f>
        <v/>
      </c>
      <c r="U237" s="13" t="s">
        <v>464</v>
      </c>
      <c r="V237" s="13">
        <f t="shared" si="21"/>
        <v>8</v>
      </c>
      <c r="W237" s="72">
        <f t="shared" si="17"/>
        <v>420.44400000000002</v>
      </c>
      <c r="X237" s="72">
        <f t="shared" si="18"/>
        <v>385.26299999999998</v>
      </c>
      <c r="AE237" s="13" t="s">
        <v>809</v>
      </c>
      <c r="AF237" s="104">
        <v>44425</v>
      </c>
    </row>
    <row r="238" spans="1:32">
      <c r="A238" s="13" t="s">
        <v>20</v>
      </c>
      <c r="B238" s="13" t="s">
        <v>97</v>
      </c>
      <c r="C238" s="66" t="s">
        <v>98</v>
      </c>
      <c r="D238" s="67" t="s">
        <v>99</v>
      </c>
      <c r="E238" s="13" t="s">
        <v>100</v>
      </c>
      <c r="F238" s="66" t="s">
        <v>101</v>
      </c>
      <c r="G238" s="67" t="s">
        <v>84</v>
      </c>
      <c r="H238" s="67" t="s">
        <v>102</v>
      </c>
      <c r="I238" s="67" t="s">
        <v>79</v>
      </c>
      <c r="J238" s="68" t="s">
        <v>604</v>
      </c>
      <c r="K238" s="67" t="s">
        <v>77</v>
      </c>
      <c r="L238" s="67" t="s">
        <v>80</v>
      </c>
      <c r="M238" s="67" t="s">
        <v>105</v>
      </c>
      <c r="N238" s="67" t="s">
        <v>104</v>
      </c>
      <c r="O238" s="69">
        <v>44054</v>
      </c>
      <c r="P238" s="70">
        <f>IFERROR(VLOOKUP(J238,'Obs Tecnicas'!$D$2:$I$320,5,0),O238)</f>
        <v>44054</v>
      </c>
      <c r="Q238" s="69" t="str">
        <f t="shared" ca="1" si="22"/>
        <v>Vencido</v>
      </c>
      <c r="R238" s="71" t="str">
        <f>IFERROR(VLOOKUP(J238,'Obs Tecnicas'!$D$2:$G$340,2,0),"")</f>
        <v/>
      </c>
      <c r="S238" s="67" t="str">
        <f>IFERROR(VLOOKUP(J238,'Obs Tecnicas'!$D$2:$G$344,3,0),"Hexis")</f>
        <v>Hexis</v>
      </c>
      <c r="T238" s="67" t="str">
        <f>IFERROR(VLOOKUP(J238,'Obs Tecnicas'!$D$2:$G$344,4,0),"")</f>
        <v/>
      </c>
      <c r="U238" s="13" t="s">
        <v>464</v>
      </c>
      <c r="V238" s="13">
        <f t="shared" si="21"/>
        <v>8</v>
      </c>
      <c r="W238" s="72">
        <f t="shared" si="17"/>
        <v>101.655</v>
      </c>
      <c r="X238" s="72">
        <f t="shared" si="18"/>
        <v>390.45599999999996</v>
      </c>
      <c r="AE238" s="13" t="s">
        <v>809</v>
      </c>
      <c r="AF238" s="104">
        <v>44438</v>
      </c>
    </row>
    <row r="239" spans="1:32">
      <c r="A239" s="13" t="s">
        <v>20</v>
      </c>
      <c r="B239" s="13" t="s">
        <v>97</v>
      </c>
      <c r="C239" s="66" t="s">
        <v>98</v>
      </c>
      <c r="D239" s="67" t="s">
        <v>99</v>
      </c>
      <c r="E239" s="13" t="s">
        <v>100</v>
      </c>
      <c r="F239" s="66" t="s">
        <v>101</v>
      </c>
      <c r="G239" s="67" t="s">
        <v>84</v>
      </c>
      <c r="H239" s="67" t="s">
        <v>102</v>
      </c>
      <c r="I239" s="67" t="s">
        <v>34</v>
      </c>
      <c r="J239" s="68" t="s">
        <v>106</v>
      </c>
      <c r="K239" s="67" t="s">
        <v>107</v>
      </c>
      <c r="L239" s="67" t="s">
        <v>108</v>
      </c>
      <c r="M239" s="67" t="s">
        <v>105</v>
      </c>
      <c r="N239" s="67" t="s">
        <v>104</v>
      </c>
      <c r="O239" s="69">
        <v>44054</v>
      </c>
      <c r="P239" s="70">
        <f>IFERROR(VLOOKUP(J239,'Obs Tecnicas'!$D$2:$I$320,5,0),O239)</f>
        <v>44054</v>
      </c>
      <c r="Q239" s="69" t="str">
        <f t="shared" ca="1" si="22"/>
        <v>Vencido</v>
      </c>
      <c r="R239" s="71" t="str">
        <f>IFERROR(VLOOKUP(J239,'Obs Tecnicas'!$D$2:$G$340,2,0),"")</f>
        <v/>
      </c>
      <c r="S239" s="67" t="str">
        <f>IFERROR(VLOOKUP(J239,'Obs Tecnicas'!$D$2:$G$344,3,0),"Hexis")</f>
        <v>Hexis</v>
      </c>
      <c r="T239" s="67" t="str">
        <f>IFERROR(VLOOKUP(J239,'Obs Tecnicas'!$D$2:$G$344,4,0),"")</f>
        <v/>
      </c>
      <c r="U239" s="13" t="s">
        <v>464</v>
      </c>
      <c r="V239" s="13">
        <f t="shared" si="21"/>
        <v>8</v>
      </c>
      <c r="W239" s="72">
        <f t="shared" si="17"/>
        <v>101.655</v>
      </c>
      <c r="X239" s="72">
        <f t="shared" si="18"/>
        <v>195.22799999999998</v>
      </c>
      <c r="AE239" s="13" t="s">
        <v>809</v>
      </c>
      <c r="AF239" s="104">
        <v>44438</v>
      </c>
    </row>
    <row r="240" spans="1:32">
      <c r="A240" s="13" t="s">
        <v>20</v>
      </c>
      <c r="B240" s="13" t="s">
        <v>97</v>
      </c>
      <c r="C240" s="66" t="s">
        <v>98</v>
      </c>
      <c r="D240" s="67" t="s">
        <v>99</v>
      </c>
      <c r="E240" s="13" t="s">
        <v>100</v>
      </c>
      <c r="F240" s="66" t="s">
        <v>101</v>
      </c>
      <c r="G240" s="67" t="s">
        <v>84</v>
      </c>
      <c r="H240" s="67" t="s">
        <v>102</v>
      </c>
      <c r="I240" s="67" t="s">
        <v>34</v>
      </c>
      <c r="J240" s="68" t="s">
        <v>109</v>
      </c>
      <c r="K240" s="67" t="s">
        <v>107</v>
      </c>
      <c r="L240" s="67" t="s">
        <v>110</v>
      </c>
      <c r="M240" s="67" t="s">
        <v>105</v>
      </c>
      <c r="N240" s="67" t="s">
        <v>104</v>
      </c>
      <c r="O240" s="69">
        <v>44054</v>
      </c>
      <c r="P240" s="70">
        <f>IFERROR(VLOOKUP(J240,'Obs Tecnicas'!$D$2:$I$320,5,0),O240)</f>
        <v>44054</v>
      </c>
      <c r="Q240" s="69" t="str">
        <f t="shared" ca="1" si="22"/>
        <v>Vencido</v>
      </c>
      <c r="R240" s="71" t="str">
        <f>IFERROR(VLOOKUP(J240,'Obs Tecnicas'!$D$2:$G$340,2,0),"")</f>
        <v/>
      </c>
      <c r="S240" s="67" t="str">
        <f>IFERROR(VLOOKUP(J240,'Obs Tecnicas'!$D$2:$G$344,3,0),"Hexis")</f>
        <v>Hexis</v>
      </c>
      <c r="T240" s="67" t="str">
        <f>IFERROR(VLOOKUP(J240,'Obs Tecnicas'!$D$2:$G$344,4,0),"")</f>
        <v/>
      </c>
      <c r="U240" s="13" t="s">
        <v>464</v>
      </c>
      <c r="V240" s="13">
        <f t="shared" si="21"/>
        <v>8</v>
      </c>
      <c r="W240" s="72">
        <f t="shared" si="17"/>
        <v>101.655</v>
      </c>
      <c r="X240" s="72">
        <f t="shared" si="18"/>
        <v>195.22799999999998</v>
      </c>
      <c r="AE240" s="13" t="s">
        <v>809</v>
      </c>
      <c r="AF240" s="104">
        <v>44438</v>
      </c>
    </row>
    <row r="241" spans="1:32">
      <c r="A241" s="13" t="s">
        <v>20</v>
      </c>
      <c r="B241" s="3" t="s">
        <v>97</v>
      </c>
      <c r="C241" s="92" t="s">
        <v>98</v>
      </c>
      <c r="D241" s="2" t="s">
        <v>99</v>
      </c>
      <c r="E241" s="3" t="s">
        <v>100</v>
      </c>
      <c r="F241" s="92" t="s">
        <v>101</v>
      </c>
      <c r="G241" s="2" t="s">
        <v>84</v>
      </c>
      <c r="H241" s="2" t="s">
        <v>102</v>
      </c>
      <c r="I241" s="2" t="s">
        <v>45</v>
      </c>
      <c r="J241" s="68" t="s">
        <v>779</v>
      </c>
      <c r="K241" s="90" t="s">
        <v>53</v>
      </c>
      <c r="L241" s="2" t="s">
        <v>72</v>
      </c>
      <c r="M241" s="2" t="s">
        <v>105</v>
      </c>
      <c r="N241" s="2" t="s">
        <v>104</v>
      </c>
      <c r="O241" s="69">
        <v>44054</v>
      </c>
      <c r="P241" s="70">
        <f>IFERROR(VLOOKUP(J241,'Obs Tecnicas'!$D$2:$I$320,5,0),O241)</f>
        <v>44054</v>
      </c>
      <c r="Q241" s="69" t="str">
        <f t="shared" ca="1" si="22"/>
        <v>Vencido</v>
      </c>
      <c r="R241" s="71" t="str">
        <f>IFERROR(VLOOKUP(J241,'Obs Tecnicas'!$D$2:$G$340,2,0),"")</f>
        <v/>
      </c>
      <c r="S241" s="67" t="str">
        <f>IFERROR(VLOOKUP(J241,'Obs Tecnicas'!$D$2:$G$344,3,0),"Hexis")</f>
        <v>Hexis</v>
      </c>
      <c r="T241" s="67" t="str">
        <f>IFERROR(VLOOKUP(J241,'Obs Tecnicas'!$D$2:$G$344,4,0),"")</f>
        <v/>
      </c>
      <c r="U241" s="13" t="s">
        <v>464</v>
      </c>
      <c r="V241" s="13">
        <f t="shared" si="21"/>
        <v>8</v>
      </c>
      <c r="W241" s="72">
        <f t="shared" si="17"/>
        <v>420.44400000000002</v>
      </c>
      <c r="X241" s="72">
        <f t="shared" si="18"/>
        <v>385.26299999999998</v>
      </c>
      <c r="AE241" s="13" t="s">
        <v>809</v>
      </c>
      <c r="AF241" s="104">
        <v>44438</v>
      </c>
    </row>
    <row r="242" spans="1:32">
      <c r="A242" s="13" t="s">
        <v>20</v>
      </c>
      <c r="B242" s="13" t="s">
        <v>97</v>
      </c>
      <c r="C242" s="66" t="s">
        <v>98</v>
      </c>
      <c r="D242" s="13" t="s">
        <v>99</v>
      </c>
      <c r="E242" s="13" t="s">
        <v>100</v>
      </c>
      <c r="F242" s="66" t="s">
        <v>101</v>
      </c>
      <c r="G242" s="13" t="s">
        <v>84</v>
      </c>
      <c r="H242" s="13" t="s">
        <v>102</v>
      </c>
      <c r="I242" s="13" t="s">
        <v>79</v>
      </c>
      <c r="J242" s="68">
        <v>4239783</v>
      </c>
      <c r="K242" s="13" t="s">
        <v>77</v>
      </c>
      <c r="L242" s="13" t="s">
        <v>780</v>
      </c>
      <c r="M242" s="13" t="s">
        <v>105</v>
      </c>
      <c r="N242" s="67" t="s">
        <v>104</v>
      </c>
      <c r="O242" s="69">
        <v>44054</v>
      </c>
      <c r="P242" s="70">
        <f>IFERROR(VLOOKUP(J242,'Obs Tecnicas'!$D$2:$I$320,5,0),O242)</f>
        <v>44054</v>
      </c>
      <c r="Q242" s="69" t="str">
        <f t="shared" ca="1" si="22"/>
        <v>Vencido</v>
      </c>
      <c r="R242" s="71" t="str">
        <f>IFERROR(VLOOKUP(J242,'Obs Tecnicas'!$D$2:$G$340,2,0),"")</f>
        <v/>
      </c>
      <c r="S242" s="67" t="str">
        <f>IFERROR(VLOOKUP(J242,'Obs Tecnicas'!$D$2:$G$344,3,0),"Hexis")</f>
        <v>Hexis</v>
      </c>
      <c r="T242" s="67" t="str">
        <f>IFERROR(VLOOKUP(J242,'Obs Tecnicas'!$D$2:$G$344,4,0),"")</f>
        <v/>
      </c>
      <c r="U242" s="13" t="s">
        <v>464</v>
      </c>
      <c r="V242" s="13">
        <f t="shared" si="21"/>
        <v>8</v>
      </c>
      <c r="W242" s="72">
        <f t="shared" si="17"/>
        <v>101.655</v>
      </c>
      <c r="X242" s="72">
        <f t="shared" si="18"/>
        <v>390.45599999999996</v>
      </c>
      <c r="AE242" s="13" t="s">
        <v>809</v>
      </c>
      <c r="AF242" s="104">
        <v>44438</v>
      </c>
    </row>
    <row r="243" spans="1:32">
      <c r="A243" s="13" t="s">
        <v>20</v>
      </c>
      <c r="B243" s="13" t="s">
        <v>41</v>
      </c>
      <c r="C243" s="66" t="s">
        <v>42</v>
      </c>
      <c r="D243" s="67" t="s">
        <v>43</v>
      </c>
      <c r="E243" s="13" t="s">
        <v>24</v>
      </c>
      <c r="F243" s="66" t="s">
        <v>25</v>
      </c>
      <c r="G243" s="67" t="s">
        <v>44</v>
      </c>
      <c r="H243" s="67" t="s">
        <v>27</v>
      </c>
      <c r="I243" s="67" t="s">
        <v>45</v>
      </c>
      <c r="J243" s="68" t="s">
        <v>46</v>
      </c>
      <c r="K243" s="67" t="s">
        <v>47</v>
      </c>
      <c r="L243" s="67" t="s">
        <v>48</v>
      </c>
      <c r="M243" s="94" t="s">
        <v>49</v>
      </c>
      <c r="N243" s="67" t="s">
        <v>33</v>
      </c>
      <c r="O243" s="73">
        <v>44239</v>
      </c>
      <c r="P243" s="70">
        <f>IFERROR(VLOOKUP(J243,'Obs Tecnicas'!$D$2:$I$320,5,0),O243)</f>
        <v>44239</v>
      </c>
      <c r="Q243" s="69" t="str">
        <f t="shared" ca="1" si="22"/>
        <v>Calibrado</v>
      </c>
      <c r="R243" s="71" t="str">
        <f>IFERROR(VLOOKUP(J243,'Obs Tecnicas'!$D$2:$G$340,2,0),"")</f>
        <v/>
      </c>
      <c r="S243" s="67" t="str">
        <f>IFERROR(VLOOKUP(J243,'Obs Tecnicas'!$D$2:$G$344,3,0),"Hexis")</f>
        <v>Hexis</v>
      </c>
      <c r="T243" s="67" t="str">
        <f>IFERROR(VLOOKUP(J243,'Obs Tecnicas'!$D$2:$G$344,4,0),"")</f>
        <v/>
      </c>
      <c r="V243" s="13">
        <f t="shared" si="21"/>
        <v>2</v>
      </c>
      <c r="W243" s="72">
        <f t="shared" si="17"/>
        <v>420.44400000000002</v>
      </c>
      <c r="X243" s="72">
        <f t="shared" si="18"/>
        <v>385.26299999999998</v>
      </c>
    </row>
    <row r="244" spans="1:32" ht="15" customHeight="1">
      <c r="A244" s="13" t="s">
        <v>20</v>
      </c>
      <c r="B244" s="13" t="s">
        <v>41</v>
      </c>
      <c r="C244" s="66" t="s">
        <v>42</v>
      </c>
      <c r="D244" s="67" t="s">
        <v>43</v>
      </c>
      <c r="E244" s="13" t="s">
        <v>24</v>
      </c>
      <c r="F244" s="66" t="s">
        <v>25</v>
      </c>
      <c r="G244" s="67" t="s">
        <v>44</v>
      </c>
      <c r="H244" s="67" t="s">
        <v>27</v>
      </c>
      <c r="I244" s="67" t="s">
        <v>45</v>
      </c>
      <c r="J244" s="68" t="s">
        <v>597</v>
      </c>
      <c r="K244" s="67" t="s">
        <v>53</v>
      </c>
      <c r="L244" s="67" t="s">
        <v>61</v>
      </c>
      <c r="M244" s="94" t="s">
        <v>49</v>
      </c>
      <c r="N244" s="67" t="s">
        <v>33</v>
      </c>
      <c r="O244" s="69">
        <v>44239</v>
      </c>
      <c r="P244" s="70">
        <f>IFERROR(VLOOKUP(J244,'Obs Tecnicas'!$D$2:$I$320,5,0),O244)</f>
        <v>44239</v>
      </c>
      <c r="Q244" s="69" t="str">
        <f t="shared" ca="1" si="22"/>
        <v>Calibrado</v>
      </c>
      <c r="R244" s="71" t="str">
        <f>IFERROR(VLOOKUP(J244,'Obs Tecnicas'!$D$2:$G$340,2,0),"")</f>
        <v/>
      </c>
      <c r="S244" s="67" t="str">
        <f>IFERROR(VLOOKUP(J244,'Obs Tecnicas'!$D$2:$G$344,3,0),"Hexis")</f>
        <v>Hexis</v>
      </c>
      <c r="T244" s="67" t="str">
        <f>IFERROR(VLOOKUP(J244,'Obs Tecnicas'!$D$2:$G$344,4,0),"")</f>
        <v/>
      </c>
      <c r="V244" s="13">
        <f t="shared" si="21"/>
        <v>2</v>
      </c>
      <c r="W244" s="72">
        <f t="shared" si="17"/>
        <v>420.44400000000002</v>
      </c>
      <c r="X244" s="72">
        <f t="shared" si="18"/>
        <v>385.26299999999998</v>
      </c>
    </row>
    <row r="245" spans="1:32">
      <c r="A245" s="13" t="s">
        <v>20</v>
      </c>
      <c r="B245" s="13" t="s">
        <v>41</v>
      </c>
      <c r="C245" s="66" t="s">
        <v>42</v>
      </c>
      <c r="D245" s="67" t="s">
        <v>43</v>
      </c>
      <c r="E245" s="13" t="s">
        <v>24</v>
      </c>
      <c r="F245" s="66" t="s">
        <v>25</v>
      </c>
      <c r="G245" s="67" t="s">
        <v>44</v>
      </c>
      <c r="H245" s="67" t="s">
        <v>27</v>
      </c>
      <c r="I245" s="67" t="s">
        <v>34</v>
      </c>
      <c r="J245" s="68" t="s">
        <v>73</v>
      </c>
      <c r="K245" s="67" t="s">
        <v>74</v>
      </c>
      <c r="L245" s="67" t="s">
        <v>75</v>
      </c>
      <c r="M245" s="94" t="s">
        <v>49</v>
      </c>
      <c r="N245" s="67" t="s">
        <v>33</v>
      </c>
      <c r="O245" s="73">
        <v>44239</v>
      </c>
      <c r="P245" s="70">
        <f>IFERROR(VLOOKUP(J245,'Obs Tecnicas'!$D$2:$I$320,5,0),O245)</f>
        <v>44239</v>
      </c>
      <c r="Q245" s="69" t="str">
        <f t="shared" ca="1" si="22"/>
        <v>Calibrado</v>
      </c>
      <c r="R245" s="71" t="str">
        <f>IFERROR(VLOOKUP(J245,'Obs Tecnicas'!$D$2:$G$340,2,0),"")</f>
        <v/>
      </c>
      <c r="S245" s="67" t="str">
        <f>IFERROR(VLOOKUP(J245,'Obs Tecnicas'!$D$2:$G$344,3,0),"Hexis")</f>
        <v>Hexis</v>
      </c>
      <c r="T245" s="67" t="str">
        <f>IFERROR(VLOOKUP(J245,'Obs Tecnicas'!$D$2:$G$344,4,0),"")</f>
        <v/>
      </c>
      <c r="V245" s="13">
        <f t="shared" si="21"/>
        <v>2</v>
      </c>
      <c r="W245" s="72">
        <f t="shared" si="17"/>
        <v>101.655</v>
      </c>
      <c r="X245" s="72">
        <f t="shared" si="18"/>
        <v>195.22799999999998</v>
      </c>
    </row>
    <row r="246" spans="1:32">
      <c r="A246" s="13" t="s">
        <v>20</v>
      </c>
      <c r="B246" s="13" t="s">
        <v>361</v>
      </c>
      <c r="C246" s="66" t="s">
        <v>362</v>
      </c>
      <c r="D246" s="67" t="s">
        <v>363</v>
      </c>
      <c r="E246" s="13" t="s">
        <v>364</v>
      </c>
      <c r="F246" s="66" t="s">
        <v>362</v>
      </c>
      <c r="G246" s="67" t="s">
        <v>365</v>
      </c>
      <c r="H246" s="67" t="s">
        <v>27</v>
      </c>
      <c r="I246" s="67" t="s">
        <v>76</v>
      </c>
      <c r="J246" s="68" t="s">
        <v>513</v>
      </c>
      <c r="K246" s="67" t="s">
        <v>77</v>
      </c>
      <c r="L246" s="75" t="s">
        <v>78</v>
      </c>
      <c r="M246" s="67" t="s">
        <v>149</v>
      </c>
      <c r="N246" s="67" t="s">
        <v>169</v>
      </c>
      <c r="O246" s="69">
        <v>43977</v>
      </c>
      <c r="P246" s="70">
        <f>IFERROR(VLOOKUP(J246,'Obs Tecnicas'!$D$2:$I$320,5,0),O246)</f>
        <v>44333</v>
      </c>
      <c r="Q246" s="69" t="str">
        <f t="shared" ca="1" si="22"/>
        <v>Calibrado</v>
      </c>
      <c r="R246" s="71">
        <f>IFERROR(VLOOKUP(J246,'Obs Tecnicas'!$D$2:$G$340,2,0),"")</f>
        <v>12348</v>
      </c>
      <c r="S246" s="67" t="str">
        <f>IFERROR(VLOOKUP(J246,'Obs Tecnicas'!$D$2:$G$344,3,0),"Hexis")</f>
        <v>ER ANALITICA</v>
      </c>
      <c r="T246" s="67">
        <f>IFERROR(VLOOKUP(J246,'Obs Tecnicas'!$D$2:$G$344,4,0),"")</f>
        <v>0</v>
      </c>
      <c r="U246" s="13" t="s">
        <v>550</v>
      </c>
      <c r="V246" s="13">
        <f t="shared" si="21"/>
        <v>5</v>
      </c>
      <c r="W246" s="72">
        <f t="shared" si="17"/>
        <v>101.655</v>
      </c>
      <c r="X246" s="72">
        <f t="shared" si="18"/>
        <v>195.22799999999998</v>
      </c>
    </row>
    <row r="247" spans="1:32">
      <c r="G247" s="13"/>
      <c r="K247" s="13"/>
      <c r="L247" s="13"/>
      <c r="N247" s="13"/>
    </row>
    <row r="248" spans="1:32">
      <c r="A248" s="13" t="s">
        <v>20</v>
      </c>
      <c r="B248" s="13" t="s">
        <v>361</v>
      </c>
      <c r="C248" s="66" t="s">
        <v>362</v>
      </c>
      <c r="D248" s="67" t="s">
        <v>363</v>
      </c>
      <c r="E248" s="13" t="s">
        <v>364</v>
      </c>
      <c r="F248" s="66" t="s">
        <v>362</v>
      </c>
      <c r="G248" s="67" t="s">
        <v>365</v>
      </c>
      <c r="H248" s="67" t="s">
        <v>27</v>
      </c>
      <c r="I248" s="67" t="s">
        <v>55</v>
      </c>
      <c r="J248" s="68" t="s">
        <v>373</v>
      </c>
      <c r="K248" s="67" t="s">
        <v>53</v>
      </c>
      <c r="L248" s="67" t="s">
        <v>57</v>
      </c>
      <c r="M248" s="67" t="s">
        <v>149</v>
      </c>
      <c r="N248" s="67" t="s">
        <v>169</v>
      </c>
      <c r="O248" s="69">
        <v>43978</v>
      </c>
      <c r="P248" s="70">
        <f>IFERROR(VLOOKUP(J248,'Obs Tecnicas'!$D$2:$I$320,5,0),O248)</f>
        <v>44333</v>
      </c>
      <c r="Q248" s="69" t="str">
        <f ca="1">IF(P248&lt;&gt;"",IF(P248+365&gt;TODAY(),"Calibrado","Vencido"),"")</f>
        <v>Calibrado</v>
      </c>
      <c r="R248" s="71">
        <f>IFERROR(VLOOKUP(J248,'Obs Tecnicas'!$D$2:$G$340,2,0),"")</f>
        <v>12328</v>
      </c>
      <c r="S248" s="67" t="str">
        <f>IFERROR(VLOOKUP(J248,'Obs Tecnicas'!$D$2:$G$344,3,0),"Hexis")</f>
        <v>ER ANALITICA</v>
      </c>
      <c r="T248" s="67">
        <f>IFERROR(VLOOKUP(J248,'Obs Tecnicas'!$D$2:$G$344,4,0),"")</f>
        <v>0</v>
      </c>
      <c r="U248" s="13" t="s">
        <v>550</v>
      </c>
      <c r="V248" s="13">
        <f>IF(P248&lt;&gt;"",MONTH(P248),"")</f>
        <v>5</v>
      </c>
      <c r="W248" s="72" t="e">
        <f>VLOOKUP(I248,$AB$2:$AD$10,2,0)</f>
        <v>#N/A</v>
      </c>
      <c r="X248" s="72" t="e">
        <f>VLOOKUP(I248,$AB$2:$AD$10,3,0)</f>
        <v>#N/A</v>
      </c>
    </row>
    <row r="249" spans="1:32">
      <c r="G249" s="13"/>
      <c r="K249" s="13"/>
      <c r="L249" s="13"/>
      <c r="N249" s="13"/>
    </row>
    <row r="250" spans="1:32">
      <c r="A250" s="13" t="s">
        <v>20</v>
      </c>
      <c r="B250" s="13" t="s">
        <v>361</v>
      </c>
      <c r="C250" s="66" t="s">
        <v>362</v>
      </c>
      <c r="D250" s="67" t="s">
        <v>363</v>
      </c>
      <c r="E250" s="13" t="s">
        <v>364</v>
      </c>
      <c r="F250" s="66" t="s">
        <v>362</v>
      </c>
      <c r="G250" s="67" t="s">
        <v>365</v>
      </c>
      <c r="H250" s="67" t="s">
        <v>27</v>
      </c>
      <c r="I250" s="67" t="s">
        <v>34</v>
      </c>
      <c r="J250" s="68" t="s">
        <v>516</v>
      </c>
      <c r="K250" s="67" t="s">
        <v>35</v>
      </c>
      <c r="L250" s="67" t="s">
        <v>36</v>
      </c>
      <c r="M250" s="67" t="s">
        <v>149</v>
      </c>
      <c r="N250" s="67" t="s">
        <v>169</v>
      </c>
      <c r="O250" s="69">
        <v>43979</v>
      </c>
      <c r="P250" s="70">
        <f>IFERROR(VLOOKUP(J250,'Obs Tecnicas'!$D$2:$I$320,5,0),O250)</f>
        <v>44333</v>
      </c>
      <c r="Q250" s="69" t="str">
        <f t="shared" ref="Q250:Q256" ca="1" si="23">IF(P250&lt;&gt;"",IF(P250+365&gt;TODAY(),"Calibrado","Vencido"),"")</f>
        <v>Calibrado</v>
      </c>
      <c r="R250" s="71">
        <f>IFERROR(VLOOKUP(J250,'Obs Tecnicas'!$D$2:$G$340,2,0),"")</f>
        <v>12345</v>
      </c>
      <c r="S250" s="67" t="str">
        <f>IFERROR(VLOOKUP(J250,'Obs Tecnicas'!$D$2:$G$344,3,0),"Hexis")</f>
        <v>ER ANALITICA</v>
      </c>
      <c r="T250" s="67" t="str">
        <f>IFERROR(VLOOKUP(J250,'Obs Tecnicas'!$D$2:$G$344,4,0),"")</f>
        <v>Instrumento com divergências de resistividade. Será encaminhado para ER.</v>
      </c>
      <c r="U250" s="13" t="s">
        <v>550</v>
      </c>
      <c r="V250" s="13">
        <f t="shared" ref="V250:V268" si="24">IF(P250&lt;&gt;"",MONTH(P250),"")</f>
        <v>5</v>
      </c>
      <c r="W250" s="72">
        <f t="shared" ref="W250:W256" si="25">VLOOKUP(I250,$AB$2:$AD$10,2,0)</f>
        <v>101.655</v>
      </c>
      <c r="X250" s="72">
        <f t="shared" ref="X250:X256" si="26">VLOOKUP(I250,$AB$2:$AD$10,3,0)</f>
        <v>195.22799999999998</v>
      </c>
    </row>
    <row r="251" spans="1:32">
      <c r="A251" s="13" t="s">
        <v>20</v>
      </c>
      <c r="B251" s="13" t="s">
        <v>361</v>
      </c>
      <c r="C251" s="66" t="s">
        <v>362</v>
      </c>
      <c r="D251" s="67" t="s">
        <v>363</v>
      </c>
      <c r="E251" s="13" t="s">
        <v>364</v>
      </c>
      <c r="F251" s="66" t="s">
        <v>362</v>
      </c>
      <c r="G251" s="67" t="s">
        <v>365</v>
      </c>
      <c r="H251" s="67" t="s">
        <v>27</v>
      </c>
      <c r="I251" s="67" t="s">
        <v>34</v>
      </c>
      <c r="J251" s="68" t="s">
        <v>521</v>
      </c>
      <c r="K251" s="67" t="s">
        <v>35</v>
      </c>
      <c r="L251" s="67" t="s">
        <v>36</v>
      </c>
      <c r="M251" s="67" t="s">
        <v>149</v>
      </c>
      <c r="N251" s="67" t="s">
        <v>169</v>
      </c>
      <c r="O251" s="69">
        <v>43979</v>
      </c>
      <c r="P251" s="70">
        <f>IFERROR(VLOOKUP(J251,'Obs Tecnicas'!$D$2:$I$320,5,0),O251)</f>
        <v>44333</v>
      </c>
      <c r="Q251" s="69" t="str">
        <f t="shared" ca="1" si="23"/>
        <v>Calibrado</v>
      </c>
      <c r="R251" s="71">
        <f>IFERROR(VLOOKUP(J251,'Obs Tecnicas'!$D$2:$G$340,2,0),"")</f>
        <v>12340</v>
      </c>
      <c r="S251" s="67" t="str">
        <f>IFERROR(VLOOKUP(J251,'Obs Tecnicas'!$D$2:$G$344,3,0),"Hexis")</f>
        <v>ER ANALITICA</v>
      </c>
      <c r="T251" s="67">
        <f>IFERROR(VLOOKUP(J251,'Obs Tecnicas'!$D$2:$G$344,4,0),"")</f>
        <v>0</v>
      </c>
      <c r="U251" s="13" t="s">
        <v>550</v>
      </c>
      <c r="V251" s="13">
        <f t="shared" si="24"/>
        <v>5</v>
      </c>
      <c r="W251" s="72">
        <f t="shared" si="25"/>
        <v>101.655</v>
      </c>
      <c r="X251" s="72">
        <f t="shared" si="26"/>
        <v>195.22799999999998</v>
      </c>
    </row>
    <row r="252" spans="1:32">
      <c r="A252" s="13" t="s">
        <v>20</v>
      </c>
      <c r="B252" s="13" t="s">
        <v>370</v>
      </c>
      <c r="C252" s="66" t="s">
        <v>371</v>
      </c>
      <c r="D252" s="67" t="s">
        <v>372</v>
      </c>
      <c r="E252" s="13" t="s">
        <v>364</v>
      </c>
      <c r="F252" s="66" t="s">
        <v>362</v>
      </c>
      <c r="G252" s="67" t="s">
        <v>365</v>
      </c>
      <c r="H252" s="67" t="s">
        <v>27</v>
      </c>
      <c r="I252" s="67" t="s">
        <v>52</v>
      </c>
      <c r="J252" s="68" t="s">
        <v>723</v>
      </c>
      <c r="K252" s="67" t="s">
        <v>53</v>
      </c>
      <c r="L252" s="67" t="s">
        <v>54</v>
      </c>
      <c r="M252" s="67" t="s">
        <v>149</v>
      </c>
      <c r="N252" s="67" t="s">
        <v>169</v>
      </c>
      <c r="O252" s="69">
        <v>43978</v>
      </c>
      <c r="P252" s="70">
        <f>IFERROR(VLOOKUP(J252,'Obs Tecnicas'!$D$2:$I$320,5,0),O252)</f>
        <v>44333</v>
      </c>
      <c r="Q252" s="69" t="str">
        <f t="shared" ca="1" si="23"/>
        <v>Calibrado</v>
      </c>
      <c r="R252" s="71">
        <f>IFERROR(VLOOKUP(J252,'Obs Tecnicas'!$D$2:$G$340,2,0),"")</f>
        <v>12316</v>
      </c>
      <c r="S252" s="67" t="str">
        <f>IFERROR(VLOOKUP(J252,'Obs Tecnicas'!$D$2:$G$344,3,0),"Hexis")</f>
        <v>ER ANALITICA</v>
      </c>
      <c r="T252" s="67">
        <f>IFERROR(VLOOKUP(J252,'Obs Tecnicas'!$D$2:$G$344,4,0),"")</f>
        <v>0</v>
      </c>
      <c r="U252" s="13" t="s">
        <v>550</v>
      </c>
      <c r="V252" s="13">
        <f t="shared" si="24"/>
        <v>5</v>
      </c>
      <c r="W252" s="72">
        <f t="shared" si="25"/>
        <v>178.434</v>
      </c>
      <c r="X252" s="72">
        <f t="shared" si="26"/>
        <v>318.94200000000001</v>
      </c>
    </row>
    <row r="253" spans="1:32">
      <c r="A253" s="13" t="s">
        <v>20</v>
      </c>
      <c r="B253" s="13" t="s">
        <v>89</v>
      </c>
      <c r="C253" s="66" t="s">
        <v>862</v>
      </c>
      <c r="D253" s="67" t="s">
        <v>90</v>
      </c>
      <c r="E253" s="13" t="s">
        <v>829</v>
      </c>
      <c r="F253" s="66" t="s">
        <v>830</v>
      </c>
      <c r="G253" s="67" t="s">
        <v>84</v>
      </c>
      <c r="H253" s="67" t="s">
        <v>27</v>
      </c>
      <c r="I253" s="67" t="s">
        <v>55</v>
      </c>
      <c r="J253" s="68" t="s">
        <v>93</v>
      </c>
      <c r="K253" s="67" t="s">
        <v>53</v>
      </c>
      <c r="L253" s="67" t="s">
        <v>57</v>
      </c>
      <c r="M253" s="75" t="s">
        <v>87</v>
      </c>
      <c r="N253" s="67" t="s">
        <v>88</v>
      </c>
      <c r="O253" s="69">
        <v>43843</v>
      </c>
      <c r="P253" s="70">
        <f>IFERROR(VLOOKUP(J253,'Obs Tecnicas'!$D$2:$I$320,5,0),O253)</f>
        <v>44370</v>
      </c>
      <c r="Q253" s="69" t="str">
        <f t="shared" ca="1" si="23"/>
        <v>Calibrado</v>
      </c>
      <c r="R253" s="71">
        <f>IFERROR(VLOOKUP(J253,'Obs Tecnicas'!$D$2:$G$340,2,0),"")</f>
        <v>12674</v>
      </c>
      <c r="S253" s="67" t="str">
        <f>IFERROR(VLOOKUP(J253,'Obs Tecnicas'!$D$2:$G$344,3,0),"Hexis")</f>
        <v>ER ANALITICA</v>
      </c>
      <c r="T253" s="67" t="str">
        <f>IFERROR(VLOOKUP(J253,'Obs Tecnicas'!$D$2:$G$344,4,0),"")</f>
        <v>Carcaça superior do instrumento danificada na tecla "ler/confirma"</v>
      </c>
      <c r="U253" s="13" t="s">
        <v>550</v>
      </c>
      <c r="V253" s="13">
        <f t="shared" si="24"/>
        <v>6</v>
      </c>
      <c r="W253" s="72" t="e">
        <f t="shared" si="25"/>
        <v>#N/A</v>
      </c>
      <c r="X253" s="72" t="e">
        <f t="shared" si="26"/>
        <v>#N/A</v>
      </c>
      <c r="AE253" s="13" t="s">
        <v>806</v>
      </c>
    </row>
    <row r="254" spans="1:32">
      <c r="A254" s="13" t="s">
        <v>20</v>
      </c>
      <c r="B254" s="13" t="s">
        <v>89</v>
      </c>
      <c r="C254" s="66" t="s">
        <v>862</v>
      </c>
      <c r="D254" s="67" t="s">
        <v>90</v>
      </c>
      <c r="E254" s="13" t="s">
        <v>91</v>
      </c>
      <c r="F254" s="66" t="s">
        <v>92</v>
      </c>
      <c r="G254" s="67" t="s">
        <v>84</v>
      </c>
      <c r="H254" s="67" t="s">
        <v>27</v>
      </c>
      <c r="I254" s="67" t="s">
        <v>76</v>
      </c>
      <c r="J254" s="68" t="s">
        <v>622</v>
      </c>
      <c r="K254" s="67" t="s">
        <v>94</v>
      </c>
      <c r="L254" s="67" t="s">
        <v>95</v>
      </c>
      <c r="M254" s="67" t="s">
        <v>87</v>
      </c>
      <c r="N254" s="67" t="s">
        <v>88</v>
      </c>
      <c r="O254" s="69">
        <v>44259</v>
      </c>
      <c r="P254" s="70">
        <f>IFERROR(VLOOKUP(J254,'Obs Tecnicas'!$D$2:$I$320,5,0),O254)</f>
        <v>44259</v>
      </c>
      <c r="Q254" s="69" t="str">
        <f t="shared" ca="1" si="23"/>
        <v>Calibrado</v>
      </c>
      <c r="R254" s="71" t="str">
        <f>IFERROR(VLOOKUP(J254,'Obs Tecnicas'!$D$2:$G$340,2,0),"")</f>
        <v/>
      </c>
      <c r="S254" s="67" t="str">
        <f>IFERROR(VLOOKUP(J254,'Obs Tecnicas'!$D$2:$G$344,3,0),"Hexis")</f>
        <v>Hexis</v>
      </c>
      <c r="T254" s="67" t="str">
        <f>IFERROR(VLOOKUP(J254,'Obs Tecnicas'!$D$2:$G$344,4,0),"")</f>
        <v/>
      </c>
      <c r="V254" s="13">
        <f t="shared" si="24"/>
        <v>3</v>
      </c>
      <c r="W254" s="72">
        <f t="shared" si="25"/>
        <v>101.655</v>
      </c>
      <c r="X254" s="72">
        <f t="shared" si="26"/>
        <v>195.22799999999998</v>
      </c>
    </row>
    <row r="255" spans="1:32">
      <c r="A255" s="13" t="s">
        <v>20</v>
      </c>
      <c r="B255" s="13" t="s">
        <v>89</v>
      </c>
      <c r="C255" s="66" t="s">
        <v>862</v>
      </c>
      <c r="D255" s="67" t="s">
        <v>90</v>
      </c>
      <c r="E255" s="13" t="s">
        <v>91</v>
      </c>
      <c r="F255" s="66" t="s">
        <v>92</v>
      </c>
      <c r="G255" s="67" t="s">
        <v>84</v>
      </c>
      <c r="H255" s="67" t="s">
        <v>27</v>
      </c>
      <c r="I255" s="67" t="s">
        <v>34</v>
      </c>
      <c r="J255" s="68" t="s">
        <v>122</v>
      </c>
      <c r="K255" s="67" t="s">
        <v>94</v>
      </c>
      <c r="L255" s="67" t="s">
        <v>123</v>
      </c>
      <c r="M255" s="67" t="s">
        <v>87</v>
      </c>
      <c r="N255" s="67" t="s">
        <v>88</v>
      </c>
      <c r="O255" s="69">
        <v>44259</v>
      </c>
      <c r="P255" s="70">
        <f>IFERROR(VLOOKUP(J255,'Obs Tecnicas'!$D$2:$I$320,5,0),O255)</f>
        <v>44259</v>
      </c>
      <c r="Q255" s="69" t="str">
        <f t="shared" ca="1" si="23"/>
        <v>Calibrado</v>
      </c>
      <c r="R255" s="71" t="str">
        <f>IFERROR(VLOOKUP(J255,'Obs Tecnicas'!$D$2:$G$340,2,0),"")</f>
        <v/>
      </c>
      <c r="S255" s="67" t="str">
        <f>IFERROR(VLOOKUP(J255,'Obs Tecnicas'!$D$2:$G$344,3,0),"Hexis")</f>
        <v>Hexis</v>
      </c>
      <c r="T255" s="67" t="str">
        <f>IFERROR(VLOOKUP(J255,'Obs Tecnicas'!$D$2:$G$344,4,0),"")</f>
        <v/>
      </c>
      <c r="V255" s="13">
        <f t="shared" si="24"/>
        <v>3</v>
      </c>
      <c r="W255" s="72">
        <f t="shared" si="25"/>
        <v>101.655</v>
      </c>
      <c r="X255" s="72">
        <f t="shared" si="26"/>
        <v>195.22799999999998</v>
      </c>
    </row>
    <row r="256" spans="1:32">
      <c r="A256" s="13" t="s">
        <v>20</v>
      </c>
      <c r="B256" s="13" t="s">
        <v>89</v>
      </c>
      <c r="C256" s="66" t="s">
        <v>862</v>
      </c>
      <c r="D256" s="67" t="s">
        <v>90</v>
      </c>
      <c r="E256" s="13" t="s">
        <v>91</v>
      </c>
      <c r="F256" s="66" t="s">
        <v>92</v>
      </c>
      <c r="G256" s="67" t="s">
        <v>84</v>
      </c>
      <c r="H256" s="67" t="s">
        <v>27</v>
      </c>
      <c r="I256" s="67" t="s">
        <v>52</v>
      </c>
      <c r="J256" s="68" t="s">
        <v>124</v>
      </c>
      <c r="K256" s="67" t="s">
        <v>53</v>
      </c>
      <c r="L256" s="67" t="s">
        <v>54</v>
      </c>
      <c r="M256" s="75" t="s">
        <v>87</v>
      </c>
      <c r="N256" s="67" t="s">
        <v>88</v>
      </c>
      <c r="O256" s="69">
        <v>44285</v>
      </c>
      <c r="P256" s="70">
        <f>IFERROR(VLOOKUP(J256,'Obs Tecnicas'!$D$2:$I$320,5,0),O256)</f>
        <v>44285</v>
      </c>
      <c r="Q256" s="69" t="str">
        <f t="shared" ca="1" si="23"/>
        <v>Calibrado</v>
      </c>
      <c r="R256" s="71" t="str">
        <f>IFERROR(VLOOKUP(J256,'Obs Tecnicas'!$D$2:$G$340,2,0),"")</f>
        <v/>
      </c>
      <c r="S256" s="67" t="str">
        <f>IFERROR(VLOOKUP(J256,'Obs Tecnicas'!$D$2:$G$344,3,0),"Hexis")</f>
        <v>Hexis</v>
      </c>
      <c r="T256" s="67" t="str">
        <f>IFERROR(VLOOKUP(J256,'Obs Tecnicas'!$D$2:$G$344,4,0),"")</f>
        <v/>
      </c>
      <c r="V256" s="13">
        <f t="shared" si="24"/>
        <v>3</v>
      </c>
      <c r="W256" s="72">
        <f t="shared" si="25"/>
        <v>178.434</v>
      </c>
      <c r="X256" s="72">
        <f t="shared" si="26"/>
        <v>318.94200000000001</v>
      </c>
    </row>
    <row r="257" spans="1:31">
      <c r="A257" s="13" t="s">
        <v>20</v>
      </c>
      <c r="B257" s="13" t="s">
        <v>89</v>
      </c>
      <c r="C257" s="66" t="s">
        <v>862</v>
      </c>
      <c r="D257" s="67" t="s">
        <v>90</v>
      </c>
      <c r="E257" s="13" t="s">
        <v>91</v>
      </c>
      <c r="F257" s="66" t="s">
        <v>92</v>
      </c>
      <c r="G257" s="67" t="s">
        <v>84</v>
      </c>
      <c r="H257" s="67" t="s">
        <v>27</v>
      </c>
      <c r="I257" s="67" t="s">
        <v>45</v>
      </c>
      <c r="J257" s="68" t="s">
        <v>623</v>
      </c>
      <c r="K257" s="67" t="s">
        <v>53</v>
      </c>
      <c r="L257" s="67" t="s">
        <v>61</v>
      </c>
      <c r="M257" s="67" t="s">
        <v>87</v>
      </c>
      <c r="N257" s="67" t="s">
        <v>88</v>
      </c>
      <c r="O257" s="69">
        <v>44285</v>
      </c>
      <c r="P257" s="70">
        <f>IFERROR(VLOOKUP(J257,'Obs Tecnicas'!$D$2:$I$320,5,0),O257)</f>
        <v>44285</v>
      </c>
      <c r="Q257" s="69" t="str">
        <f t="shared" ref="Q257:Q288" ca="1" si="27">IF(P257&lt;&gt;"",IF(P257+365&gt;TODAY(),"Calibrado","Vencido"),"")</f>
        <v>Calibrado</v>
      </c>
      <c r="R257" s="71" t="str">
        <f>IFERROR(VLOOKUP(J257,'Obs Tecnicas'!$D$2:$G$340,2,0),"")</f>
        <v/>
      </c>
      <c r="S257" s="67" t="str">
        <f>IFERROR(VLOOKUP(J257,'Obs Tecnicas'!$D$2:$G$344,3,0),"Hexis")</f>
        <v>Hexis</v>
      </c>
      <c r="T257" s="67" t="str">
        <f>IFERROR(VLOOKUP(J257,'Obs Tecnicas'!$D$2:$G$344,4,0),"")</f>
        <v/>
      </c>
      <c r="V257" s="13">
        <f t="shared" si="24"/>
        <v>3</v>
      </c>
      <c r="W257" s="72">
        <f t="shared" ref="W257:W266" si="28">VLOOKUP(I257,$AB$2:$AD$10,2,0)</f>
        <v>420.44400000000002</v>
      </c>
      <c r="X257" s="72">
        <f t="shared" ref="X257:X266" si="29">VLOOKUP(I257,$AB$2:$AD$10,3,0)</f>
        <v>385.26299999999998</v>
      </c>
    </row>
    <row r="258" spans="1:31">
      <c r="A258" s="13" t="s">
        <v>20</v>
      </c>
      <c r="B258" s="13" t="s">
        <v>89</v>
      </c>
      <c r="C258" s="66" t="s">
        <v>862</v>
      </c>
      <c r="D258" s="67" t="s">
        <v>90</v>
      </c>
      <c r="E258" s="13" t="s">
        <v>91</v>
      </c>
      <c r="F258" s="66" t="s">
        <v>92</v>
      </c>
      <c r="G258" s="67" t="s">
        <v>84</v>
      </c>
      <c r="H258" s="67" t="s">
        <v>27</v>
      </c>
      <c r="I258" s="67" t="s">
        <v>55</v>
      </c>
      <c r="J258" s="68" t="s">
        <v>624</v>
      </c>
      <c r="K258" s="67" t="s">
        <v>125</v>
      </c>
      <c r="L258" s="67" t="s">
        <v>126</v>
      </c>
      <c r="M258" s="67" t="s">
        <v>87</v>
      </c>
      <c r="N258" s="67" t="s">
        <v>88</v>
      </c>
      <c r="O258" s="69">
        <v>44285</v>
      </c>
      <c r="P258" s="70">
        <f>IFERROR(VLOOKUP(J258,'Obs Tecnicas'!$D$2:$I$320,5,0),O258)</f>
        <v>44285</v>
      </c>
      <c r="Q258" s="69" t="str">
        <f t="shared" ca="1" si="27"/>
        <v>Calibrado</v>
      </c>
      <c r="R258" s="71" t="str">
        <f>IFERROR(VLOOKUP(J258,'Obs Tecnicas'!$D$2:$G$340,2,0),"")</f>
        <v/>
      </c>
      <c r="S258" s="67" t="str">
        <f>IFERROR(VLOOKUP(J258,'Obs Tecnicas'!$D$2:$G$344,3,0),"Hexis")</f>
        <v>Hexis</v>
      </c>
      <c r="T258" s="67" t="str">
        <f>IFERROR(VLOOKUP(J258,'Obs Tecnicas'!$D$2:$G$344,4,0),"")</f>
        <v/>
      </c>
      <c r="V258" s="13">
        <f t="shared" si="24"/>
        <v>3</v>
      </c>
      <c r="W258" s="72" t="e">
        <f t="shared" si="28"/>
        <v>#N/A</v>
      </c>
      <c r="X258" s="72" t="e">
        <f t="shared" si="29"/>
        <v>#N/A</v>
      </c>
    </row>
    <row r="259" spans="1:31">
      <c r="A259" s="13" t="s">
        <v>20</v>
      </c>
      <c r="B259" s="13" t="s">
        <v>143</v>
      </c>
      <c r="C259" s="66" t="s">
        <v>144</v>
      </c>
      <c r="D259" s="67" t="s">
        <v>145</v>
      </c>
      <c r="E259" s="13" t="s">
        <v>146</v>
      </c>
      <c r="F259" s="66" t="s">
        <v>147</v>
      </c>
      <c r="G259" s="67" t="s">
        <v>132</v>
      </c>
      <c r="H259" s="67" t="s">
        <v>27</v>
      </c>
      <c r="I259" s="67" t="s">
        <v>52</v>
      </c>
      <c r="J259" s="68" t="s">
        <v>148</v>
      </c>
      <c r="K259" s="67" t="s">
        <v>53</v>
      </c>
      <c r="L259" s="67" t="s">
        <v>86</v>
      </c>
      <c r="M259" s="67" t="s">
        <v>149</v>
      </c>
      <c r="N259" s="67" t="s">
        <v>150</v>
      </c>
      <c r="O259" s="69">
        <v>44021</v>
      </c>
      <c r="P259" s="70">
        <f>IFERROR(VLOOKUP(J259,'Obs Tecnicas'!$D$2:$I$320,5,0),O259)</f>
        <v>44372</v>
      </c>
      <c r="Q259" s="69" t="str">
        <f t="shared" ca="1" si="27"/>
        <v>Calibrado</v>
      </c>
      <c r="R259" s="71">
        <f>IFERROR(VLOOKUP(J259,'Obs Tecnicas'!$D$2:$G$340,2,0),"")</f>
        <v>12717</v>
      </c>
      <c r="S259" s="67" t="str">
        <f>IFERROR(VLOOKUP(J259,'Obs Tecnicas'!$D$2:$G$344,3,0),"Hexis")</f>
        <v>ER ANALITICA</v>
      </c>
      <c r="T259" s="67">
        <f>IFERROR(VLOOKUP(J259,'Obs Tecnicas'!$D$2:$G$344,4,0),"")</f>
        <v>0</v>
      </c>
      <c r="U259" s="13" t="s">
        <v>550</v>
      </c>
      <c r="V259" s="13">
        <f t="shared" si="24"/>
        <v>6</v>
      </c>
      <c r="W259" s="72">
        <f t="shared" si="28"/>
        <v>178.434</v>
      </c>
      <c r="X259" s="72">
        <f t="shared" si="29"/>
        <v>318.94200000000001</v>
      </c>
      <c r="AE259" s="13" t="s">
        <v>806</v>
      </c>
    </row>
    <row r="260" spans="1:31">
      <c r="A260" s="13" t="s">
        <v>20</v>
      </c>
      <c r="B260" s="13" t="s">
        <v>143</v>
      </c>
      <c r="C260" s="66" t="s">
        <v>144</v>
      </c>
      <c r="D260" s="67" t="s">
        <v>145</v>
      </c>
      <c r="E260" s="13" t="s">
        <v>146</v>
      </c>
      <c r="F260" s="66" t="s">
        <v>147</v>
      </c>
      <c r="G260" s="67" t="s">
        <v>132</v>
      </c>
      <c r="H260" s="67" t="s">
        <v>27</v>
      </c>
      <c r="I260" s="67" t="s">
        <v>45</v>
      </c>
      <c r="J260" s="68" t="s">
        <v>629</v>
      </c>
      <c r="K260" s="67" t="s">
        <v>53</v>
      </c>
      <c r="L260" s="67" t="s">
        <v>155</v>
      </c>
      <c r="M260" s="67" t="s">
        <v>149</v>
      </c>
      <c r="N260" s="67" t="s">
        <v>150</v>
      </c>
      <c r="O260" s="69">
        <v>44021</v>
      </c>
      <c r="P260" s="70">
        <f>IFERROR(VLOOKUP(J260,'Obs Tecnicas'!$D$2:$I$320,5,0),O260)</f>
        <v>44372</v>
      </c>
      <c r="Q260" s="69" t="str">
        <f t="shared" ca="1" si="27"/>
        <v>Calibrado</v>
      </c>
      <c r="R260" s="71">
        <f>IFERROR(VLOOKUP(J260,'Obs Tecnicas'!$D$2:$G$340,2,0),"")</f>
        <v>12718</v>
      </c>
      <c r="S260" s="67" t="str">
        <f>IFERROR(VLOOKUP(J260,'Obs Tecnicas'!$D$2:$G$344,3,0),"Hexis")</f>
        <v>ER ANALITICA</v>
      </c>
      <c r="T260" s="67" t="str">
        <f>IFERROR(VLOOKUP(J260,'Obs Tecnicas'!$D$2:$G$344,4,0),"")</f>
        <v>Compartimento de pilhas do instrumento encontra-se oxidado, sendo recomendado sua troca na próxima manutenção</v>
      </c>
      <c r="U260" s="13" t="s">
        <v>550</v>
      </c>
      <c r="V260" s="13">
        <f t="shared" si="24"/>
        <v>6</v>
      </c>
      <c r="W260" s="72">
        <f t="shared" si="28"/>
        <v>420.44400000000002</v>
      </c>
      <c r="X260" s="72">
        <f t="shared" si="29"/>
        <v>385.26299999999998</v>
      </c>
      <c r="AE260" s="13" t="s">
        <v>806</v>
      </c>
    </row>
    <row r="261" spans="1:31">
      <c r="A261" s="13" t="s">
        <v>20</v>
      </c>
      <c r="B261" s="13" t="s">
        <v>143</v>
      </c>
      <c r="C261" s="66" t="s">
        <v>144</v>
      </c>
      <c r="D261" s="67" t="s">
        <v>145</v>
      </c>
      <c r="E261" s="13" t="s">
        <v>146</v>
      </c>
      <c r="F261" s="66" t="s">
        <v>147</v>
      </c>
      <c r="G261" s="67" t="s">
        <v>132</v>
      </c>
      <c r="H261" s="67" t="s">
        <v>27</v>
      </c>
      <c r="I261" s="67" t="s">
        <v>34</v>
      </c>
      <c r="J261" s="68" t="s">
        <v>630</v>
      </c>
      <c r="K261" s="67" t="s">
        <v>35</v>
      </c>
      <c r="L261" s="67" t="s">
        <v>36</v>
      </c>
      <c r="M261" s="67" t="s">
        <v>149</v>
      </c>
      <c r="N261" s="67" t="s">
        <v>150</v>
      </c>
      <c r="O261" s="69">
        <v>44021</v>
      </c>
      <c r="P261" s="70">
        <f>IFERROR(VLOOKUP(J261,'Obs Tecnicas'!$D$2:$I$320,5,0),O261)</f>
        <v>44372</v>
      </c>
      <c r="Q261" s="69" t="str">
        <f t="shared" ca="1" si="27"/>
        <v>Calibrado</v>
      </c>
      <c r="R261" s="71">
        <f>IFERROR(VLOOKUP(J261,'Obs Tecnicas'!$D$2:$G$340,2,0),"")</f>
        <v>12719</v>
      </c>
      <c r="S261" s="67" t="str">
        <f>IFERROR(VLOOKUP(J261,'Obs Tecnicas'!$D$2:$G$344,3,0),"Hexis")</f>
        <v>ER ANALITICA</v>
      </c>
      <c r="T261" s="67">
        <f>IFERROR(VLOOKUP(J261,'Obs Tecnicas'!$D$2:$G$344,4,0),"")</f>
        <v>0</v>
      </c>
      <c r="U261" s="13" t="s">
        <v>550</v>
      </c>
      <c r="V261" s="13">
        <f t="shared" si="24"/>
        <v>6</v>
      </c>
      <c r="W261" s="72">
        <f t="shared" si="28"/>
        <v>101.655</v>
      </c>
      <c r="X261" s="72">
        <f t="shared" si="29"/>
        <v>195.22799999999998</v>
      </c>
      <c r="AE261" s="13" t="s">
        <v>808</v>
      </c>
    </row>
    <row r="262" spans="1:31">
      <c r="A262" s="13" t="s">
        <v>20</v>
      </c>
      <c r="B262" s="13" t="s">
        <v>407</v>
      </c>
      <c r="C262" s="66" t="s">
        <v>408</v>
      </c>
      <c r="D262" s="67" t="s">
        <v>409</v>
      </c>
      <c r="E262" s="13" t="s">
        <v>410</v>
      </c>
      <c r="F262" s="66" t="s">
        <v>411</v>
      </c>
      <c r="G262" s="67" t="s">
        <v>365</v>
      </c>
      <c r="H262" s="67" t="s">
        <v>263</v>
      </c>
      <c r="I262" s="67" t="s">
        <v>52</v>
      </c>
      <c r="J262" s="68" t="s">
        <v>412</v>
      </c>
      <c r="K262" s="67" t="s">
        <v>53</v>
      </c>
      <c r="L262" s="67" t="s">
        <v>86</v>
      </c>
      <c r="M262" s="67" t="s">
        <v>413</v>
      </c>
      <c r="N262" s="67" t="s">
        <v>414</v>
      </c>
      <c r="O262" s="69">
        <v>44194</v>
      </c>
      <c r="P262" s="70">
        <f>IFERROR(VLOOKUP(J262,'Obs Tecnicas'!$D$2:$I$320,5,0),O262)</f>
        <v>44194</v>
      </c>
      <c r="Q262" s="69" t="str">
        <f t="shared" ca="1" si="27"/>
        <v>Calibrado</v>
      </c>
      <c r="R262" s="71" t="str">
        <f>IFERROR(VLOOKUP(J262,'Obs Tecnicas'!$D$2:$G$340,2,0),"")</f>
        <v/>
      </c>
      <c r="S262" s="67" t="str">
        <f>IFERROR(VLOOKUP(J262,'Obs Tecnicas'!$D$2:$G$344,3,0),"Hexis")</f>
        <v>Hexis</v>
      </c>
      <c r="T262" s="67" t="str">
        <f>IFERROR(VLOOKUP(J262,'Obs Tecnicas'!$D$2:$G$344,4,0),"")</f>
        <v/>
      </c>
      <c r="V262" s="13">
        <f t="shared" si="24"/>
        <v>12</v>
      </c>
      <c r="W262" s="72">
        <f t="shared" si="28"/>
        <v>178.434</v>
      </c>
      <c r="X262" s="72">
        <f t="shared" si="29"/>
        <v>318.94200000000001</v>
      </c>
    </row>
    <row r="263" spans="1:31">
      <c r="A263" s="13" t="s">
        <v>20</v>
      </c>
      <c r="B263" s="13" t="s">
        <v>407</v>
      </c>
      <c r="C263" s="66" t="s">
        <v>408</v>
      </c>
      <c r="D263" s="67" t="s">
        <v>409</v>
      </c>
      <c r="E263" s="13" t="s">
        <v>410</v>
      </c>
      <c r="F263" s="66" t="s">
        <v>411</v>
      </c>
      <c r="G263" s="67" t="s">
        <v>365</v>
      </c>
      <c r="H263" s="67" t="s">
        <v>263</v>
      </c>
      <c r="I263" s="67" t="s">
        <v>76</v>
      </c>
      <c r="J263" s="68" t="s">
        <v>738</v>
      </c>
      <c r="K263" s="67" t="s">
        <v>77</v>
      </c>
      <c r="L263" s="75" t="s">
        <v>78</v>
      </c>
      <c r="M263" s="67" t="s">
        <v>413</v>
      </c>
      <c r="N263" s="67" t="s">
        <v>414</v>
      </c>
      <c r="O263" s="69">
        <v>44194</v>
      </c>
      <c r="P263" s="70">
        <f>IFERROR(VLOOKUP(J263,'Obs Tecnicas'!$D$2:$I$320,5,0),O263)</f>
        <v>44194</v>
      </c>
      <c r="Q263" s="69" t="str">
        <f t="shared" ca="1" si="27"/>
        <v>Calibrado</v>
      </c>
      <c r="R263" s="71" t="str">
        <f>IFERROR(VLOOKUP(J263,'Obs Tecnicas'!$D$2:$G$340,2,0),"")</f>
        <v/>
      </c>
      <c r="S263" s="67" t="str">
        <f>IFERROR(VLOOKUP(J263,'Obs Tecnicas'!$D$2:$G$344,3,0),"Hexis")</f>
        <v>Hexis</v>
      </c>
      <c r="T263" s="67" t="str">
        <f>IFERROR(VLOOKUP(J263,'Obs Tecnicas'!$D$2:$G$344,4,0),"")</f>
        <v/>
      </c>
      <c r="V263" s="13">
        <f t="shared" si="24"/>
        <v>12</v>
      </c>
      <c r="W263" s="72">
        <f t="shared" si="28"/>
        <v>101.655</v>
      </c>
      <c r="X263" s="72">
        <f t="shared" si="29"/>
        <v>195.22799999999998</v>
      </c>
    </row>
    <row r="264" spans="1:31">
      <c r="A264" s="13" t="s">
        <v>20</v>
      </c>
      <c r="B264" s="13" t="s">
        <v>407</v>
      </c>
      <c r="C264" s="66" t="s">
        <v>408</v>
      </c>
      <c r="D264" s="67" t="s">
        <v>409</v>
      </c>
      <c r="E264" s="13" t="s">
        <v>410</v>
      </c>
      <c r="F264" s="66" t="s">
        <v>411</v>
      </c>
      <c r="G264" s="67" t="s">
        <v>365</v>
      </c>
      <c r="H264" s="67" t="s">
        <v>263</v>
      </c>
      <c r="I264" s="67" t="s">
        <v>34</v>
      </c>
      <c r="J264" s="68" t="s">
        <v>739</v>
      </c>
      <c r="K264" s="67" t="s">
        <v>35</v>
      </c>
      <c r="L264" s="67" t="s">
        <v>36</v>
      </c>
      <c r="M264" s="67" t="s">
        <v>413</v>
      </c>
      <c r="N264" s="67" t="s">
        <v>414</v>
      </c>
      <c r="O264" s="69">
        <v>44194</v>
      </c>
      <c r="P264" s="70">
        <f>IFERROR(VLOOKUP(J264,'Obs Tecnicas'!$D$2:$I$320,5,0),O264)</f>
        <v>44194</v>
      </c>
      <c r="Q264" s="69" t="str">
        <f t="shared" ca="1" si="27"/>
        <v>Calibrado</v>
      </c>
      <c r="R264" s="71" t="str">
        <f>IFERROR(VLOOKUP(J264,'Obs Tecnicas'!$D$2:$G$340,2,0),"")</f>
        <v/>
      </c>
      <c r="S264" s="67" t="str">
        <f>IFERROR(VLOOKUP(J264,'Obs Tecnicas'!$D$2:$G$344,3,0),"Hexis")</f>
        <v>Hexis</v>
      </c>
      <c r="T264" s="67" t="str">
        <f>IFERROR(VLOOKUP(J264,'Obs Tecnicas'!$D$2:$G$344,4,0),"")</f>
        <v/>
      </c>
      <c r="V264" s="13">
        <f t="shared" si="24"/>
        <v>12</v>
      </c>
      <c r="W264" s="72">
        <f t="shared" si="28"/>
        <v>101.655</v>
      </c>
      <c r="X264" s="72">
        <f t="shared" si="29"/>
        <v>195.22799999999998</v>
      </c>
    </row>
    <row r="265" spans="1:31">
      <c r="E265" s="110"/>
      <c r="F265" s="110"/>
      <c r="G265" s="110"/>
      <c r="H265" s="110" t="s">
        <v>27</v>
      </c>
      <c r="I265" s="110" t="s">
        <v>76</v>
      </c>
      <c r="J265" s="111" t="s">
        <v>505</v>
      </c>
      <c r="K265" s="110" t="s">
        <v>483</v>
      </c>
      <c r="M265" s="94" t="s">
        <v>49</v>
      </c>
      <c r="N265" s="13"/>
      <c r="O265" s="69"/>
      <c r="P265" s="70">
        <f>IFERROR(VLOOKUP(J265,'Obs Tecnicas'!$D$2:$I$320,5,0),O265)</f>
        <v>44333</v>
      </c>
      <c r="Q265" s="69" t="str">
        <f t="shared" ca="1" si="27"/>
        <v>Calibrado</v>
      </c>
      <c r="R265" s="71">
        <f>IFERROR(VLOOKUP(J265,'Obs Tecnicas'!$D$2:$G$340,2,0),"")</f>
        <v>12341</v>
      </c>
      <c r="S265" s="67" t="str">
        <f>IFERROR(VLOOKUP(J265,'Obs Tecnicas'!$D$2:$G$344,3,0),"Hexis")</f>
        <v>ER ANALITICA</v>
      </c>
      <c r="T265" s="67" t="str">
        <f>IFERROR(VLOOKUP(J265,'Obs Tecnicas'!$D$2:$G$344,4,0),"")</f>
        <v>Display com avarias</v>
      </c>
      <c r="U265" s="13" t="s">
        <v>774</v>
      </c>
      <c r="V265" s="13">
        <f t="shared" si="24"/>
        <v>5</v>
      </c>
      <c r="W265" s="72">
        <f t="shared" si="28"/>
        <v>101.655</v>
      </c>
      <c r="X265" s="72">
        <f t="shared" si="29"/>
        <v>195.22799999999998</v>
      </c>
    </row>
    <row r="266" spans="1:31" ht="15.75">
      <c r="E266" s="110"/>
      <c r="F266" s="110"/>
      <c r="G266" s="110"/>
      <c r="H266" s="110"/>
      <c r="I266" s="110" t="s">
        <v>76</v>
      </c>
      <c r="J266" s="111" t="s">
        <v>514</v>
      </c>
      <c r="K266" s="112" t="s">
        <v>483</v>
      </c>
      <c r="M266" s="94" t="s">
        <v>49</v>
      </c>
      <c r="N266" s="13"/>
      <c r="O266" s="69"/>
      <c r="P266" s="70">
        <f>IFERROR(VLOOKUP(J266,'Obs Tecnicas'!$D$2:$I$320,5,0),O266)</f>
        <v>44333</v>
      </c>
      <c r="Q266" s="69" t="str">
        <f t="shared" ca="1" si="27"/>
        <v>Calibrado</v>
      </c>
      <c r="R266" s="71">
        <f>IFERROR(VLOOKUP(J266,'Obs Tecnicas'!$D$2:$G$340,2,0),"")</f>
        <v>12338</v>
      </c>
      <c r="S266" s="67" t="str">
        <f>IFERROR(VLOOKUP(J266,'Obs Tecnicas'!$D$2:$G$344,3,0),"Hexis")</f>
        <v>ER ANALITICA</v>
      </c>
      <c r="T266" s="67">
        <f>IFERROR(VLOOKUP(J266,'Obs Tecnicas'!$D$2:$G$344,4,0),"")</f>
        <v>0</v>
      </c>
      <c r="U266" s="13" t="s">
        <v>774</v>
      </c>
      <c r="V266" s="13">
        <f t="shared" si="24"/>
        <v>5</v>
      </c>
      <c r="W266" s="72">
        <f t="shared" si="28"/>
        <v>101.655</v>
      </c>
      <c r="X266" s="72">
        <f t="shared" si="29"/>
        <v>195.22799999999998</v>
      </c>
    </row>
    <row r="267" spans="1:31">
      <c r="E267" s="110"/>
      <c r="F267" s="110"/>
      <c r="G267" s="110"/>
      <c r="H267" s="110"/>
      <c r="I267" s="110" t="s">
        <v>76</v>
      </c>
      <c r="J267" s="111" t="s">
        <v>532</v>
      </c>
      <c r="K267" s="110" t="s">
        <v>529</v>
      </c>
      <c r="M267" s="94" t="s">
        <v>49</v>
      </c>
      <c r="N267" s="13"/>
      <c r="O267" s="69"/>
      <c r="P267" s="70">
        <f>IFERROR(VLOOKUP(J267,'Obs Tecnicas'!$D$2:$I$320,5,0),O267)</f>
        <v>44333</v>
      </c>
      <c r="Q267" s="69" t="str">
        <f t="shared" ca="1" si="27"/>
        <v>Calibrado</v>
      </c>
      <c r="R267" s="71">
        <f>IFERROR(VLOOKUP(J267,'Obs Tecnicas'!$D$2:$G$340,2,0),"")</f>
        <v>12339</v>
      </c>
      <c r="S267" s="67" t="str">
        <f>IFERROR(VLOOKUP(J267,'Obs Tecnicas'!$D$2:$G$344,3,0),"Hexis")</f>
        <v>ER ANALITICA</v>
      </c>
      <c r="T267" s="67" t="str">
        <f>IFERROR(VLOOKUP(J267,'Obs Tecnicas'!$D$2:$G$344,4,0),"")</f>
        <v>Carcaça do instrumento trincada.</v>
      </c>
      <c r="U267" s="13" t="s">
        <v>774</v>
      </c>
      <c r="V267" s="13">
        <f t="shared" si="24"/>
        <v>5</v>
      </c>
    </row>
    <row r="268" spans="1:31">
      <c r="A268" s="13" t="s">
        <v>20</v>
      </c>
      <c r="B268" s="13" t="s">
        <v>432</v>
      </c>
      <c r="C268" s="66" t="s">
        <v>433</v>
      </c>
      <c r="E268" s="13" t="s">
        <v>301</v>
      </c>
      <c r="F268" s="66" t="s">
        <v>302</v>
      </c>
      <c r="G268" s="67" t="s">
        <v>434</v>
      </c>
      <c r="H268" s="67" t="s">
        <v>191</v>
      </c>
      <c r="I268" s="13" t="s">
        <v>79</v>
      </c>
      <c r="J268" s="68" t="s">
        <v>826</v>
      </c>
      <c r="K268" s="13" t="s">
        <v>827</v>
      </c>
      <c r="L268" s="13" t="s">
        <v>80</v>
      </c>
      <c r="M268" s="67" t="s">
        <v>446</v>
      </c>
      <c r="N268" s="13"/>
      <c r="O268" s="69">
        <v>44040</v>
      </c>
      <c r="P268" s="70">
        <f>IFERROR(VLOOKUP(J268,'Obs Tecnicas'!$D$2:$I$320,5,0),O268)</f>
        <v>44404</v>
      </c>
      <c r="Q268" s="69" t="str">
        <f t="shared" ca="1" si="27"/>
        <v>Calibrado</v>
      </c>
      <c r="R268" s="71">
        <f>IFERROR(VLOOKUP(J268,'Obs Tecnicas'!$D$2:$G$340,2,0),"")</f>
        <v>13246</v>
      </c>
      <c r="S268" s="67" t="str">
        <f>IFERROR(VLOOKUP(J268,'Obs Tecnicas'!$D$2:$G$344,3,0),"Hexis")</f>
        <v>ER ANALITICA</v>
      </c>
      <c r="T268" s="67">
        <f>IFERROR(VLOOKUP(J268,'Obs Tecnicas'!$D$2:$G$344,4,0),"")</f>
        <v>0</v>
      </c>
      <c r="U268" s="13" t="s">
        <v>550</v>
      </c>
      <c r="V268" s="13">
        <f t="shared" si="24"/>
        <v>7</v>
      </c>
    </row>
    <row r="269" spans="1:31">
      <c r="A269" s="13" t="s">
        <v>20</v>
      </c>
      <c r="B269" s="13" t="s">
        <v>313</v>
      </c>
      <c r="C269" s="85" t="s">
        <v>314</v>
      </c>
      <c r="D269" s="67" t="s">
        <v>315</v>
      </c>
      <c r="E269" s="13" t="s">
        <v>316</v>
      </c>
      <c r="F269" s="66" t="s">
        <v>317</v>
      </c>
      <c r="H269" s="67" t="s">
        <v>319</v>
      </c>
      <c r="I269" s="13" t="s">
        <v>76</v>
      </c>
      <c r="J269" s="68" t="s">
        <v>881</v>
      </c>
      <c r="K269" s="13" t="s">
        <v>882</v>
      </c>
      <c r="L269" s="13" t="s">
        <v>883</v>
      </c>
      <c r="M269" s="108" t="s">
        <v>884</v>
      </c>
      <c r="N269" s="67" t="s">
        <v>321</v>
      </c>
      <c r="O269" s="69">
        <v>44343</v>
      </c>
      <c r="P269" s="70">
        <f>IFERROR(VLOOKUP(J269,'Obs Tecnicas'!$D$2:$I$320,5,0),O269)</f>
        <v>44343</v>
      </c>
      <c r="Q269" s="69" t="str">
        <f t="shared" ca="1" si="27"/>
        <v>Calibrado</v>
      </c>
      <c r="R269" s="71" t="str">
        <f>IFERROR(VLOOKUP(J269,'Obs Tecnicas'!$D$2:$G$340,2,0),"")</f>
        <v/>
      </c>
      <c r="S269" s="67" t="str">
        <f>IFERROR(VLOOKUP(J269,'Obs Tecnicas'!$D$2:$G$344,3,0),"Hexis")</f>
        <v>Hexis</v>
      </c>
      <c r="T269" s="67" t="str">
        <f>IFERROR(VLOOKUP(J269,'Obs Tecnicas'!$D$2:$G$344,4,0),"")</f>
        <v/>
      </c>
    </row>
    <row r="270" spans="1:31">
      <c r="A270" s="13" t="s">
        <v>20</v>
      </c>
      <c r="B270" s="13" t="s">
        <v>313</v>
      </c>
      <c r="C270" s="85" t="s">
        <v>314</v>
      </c>
      <c r="D270" s="67" t="s">
        <v>315</v>
      </c>
      <c r="E270" s="13" t="s">
        <v>316</v>
      </c>
      <c r="F270" s="66" t="s">
        <v>317</v>
      </c>
      <c r="H270" s="67" t="s">
        <v>319</v>
      </c>
      <c r="I270" s="13" t="s">
        <v>817</v>
      </c>
      <c r="J270" s="68" t="s">
        <v>881</v>
      </c>
      <c r="K270" s="13" t="s">
        <v>882</v>
      </c>
      <c r="L270" s="13" t="s">
        <v>883</v>
      </c>
      <c r="M270" s="108" t="s">
        <v>884</v>
      </c>
      <c r="N270" s="67" t="s">
        <v>321</v>
      </c>
      <c r="O270" s="69">
        <v>44343</v>
      </c>
      <c r="P270" s="70">
        <f>IFERROR(VLOOKUP(J270,'Obs Tecnicas'!$D$2:$I$320,5,0),O270)</f>
        <v>44343</v>
      </c>
      <c r="Q270" s="69" t="str">
        <f t="shared" ca="1" si="27"/>
        <v>Calibrado</v>
      </c>
      <c r="R270" s="71" t="str">
        <f>IFERROR(VLOOKUP(J270,'Obs Tecnicas'!$D$2:$G$340,2,0),"")</f>
        <v/>
      </c>
      <c r="S270" s="67" t="str">
        <f>IFERROR(VLOOKUP(J270,'Obs Tecnicas'!$D$2:$G$344,3,0),"Hexis")</f>
        <v>Hexis</v>
      </c>
      <c r="T270" s="67" t="str">
        <f>IFERROR(VLOOKUP(J270,'Obs Tecnicas'!$D$2:$G$344,4,0),"")</f>
        <v/>
      </c>
    </row>
    <row r="271" spans="1:31">
      <c r="A271" s="13" t="s">
        <v>20</v>
      </c>
      <c r="B271" s="13" t="s">
        <v>313</v>
      </c>
      <c r="C271" s="85" t="s">
        <v>314</v>
      </c>
      <c r="D271" s="67" t="s">
        <v>315</v>
      </c>
      <c r="E271" s="13" t="s">
        <v>316</v>
      </c>
      <c r="F271" s="66" t="s">
        <v>317</v>
      </c>
      <c r="G271" s="13"/>
      <c r="H271" s="67" t="s">
        <v>319</v>
      </c>
      <c r="I271" s="13" t="s">
        <v>76</v>
      </c>
      <c r="J271" s="68" t="s">
        <v>888</v>
      </c>
      <c r="K271" s="13" t="s">
        <v>882</v>
      </c>
      <c r="L271" s="13" t="s">
        <v>883</v>
      </c>
      <c r="M271" s="108" t="s">
        <v>884</v>
      </c>
      <c r="N271" s="67" t="s">
        <v>321</v>
      </c>
      <c r="O271" s="120">
        <v>44343</v>
      </c>
      <c r="P271" s="70">
        <f>IFERROR(VLOOKUP(J271,'Obs Tecnicas'!$D$2:$I$320,5,0),O271)</f>
        <v>44343</v>
      </c>
      <c r="Q271" s="69" t="str">
        <f t="shared" ca="1" si="27"/>
        <v>Calibrado</v>
      </c>
      <c r="R271" s="71" t="str">
        <f>IFERROR(VLOOKUP(J271,'Obs Tecnicas'!$D$2:$G$340,2,0),"")</f>
        <v/>
      </c>
      <c r="S271" s="67" t="str">
        <f>IFERROR(VLOOKUP(J271,'Obs Tecnicas'!$D$2:$G$344,3,0),"Hexis")</f>
        <v>Hexis</v>
      </c>
      <c r="T271" s="67" t="str">
        <f>IFERROR(VLOOKUP(J271,'Obs Tecnicas'!$D$2:$G$344,4,0),"")</f>
        <v/>
      </c>
    </row>
    <row r="272" spans="1:31">
      <c r="A272" s="13" t="s">
        <v>20</v>
      </c>
      <c r="B272" s="13" t="s">
        <v>313</v>
      </c>
      <c r="C272" s="85" t="s">
        <v>314</v>
      </c>
      <c r="D272" s="67" t="s">
        <v>315</v>
      </c>
      <c r="E272" s="13" t="s">
        <v>316</v>
      </c>
      <c r="F272" s="66" t="s">
        <v>317</v>
      </c>
      <c r="G272" s="13"/>
      <c r="H272" s="67" t="s">
        <v>319</v>
      </c>
      <c r="I272" s="13" t="s">
        <v>45</v>
      </c>
      <c r="J272" s="68" t="s">
        <v>707</v>
      </c>
      <c r="K272" s="13" t="s">
        <v>53</v>
      </c>
      <c r="L272" s="13" t="s">
        <v>892</v>
      </c>
      <c r="M272" s="108" t="s">
        <v>884</v>
      </c>
      <c r="N272" s="67" t="s">
        <v>321</v>
      </c>
      <c r="O272" s="120">
        <v>44343</v>
      </c>
      <c r="P272" s="70">
        <f>IFERROR(VLOOKUP(J272,'Obs Tecnicas'!$D$2:$I$320,5,0),O272)</f>
        <v>44343</v>
      </c>
      <c r="Q272" s="69" t="str">
        <f t="shared" ca="1" si="27"/>
        <v>Calibrado</v>
      </c>
      <c r="R272" s="71" t="str">
        <f>IFERROR(VLOOKUP(J272,'Obs Tecnicas'!$D$2:$G$340,2,0),"")</f>
        <v/>
      </c>
      <c r="S272" s="67" t="str">
        <f>IFERROR(VLOOKUP(J272,'Obs Tecnicas'!$D$2:$G$344,3,0),"Hexis")</f>
        <v>Hexis</v>
      </c>
      <c r="T272" s="67" t="str">
        <f>IFERROR(VLOOKUP(J272,'Obs Tecnicas'!$D$2:$G$344,4,0),"")</f>
        <v/>
      </c>
    </row>
    <row r="273" spans="1:32">
      <c r="A273" s="13" t="s">
        <v>20</v>
      </c>
      <c r="B273" s="13" t="s">
        <v>24</v>
      </c>
      <c r="C273" s="85" t="s">
        <v>25</v>
      </c>
      <c r="D273" s="67"/>
      <c r="E273" s="110" t="s">
        <v>24</v>
      </c>
      <c r="F273" s="110" t="s">
        <v>25</v>
      </c>
      <c r="G273" s="67" t="s">
        <v>44</v>
      </c>
      <c r="H273" s="110" t="s">
        <v>27</v>
      </c>
      <c r="I273" s="110" t="s">
        <v>52</v>
      </c>
      <c r="J273" s="111" t="s">
        <v>744</v>
      </c>
      <c r="K273" s="110" t="s">
        <v>53</v>
      </c>
      <c r="L273" s="67" t="s">
        <v>893</v>
      </c>
      <c r="M273" s="94" t="s">
        <v>49</v>
      </c>
      <c r="N273" s="13" t="s">
        <v>33</v>
      </c>
      <c r="O273" s="120">
        <v>44306</v>
      </c>
      <c r="P273" s="70">
        <f>IFERROR(VLOOKUP(J273,'Obs Tecnicas'!$D$2:$I$320,5,0),O273)</f>
        <v>44306</v>
      </c>
      <c r="Q273" s="69" t="str">
        <f t="shared" ca="1" si="27"/>
        <v>Calibrado</v>
      </c>
      <c r="R273" s="71" t="str">
        <f>IFERROR(VLOOKUP(J273,'Obs Tecnicas'!$D$2:$G$340,2,0),"")</f>
        <v/>
      </c>
      <c r="S273" s="67" t="str">
        <f>IFERROR(VLOOKUP(J273,'Obs Tecnicas'!$D$2:$G$344,3,0),"Hexis")</f>
        <v>Hexis</v>
      </c>
      <c r="T273" s="67" t="str">
        <f>IFERROR(VLOOKUP(J273,'Obs Tecnicas'!$D$2:$G$344,4,0),"")</f>
        <v/>
      </c>
      <c r="U273" s="13" t="s">
        <v>774</v>
      </c>
    </row>
    <row r="274" spans="1:32">
      <c r="A274" s="13" t="s">
        <v>20</v>
      </c>
      <c r="B274" s="13" t="s">
        <v>24</v>
      </c>
      <c r="C274" s="85" t="s">
        <v>25</v>
      </c>
      <c r="D274" s="67"/>
      <c r="E274" s="110" t="s">
        <v>24</v>
      </c>
      <c r="F274" s="110" t="s">
        <v>25</v>
      </c>
      <c r="G274" s="67" t="s">
        <v>44</v>
      </c>
      <c r="H274" s="110" t="s">
        <v>27</v>
      </c>
      <c r="I274" s="110" t="s">
        <v>52</v>
      </c>
      <c r="J274" s="111" t="s">
        <v>895</v>
      </c>
      <c r="K274" s="110" t="s">
        <v>53</v>
      </c>
      <c r="L274" s="67" t="s">
        <v>893</v>
      </c>
      <c r="M274" s="94" t="s">
        <v>49</v>
      </c>
      <c r="N274" s="13" t="s">
        <v>33</v>
      </c>
      <c r="O274" s="120">
        <v>44306</v>
      </c>
      <c r="P274" s="70">
        <f>IFERROR(VLOOKUP(J274,'Obs Tecnicas'!$D$2:$I$320,5,0),O274)</f>
        <v>44306</v>
      </c>
      <c r="Q274" s="69" t="str">
        <f t="shared" ca="1" si="27"/>
        <v>Calibrado</v>
      </c>
      <c r="R274" s="71" t="str">
        <f>IFERROR(VLOOKUP(J274,'Obs Tecnicas'!$D$2:$G$340,2,0),"")</f>
        <v/>
      </c>
      <c r="S274" s="67" t="str">
        <f>IFERROR(VLOOKUP(J274,'Obs Tecnicas'!$D$2:$G$344,3,0),"Hexis")</f>
        <v>Hexis</v>
      </c>
      <c r="T274" s="67" t="str">
        <f>IFERROR(VLOOKUP(J274,'Obs Tecnicas'!$D$2:$G$344,4,0),"")</f>
        <v/>
      </c>
      <c r="U274" s="13" t="s">
        <v>774</v>
      </c>
    </row>
    <row r="275" spans="1:32">
      <c r="A275" s="13" t="s">
        <v>20</v>
      </c>
      <c r="B275" s="13" t="s">
        <v>24</v>
      </c>
      <c r="C275" s="85" t="s">
        <v>25</v>
      </c>
      <c r="D275" s="67"/>
      <c r="E275" s="110" t="s">
        <v>24</v>
      </c>
      <c r="F275" s="110" t="s">
        <v>25</v>
      </c>
      <c r="G275" s="67" t="s">
        <v>44</v>
      </c>
      <c r="H275" s="110" t="s">
        <v>27</v>
      </c>
      <c r="I275" s="110" t="s">
        <v>76</v>
      </c>
      <c r="J275" s="111" t="s">
        <v>38</v>
      </c>
      <c r="K275" s="110" t="s">
        <v>39</v>
      </c>
      <c r="L275" s="67" t="s">
        <v>40</v>
      </c>
      <c r="M275" s="94" t="s">
        <v>49</v>
      </c>
      <c r="N275" s="13" t="s">
        <v>33</v>
      </c>
      <c r="O275" s="120">
        <v>44306</v>
      </c>
      <c r="P275" s="70">
        <f>IFERROR(VLOOKUP(J275,'Obs Tecnicas'!$D$2:$I$320,5,0),O275)</f>
        <v>44306</v>
      </c>
      <c r="Q275" s="69" t="str">
        <f t="shared" ca="1" si="27"/>
        <v>Calibrado</v>
      </c>
      <c r="R275" s="71" t="str">
        <f>IFERROR(VLOOKUP(J275,'Obs Tecnicas'!$D$2:$G$340,2,0),"")</f>
        <v/>
      </c>
      <c r="S275" s="67" t="str">
        <f>IFERROR(VLOOKUP(J275,'Obs Tecnicas'!$D$2:$G$344,3,0),"Hexis")</f>
        <v>Hexis</v>
      </c>
      <c r="T275" s="67" t="str">
        <f>IFERROR(VLOOKUP(J275,'Obs Tecnicas'!$D$2:$G$344,4,0),"")</f>
        <v/>
      </c>
      <c r="U275" s="13" t="s">
        <v>774</v>
      </c>
    </row>
    <row r="276" spans="1:32">
      <c r="A276" s="13" t="s">
        <v>20</v>
      </c>
      <c r="B276" s="13" t="s">
        <v>909</v>
      </c>
      <c r="C276" s="85"/>
      <c r="D276" s="67"/>
      <c r="E276" s="110"/>
      <c r="F276" s="110"/>
      <c r="G276" s="110"/>
      <c r="H276" s="110" t="s">
        <v>903</v>
      </c>
      <c r="I276" s="110" t="s">
        <v>904</v>
      </c>
      <c r="J276" s="111" t="s">
        <v>898</v>
      </c>
      <c r="K276" s="110" t="s">
        <v>53</v>
      </c>
      <c r="L276" s="67" t="s">
        <v>899</v>
      </c>
      <c r="M276" s="94" t="s">
        <v>900</v>
      </c>
      <c r="N276" s="13"/>
      <c r="O276" s="120">
        <v>44330</v>
      </c>
      <c r="P276" s="70">
        <f>IFERROR(VLOOKUP(J276,'Obs Tecnicas'!$D$2:$I$320,5,0),O276)</f>
        <v>44330</v>
      </c>
      <c r="Q276" s="69" t="str">
        <f t="shared" ca="1" si="27"/>
        <v>Calibrado</v>
      </c>
      <c r="R276" s="71" t="str">
        <f>IFERROR(VLOOKUP(J276,'Obs Tecnicas'!$D$2:$G$340,2,0),"")</f>
        <v/>
      </c>
      <c r="S276" s="67" t="str">
        <f>IFERROR(VLOOKUP(J276,'Obs Tecnicas'!$D$2:$G$344,3,0),"Hexis")</f>
        <v>Hexis</v>
      </c>
      <c r="T276" s="67" t="str">
        <f>IFERROR(VLOOKUP(J276,'Obs Tecnicas'!$D$2:$G$344,4,0),"")</f>
        <v/>
      </c>
      <c r="U276" s="13" t="s">
        <v>774</v>
      </c>
    </row>
    <row r="277" spans="1:32">
      <c r="A277" s="13" t="s">
        <v>20</v>
      </c>
      <c r="B277" s="13" t="s">
        <v>909</v>
      </c>
      <c r="G277" s="13"/>
      <c r="H277" s="13" t="s">
        <v>903</v>
      </c>
      <c r="I277" s="13" t="s">
        <v>817</v>
      </c>
      <c r="J277" s="68" t="s">
        <v>905</v>
      </c>
      <c r="K277" s="13" t="s">
        <v>53</v>
      </c>
      <c r="L277" s="13" t="s">
        <v>899</v>
      </c>
      <c r="M277" s="105" t="s">
        <v>900</v>
      </c>
      <c r="N277" s="13"/>
      <c r="O277" s="120">
        <v>44330</v>
      </c>
      <c r="P277" s="70">
        <f>IFERROR(VLOOKUP(J277,'Obs Tecnicas'!$D$2:$I$320,5,0),O277)</f>
        <v>44330</v>
      </c>
      <c r="Q277" s="69" t="str">
        <f t="shared" ca="1" si="27"/>
        <v>Calibrado</v>
      </c>
      <c r="R277" s="71" t="str">
        <f>IFERROR(VLOOKUP(J277,'Obs Tecnicas'!$D$2:$G$340,2,0),"")</f>
        <v/>
      </c>
      <c r="S277" s="67" t="str">
        <f>IFERROR(VLOOKUP(J277,'Obs Tecnicas'!$D$2:$G$344,3,0),"Hexis")</f>
        <v>Hexis</v>
      </c>
      <c r="T277" s="67" t="str">
        <f>IFERROR(VLOOKUP(J277,'Obs Tecnicas'!$D$2:$G$344,4,0),"")</f>
        <v/>
      </c>
      <c r="U277" s="13" t="s">
        <v>774</v>
      </c>
    </row>
    <row r="278" spans="1:32">
      <c r="A278" s="13" t="s">
        <v>20</v>
      </c>
      <c r="B278" s="13" t="s">
        <v>909</v>
      </c>
      <c r="G278" s="13"/>
      <c r="H278" s="13" t="s">
        <v>903</v>
      </c>
      <c r="I278" s="13" t="s">
        <v>76</v>
      </c>
      <c r="J278" s="68" t="s">
        <v>908</v>
      </c>
      <c r="K278" s="13" t="s">
        <v>53</v>
      </c>
      <c r="L278" s="13" t="s">
        <v>906</v>
      </c>
      <c r="M278" s="105" t="s">
        <v>900</v>
      </c>
      <c r="N278" s="13"/>
      <c r="O278" s="120">
        <v>44313</v>
      </c>
      <c r="P278" s="70">
        <f>IFERROR(VLOOKUP(J278,'Obs Tecnicas'!$D$2:$I$320,5,0),O278)</f>
        <v>44313</v>
      </c>
      <c r="Q278" s="69" t="str">
        <f t="shared" ca="1" si="27"/>
        <v>Calibrado</v>
      </c>
      <c r="R278" s="71" t="str">
        <f>IFERROR(VLOOKUP(J278,'Obs Tecnicas'!$D$2:$G$340,2,0),"")</f>
        <v/>
      </c>
      <c r="S278" s="67" t="str">
        <f>IFERROR(VLOOKUP(J278,'Obs Tecnicas'!$D$2:$G$344,3,0),"Hexis")</f>
        <v>Hexis</v>
      </c>
      <c r="T278" s="67" t="str">
        <f>IFERROR(VLOOKUP(J278,'Obs Tecnicas'!$D$2:$G$344,4,0),"")</f>
        <v/>
      </c>
      <c r="U278" s="13" t="s">
        <v>774</v>
      </c>
    </row>
    <row r="279" spans="1:32">
      <c r="A279" s="13" t="s">
        <v>20</v>
      </c>
      <c r="B279" s="13" t="s">
        <v>909</v>
      </c>
      <c r="G279" s="13"/>
      <c r="H279" s="13" t="s">
        <v>903</v>
      </c>
      <c r="I279" s="13" t="s">
        <v>817</v>
      </c>
      <c r="J279" s="68" t="s">
        <v>910</v>
      </c>
      <c r="K279" s="13" t="s">
        <v>53</v>
      </c>
      <c r="L279" s="13" t="s">
        <v>213</v>
      </c>
      <c r="M279" s="105" t="s">
        <v>900</v>
      </c>
      <c r="N279" s="13"/>
      <c r="O279" s="120">
        <v>44313</v>
      </c>
      <c r="P279" s="70">
        <f>IFERROR(VLOOKUP(J279,'Obs Tecnicas'!$D$2:$I$320,5,0),O279)</f>
        <v>44313</v>
      </c>
      <c r="Q279" s="69" t="str">
        <f t="shared" ca="1" si="27"/>
        <v>Calibrado</v>
      </c>
      <c r="R279" s="71" t="str">
        <f>IFERROR(VLOOKUP(J279,'Obs Tecnicas'!$D$2:$G$340,2,0),"")</f>
        <v/>
      </c>
      <c r="S279" s="67" t="str">
        <f>IFERROR(VLOOKUP(J279,'Obs Tecnicas'!$D$2:$G$344,3,0),"Hexis")</f>
        <v>Hexis</v>
      </c>
      <c r="T279" s="67" t="str">
        <f>IFERROR(VLOOKUP(J279,'Obs Tecnicas'!$D$2:$G$344,4,0),"")</f>
        <v/>
      </c>
      <c r="U279" s="13" t="s">
        <v>774</v>
      </c>
    </row>
    <row r="280" spans="1:32">
      <c r="A280" s="13" t="s">
        <v>20</v>
      </c>
      <c r="B280" s="13" t="s">
        <v>909</v>
      </c>
      <c r="G280" s="13"/>
      <c r="H280" s="13" t="s">
        <v>903</v>
      </c>
      <c r="I280" s="13" t="s">
        <v>55</v>
      </c>
      <c r="J280" s="68" t="s">
        <v>914</v>
      </c>
      <c r="K280" s="13" t="s">
        <v>53</v>
      </c>
      <c r="L280" s="13" t="s">
        <v>216</v>
      </c>
      <c r="M280" s="105" t="s">
        <v>900</v>
      </c>
      <c r="N280" s="13"/>
      <c r="O280" s="120">
        <v>44313</v>
      </c>
      <c r="P280" s="70">
        <f>IFERROR(VLOOKUP(J280,'Obs Tecnicas'!$D$2:$I$320,5,0),O280)</f>
        <v>44313</v>
      </c>
      <c r="Q280" s="69" t="str">
        <f t="shared" ca="1" si="27"/>
        <v>Calibrado</v>
      </c>
      <c r="R280" s="71" t="str">
        <f>IFERROR(VLOOKUP(J280,'Obs Tecnicas'!$D$2:$G$340,2,0),"")</f>
        <v/>
      </c>
      <c r="S280" s="67" t="str">
        <f>IFERROR(VLOOKUP(J280,'Obs Tecnicas'!$D$2:$G$344,3,0),"Hexis")</f>
        <v>Hexis</v>
      </c>
      <c r="T280" s="67" t="str">
        <f>IFERROR(VLOOKUP(J280,'Obs Tecnicas'!$D$2:$G$344,4,0),"")</f>
        <v/>
      </c>
      <c r="U280" s="13" t="s">
        <v>774</v>
      </c>
    </row>
    <row r="281" spans="1:32">
      <c r="A281" s="13" t="s">
        <v>20</v>
      </c>
      <c r="B281" s="13" t="s">
        <v>909</v>
      </c>
      <c r="G281" s="13"/>
      <c r="H281" s="13" t="s">
        <v>903</v>
      </c>
      <c r="I281" s="13" t="s">
        <v>45</v>
      </c>
      <c r="J281" s="68" t="s">
        <v>918</v>
      </c>
      <c r="K281" s="13" t="s">
        <v>53</v>
      </c>
      <c r="L281" s="13" t="s">
        <v>916</v>
      </c>
      <c r="M281" s="105" t="s">
        <v>900</v>
      </c>
      <c r="N281" s="13"/>
      <c r="O281" s="120">
        <v>44313</v>
      </c>
      <c r="P281" s="70">
        <f>IFERROR(VLOOKUP(J281,'Obs Tecnicas'!$D$2:$I$320,5,0),O281)</f>
        <v>44313</v>
      </c>
      <c r="Q281" s="69" t="str">
        <f t="shared" ca="1" si="27"/>
        <v>Calibrado</v>
      </c>
      <c r="R281" s="71" t="str">
        <f>IFERROR(VLOOKUP(J281,'Obs Tecnicas'!$D$2:$G$340,2,0),"")</f>
        <v/>
      </c>
      <c r="S281" s="67" t="str">
        <f>IFERROR(VLOOKUP(J281,'Obs Tecnicas'!$D$2:$G$344,3,0),"Hexis")</f>
        <v>Hexis</v>
      </c>
      <c r="T281" s="67" t="str">
        <f>IFERROR(VLOOKUP(J281,'Obs Tecnicas'!$D$2:$G$344,4,0),"")</f>
        <v/>
      </c>
      <c r="U281" s="13" t="s">
        <v>774</v>
      </c>
    </row>
    <row r="282" spans="1:32">
      <c r="A282" s="13" t="s">
        <v>20</v>
      </c>
      <c r="B282" s="13" t="s">
        <v>949</v>
      </c>
      <c r="C282" s="66" t="s">
        <v>971</v>
      </c>
      <c r="D282" s="13" t="s">
        <v>950</v>
      </c>
      <c r="E282" s="13" t="s">
        <v>316</v>
      </c>
      <c r="F282" s="66" t="s">
        <v>317</v>
      </c>
      <c r="G282" s="13"/>
      <c r="H282" s="13" t="s">
        <v>951</v>
      </c>
      <c r="I282" s="13" t="s">
        <v>45</v>
      </c>
      <c r="J282" s="68" t="s">
        <v>952</v>
      </c>
      <c r="K282" s="13" t="s">
        <v>934</v>
      </c>
      <c r="L282" s="13" t="s">
        <v>935</v>
      </c>
      <c r="M282" s="105" t="s">
        <v>936</v>
      </c>
      <c r="N282" s="13" t="s">
        <v>972</v>
      </c>
      <c r="O282" s="120">
        <v>44398</v>
      </c>
      <c r="P282" s="70">
        <f>IFERROR(VLOOKUP(J282,'Obs Tecnicas'!$D$2:$I$320,5,0),O282)</f>
        <v>44398</v>
      </c>
      <c r="Q282" s="69" t="str">
        <f t="shared" ca="1" si="27"/>
        <v>Calibrado</v>
      </c>
      <c r="R282" s="71">
        <f>IFERROR(VLOOKUP(J282,'Obs Tecnicas'!$D$2:$G$340,2,0),"")</f>
        <v>13217</v>
      </c>
      <c r="S282" s="67" t="str">
        <f>IFERROR(VLOOKUP(J282,'Obs Tecnicas'!$D$2:$G$344,3,0),"Hexis")</f>
        <v>ER ANALITICA</v>
      </c>
      <c r="T282" s="67">
        <f>IFERROR(VLOOKUP(J282,'Obs Tecnicas'!$D$2:$G$344,4,0),"")</f>
        <v>0</v>
      </c>
      <c r="V282" s="72"/>
      <c r="X282" s="13"/>
      <c r="AE282" s="104"/>
      <c r="AF282" s="13"/>
    </row>
    <row r="283" spans="1:32">
      <c r="A283" s="13" t="s">
        <v>20</v>
      </c>
      <c r="B283" s="13" t="s">
        <v>949</v>
      </c>
      <c r="C283" s="66" t="s">
        <v>971</v>
      </c>
      <c r="D283" s="13" t="s">
        <v>965</v>
      </c>
      <c r="E283" s="13" t="s">
        <v>316</v>
      </c>
      <c r="F283" s="66" t="s">
        <v>317</v>
      </c>
      <c r="G283" s="13"/>
      <c r="H283" s="13" t="s">
        <v>951</v>
      </c>
      <c r="I283" s="13" t="s">
        <v>937</v>
      </c>
      <c r="J283" s="68" t="s">
        <v>974</v>
      </c>
      <c r="K283" s="13" t="s">
        <v>424</v>
      </c>
      <c r="L283" s="13" t="s">
        <v>938</v>
      </c>
      <c r="M283" s="105" t="s">
        <v>936</v>
      </c>
      <c r="N283" s="13"/>
      <c r="O283" s="120">
        <v>44398</v>
      </c>
      <c r="P283" s="70">
        <f>IFERROR(VLOOKUP(J283,'Obs Tecnicas'!$D$2:$I$320,5,0),O283)</f>
        <v>44398</v>
      </c>
      <c r="Q283" s="69" t="str">
        <f t="shared" ca="1" si="27"/>
        <v>Calibrado</v>
      </c>
      <c r="R283" s="71">
        <f>IFERROR(VLOOKUP(J283,'Obs Tecnicas'!$D$2:$G$340,2,0),"")</f>
        <v>13218</v>
      </c>
      <c r="S283" s="67" t="str">
        <f>IFERROR(VLOOKUP(J283,'Obs Tecnicas'!$D$2:$G$344,3,0),"Hexis")</f>
        <v>ER ANALITICA</v>
      </c>
      <c r="T283" s="67">
        <f>IFERROR(VLOOKUP(J283,'Obs Tecnicas'!$D$2:$G$344,4,0),"")</f>
        <v>0</v>
      </c>
    </row>
    <row r="284" spans="1:32">
      <c r="A284" s="13" t="s">
        <v>20</v>
      </c>
      <c r="B284" s="13" t="s">
        <v>949</v>
      </c>
      <c r="C284" s="66" t="s">
        <v>971</v>
      </c>
      <c r="D284" s="13" t="s">
        <v>966</v>
      </c>
      <c r="E284" s="13" t="s">
        <v>316</v>
      </c>
      <c r="F284" s="66" t="s">
        <v>317</v>
      </c>
      <c r="G284" s="13"/>
      <c r="H284" s="13" t="s">
        <v>951</v>
      </c>
      <c r="I284" s="13" t="s">
        <v>940</v>
      </c>
      <c r="J284" s="68" t="s">
        <v>953</v>
      </c>
      <c r="K284" s="13" t="s">
        <v>941</v>
      </c>
      <c r="L284" s="13" t="s">
        <v>780</v>
      </c>
      <c r="M284" s="105" t="s">
        <v>936</v>
      </c>
      <c r="N284" s="13"/>
      <c r="O284" s="120">
        <v>44398</v>
      </c>
      <c r="P284" s="70">
        <f>IFERROR(VLOOKUP(J284,'Obs Tecnicas'!$D$2:$I$320,5,0),O284)</f>
        <v>44398</v>
      </c>
      <c r="Q284" s="69" t="str">
        <f t="shared" ca="1" si="27"/>
        <v>Calibrado</v>
      </c>
      <c r="R284" s="71">
        <f>IFERROR(VLOOKUP(J284,'Obs Tecnicas'!$D$2:$G$340,2,0),"")</f>
        <v>13219</v>
      </c>
      <c r="S284" s="67" t="str">
        <f>IFERROR(VLOOKUP(J284,'Obs Tecnicas'!$D$2:$G$344,3,0),"Hexis")</f>
        <v>ER ANALITICA</v>
      </c>
      <c r="T284" s="67">
        <f>IFERROR(VLOOKUP(J284,'Obs Tecnicas'!$D$2:$G$344,4,0),"")</f>
        <v>0</v>
      </c>
    </row>
    <row r="285" spans="1:32">
      <c r="A285" s="13" t="s">
        <v>20</v>
      </c>
      <c r="B285" s="13" t="s">
        <v>949</v>
      </c>
      <c r="C285" s="66" t="s">
        <v>971</v>
      </c>
      <c r="D285" s="13" t="s">
        <v>967</v>
      </c>
      <c r="E285" s="13" t="s">
        <v>316</v>
      </c>
      <c r="F285" s="66" t="s">
        <v>317</v>
      </c>
      <c r="G285" s="13"/>
      <c r="H285" s="13" t="s">
        <v>951</v>
      </c>
      <c r="I285" s="13" t="s">
        <v>940</v>
      </c>
      <c r="J285" s="68" t="s">
        <v>954</v>
      </c>
      <c r="K285" s="13" t="s">
        <v>941</v>
      </c>
      <c r="L285" s="13" t="s">
        <v>942</v>
      </c>
      <c r="M285" s="105" t="s">
        <v>936</v>
      </c>
      <c r="N285" s="13"/>
      <c r="O285" s="120">
        <v>44398</v>
      </c>
      <c r="P285" s="70">
        <f>IFERROR(VLOOKUP(J285,'Obs Tecnicas'!$D$2:$I$320,5,0),O285)</f>
        <v>44398</v>
      </c>
      <c r="Q285" s="69" t="str">
        <f t="shared" ca="1" si="27"/>
        <v>Calibrado</v>
      </c>
      <c r="R285" s="71">
        <f>IFERROR(VLOOKUP(J285,'Obs Tecnicas'!$D$2:$G$340,2,0),"")</f>
        <v>13220</v>
      </c>
      <c r="S285" s="67" t="str">
        <f>IFERROR(VLOOKUP(J285,'Obs Tecnicas'!$D$2:$G$344,3,0),"Hexis")</f>
        <v>ER ANALITICA</v>
      </c>
      <c r="T285" s="67">
        <f>IFERROR(VLOOKUP(J285,'Obs Tecnicas'!$D$2:$G$344,4,0),"")</f>
        <v>0</v>
      </c>
    </row>
    <row r="286" spans="1:32">
      <c r="A286" s="13" t="s">
        <v>20</v>
      </c>
      <c r="B286" s="13" t="s">
        <v>949</v>
      </c>
      <c r="C286" s="66" t="s">
        <v>971</v>
      </c>
      <c r="D286" s="13" t="s">
        <v>968</v>
      </c>
      <c r="E286" s="13" t="s">
        <v>316</v>
      </c>
      <c r="F286" s="66" t="s">
        <v>317</v>
      </c>
      <c r="G286" s="13"/>
      <c r="H286" s="13" t="s">
        <v>951</v>
      </c>
      <c r="I286" s="13" t="s">
        <v>486</v>
      </c>
      <c r="J286" s="91" t="s">
        <v>978</v>
      </c>
      <c r="K286" s="13" t="s">
        <v>39</v>
      </c>
      <c r="L286" s="13" t="s">
        <v>946</v>
      </c>
      <c r="M286" s="105" t="s">
        <v>936</v>
      </c>
      <c r="N286" s="13"/>
      <c r="O286" s="120">
        <v>44398</v>
      </c>
      <c r="P286" s="70">
        <f>IFERROR(VLOOKUP(J286,'Obs Tecnicas'!$D$2:$I$320,5,0),O286)</f>
        <v>44398</v>
      </c>
      <c r="Q286" s="69" t="str">
        <f t="shared" ca="1" si="27"/>
        <v>Calibrado</v>
      </c>
      <c r="R286" s="71">
        <f>IFERROR(VLOOKUP(J286,'Obs Tecnicas'!$D$2:$G$340,2,0),"")</f>
        <v>13221</v>
      </c>
      <c r="S286" s="67" t="str">
        <f>IFERROR(VLOOKUP(J286,'Obs Tecnicas'!$D$2:$G$344,3,0),"Hexis")</f>
        <v>ER ANALITICA</v>
      </c>
      <c r="T286" s="67">
        <f>IFERROR(VLOOKUP(J286,'Obs Tecnicas'!$D$2:$G$344,4,0),"")</f>
        <v>0</v>
      </c>
    </row>
    <row r="287" spans="1:32">
      <c r="A287" s="13" t="s">
        <v>20</v>
      </c>
      <c r="B287" s="13" t="s">
        <v>949</v>
      </c>
      <c r="C287" s="66" t="s">
        <v>971</v>
      </c>
      <c r="D287" s="13" t="s">
        <v>969</v>
      </c>
      <c r="E287" s="13" t="s">
        <v>316</v>
      </c>
      <c r="F287" s="66" t="s">
        <v>317</v>
      </c>
      <c r="G287" s="13"/>
      <c r="H287" s="13" t="s">
        <v>951</v>
      </c>
      <c r="I287" s="13" t="s">
        <v>486</v>
      </c>
      <c r="J287" s="91" t="s">
        <v>979</v>
      </c>
      <c r="K287" s="13" t="s">
        <v>39</v>
      </c>
      <c r="L287" s="13" t="s">
        <v>945</v>
      </c>
      <c r="M287" s="105" t="s">
        <v>936</v>
      </c>
      <c r="N287" s="13"/>
      <c r="O287" s="120">
        <v>44398</v>
      </c>
      <c r="P287" s="70">
        <f>IFERROR(VLOOKUP(J287,'Obs Tecnicas'!$D$2:$I$320,5,0),O287)</f>
        <v>44398</v>
      </c>
      <c r="Q287" s="69" t="str">
        <f t="shared" ca="1" si="27"/>
        <v>Calibrado</v>
      </c>
      <c r="R287" s="71">
        <f>IFERROR(VLOOKUP(J287,'Obs Tecnicas'!$D$2:$G$340,2,0),"")</f>
        <v>13222</v>
      </c>
      <c r="S287" s="67" t="str">
        <f>IFERROR(VLOOKUP(J287,'Obs Tecnicas'!$D$2:$G$344,3,0),"Hexis")</f>
        <v>ER ANALITICA</v>
      </c>
      <c r="T287" s="67">
        <f>IFERROR(VLOOKUP(J287,'Obs Tecnicas'!$D$2:$G$344,4,0),"")</f>
        <v>0</v>
      </c>
    </row>
    <row r="288" spans="1:32">
      <c r="A288" s="13" t="s">
        <v>20</v>
      </c>
      <c r="B288" s="13" t="s">
        <v>949</v>
      </c>
      <c r="C288" s="66" t="s">
        <v>971</v>
      </c>
      <c r="D288" s="13" t="s">
        <v>970</v>
      </c>
      <c r="E288" s="13" t="s">
        <v>316</v>
      </c>
      <c r="F288" s="66" t="s">
        <v>317</v>
      </c>
      <c r="G288" s="13"/>
      <c r="H288" s="13" t="s">
        <v>951</v>
      </c>
      <c r="I288" s="13" t="s">
        <v>587</v>
      </c>
      <c r="J288" s="91" t="s">
        <v>947</v>
      </c>
      <c r="K288" s="13" t="s">
        <v>39</v>
      </c>
      <c r="L288" s="13" t="s">
        <v>948</v>
      </c>
      <c r="M288" s="105" t="s">
        <v>936</v>
      </c>
      <c r="N288" s="13"/>
      <c r="O288" s="120">
        <v>44398</v>
      </c>
      <c r="P288" s="70">
        <f>IFERROR(VLOOKUP(J288,'Obs Tecnicas'!$D$2:$I$320,5,0),O288)</f>
        <v>44398</v>
      </c>
      <c r="Q288" s="69" t="str">
        <f t="shared" ca="1" si="27"/>
        <v>Calibrado</v>
      </c>
      <c r="R288" s="71">
        <f>IFERROR(VLOOKUP(J288,'Obs Tecnicas'!$D$2:$G$340,2,0),"")</f>
        <v>13239</v>
      </c>
      <c r="S288" s="67" t="str">
        <f>IFERROR(VLOOKUP(J288,'Obs Tecnicas'!$D$2:$G$344,3,0),"Hexis")</f>
        <v>ER ANALITICA</v>
      </c>
      <c r="T288" s="67">
        <f>IFERROR(VLOOKUP(J288,'Obs Tecnicas'!$D$2:$G$344,4,0),"")</f>
        <v>0</v>
      </c>
    </row>
    <row r="289" spans="1:19" ht="15.75">
      <c r="A289" s="13" t="s">
        <v>20</v>
      </c>
      <c r="B289" s="13" t="s">
        <v>1019</v>
      </c>
      <c r="C289" s="92" t="s">
        <v>777</v>
      </c>
      <c r="D289" s="13" t="s">
        <v>1020</v>
      </c>
      <c r="G289" s="67" t="s">
        <v>26</v>
      </c>
      <c r="H289" s="67" t="s">
        <v>27</v>
      </c>
      <c r="I289" s="13" t="s">
        <v>37</v>
      </c>
      <c r="J289" s="91" t="s">
        <v>748</v>
      </c>
      <c r="K289" s="67" t="s">
        <v>483</v>
      </c>
      <c r="L289" s="67" t="s">
        <v>1018</v>
      </c>
      <c r="M289" s="67" t="s">
        <v>32</v>
      </c>
      <c r="N289" s="67" t="s">
        <v>33</v>
      </c>
      <c r="O289" s="147">
        <v>44407</v>
      </c>
      <c r="P289" s="70">
        <f>IFERROR(VLOOKUP(J289,'Obs Tecnicas'!$D$2:$I$320,5,0),O289)</f>
        <v>44407</v>
      </c>
      <c r="Q289" s="69" t="str">
        <f ca="1">IF(P289&lt;&gt;"",IF(P289+365&gt;TODAY(),"Calibrado","Vencido"),"")</f>
        <v>Calibrado</v>
      </c>
      <c r="R289" s="94">
        <v>1331</v>
      </c>
      <c r="S289" s="13" t="s">
        <v>546</v>
      </c>
    </row>
  </sheetData>
  <sheetProtection algorithmName="SHA-512" hashValue="Shag2Y1nUaBZzNbwMy19ev5fuvUIuTbW+2E0tYBNrODH9ccGIBresaQ+qmF0dguIApNSw2IPjm+9KiwsY5Io3w==" saltValue="2b6Sd2F6M0TirdQyBEiX9Q==" spinCount="100000" sheet="1" autoFilter="0" pivotTables="0"/>
  <autoFilter ref="A1:AF289" xr:uid="{A0861764-7E89-4AB1-BE00-D9325608B2CD}"/>
  <phoneticPr fontId="31" type="noConversion"/>
  <conditionalFormatting sqref="O251 O173 O177 O179 O182:O185 O166:O168 O2:O33 O35:O161 O191:O198">
    <cfRule type="expression" dxfId="275" priority="321">
      <formula>IF(O2&lt;=TODAY()-365,TRUE)</formula>
    </cfRule>
    <cfRule type="expression" dxfId="274" priority="322">
      <formula>IF(O2&lt;(TODAY())-320,TRUE)</formula>
    </cfRule>
    <cfRule type="expression" dxfId="273" priority="323">
      <formula>IF(O2&lt;(TODAY())+0,TRUE)</formula>
    </cfRule>
  </conditionalFormatting>
  <conditionalFormatting sqref="Q248 Q2:Q246 Q250:Q289">
    <cfRule type="expression" dxfId="272" priority="318">
      <formula>IF(P2&lt;=TODAY()-365,TRUE)</formula>
    </cfRule>
    <cfRule type="expression" dxfId="271" priority="319">
      <formula>IF(P2&lt;(TODAY())-320,TRUE)</formula>
    </cfRule>
    <cfRule type="expression" dxfId="270" priority="320">
      <formula>IF(P2&lt;(TODAY())+0,TRUE)</formula>
    </cfRule>
  </conditionalFormatting>
  <conditionalFormatting sqref="O34">
    <cfRule type="expression" dxfId="269" priority="312">
      <formula>IF(O34&lt;=TODAY()-365,TRUE)</formula>
    </cfRule>
    <cfRule type="expression" dxfId="268" priority="313">
      <formula>IF(O34&lt;(TODAY())-320,TRUE)</formula>
    </cfRule>
    <cfRule type="expression" dxfId="267" priority="314">
      <formula>IF(O34&lt;(TODAY())+0,TRUE)</formula>
    </cfRule>
  </conditionalFormatting>
  <conditionalFormatting sqref="O162">
    <cfRule type="expression" dxfId="266" priority="309">
      <formula>IF(O162&lt;=TODAY()-365,TRUE)</formula>
    </cfRule>
    <cfRule type="expression" dxfId="265" priority="310">
      <formula>IF(O162&lt;(TODAY())-320,TRUE)</formula>
    </cfRule>
    <cfRule type="expression" dxfId="264" priority="311">
      <formula>IF(O162&lt;(TODAY())+0,TRUE)</formula>
    </cfRule>
  </conditionalFormatting>
  <conditionalFormatting sqref="O163">
    <cfRule type="expression" dxfId="263" priority="306">
      <formula>IF(O163&lt;=TODAY()-365,TRUE)</formula>
    </cfRule>
    <cfRule type="expression" dxfId="262" priority="307">
      <formula>IF(O163&lt;(TODAY())-320,TRUE)</formula>
    </cfRule>
    <cfRule type="expression" dxfId="261" priority="308">
      <formula>IF(O163&lt;(TODAY())+0,TRUE)</formula>
    </cfRule>
  </conditionalFormatting>
  <conditionalFormatting sqref="O164">
    <cfRule type="expression" dxfId="260" priority="303">
      <formula>IF(O164&lt;=TODAY()-365,TRUE)</formula>
    </cfRule>
    <cfRule type="expression" dxfId="259" priority="304">
      <formula>IF(O164&lt;(TODAY())-320,TRUE)</formula>
    </cfRule>
    <cfRule type="expression" dxfId="258" priority="305">
      <formula>IF(O164&lt;(TODAY())+0,TRUE)</formula>
    </cfRule>
  </conditionalFormatting>
  <conditionalFormatting sqref="O165">
    <cfRule type="expression" dxfId="257" priority="297">
      <formula>IF(O165&lt;=TODAY()-365,TRUE)</formula>
    </cfRule>
    <cfRule type="expression" dxfId="256" priority="298">
      <formula>IF(O165&lt;(TODAY())-320,TRUE)</formula>
    </cfRule>
    <cfRule type="expression" dxfId="255" priority="299">
      <formula>IF(O165&lt;(TODAY())+0,TRUE)</formula>
    </cfRule>
  </conditionalFormatting>
  <conditionalFormatting sqref="O169 O176">
    <cfRule type="expression" dxfId="254" priority="294">
      <formula>IF(O169&lt;=TODAY()-365,TRUE)</formula>
    </cfRule>
    <cfRule type="expression" dxfId="253" priority="295">
      <formula>IF(O169&lt;(TODAY())-320,TRUE)</formula>
    </cfRule>
    <cfRule type="expression" dxfId="252" priority="296">
      <formula>IF(O169&lt;(TODAY())+0,TRUE)</formula>
    </cfRule>
  </conditionalFormatting>
  <conditionalFormatting sqref="O170">
    <cfRule type="expression" dxfId="251" priority="288">
      <formula>IF(O170&lt;=TODAY()-365,TRUE)</formula>
    </cfRule>
    <cfRule type="expression" dxfId="250" priority="289">
      <formula>IF(O170&lt;(TODAY())-320,TRUE)</formula>
    </cfRule>
    <cfRule type="expression" dxfId="249" priority="290">
      <formula>IF(O170&lt;(TODAY())+0,TRUE)</formula>
    </cfRule>
  </conditionalFormatting>
  <conditionalFormatting sqref="O171:O172">
    <cfRule type="expression" dxfId="248" priority="285">
      <formula>IF(O171&lt;=TODAY()-365,TRUE)</formula>
    </cfRule>
    <cfRule type="expression" dxfId="247" priority="286">
      <formula>IF(O171&lt;(TODAY())-320,TRUE)</formula>
    </cfRule>
    <cfRule type="expression" dxfId="246" priority="287">
      <formula>IF(O171&lt;(TODAY())+0,TRUE)</formula>
    </cfRule>
  </conditionalFormatting>
  <conditionalFormatting sqref="O174">
    <cfRule type="expression" dxfId="245" priority="279">
      <formula>IF(O174&lt;=TODAY()-365,TRUE)</formula>
    </cfRule>
    <cfRule type="expression" dxfId="244" priority="280">
      <formula>IF(O174&lt;(TODAY())-320,TRUE)</formula>
    </cfRule>
    <cfRule type="expression" dxfId="243" priority="281">
      <formula>IF(O174&lt;(TODAY())+0,TRUE)</formula>
    </cfRule>
  </conditionalFormatting>
  <conditionalFormatting sqref="O175">
    <cfRule type="expression" dxfId="242" priority="270">
      <formula>IF(O175&lt;=TODAY()-365,TRUE)</formula>
    </cfRule>
    <cfRule type="expression" dxfId="241" priority="271">
      <formula>IF(O175&lt;(TODAY())-320,TRUE)</formula>
    </cfRule>
    <cfRule type="expression" dxfId="240" priority="272">
      <formula>IF(O175&lt;(TODAY())+0,TRUE)</formula>
    </cfRule>
  </conditionalFormatting>
  <conditionalFormatting sqref="O178">
    <cfRule type="expression" dxfId="239" priority="267">
      <formula>IF(O178&lt;=TODAY()-365,TRUE)</formula>
    </cfRule>
    <cfRule type="expression" dxfId="238" priority="268">
      <formula>IF(O178&lt;(TODAY())-320,TRUE)</formula>
    </cfRule>
    <cfRule type="expression" dxfId="237" priority="269">
      <formula>IF(O178&lt;(TODAY())+0,TRUE)</formula>
    </cfRule>
  </conditionalFormatting>
  <conditionalFormatting sqref="O180">
    <cfRule type="expression" dxfId="236" priority="264">
      <formula>IF(O180&lt;=TODAY()-365,TRUE)</formula>
    </cfRule>
    <cfRule type="expression" dxfId="235" priority="265">
      <formula>IF(O180&lt;(TODAY())-320,TRUE)</formula>
    </cfRule>
    <cfRule type="expression" dxfId="234" priority="266">
      <formula>IF(O180&lt;(TODAY())+0,TRUE)</formula>
    </cfRule>
  </conditionalFormatting>
  <conditionalFormatting sqref="O181">
    <cfRule type="expression" dxfId="233" priority="261">
      <formula>IF(O181&lt;=TODAY()-365,TRUE)</formula>
    </cfRule>
    <cfRule type="expression" dxfId="232" priority="262">
      <formula>IF(O181&lt;(TODAY())-320,TRUE)</formula>
    </cfRule>
    <cfRule type="expression" dxfId="231" priority="263">
      <formula>IF(O181&lt;(TODAY())+0,TRUE)</formula>
    </cfRule>
  </conditionalFormatting>
  <conditionalFormatting sqref="O186">
    <cfRule type="expression" dxfId="230" priority="258">
      <formula>IF(O186&lt;=TODAY()-365,TRUE)</formula>
    </cfRule>
    <cfRule type="expression" dxfId="229" priority="259">
      <formula>IF(O186&lt;(TODAY())-320,TRUE)</formula>
    </cfRule>
    <cfRule type="expression" dxfId="228" priority="260">
      <formula>IF(O186&lt;(TODAY())+0,TRUE)</formula>
    </cfRule>
  </conditionalFormatting>
  <conditionalFormatting sqref="O187">
    <cfRule type="expression" dxfId="227" priority="255">
      <formula>IF(O187&lt;=TODAY()-365,TRUE)</formula>
    </cfRule>
    <cfRule type="expression" dxfId="226" priority="256">
      <formula>IF(O187&lt;(TODAY())-320,TRUE)</formula>
    </cfRule>
    <cfRule type="expression" dxfId="225" priority="257">
      <formula>IF(O187&lt;(TODAY())+0,TRUE)</formula>
    </cfRule>
  </conditionalFormatting>
  <conditionalFormatting sqref="O188">
    <cfRule type="expression" dxfId="224" priority="252">
      <formula>IF(O188&lt;=TODAY()-365,TRUE)</formula>
    </cfRule>
    <cfRule type="expression" dxfId="223" priority="253">
      <formula>IF(O188&lt;(TODAY())-320,TRUE)</formula>
    </cfRule>
    <cfRule type="expression" dxfId="222" priority="254">
      <formula>IF(O188&lt;(TODAY())+0,TRUE)</formula>
    </cfRule>
  </conditionalFormatting>
  <conditionalFormatting sqref="O189">
    <cfRule type="expression" dxfId="221" priority="249">
      <formula>IF(O189&lt;=TODAY()-365,TRUE)</formula>
    </cfRule>
    <cfRule type="expression" dxfId="220" priority="250">
      <formula>IF(O189&lt;(TODAY())-320,TRUE)</formula>
    </cfRule>
    <cfRule type="expression" dxfId="219" priority="251">
      <formula>IF(O189&lt;(TODAY())+0,TRUE)</formula>
    </cfRule>
  </conditionalFormatting>
  <conditionalFormatting sqref="O190">
    <cfRule type="expression" dxfId="218" priority="246">
      <formula>IF(O190&lt;=TODAY()-365,TRUE)</formula>
    </cfRule>
    <cfRule type="expression" dxfId="217" priority="247">
      <formula>IF(O190&lt;(TODAY())-320,TRUE)</formula>
    </cfRule>
    <cfRule type="expression" dxfId="216" priority="248">
      <formula>IF(O190&lt;(TODAY())+0,TRUE)</formula>
    </cfRule>
  </conditionalFormatting>
  <conditionalFormatting sqref="O215 O199">
    <cfRule type="expression" dxfId="215" priority="240">
      <formula>IF(O199&lt;=TODAY()-365,TRUE)</formula>
    </cfRule>
    <cfRule type="expression" dxfId="214" priority="241">
      <formula>IF(O199&lt;(TODAY())-320,TRUE)</formula>
    </cfRule>
    <cfRule type="expression" dxfId="213" priority="242">
      <formula>IF(O199&lt;(TODAY())+0,TRUE)</formula>
    </cfRule>
  </conditionalFormatting>
  <conditionalFormatting sqref="O200">
    <cfRule type="expression" dxfId="212" priority="234">
      <formula>IF(O200&lt;=TODAY()-365,TRUE)</formula>
    </cfRule>
    <cfRule type="expression" dxfId="211" priority="235">
      <formula>IF(O200&lt;(TODAY())-320,TRUE)</formula>
    </cfRule>
    <cfRule type="expression" dxfId="210" priority="236">
      <formula>IF(O200&lt;(TODAY())+0,TRUE)</formula>
    </cfRule>
  </conditionalFormatting>
  <conditionalFormatting sqref="O201">
    <cfRule type="expression" dxfId="209" priority="228">
      <formula>IF(O201&lt;=TODAY()-365,TRUE)</formula>
    </cfRule>
    <cfRule type="expression" dxfId="208" priority="229">
      <formula>IF(O201&lt;(TODAY())-320,TRUE)</formula>
    </cfRule>
    <cfRule type="expression" dxfId="207" priority="230">
      <formula>IF(O201&lt;(TODAY())+0,TRUE)</formula>
    </cfRule>
  </conditionalFormatting>
  <conditionalFormatting sqref="O202">
    <cfRule type="expression" dxfId="206" priority="222">
      <formula>IF(O202&lt;=TODAY()-365,TRUE)</formula>
    </cfRule>
    <cfRule type="expression" dxfId="205" priority="223">
      <formula>IF(O202&lt;(TODAY())-320,TRUE)</formula>
    </cfRule>
    <cfRule type="expression" dxfId="204" priority="224">
      <formula>IF(O202&lt;(TODAY())+0,TRUE)</formula>
    </cfRule>
  </conditionalFormatting>
  <conditionalFormatting sqref="O206">
    <cfRule type="expression" dxfId="203" priority="198">
      <formula>IF(O206&lt;=TODAY()-365,TRUE)</formula>
    </cfRule>
    <cfRule type="expression" dxfId="202" priority="199">
      <formula>IF(O206&lt;(TODAY())-320,TRUE)</formula>
    </cfRule>
    <cfRule type="expression" dxfId="201" priority="200">
      <formula>IF(O206&lt;(TODAY())+0,TRUE)</formula>
    </cfRule>
  </conditionalFormatting>
  <conditionalFormatting sqref="O203">
    <cfRule type="expression" dxfId="200" priority="216">
      <formula>IF(O203&lt;=TODAY()-365,TRUE)</formula>
    </cfRule>
    <cfRule type="expression" dxfId="199" priority="217">
      <formula>IF(O203&lt;(TODAY())-320,TRUE)</formula>
    </cfRule>
    <cfRule type="expression" dxfId="198" priority="218">
      <formula>IF(O203&lt;(TODAY())+0,TRUE)</formula>
    </cfRule>
  </conditionalFormatting>
  <conditionalFormatting sqref="O204">
    <cfRule type="expression" dxfId="197" priority="210">
      <formula>IF(O204&lt;=TODAY()-365,TRUE)</formula>
    </cfRule>
    <cfRule type="expression" dxfId="196" priority="211">
      <formula>IF(O204&lt;(TODAY())-320,TRUE)</formula>
    </cfRule>
    <cfRule type="expression" dxfId="195" priority="212">
      <formula>IF(O204&lt;(TODAY())+0,TRUE)</formula>
    </cfRule>
  </conditionalFormatting>
  <conditionalFormatting sqref="O205">
    <cfRule type="expression" dxfId="194" priority="204">
      <formula>IF(O205&lt;=TODAY()-365,TRUE)</formula>
    </cfRule>
    <cfRule type="expression" dxfId="193" priority="205">
      <formula>IF(O205&lt;(TODAY())-320,TRUE)</formula>
    </cfRule>
    <cfRule type="expression" dxfId="192" priority="206">
      <formula>IF(O205&lt;(TODAY())+0,TRUE)</formula>
    </cfRule>
  </conditionalFormatting>
  <conditionalFormatting sqref="O207">
    <cfRule type="expression" dxfId="191" priority="192">
      <formula>IF(O207&lt;=TODAY()-365,TRUE)</formula>
    </cfRule>
    <cfRule type="expression" dxfId="190" priority="193">
      <formula>IF(O207&lt;(TODAY())-320,TRUE)</formula>
    </cfRule>
    <cfRule type="expression" dxfId="189" priority="194">
      <formula>IF(O207&lt;(TODAY())+0,TRUE)</formula>
    </cfRule>
  </conditionalFormatting>
  <conditionalFormatting sqref="O208">
    <cfRule type="expression" dxfId="188" priority="186">
      <formula>IF(O208&lt;=TODAY()-365,TRUE)</formula>
    </cfRule>
    <cfRule type="expression" dxfId="187" priority="187">
      <formula>IF(O208&lt;(TODAY())-320,TRUE)</formula>
    </cfRule>
    <cfRule type="expression" dxfId="186" priority="188">
      <formula>IF(O208&lt;(TODAY())+0,TRUE)</formula>
    </cfRule>
  </conditionalFormatting>
  <conditionalFormatting sqref="O209">
    <cfRule type="expression" dxfId="185" priority="180">
      <formula>IF(O209&lt;=TODAY()-365,TRUE)</formula>
    </cfRule>
    <cfRule type="expression" dxfId="184" priority="181">
      <formula>IF(O209&lt;(TODAY())-320,TRUE)</formula>
    </cfRule>
    <cfRule type="expression" dxfId="183" priority="182">
      <formula>IF(O209&lt;(TODAY())+0,TRUE)</formula>
    </cfRule>
  </conditionalFormatting>
  <conditionalFormatting sqref="O210">
    <cfRule type="expression" dxfId="182" priority="174">
      <formula>IF(O210&lt;=TODAY()-365,TRUE)</formula>
    </cfRule>
    <cfRule type="expression" dxfId="181" priority="175">
      <formula>IF(O210&lt;(TODAY())-320,TRUE)</formula>
    </cfRule>
    <cfRule type="expression" dxfId="180" priority="176">
      <formula>IF(O210&lt;(TODAY())+0,TRUE)</formula>
    </cfRule>
  </conditionalFormatting>
  <conditionalFormatting sqref="O211">
    <cfRule type="expression" dxfId="179" priority="168">
      <formula>IF(O211&lt;=TODAY()-365,TRUE)</formula>
    </cfRule>
    <cfRule type="expression" dxfId="178" priority="169">
      <formula>IF(O211&lt;(TODAY())-320,TRUE)</formula>
    </cfRule>
    <cfRule type="expression" dxfId="177" priority="170">
      <formula>IF(O211&lt;(TODAY())+0,TRUE)</formula>
    </cfRule>
  </conditionalFormatting>
  <conditionalFormatting sqref="O212">
    <cfRule type="expression" dxfId="176" priority="162">
      <formula>IF(O212&lt;=TODAY()-365,TRUE)</formula>
    </cfRule>
    <cfRule type="expression" dxfId="175" priority="163">
      <formula>IF(O212&lt;(TODAY())-320,TRUE)</formula>
    </cfRule>
    <cfRule type="expression" dxfId="174" priority="164">
      <formula>IF(O212&lt;(TODAY())+0,TRUE)</formula>
    </cfRule>
  </conditionalFormatting>
  <conditionalFormatting sqref="O213">
    <cfRule type="expression" dxfId="173" priority="156">
      <formula>IF(O213&lt;=TODAY()-365,TRUE)</formula>
    </cfRule>
    <cfRule type="expression" dxfId="172" priority="157">
      <formula>IF(O213&lt;(TODAY())-320,TRUE)</formula>
    </cfRule>
    <cfRule type="expression" dxfId="171" priority="158">
      <formula>IF(O213&lt;(TODAY())+0,TRUE)</formula>
    </cfRule>
  </conditionalFormatting>
  <conditionalFormatting sqref="O214">
    <cfRule type="expression" dxfId="170" priority="150">
      <formula>IF(O214&lt;=TODAY()-365,TRUE)</formula>
    </cfRule>
    <cfRule type="expression" dxfId="169" priority="151">
      <formula>IF(O214&lt;(TODAY())-320,TRUE)</formula>
    </cfRule>
    <cfRule type="expression" dxfId="168" priority="152">
      <formula>IF(O214&lt;(TODAY())+0,TRUE)</formula>
    </cfRule>
  </conditionalFormatting>
  <conditionalFormatting sqref="O216:O217">
    <cfRule type="expression" dxfId="167" priority="144">
      <formula>IF(O216&lt;=TODAY()-365,TRUE)</formula>
    </cfRule>
    <cfRule type="expression" dxfId="166" priority="145">
      <formula>IF(O216&lt;(TODAY())-320,TRUE)</formula>
    </cfRule>
    <cfRule type="expression" dxfId="165" priority="146">
      <formula>IF(O216&lt;(TODAY())+0,TRUE)</formula>
    </cfRule>
  </conditionalFormatting>
  <conditionalFormatting sqref="O218:O219 O268">
    <cfRule type="expression" dxfId="164" priority="138">
      <formula>IF(O218&lt;=TODAY()-365,TRUE)</formula>
    </cfRule>
    <cfRule type="expression" dxfId="163" priority="139">
      <formula>IF(O218&lt;(TODAY())-320,TRUE)</formula>
    </cfRule>
    <cfRule type="expression" dxfId="162" priority="140">
      <formula>IF(O218&lt;(TODAY())+0,TRUE)</formula>
    </cfRule>
  </conditionalFormatting>
  <conditionalFormatting sqref="O220">
    <cfRule type="expression" dxfId="161" priority="114">
      <formula>IF(O220&lt;=TODAY()-365,TRUE)</formula>
    </cfRule>
    <cfRule type="expression" dxfId="160" priority="115">
      <formula>IF(O220&lt;(TODAY())-320,TRUE)</formula>
    </cfRule>
    <cfRule type="expression" dxfId="159" priority="116">
      <formula>IF(O220&lt;(TODAY())+0,TRUE)</formula>
    </cfRule>
  </conditionalFormatting>
  <conditionalFormatting sqref="O221:O225">
    <cfRule type="expression" dxfId="158" priority="111">
      <formula>IF(O221&lt;=TODAY()-365,TRUE)</formula>
    </cfRule>
    <cfRule type="expression" dxfId="157" priority="112">
      <formula>IF(O221&lt;(TODAY())-320,TRUE)</formula>
    </cfRule>
    <cfRule type="expression" dxfId="156" priority="113">
      <formula>IF(O221&lt;(TODAY())+0,TRUE)</formula>
    </cfRule>
  </conditionalFormatting>
  <conditionalFormatting sqref="O250">
    <cfRule type="expression" dxfId="155" priority="48">
      <formula>IF(O250&lt;=TODAY()-365,TRUE)</formula>
    </cfRule>
    <cfRule type="expression" dxfId="154" priority="49">
      <formula>IF(O250&lt;(TODAY())-320,TRUE)</formula>
    </cfRule>
    <cfRule type="expression" dxfId="153" priority="50">
      <formula>IF(O250&lt;(TODAY())+0,TRUE)</formula>
    </cfRule>
  </conditionalFormatting>
  <conditionalFormatting sqref="O226:O246 O248">
    <cfRule type="expression" dxfId="152" priority="45">
      <formula>IF(O226&lt;=TODAY()-365,TRUE)</formula>
    </cfRule>
    <cfRule type="expression" dxfId="151" priority="46">
      <formula>IF(O226&lt;(TODAY())-320,TRUE)</formula>
    </cfRule>
    <cfRule type="expression" dxfId="150" priority="47">
      <formula>IF(O226&lt;(TODAY())+0,TRUE)</formula>
    </cfRule>
  </conditionalFormatting>
  <conditionalFormatting sqref="K226:N246 E248:F248 H248:I248 E238:I238 G239:I240 B226:C235 E246:I246 E237:F237 H236:I237 E229:F232 H226:I232 E244:F245 H241:I245 E239 B237:C246 C236 E233:I235 B248:C248 K248:N248 E250:F250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:F6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6:F20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4:F21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8 O266">
    <cfRule type="expression" dxfId="149" priority="32">
      <formula>IF(O258&lt;=TODAY()-365,TRUE)</formula>
    </cfRule>
    <cfRule type="expression" dxfId="148" priority="33">
      <formula>IF(O258&lt;(TODAY())-320,TRUE)</formula>
    </cfRule>
    <cfRule type="expression" dxfId="147" priority="34">
      <formula>IF(O258&lt;(TODAY())+0,TRUE)</formula>
    </cfRule>
  </conditionalFormatting>
  <conditionalFormatting sqref="O256 O264">
    <cfRule type="expression" dxfId="146" priority="29">
      <formula>IF(O256&lt;=TODAY()-365,TRUE)</formula>
    </cfRule>
    <cfRule type="expression" dxfId="145" priority="30">
      <formula>IF(O256&lt;(TODAY())-320,TRUE)</formula>
    </cfRule>
    <cfRule type="expression" dxfId="144" priority="31">
      <formula>IF(O256&lt;(TODAY())+0,TRUE)</formula>
    </cfRule>
  </conditionalFormatting>
  <conditionalFormatting sqref="O257 O265">
    <cfRule type="expression" dxfId="143" priority="26">
      <formula>IF(O257&lt;=TODAY()-365,TRUE)</formula>
    </cfRule>
    <cfRule type="expression" dxfId="142" priority="27">
      <formula>IF(O257&lt;(TODAY())-320,TRUE)</formula>
    </cfRule>
    <cfRule type="expression" dxfId="141" priority="28">
      <formula>IF(O257&lt;(TODAY())+0,TRUE)</formula>
    </cfRule>
  </conditionalFormatting>
  <conditionalFormatting sqref="O259:O263 O252:O255">
    <cfRule type="expression" dxfId="140" priority="23">
      <formula>IF(O252&lt;=TODAY()-365,TRUE)</formula>
    </cfRule>
    <cfRule type="expression" dxfId="139" priority="24">
      <formula>IF(O252&lt;(TODAY())-320,TRUE)</formula>
    </cfRule>
    <cfRule type="expression" dxfId="138" priority="25">
      <formula>IF(O252&lt;(TODAY())+0,TRUE)</formula>
    </cfRule>
  </conditionalFormatting>
  <conditionalFormatting sqref="O267">
    <cfRule type="expression" dxfId="137" priority="20">
      <formula>IF(O267&lt;=TODAY()-365,TRUE)</formula>
    </cfRule>
    <cfRule type="expression" dxfId="136" priority="21">
      <formula>IF(O267&lt;(TODAY())-320,TRUE)</formula>
    </cfRule>
    <cfRule type="expression" dxfId="135" priority="22">
      <formula>IF(O267&lt;(TODAY())+0,TRUE)</formula>
    </cfRule>
  </conditionalFormatting>
  <conditionalFormatting sqref="O269:O270">
    <cfRule type="expression" dxfId="134" priority="17">
      <formula>IF(O269&lt;=TODAY()-365,TRUE)</formula>
    </cfRule>
    <cfRule type="expression" dxfId="133" priority="18">
      <formula>IF(O269&lt;(TODAY())-320,TRUE)</formula>
    </cfRule>
    <cfRule type="expression" dxfId="132" priority="19">
      <formula>IF(O269&lt;(TODAY())+0,TRUE)</formula>
    </cfRule>
  </conditionalFormatting>
  <conditionalFormatting sqref="E273:E27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3 O280 O287">
    <cfRule type="expression" dxfId="131" priority="13">
      <formula>IF(O273&lt;=TODAY()-365,TRUE)</formula>
    </cfRule>
    <cfRule type="expression" dxfId="130" priority="14">
      <formula>IF(O273&lt;(TODAY())-320,TRUE)</formula>
    </cfRule>
    <cfRule type="expression" dxfId="129" priority="15">
      <formula>IF(O273&lt;(TODAY())+0,TRUE)</formula>
    </cfRule>
  </conditionalFormatting>
  <conditionalFormatting sqref="O271 O278 O285">
    <cfRule type="expression" dxfId="128" priority="10">
      <formula>IF(O271&lt;=TODAY()-365,TRUE)</formula>
    </cfRule>
    <cfRule type="expression" dxfId="127" priority="11">
      <formula>IF(O271&lt;(TODAY())-320,TRUE)</formula>
    </cfRule>
    <cfRule type="expression" dxfId="126" priority="12">
      <formula>IF(O271&lt;(TODAY())+0,TRUE)</formula>
    </cfRule>
  </conditionalFormatting>
  <conditionalFormatting sqref="O272 O279 O286">
    <cfRule type="expression" dxfId="125" priority="7">
      <formula>IF(O272&lt;=TODAY()-365,TRUE)</formula>
    </cfRule>
    <cfRule type="expression" dxfId="124" priority="8">
      <formula>IF(O272&lt;(TODAY())-320,TRUE)</formula>
    </cfRule>
    <cfRule type="expression" dxfId="123" priority="9">
      <formula>IF(O272&lt;(TODAY())+0,TRUE)</formula>
    </cfRule>
  </conditionalFormatting>
  <conditionalFormatting sqref="O274 O281 O288">
    <cfRule type="expression" dxfId="122" priority="4">
      <formula>IF(O274&lt;=TODAY()-365,TRUE)</formula>
    </cfRule>
    <cfRule type="expression" dxfId="121" priority="5">
      <formula>IF(O274&lt;(TODAY())-320,TRUE)</formula>
    </cfRule>
    <cfRule type="expression" dxfId="120" priority="6">
      <formula>IF(O274&lt;(TODAY())+0,TRUE)</formula>
    </cfRule>
  </conditionalFormatting>
  <conditionalFormatting sqref="O275:O277 O282:O284">
    <cfRule type="expression" dxfId="119" priority="1">
      <formula>IF(O275&lt;=TODAY()-365,TRUE)</formula>
    </cfRule>
    <cfRule type="expression" dxfId="118" priority="2">
      <formula>IF(O275&lt;(TODAY())-320,TRUE)</formula>
    </cfRule>
    <cfRule type="expression" dxfId="117" priority="3">
      <formula>IF(O275&lt;(TODAY())+0,TRUE)</formula>
    </cfRule>
  </conditionalFormatting>
  <dataValidations count="1">
    <dataValidation type="list" allowBlank="1" showInputMessage="1" showErrorMessage="1" sqref="V1:AF1 U283:U1048576 U250:U281 U248 U1:U246" xr:uid="{E05A0DD8-F81F-4396-8A5A-B60E4C406C8F}">
      <formula1>"ADICIONADO,REALIZADO,DESATIVADO, NÃO ENCONTRADO,AGENDADO,SEM RETORNO DO OWNER,EM CONTATO"</formula1>
    </dataValidation>
  </dataValidations>
  <hyperlinks>
    <hyperlink ref="C262" r:id="rId1" xr:uid="{5A257A73-9136-4781-939C-3B9B3320CE30}"/>
    <hyperlink ref="C263" r:id="rId2" xr:uid="{64F8DE54-6946-43F6-8392-15D20D4C6FCC}"/>
    <hyperlink ref="C264" r:id="rId3" xr:uid="{3D23CF95-A0D4-4C31-9EA2-B9AE5B77A282}"/>
    <hyperlink ref="C252" r:id="rId4" xr:uid="{0E7AA073-9DA3-4E9A-B82B-4A2946EF1A8D}"/>
    <hyperlink ref="C240" r:id="rId5" xr:uid="{20A6580C-DE16-49F7-8975-FD6CBF22B5F9}"/>
    <hyperlink ref="C49:C51" r:id="rId6" display="roberto.nascimento@suez.com" xr:uid="{2F2D6BE4-1A92-4792-AB87-25552C199BB9}"/>
    <hyperlink ref="C237" r:id="rId7" xr:uid="{6EBA79BE-4EDA-4CCC-8FB2-3875397A8660}"/>
    <hyperlink ref="C230" r:id="rId8" xr:uid="{620E2547-7367-4DB3-8C87-7FE58D588416}"/>
    <hyperlink ref="C226" r:id="rId9" xr:uid="{9DCD41D1-E629-488C-90E0-FF55DB26DC5D}"/>
    <hyperlink ref="C228" r:id="rId10" xr:uid="{03B58668-9D66-4EC3-8E9C-BED595A3F1BF}"/>
    <hyperlink ref="C229" r:id="rId11" xr:uid="{515C04B5-555B-4804-A8E4-8B8E68087CB0}"/>
    <hyperlink ref="C227" r:id="rId12" xr:uid="{65AEC8A2-8E99-4059-8D1C-2C08AF3C611C}"/>
    <hyperlink ref="C233" r:id="rId13" xr:uid="{DAC18C84-F033-44DA-9369-E1C76C334290}"/>
    <hyperlink ref="C231" r:id="rId14" xr:uid="{8BCEA123-B2E8-4F0E-BF26-D6ACE6E664F7}"/>
    <hyperlink ref="C232" r:id="rId15" xr:uid="{BF4F8884-6765-4D18-B134-DB1792AC5BD8}"/>
    <hyperlink ref="C193" r:id="rId16" xr:uid="{CB46C9B8-B1A3-4456-8311-8CB5E9ACBA04}"/>
    <hyperlink ref="C213" r:id="rId17" display="gabriel.lourenco@suez.com" xr:uid="{AD50F276-3909-4761-8996-BBEB96AD9546}"/>
    <hyperlink ref="C185" r:id="rId18" xr:uid="{AB059C0F-6531-4110-B110-C9CBE9CC9142}"/>
    <hyperlink ref="C216" r:id="rId19" xr:uid="{39A44CE0-E4C8-4A97-9F36-AB640BB6DBBB}"/>
    <hyperlink ref="C223" r:id="rId20" xr:uid="{D8E8A06D-2E64-4695-9C38-DDC7A8FA3A47}"/>
    <hyperlink ref="C221" r:id="rId21" xr:uid="{E5DF4D7B-13F4-43B7-B7B2-17DD467F1D8B}"/>
    <hyperlink ref="C225" r:id="rId22" xr:uid="{CE331655-A870-4B4B-A921-4496DC5D6314}"/>
    <hyperlink ref="C224" r:id="rId23" xr:uid="{50C0E7E3-2E2C-467E-9ED1-4618BE3BD255}"/>
    <hyperlink ref="C222" r:id="rId24" xr:uid="{534CC18B-6C53-461B-A82F-9B050127613C}"/>
    <hyperlink ref="C219" r:id="rId25" xr:uid="{A18D8F65-ECB2-4F9A-B825-24E8D55B97A7}"/>
    <hyperlink ref="C199" r:id="rId26" display="rafaela.gomes@suez.com" xr:uid="{86376393-3FCE-40E3-97C3-21878B3ACF77}"/>
    <hyperlink ref="C196" r:id="rId27" xr:uid="{4B66498C-73E2-49ED-A8F5-DC2E758D6DB2}"/>
    <hyperlink ref="C197" r:id="rId28" xr:uid="{53AA0F70-D2F7-45DF-A900-277921A4240B}"/>
    <hyperlink ref="C113" r:id="rId29" xr:uid="{8A4AF255-3DCF-4290-A70A-7135F46C87CB}"/>
    <hyperlink ref="C142" r:id="rId30" xr:uid="{5C082241-D864-4881-8B43-46F140B978D7}"/>
    <hyperlink ref="C143" r:id="rId31" xr:uid="{008E5B1E-0B8B-4730-BEF7-220D5107F822}"/>
    <hyperlink ref="C146" r:id="rId32" xr:uid="{B98848A4-0465-4F9D-9BCC-715D0B015BD1}"/>
    <hyperlink ref="C144" r:id="rId33" xr:uid="{C86A7361-B962-4753-BE44-09092D827195}"/>
    <hyperlink ref="C147" r:id="rId34" xr:uid="{0F044A4F-69ED-47D0-9603-493BA59205C1}"/>
    <hyperlink ref="C148" r:id="rId35" xr:uid="{CC7F7076-4FF0-45ED-99E0-F7177056A29F}"/>
    <hyperlink ref="C145" r:id="rId36" xr:uid="{952A0FB1-EE29-4CB1-9F90-C435CF10937E}"/>
    <hyperlink ref="C152" r:id="rId37" xr:uid="{5A63AA45-AFA8-4EFF-AC69-0C2835497D9E}"/>
    <hyperlink ref="C165" r:id="rId38" xr:uid="{C280DC7F-C432-4256-A813-CE1E3A4772A6}"/>
    <hyperlink ref="C154" r:id="rId39" xr:uid="{14503A54-EFE4-483F-B4A2-5A33AD867519}"/>
    <hyperlink ref="C149" r:id="rId40" xr:uid="{652AAD3C-42D1-4D35-AEE6-0103E895A397}"/>
    <hyperlink ref="C153" r:id="rId41" xr:uid="{55DB22BE-EBD6-4445-A049-806EB169B14D}"/>
    <hyperlink ref="C150" r:id="rId42" xr:uid="{CF01399D-2919-418A-BCFB-44484FE95059}"/>
    <hyperlink ref="C151" r:id="rId43" xr:uid="{94236890-241D-4B48-964B-08D747F23D66}"/>
    <hyperlink ref="C109" r:id="rId44" xr:uid="{28561555-C658-44AA-91BD-E32283BC171B}"/>
    <hyperlink ref="C106" r:id="rId45" xr:uid="{C3AA1006-F3B7-43A7-946E-EC297B81794A}"/>
    <hyperlink ref="C107" r:id="rId46" xr:uid="{6EA34425-794C-4443-8A79-D07B93BD198B}"/>
    <hyperlink ref="C98" r:id="rId47" xr:uid="{F2EEAFEC-9902-49E4-BB65-65319F923254}"/>
    <hyperlink ref="C67" r:id="rId48" xr:uid="{58E58A10-6A2A-40AE-A304-51821B3CD689}"/>
    <hyperlink ref="C66" r:id="rId49" xr:uid="{A314D256-58FE-4AFC-BE7E-49795D18E51B}"/>
    <hyperlink ref="C64" r:id="rId50" xr:uid="{DA0E9690-F0FF-4FB2-B992-AEB1E33DF4E1}"/>
    <hyperlink ref="C82" r:id="rId51" xr:uid="{825E8D56-4296-4E3E-95B9-7ED16610EDA5}"/>
    <hyperlink ref="C80" r:id="rId52" xr:uid="{58A50DB4-0D13-45D2-84F4-FA1E50815FD2}"/>
    <hyperlink ref="C77" r:id="rId53" xr:uid="{85607386-CA7E-4277-8E5C-4EE464A12E0C}"/>
    <hyperlink ref="C78" r:id="rId54" xr:uid="{3F8A117B-18B7-42CE-A91A-A9F48B3C6244}"/>
    <hyperlink ref="C79" r:id="rId55" xr:uid="{D56CF6E3-586A-4345-8299-A38E704FA9A0}"/>
    <hyperlink ref="C81" r:id="rId56" xr:uid="{C3774148-D909-4B21-99C3-A6670678FAF3}"/>
    <hyperlink ref="C76" r:id="rId57" xr:uid="{FC91F444-85BE-48A8-B04F-D4A610A58E43}"/>
    <hyperlink ref="C51" r:id="rId58" xr:uid="{E90009D2-3989-4ADF-83E5-DBE5E2819DA8}"/>
    <hyperlink ref="C57" r:id="rId59" xr:uid="{AB313D55-EA91-43E1-A340-42EA0AE36FBD}"/>
    <hyperlink ref="C54" r:id="rId60" xr:uid="{057B1E91-BEEC-4058-A1B8-4A5AD3884759}"/>
    <hyperlink ref="C53" r:id="rId61" xr:uid="{AB445704-FC7F-4087-BA2C-7D0FA049C5C8}"/>
    <hyperlink ref="C48" r:id="rId62" xr:uid="{A3B5EE2B-6406-4A75-ACC8-F41039A18325}"/>
    <hyperlink ref="C45" r:id="rId63" xr:uid="{E93EA059-D686-48B7-9A9F-CF095518552A}"/>
    <hyperlink ref="C44" r:id="rId64" xr:uid="{FE69240C-412A-4ED5-ACCF-48033DB6CDDA}"/>
    <hyperlink ref="C43" r:id="rId65" xr:uid="{258CBA8C-A4FB-4A3A-AAB5-98526C74801F}"/>
    <hyperlink ref="C38" r:id="rId66" xr:uid="{D6661D7D-050E-4F49-9CFE-F5386B00593E}"/>
    <hyperlink ref="C42" r:id="rId67" xr:uid="{A5418AE7-7937-4490-86F5-8CD6590895EB}"/>
    <hyperlink ref="C39" r:id="rId68" xr:uid="{AEAE567C-7A92-412A-ABA4-86E084571C47}"/>
    <hyperlink ref="C2" r:id="rId69" xr:uid="{689B4597-75FB-40AE-A99B-F89CF268AD17}"/>
    <hyperlink ref="C4" r:id="rId70" xr:uid="{3BD2800C-F32C-4EFF-9627-8D1B1198BDE5}"/>
    <hyperlink ref="C3" r:id="rId71" xr:uid="{A4E7F8C0-E7F8-461B-9E10-B2ED55F1D121}"/>
    <hyperlink ref="C28" r:id="rId72" xr:uid="{8B5D7DEF-FBDE-4AEE-908E-F4AEA5F3D26A}"/>
    <hyperlink ref="C18" r:id="rId73" xr:uid="{8E917853-87FD-46C8-A475-9C226764CA99}"/>
    <hyperlink ref="C32" r:id="rId74" xr:uid="{26B120C7-EA82-4E89-8E66-BDBC56197C98}"/>
    <hyperlink ref="C19" r:id="rId75" xr:uid="{D010240A-378B-42A4-9D7C-C42B3D6394CD}"/>
    <hyperlink ref="C173" r:id="rId76" xr:uid="{237DDC50-B4DC-494A-A9A7-580411AFFD24}"/>
    <hyperlink ref="C222:C225" r:id="rId77" display="luiz.silva@suez.com" xr:uid="{2AAA747C-65D3-46C3-8E63-677D326928A6}"/>
    <hyperlink ref="C31" r:id="rId78" xr:uid="{E2B66C39-811F-4390-BE60-BD887A0F81D9}"/>
    <hyperlink ref="C20" r:id="rId79" xr:uid="{9BA8F110-2DE5-473C-AA89-3DF6BEEDC1F5}"/>
    <hyperlink ref="C21" r:id="rId80" xr:uid="{7568EBA0-6A4A-45ED-BCD8-84B8B0EE8080}"/>
    <hyperlink ref="C24" r:id="rId81" xr:uid="{0BC2DDC1-621B-460C-A360-704FA9E4EA17}"/>
    <hyperlink ref="C22" r:id="rId82" xr:uid="{B8664E75-983B-468A-9FFE-0804A91B8BBF}"/>
    <hyperlink ref="C23" r:id="rId83" xr:uid="{DC51B219-1723-471C-AD8B-620948880A06}"/>
    <hyperlink ref="C33" r:id="rId84" xr:uid="{C6BC1EE6-A282-4475-BF82-CA3265AF8BD6}"/>
    <hyperlink ref="C29" r:id="rId85" xr:uid="{A5E07D19-8CE0-464F-85E7-F3EAF31E4767}"/>
    <hyperlink ref="C26" r:id="rId86" xr:uid="{FA00C7C8-83B5-4C8A-BA53-3715B79EFB63}"/>
    <hyperlink ref="C30" r:id="rId87" xr:uid="{D4028323-EA40-42DA-98BC-E283B9615EAE}"/>
    <hyperlink ref="C34" r:id="rId88" xr:uid="{1F20E47F-9B41-415B-94B3-E5F31FF38801}"/>
    <hyperlink ref="C27" r:id="rId89" xr:uid="{BA0FF133-55E1-4E94-9B01-20D2A3174E32}"/>
    <hyperlink ref="C25" r:id="rId90" xr:uid="{9DCFC3E1-FB3D-4201-96B4-4F9418B8C21F}"/>
    <hyperlink ref="C7" r:id="rId91" xr:uid="{F9C068D4-196A-4547-8BA0-67E28FDED38D}"/>
    <hyperlink ref="C8" r:id="rId92" xr:uid="{647B80A3-9BD4-4E5C-99CC-D78D2FD09994}"/>
    <hyperlink ref="C5" r:id="rId93" xr:uid="{C33C2A4E-EEE6-441F-8426-15DDF55FA54B}"/>
    <hyperlink ref="C6" r:id="rId94" xr:uid="{4261C9A6-6FF3-4600-9BB4-3210D2100B90}"/>
    <hyperlink ref="F263" r:id="rId95" xr:uid="{F11011AD-749C-489D-BD6F-1DB32B0C63D3}"/>
    <hyperlink ref="F3:F4" r:id="rId96" display="an.santos@suez.com" xr:uid="{75959997-F83D-4A6E-B977-762DDA7D3124}"/>
    <hyperlink ref="C84" r:id="rId97" xr:uid="{057781FA-FF69-47C7-A08B-44B00C7F044E}"/>
    <hyperlink ref="C18:C22" r:id="rId98" display="patricia.campos@suez.com" xr:uid="{00A5D2D2-DD17-45B6-AB13-B7DB604EAEA9}"/>
    <hyperlink ref="F84" r:id="rId99" xr:uid="{2F9ACEEC-F591-4596-BADB-542B7A2D5A6F}"/>
    <hyperlink ref="F18:F22" r:id="rId100" display="marcelo.soto@suez.com" xr:uid="{38A0E973-4777-4B6F-B54E-594BADF7573C}"/>
    <hyperlink ref="F252" r:id="rId101" xr:uid="{E97D5182-741D-4E20-A753-BFB8B67C8C34}"/>
    <hyperlink ref="F246" r:id="rId102" xr:uid="{B9D5FFF5-FCAC-440F-B7B4-8082C8032006}"/>
    <hyperlink ref="F28:F32" r:id="rId103" display="davi.santos@suez.com" xr:uid="{D8043D8B-25C8-480A-8DE3-6D3F8ADD8466}"/>
    <hyperlink ref="F34:F35" r:id="rId104" display="daniel.atala@suez.com" xr:uid="{03A2B745-E3F5-4F7D-B1A1-67513229E41F}"/>
    <hyperlink ref="F237" r:id="rId105" xr:uid="{64AC3C13-A5E7-4657-9D4F-18D8380AA030}"/>
    <hyperlink ref="F239" r:id="rId106" xr:uid="{7037B854-6DB6-458F-B36C-7B752C174258}"/>
    <hyperlink ref="F240" r:id="rId107" xr:uid="{CBB648F8-CFDA-4BE3-9C97-D063076F00E2}"/>
    <hyperlink ref="F238" r:id="rId108" xr:uid="{67852629-B251-49FB-A998-657E0F1FCD9B}"/>
    <hyperlink ref="F196" r:id="rId109" xr:uid="{6425D7B3-CBAC-4ACB-87F2-C479AB47FAD2}"/>
    <hyperlink ref="F76:F77" r:id="rId110" display="rafael.campos@suez.com" xr:uid="{89C1D81A-43B2-4129-872E-6C469C56E1E6}"/>
    <hyperlink ref="F141:F142" r:id="rId111" display="yure.queiroz@suez.com" xr:uid="{AFD2FB2A-259E-4D35-8695-EF43E1ABC7F2}"/>
    <hyperlink ref="C129" r:id="rId112" xr:uid="{A6A5D4DC-20A5-41E7-9E97-9BB66B69830B}"/>
    <hyperlink ref="C123:C124" r:id="rId113" display="kleber.silva@suez.com" xr:uid="{6804F137-AAD6-45B8-BD3C-E4EEBBAB35D1}"/>
    <hyperlink ref="F109" r:id="rId114" xr:uid="{C0F25FEE-B23F-4456-9E10-D52419470A20}"/>
    <hyperlink ref="F145:F148" r:id="rId115" display="edmilson.santos@suez.com" xr:uid="{3AFD5176-F216-4B5B-99EA-E30F998F4BE9}"/>
    <hyperlink ref="F21" r:id="rId116" xr:uid="{F5FEBAD2-8E52-4247-B7D7-E8B9F6C83CF0}"/>
    <hyperlink ref="F22" r:id="rId117" xr:uid="{9A6BD231-2421-4D05-A17B-2BA1D684A8CB}"/>
    <hyperlink ref="F18" r:id="rId118" xr:uid="{0F4517F9-04BB-4792-9027-A6B2BA018924}"/>
    <hyperlink ref="F19" r:id="rId119" xr:uid="{676F6DDC-4471-4BED-86FD-B84EA7A7B3D5}"/>
    <hyperlink ref="F23" r:id="rId120" xr:uid="{15826E97-F590-4490-B73D-074B482BA77E}"/>
    <hyperlink ref="F20" r:id="rId121" xr:uid="{82A0E578-2C60-46C2-9343-74EEEF33678D}"/>
    <hyperlink ref="F33" r:id="rId122" xr:uid="{1D5CFB1C-FE23-4224-8355-0084A15FF88F}"/>
    <hyperlink ref="F29" r:id="rId123" xr:uid="{EAF2E9B1-E678-4CF0-8CB6-A20DCE8B91FC}"/>
    <hyperlink ref="F26" r:id="rId124" xr:uid="{45DB3E42-B143-4BBB-BA12-B759BAF98643}"/>
    <hyperlink ref="F30" r:id="rId125" xr:uid="{E0569E65-5FD8-4F31-B250-581ED7E7C1CF}"/>
    <hyperlink ref="F34" r:id="rId126" xr:uid="{25E94AF4-7B5A-4412-856B-236266380E2C}"/>
    <hyperlink ref="F27" r:id="rId127" xr:uid="{F26D7459-F45E-4890-B8E9-29F3A6087DF1}"/>
    <hyperlink ref="F25" r:id="rId128" xr:uid="{C3C80E05-9EAC-4314-AE8A-AC328C227CDE}"/>
    <hyperlink ref="F31" r:id="rId129" xr:uid="{47B63CE4-3777-4C87-A3F7-F8B5C768AD0E}"/>
    <hyperlink ref="F28" r:id="rId130" xr:uid="{6063E837-F8EE-4B0E-89BA-1A9F4ACF93C7}"/>
    <hyperlink ref="F32" r:id="rId131" xr:uid="{CDA5A4A6-FF13-4A96-B0E1-39F613D980DB}"/>
    <hyperlink ref="F123" r:id="rId132" xr:uid="{611871A8-2F12-4D86-B600-411D3069DDC2}"/>
    <hyperlink ref="F124" r:id="rId133" xr:uid="{2D2CE6C3-253A-419C-87BF-8D0F90AE9174}"/>
    <hyperlink ref="F126" r:id="rId134" xr:uid="{196A61C7-DCD4-4D3C-BB68-04F16E765EF3}"/>
    <hyperlink ref="F127" r:id="rId135" xr:uid="{936545BC-FE92-4823-851A-F1C7E438BDBC}"/>
    <hyperlink ref="F128" r:id="rId136" xr:uid="{5BA4DE46-E9AB-4530-9216-00026004C60E}"/>
    <hyperlink ref="F125" r:id="rId137" xr:uid="{1EBF2D87-6A0B-4F55-97B5-DEC2DDC81994}"/>
    <hyperlink ref="F122" r:id="rId138" xr:uid="{37A5D703-243D-48B2-A3BB-C93DF32633E9}"/>
    <hyperlink ref="F62" r:id="rId139" xr:uid="{3088F229-0BD0-4424-9758-FC6A733BF842}"/>
    <hyperlink ref="F63" r:id="rId140" xr:uid="{A62B9CA5-ADC7-4050-A4A0-5D2E05905708}"/>
    <hyperlink ref="F64" r:id="rId141" xr:uid="{7CB52719-7F24-4EC7-8B84-42A82D87386B}"/>
    <hyperlink ref="F65" r:id="rId142" xr:uid="{D48A98F2-798C-4AC4-83CB-B8C3B542733C}"/>
    <hyperlink ref="F186" r:id="rId143" xr:uid="{0CD911C4-2849-402B-9AD9-B4613DBA68F0}"/>
    <hyperlink ref="F187" r:id="rId144" xr:uid="{34B428D1-69A0-4FD7-BBEB-4C931B04A660}"/>
    <hyperlink ref="F192" r:id="rId145" xr:uid="{97C88B62-2851-4771-8072-ADD9D844B2AE}"/>
    <hyperlink ref="F188" r:id="rId146" xr:uid="{942E2EEC-BF05-4F4F-9F1F-E8BAEA731C6A}"/>
    <hyperlink ref="F189" r:id="rId147" xr:uid="{12450968-BE6B-47C8-8087-0723985DE965}"/>
    <hyperlink ref="F193" r:id="rId148" xr:uid="{0EE3C63F-9754-4E44-9C2A-EF21A9A0E271}"/>
    <hyperlink ref="F190" r:id="rId149" xr:uid="{B7F06AB1-A8F1-449A-9ACF-59DE4E7D2AB1}"/>
    <hyperlink ref="F191" r:id="rId150" xr:uid="{2B232CA9-68D3-4D96-9B49-7139360A979D}"/>
    <hyperlink ref="F194" r:id="rId151" xr:uid="{AF286F4B-B615-4586-8A8F-87E89C495138}"/>
    <hyperlink ref="F195" r:id="rId152" xr:uid="{9923A177-D7D4-4674-B4ED-67E8FB244AA1}"/>
    <hyperlink ref="F162" r:id="rId153" xr:uid="{6E2C875F-1295-4C8F-B70F-63BD66BB2C39}"/>
    <hyperlink ref="F164" r:id="rId154" xr:uid="{2A328230-D3DC-48A9-985E-06096EE455F3}"/>
    <hyperlink ref="F163" r:id="rId155" xr:uid="{734FE7EE-A0EE-480C-8647-5FF9F8121DE7}"/>
    <hyperlink ref="F149" r:id="rId156" xr:uid="{C7A5FDFA-0F26-4BBB-9011-D5ECA6BA73E1}"/>
    <hyperlink ref="F150" r:id="rId157" xr:uid="{9E6352BD-0EFC-490A-A6E1-B024C5917A42}"/>
    <hyperlink ref="F151" r:id="rId158" xr:uid="{21C0ECBE-929B-45B1-95BA-E2CA056E0BF1}"/>
    <hyperlink ref="F152" r:id="rId159" xr:uid="{49D0FD81-3362-40A6-9C7F-0FCE3E3A0DA2}"/>
    <hyperlink ref="F153" r:id="rId160" xr:uid="{CA28E712-D2CE-4F7D-BE33-F2C83B515367}"/>
    <hyperlink ref="F154" r:id="rId161" xr:uid="{2C51EE6F-D89F-459C-B8BF-03B4F33117F9}"/>
    <hyperlink ref="F92" r:id="rId162" xr:uid="{75FC6A31-B851-42D6-B317-22125FBFB6BD}"/>
    <hyperlink ref="F91" r:id="rId163" xr:uid="{99240A4F-24DA-44BF-99F1-7126A2365716}"/>
    <hyperlink ref="F95" r:id="rId164" xr:uid="{6BA7F433-5611-4617-ADEC-D4C12AAF9EC9}"/>
    <hyperlink ref="F90" r:id="rId165" xr:uid="{F3D4C4FA-DCEA-417F-A54E-163B6F4F877A}"/>
    <hyperlink ref="F93" r:id="rId166" xr:uid="{B8BD4F09-A5A6-48A9-BA56-7FD8A8922611}"/>
    <hyperlink ref="F94" r:id="rId167" xr:uid="{1F70B4E1-9EAA-4972-AEDF-D30214DF8497}"/>
    <hyperlink ref="F96" r:id="rId168" xr:uid="{012BA69E-DAB8-4A48-A42B-0D66D1D1AB93}"/>
    <hyperlink ref="F97" r:id="rId169" xr:uid="{2FEA9865-019A-43B8-BE5F-9C58B0D72461}"/>
    <hyperlink ref="F236" r:id="rId170" xr:uid="{E768AD89-B765-4C1E-AA6E-E00B13AD8B62}"/>
    <hyperlink ref="F2" r:id="rId171" xr:uid="{4F848D22-63FF-48A8-B06B-B50FEA8FF3C2}"/>
    <hyperlink ref="F3" r:id="rId172" xr:uid="{84461E4D-C424-4D2D-9052-C99565611C84}"/>
    <hyperlink ref="F4" r:id="rId173" xr:uid="{59374382-F1E0-40B9-B308-5350B5364EF4}"/>
    <hyperlink ref="F142" r:id="rId174" xr:uid="{59D9D42C-8C4D-41DC-9610-0638B904700F}"/>
    <hyperlink ref="F143" r:id="rId175" xr:uid="{48C12485-9BE3-4A85-BB29-0CC4ADDC9AF5}"/>
    <hyperlink ref="F144" r:id="rId176" xr:uid="{19B66CEC-1D8B-441E-A802-852395D2979E}"/>
    <hyperlink ref="F147" r:id="rId177" xr:uid="{627A2C5D-EEF6-4AA4-87DC-1338064ABDFD}"/>
    <hyperlink ref="F148" r:id="rId178" xr:uid="{056DFC86-8579-4177-BAE9-C83DFFC71E1C}"/>
    <hyperlink ref="F145" r:id="rId179" xr:uid="{33125A66-DCF3-4740-8525-822BA79A3FC1}"/>
    <hyperlink ref="F146" r:id="rId180" xr:uid="{78E0C9A5-875B-4B89-806B-6D98B82BF5F6}"/>
    <hyperlink ref="F159" r:id="rId181" xr:uid="{9845CA8E-B5CF-4A1A-97DA-FEB3ADF7A905}"/>
    <hyperlink ref="F103:F107" r:id="rId182" display="marcelo.soto@suez.com" xr:uid="{42B5E3AD-723C-4A99-8785-00EDD5DA6A9D}"/>
    <hyperlink ref="F113" r:id="rId183" xr:uid="{93D7DD94-9E6E-436E-928D-BCB46D1F52DD}"/>
    <hyperlink ref="F116" r:id="rId184" xr:uid="{CF4A7329-B13B-4A7E-920C-6B9807383DE9}"/>
    <hyperlink ref="F115" r:id="rId185" xr:uid="{B5F5F2BF-36BD-46A4-A42D-B25B89D87531}"/>
    <hyperlink ref="F114" r:id="rId186" xr:uid="{FB97632B-CA98-4451-854E-F26918A51AC7}"/>
    <hyperlink ref="F166" r:id="rId187" xr:uid="{0B57E1D9-0E55-4BCB-91E2-1A5F18000091}"/>
    <hyperlink ref="F151:F158" r:id="rId188" display="rafael.nascimento@suez.com" xr:uid="{DC8C2A61-6FA0-473F-A94A-9B13AAD62FB0}"/>
    <hyperlink ref="F76" r:id="rId189" xr:uid="{1BC7BABD-2CCA-4346-BF17-CD4338F9E151}"/>
    <hyperlink ref="F77" r:id="rId190" xr:uid="{133F89FB-F196-468E-822A-075195DDE6E5}"/>
    <hyperlink ref="F78" r:id="rId191" xr:uid="{DBE824E0-F331-42F1-AF0E-57CA9915E57B}"/>
    <hyperlink ref="F79" r:id="rId192" xr:uid="{183403D6-7C97-477A-BA60-4CC20E14C124}"/>
    <hyperlink ref="F81" r:id="rId193" xr:uid="{44177E04-DC2A-419E-BFB4-746623D2C839}"/>
    <hyperlink ref="F82" r:id="rId194" xr:uid="{95F1FD41-BE04-4A61-A286-79CDE0F57C6D}"/>
    <hyperlink ref="F80" r:id="rId195" xr:uid="{885B65C4-B803-47C9-959B-E5FB14B23E60}"/>
    <hyperlink ref="F66" r:id="rId196" xr:uid="{A93303CB-58FB-48F5-8F0D-8A93E2DCF281}"/>
    <hyperlink ref="F14" r:id="rId197" xr:uid="{D5FCB52B-0386-451C-88B9-3680335060AF}"/>
    <hyperlink ref="F11" r:id="rId198" xr:uid="{1DDD68C0-6AB2-4836-9772-9705DE4DA4AC}"/>
    <hyperlink ref="F12" r:id="rId199" xr:uid="{AA451A1B-BA75-469C-B8FA-21DEA224729D}"/>
    <hyperlink ref="F13" r:id="rId200" xr:uid="{789CDB22-9B51-4E4F-9CFF-F50E26AF95DF}"/>
    <hyperlink ref="F15" r:id="rId201" xr:uid="{78EC728B-97EB-4E97-A627-0EEBAD9A2D89}"/>
    <hyperlink ref="F17" r:id="rId202" xr:uid="{F7219AB4-5ACF-4F0D-A005-4AA723A432E6}"/>
    <hyperlink ref="F16" r:id="rId203" xr:uid="{D714C28F-32EA-4845-9F7B-052094A17861}"/>
    <hyperlink ref="C181" r:id="rId204" xr:uid="{292B2E7E-10FA-424C-97AE-2CC9C7123FEB}"/>
    <hyperlink ref="C134:C139" r:id="rId205" display="giovana.tardelli@suez.com" xr:uid="{128EA465-7C2B-4E11-8CC9-44253772869C}"/>
    <hyperlink ref="F181" r:id="rId206" xr:uid="{6771A8C2-63AB-42B7-83A4-BDFF47B60C7A}"/>
    <hyperlink ref="F134:F139" r:id="rId207" display="ana.oliveira@suez.com" xr:uid="{0633A065-9026-4C73-BF2B-D1A96C3B40ED}"/>
    <hyperlink ref="F228" r:id="rId208" xr:uid="{8FD5CA1B-30B8-48B3-B0E1-91C347B43145}"/>
    <hyperlink ref="F229" r:id="rId209" xr:uid="{93B576D8-35FC-40B8-95D8-D9DE017C7D2E}"/>
    <hyperlink ref="F227" r:id="rId210" xr:uid="{9FA9DEE9-4455-45C1-B038-CAEF3A5D05D8}"/>
    <hyperlink ref="F226" r:id="rId211" xr:uid="{4037934E-B038-485D-BA1E-B4CDD63B0695}"/>
    <hyperlink ref="F224" r:id="rId212" xr:uid="{A9BF45F0-558A-4B77-BA99-093DA38F8631}"/>
    <hyperlink ref="F51" r:id="rId213" xr:uid="{F9D9CF60-A688-4282-AE4F-42917805D7BA}"/>
    <hyperlink ref="F57" r:id="rId214" xr:uid="{3C78E934-649E-49DD-BD29-EFA8C884FA24}"/>
    <hyperlink ref="F54" r:id="rId215" xr:uid="{94059560-AA78-492E-86B7-17179195600D}"/>
    <hyperlink ref="F53" r:id="rId216" xr:uid="{BB6966DE-3EC7-4A7D-986E-0196258EEC9F}"/>
    <hyperlink ref="F48" r:id="rId217" xr:uid="{E5D3FB23-F484-4129-9C6E-547DBACACDC9}"/>
    <hyperlink ref="F216" r:id="rId218" xr:uid="{6C433083-222E-41A3-9D8C-855BD51704E3}"/>
    <hyperlink ref="F218" r:id="rId219" xr:uid="{20152C8F-F21C-4EB1-A320-469A964DA556}"/>
    <hyperlink ref="F219" r:id="rId220" xr:uid="{55DDD8DA-1EB7-406F-92D0-652A772DCF8B}"/>
    <hyperlink ref="F185" r:id="rId221" xr:uid="{E90DBDAE-75D1-423E-ADB0-514F5E61E71F}"/>
    <hyperlink ref="F38" r:id="rId222" xr:uid="{889B11D8-8979-4E03-9A29-2CA8773F25C9}"/>
    <hyperlink ref="F40" r:id="rId223" xr:uid="{29F97477-86C9-4CA6-BDCC-96B579D933A8}"/>
    <hyperlink ref="F41" r:id="rId224" xr:uid="{5989EAAF-F471-4DA2-BC38-E43D20C33DD0}"/>
    <hyperlink ref="F39" r:id="rId225" xr:uid="{38CF95E5-971C-4B30-B024-75FAADD4FDE5}"/>
    <hyperlink ref="F7" r:id="rId226" xr:uid="{A22F9303-8073-47A0-AE45-01E86087362B}"/>
    <hyperlink ref="F5" r:id="rId227" xr:uid="{09D20842-574A-44FE-BA62-A12944ABB12B}"/>
    <hyperlink ref="F6" r:id="rId228" xr:uid="{4C414C70-C97C-4D75-A2E7-293C7E0F4C71}"/>
    <hyperlink ref="F8" r:id="rId229" xr:uid="{EF2CB93E-7A89-4F58-82A9-2D224123C006}"/>
    <hyperlink ref="F106" r:id="rId230" xr:uid="{702E0B9A-8F99-4159-AE06-E715A5610504}"/>
    <hyperlink ref="F107" r:id="rId231" xr:uid="{4F088120-185E-4352-851A-65FEF93C0BD0}"/>
    <hyperlink ref="F98" r:id="rId232" xr:uid="{F726A9B3-B314-478A-9BAF-16CB15C47C08}"/>
    <hyperlink ref="C246" r:id="rId233" display="hugo.cavalcante@suez.com" xr:uid="{DE1348CD-0D3D-4D2D-B216-CE0F5F031F2D}"/>
    <hyperlink ref="F173" r:id="rId234" xr:uid="{5922CDF7-4B2A-48E7-8E27-74F6BF457C91}"/>
    <hyperlink ref="F172" r:id="rId235" xr:uid="{3457F606-0DE4-4785-8A2F-D049D18EE2A9}"/>
    <hyperlink ref="F174" r:id="rId236" xr:uid="{0D6A50CC-A2B3-4C0C-8E7E-3D1E3DF2EDF4}"/>
    <hyperlink ref="F165" r:id="rId237" xr:uid="{551BC200-0CFC-40A4-B59C-452FF75EA117}"/>
    <hyperlink ref="F44" r:id="rId238" xr:uid="{F1357F78-411C-4246-A447-94F65DCA8BC6}"/>
    <hyperlink ref="F45" r:id="rId239" xr:uid="{FC299F43-495A-453B-A919-7A31D122AE3D}"/>
    <hyperlink ref="F179" r:id="rId240" xr:uid="{5A0D93DE-C356-43F4-80B2-061F105AACF6}"/>
    <hyperlink ref="F180" r:id="rId241" xr:uid="{2B7546B5-90CD-49D7-8DA2-C9C45FB0A0DB}"/>
    <hyperlink ref="F108" r:id="rId242" xr:uid="{54A26A4C-4C74-43A5-B92D-EE4252AFBBBC}"/>
    <hyperlink ref="F24" r:id="rId243" xr:uid="{4EC224FC-238A-48A0-8949-A3AEDCEAD0E6}"/>
    <hyperlink ref="F43" r:id="rId244" xr:uid="{F75C7CA1-C27D-4E79-9C06-3F216A175853}"/>
    <hyperlink ref="F42" r:id="rId245" xr:uid="{CCAA6495-7B98-4382-AA91-1E28C69CB051}"/>
    <hyperlink ref="F243" r:id="rId246" display="an.santos@suez.com" xr:uid="{3A72C579-1E16-4B86-A023-BDDA1F18F864}"/>
    <hyperlink ref="F244" r:id="rId247" display="an.santos@suez.com" xr:uid="{B6E7662E-6103-448B-9925-7746CAE6A362}"/>
    <hyperlink ref="F245" r:id="rId248" xr:uid="{2F730CB8-DE51-4691-AB8F-7CF23F1EC3CE}"/>
    <hyperlink ref="F68" r:id="rId249" xr:uid="{37395797-0BE8-40EF-A370-53237B75584B}"/>
    <hyperlink ref="F69" r:id="rId250" display="an.santos@suez.com" xr:uid="{E5760232-377C-450B-A556-B86CD4A9A349}"/>
    <hyperlink ref="F70" r:id="rId251" display="an.santos@suez.com" xr:uid="{5BE24832-D034-4566-85F9-5C453E1406D3}"/>
    <hyperlink ref="F71" r:id="rId252" display="an.santos@suez.com" xr:uid="{556EF0D6-FCE6-4184-8A55-8B4018349A68}"/>
    <hyperlink ref="F72" r:id="rId253" display="an.santos@suez.com" xr:uid="{CA927283-578F-4EF2-A483-367A6AA392DA}"/>
    <hyperlink ref="F73" r:id="rId254" display="an.santos@suez.com" xr:uid="{3A7D4E65-AEC0-4F80-809E-31383D056D6E}"/>
    <hyperlink ref="F74" r:id="rId255" display="an.santos@suez.com" xr:uid="{D0354228-7A5E-44C4-80D8-EFDA3B963969}"/>
    <hyperlink ref="F75" r:id="rId256" display="an.santos@suez.com" xr:uid="{6823116F-471F-459E-9599-09227857654C}"/>
    <hyperlink ref="F129" r:id="rId257" display="an.santos@suez.com" xr:uid="{2B25832C-8593-4F29-B1CA-C13BAE51744D}"/>
    <hyperlink ref="F130" r:id="rId258" display="an.santos@suez.com" xr:uid="{D974086D-EF06-49C6-B75B-B16251595DB5}"/>
    <hyperlink ref="F131" r:id="rId259" display="an.santos@suez.com" xr:uid="{5979C5E3-2BCE-4DBF-9852-F8DB7936F219}"/>
    <hyperlink ref="F119" r:id="rId260" display="an.santos@suez.com" xr:uid="{4AADEF6A-DE7B-411F-BED0-170C1B294B4E}"/>
    <hyperlink ref="F120" r:id="rId261" display="an.santos@suez.com" xr:uid="{37167B50-1F66-427B-9F95-8645E3B5A592}"/>
    <hyperlink ref="F121" r:id="rId262" display="an.santos@suez.com" xr:uid="{4E6109EA-F24A-442E-AAF4-BFCF9CBB0343}"/>
    <hyperlink ref="C101" r:id="rId263" xr:uid="{9AE98172-6E2D-46CF-88A7-F93D59223591}"/>
    <hyperlink ref="F101" r:id="rId264" xr:uid="{43A7A5E0-BBBE-4CB4-AA54-4267D180DE89}"/>
    <hyperlink ref="C220" r:id="rId265" xr:uid="{D1A83EC7-7936-4003-8AF2-6F30579F2CC0}"/>
    <hyperlink ref="C130" r:id="rId266" xr:uid="{C35FA6B4-2E12-49FE-A35D-5C9040BBFA76}"/>
    <hyperlink ref="C234" r:id="rId267" xr:uid="{D9E26CD8-CF4C-4F62-844A-AB8B877CB860}"/>
    <hyperlink ref="C243" r:id="rId268" xr:uid="{BED0E9C8-7C9C-4390-A095-5BF3C9814973}"/>
    <hyperlink ref="C236" r:id="rId269" xr:uid="{6CBBC325-6909-4291-9500-A944BF8044DD}"/>
    <hyperlink ref="C241" r:id="rId270" xr:uid="{7E56C335-6FD6-48F8-8432-7D369CD685B1}"/>
    <hyperlink ref="F241" r:id="rId271" xr:uid="{08E511D5-547C-48CE-9E47-52A277BC5561}"/>
    <hyperlink ref="C114" r:id="rId272" xr:uid="{B8E19129-DDF7-4038-BD43-613C0D2A9119}"/>
    <hyperlink ref="C115" r:id="rId273" xr:uid="{91CAA9BB-1BB4-415D-89CB-A1BD732A34E7}"/>
    <hyperlink ref="C116" r:id="rId274" xr:uid="{E934C5FE-4431-4DEF-B5C0-4FFA224DBC58}"/>
    <hyperlink ref="C175" r:id="rId275" xr:uid="{B9C05A98-C7A0-43A6-A836-FA9CA6BAD6CF}"/>
    <hyperlink ref="C132" r:id="rId276" xr:uid="{B0DA4BB4-E18F-4567-83DF-9C4CFF96AD3D}"/>
    <hyperlink ref="C137" r:id="rId277" xr:uid="{F97A6194-5580-4F47-9868-6A16ED1FF602}"/>
    <hyperlink ref="C138" r:id="rId278" xr:uid="{6CFF7128-30E9-4512-BA7A-6DD1454A7220}"/>
    <hyperlink ref="C139" r:id="rId279" xr:uid="{C5D97714-5821-4FA7-BCB5-9E1D511CA128}"/>
    <hyperlink ref="C140" r:id="rId280" xr:uid="{37443E40-432E-4543-87F5-788E9229DF0F}"/>
    <hyperlink ref="C141" r:id="rId281" xr:uid="{91219F08-2CC2-412B-BC3A-22D62555A353}"/>
    <hyperlink ref="C136" r:id="rId282" xr:uid="{C37E0467-D7F3-40BD-ACB7-BDEDE0B26A02}"/>
    <hyperlink ref="F132" r:id="rId283" display="an.santos@suez.com" xr:uid="{9C1E0D64-B3BC-4AE2-A886-3BBBF0C52990}"/>
    <hyperlink ref="F136" r:id="rId284" display="an.santos@suez.com" xr:uid="{F18BE135-FC16-4357-A6F8-74BF5188F19F}"/>
    <hyperlink ref="F137" r:id="rId285" display="an.santos@suez.com" xr:uid="{BDEDC686-DC26-4610-B713-D2A9A80CFEDE}"/>
    <hyperlink ref="F138" r:id="rId286" display="an.santos@suez.com" xr:uid="{4E43DA9E-ABB9-465B-BD67-435C4842067F}"/>
    <hyperlink ref="F139" r:id="rId287" display="an.santos@suez.com" xr:uid="{84DE3DF7-FA17-4805-9F21-21E4E547D8A3}"/>
    <hyperlink ref="F140" r:id="rId288" display="an.santos@suez.com" xr:uid="{93312316-19A8-45DF-869E-AE59F9CDA741}"/>
    <hyperlink ref="F141" r:id="rId289" display="an.santos@suez.com" xr:uid="{BD1A666C-1D42-4851-BD77-F1FC5E92DB5D}"/>
    <hyperlink ref="C83" r:id="rId290" xr:uid="{02804150-9958-4746-B075-331FCA623A5D}"/>
    <hyperlink ref="F83" r:id="rId291" display="an.santos@suez.com" xr:uid="{3CF25310-3997-4674-BEF5-F40E6ACF48FB}"/>
    <hyperlink ref="C60" r:id="rId292" xr:uid="{F4C4A4E0-6E93-4795-8699-4567874F58F5}"/>
    <hyperlink ref="C133" r:id="rId293" xr:uid="{746EDFC4-81BE-4CCF-8538-F0D4A6CF9337}"/>
    <hyperlink ref="F133" r:id="rId294" display="an.santos@suez.com" xr:uid="{81B39A17-AD63-41F5-B61E-967D27B39C31}"/>
    <hyperlink ref="C61" r:id="rId295" xr:uid="{CC3CA21F-F453-450A-B7AC-A7D4FDF77716}"/>
    <hyperlink ref="C134" r:id="rId296" xr:uid="{82583F1F-717D-45E9-B795-95139B57271D}"/>
    <hyperlink ref="F134" r:id="rId297" display="an.santos@suez.com" xr:uid="{7F27BBEB-C41E-4993-A981-F0B381FFB4E0}"/>
    <hyperlink ref="C135" r:id="rId298" xr:uid="{9CD7BB77-97DD-4C57-B9C8-DEBAE2F96F75}"/>
    <hyperlink ref="F135" r:id="rId299" display="an.santos@suez.com" xr:uid="{DA59D732-E863-43AC-8267-53EA2646BCD4}"/>
    <hyperlink ref="C117" r:id="rId300" xr:uid="{9F3D4A86-0E20-4F1F-84C4-53211050099E}"/>
    <hyperlink ref="C118" r:id="rId301" xr:uid="{A70F29CF-C644-44FE-9E6F-2F3889389E14}"/>
    <hyperlink ref="C122" r:id="rId302" xr:uid="{AF01E32D-1AEB-4515-B0E7-09C815674B13}"/>
    <hyperlink ref="F175" r:id="rId303" xr:uid="{9D7A9501-E7D2-4E22-9D3F-A2BF148026D6}"/>
    <hyperlink ref="F176" r:id="rId304" xr:uid="{158A470A-0B30-447E-AD55-8D421F8935AC}"/>
    <hyperlink ref="F177" r:id="rId305" xr:uid="{86721FC6-6102-48EF-8D42-37B2F2D76EDC}"/>
    <hyperlink ref="F178" r:id="rId306" xr:uid="{11B3CDB0-342D-479A-88DC-01EC73390359}"/>
    <hyperlink ref="C176" r:id="rId307" xr:uid="{3D4A69BA-8EBF-4FA0-BE71-8A6408329DC5}"/>
    <hyperlink ref="C177" r:id="rId308" xr:uid="{77AEAEE8-594F-4EC8-9477-99E86D3671E0}"/>
    <hyperlink ref="C178" r:id="rId309" xr:uid="{2D426832-ABFF-4F0A-B39D-2088DF4FA63B}"/>
    <hyperlink ref="C242" r:id="rId310" xr:uid="{F5353B75-3E60-4963-8718-38C357AFAEF3}"/>
    <hyperlink ref="F242" r:id="rId311" xr:uid="{315D3BD1-AA76-480D-9DEE-E5F77AD0544E}"/>
    <hyperlink ref="C35" r:id="rId312" xr:uid="{5C41FA1A-3FA9-48DB-9E10-7E6BF6A1244E}"/>
    <hyperlink ref="C85" r:id="rId313" xr:uid="{C29A7120-1D80-4605-B7C6-A2D250DD3EE6}"/>
    <hyperlink ref="C86" r:id="rId314" xr:uid="{60DB9398-5B1F-4170-A6D9-3D660F3EB857}"/>
    <hyperlink ref="C87" r:id="rId315" xr:uid="{7A682C68-C3F5-4CA9-87A1-101D29D6A296}"/>
    <hyperlink ref="C88" r:id="rId316" xr:uid="{7FB863EB-25BC-46A0-9CED-E4909E668B1D}"/>
    <hyperlink ref="C89" r:id="rId317" xr:uid="{C7BB657A-9CA3-4811-B0E3-19779657F4C8}"/>
    <hyperlink ref="C179" r:id="rId318" xr:uid="{968FD371-3E86-414F-B705-5579DC330073}"/>
    <hyperlink ref="C218" r:id="rId319" xr:uid="{ADABA157-0AA0-419E-8E95-0346D562ACB1}"/>
    <hyperlink ref="C259" r:id="rId320" xr:uid="{20793182-E986-414F-A986-B409D6B72152}"/>
    <hyperlink ref="C166" r:id="rId321" xr:uid="{9EC21FBA-B8A5-44FD-AA59-5CFEFAC148A8}"/>
    <hyperlink ref="C268" r:id="rId322" xr:uid="{4A08A0A5-8D51-402B-BF59-254248009302}"/>
    <hyperlink ref="F268" r:id="rId323" xr:uid="{BCD54DAF-A41D-4B0E-B689-3C3384C5DA4B}"/>
    <hyperlink ref="F253" r:id="rId324" xr:uid="{D175453C-D551-4D34-8BA3-2C3BCACB05B0}"/>
    <hyperlink ref="F234" r:id="rId325" xr:uid="{A89FD94A-55D2-48F1-B250-4A40452255D0}"/>
    <hyperlink ref="F235" r:id="rId326" xr:uid="{21305BE6-6FEA-4FF6-9C53-EB0E82373EF2}"/>
    <hyperlink ref="C124" r:id="rId327" xr:uid="{06C66711-D125-48C8-9BCF-BDC10A32C01B}"/>
    <hyperlink ref="C162" r:id="rId328" xr:uid="{ABE5C91A-091F-4AA8-96E1-20838825A492}"/>
    <hyperlink ref="C163" r:id="rId329" xr:uid="{392C9C7E-FA31-4333-9EBE-3CBBBF0CC5D1}"/>
    <hyperlink ref="C187" r:id="rId330" xr:uid="{74649061-34A4-4889-974E-FC0F82DB4F72}"/>
    <hyperlink ref="C192" r:id="rId331" xr:uid="{9B696334-194A-4934-8CCD-AA9AE0C68D6A}"/>
    <hyperlink ref="C172" r:id="rId332" xr:uid="{7D6617F7-62C2-477D-9B09-177C7ECF0C04}"/>
    <hyperlink ref="C215" r:id="rId333" xr:uid="{CF596A14-4F14-4FED-9E81-1150FD16E70F}"/>
    <hyperlink ref="C11" r:id="rId334" xr:uid="{C836D34A-828D-4FA7-889F-48B50C807516}"/>
    <hyperlink ref="C167" r:id="rId335" xr:uid="{8DB9AA0F-83C5-4998-B5DE-6C137387168E}"/>
    <hyperlink ref="C269" r:id="rId336" xr:uid="{5F5D2C46-B43D-47A4-8BFF-38F38C205F8B}"/>
    <hyperlink ref="F67" r:id="rId337" xr:uid="{8630EA62-CBF6-458B-91E2-219C65424550}"/>
    <hyperlink ref="C273" r:id="rId338" xr:uid="{599D8A93-2012-486C-9CC6-DD54FE743AA2}"/>
    <hyperlink ref="C274" r:id="rId339" xr:uid="{A0564EB4-B0CE-4B81-A579-667DDE75F1F6}"/>
    <hyperlink ref="C275" r:id="rId340" xr:uid="{14267383-003B-4221-B450-53CCF14D086D}"/>
    <hyperlink ref="C198" r:id="rId341" xr:uid="{C11EC4DA-1A89-4670-B5CA-313CA24EDA4A}"/>
    <hyperlink ref="C90" r:id="rId342" xr:uid="{F9B5951A-646E-461F-8AC3-A39A98CF1468}"/>
    <hyperlink ref="C91" r:id="rId343" xr:uid="{C174B69B-3C32-4D92-A83E-091F1BC0349B}"/>
    <hyperlink ref="C108" r:id="rId344" xr:uid="{3AA2F991-F3E7-41F7-8489-C4C3BC24F276}"/>
    <hyperlink ref="C217" r:id="rId345" xr:uid="{A46BF209-C0B5-496C-8777-3AB1E315199F}"/>
    <hyperlink ref="F217" r:id="rId346" xr:uid="{779F7F43-9EBC-41CC-B78F-348D914E2F12}"/>
    <hyperlink ref="C282" r:id="rId347" xr:uid="{9B1AAA1B-208F-486A-ADBE-ACF3F3BE67A6}"/>
    <hyperlink ref="F282" r:id="rId348" xr:uid="{56DFE86D-A83F-4195-A878-B8A0A6F6EDF9}"/>
    <hyperlink ref="C283:C288" r:id="rId349" display="mailto:marcelo.bovolenta@suez.com" xr:uid="{09994E84-4743-4B1E-9699-7DA5AC2E8780}"/>
    <hyperlink ref="F283:F288" r:id="rId350" display="rafael.nascimento@suez.com" xr:uid="{83BE266C-DDF1-4FED-9AF2-62171DBD557C}"/>
    <hyperlink ref="F60" r:id="rId351" xr:uid="{D9F53BE5-0603-4724-B2E3-12B7F228679F}"/>
    <hyperlink ref="F61" r:id="rId352" xr:uid="{24266446-5A57-4BB0-B367-93B0BB20501E}"/>
    <hyperlink ref="C289" r:id="rId353" display="mailto:natalia.correa@suez.com" xr:uid="{53989740-7F6D-4260-81BC-B2A16F400CEC}"/>
    <hyperlink ref="F262" r:id="rId354" xr:uid="{43936D6D-1653-46E2-A729-4A0D944DF5D4}"/>
    <hyperlink ref="F254" r:id="rId355" xr:uid="{210B459B-7859-4A55-87EF-AB730D744330}"/>
    <hyperlink ref="C255" r:id="rId356" xr:uid="{D2A0BAE0-26D1-45EC-AD3E-FF07201DC87E}"/>
  </hyperlinks>
  <pageMargins left="0.511811024" right="0.511811024" top="0.78740157499999996" bottom="0.78740157499999996" header="0.31496062000000002" footer="0.31496062000000002"/>
  <pageSetup paperSize="9" orientation="portrait" r:id="rId35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0C0C-96F4-4C95-9C81-7A3D4C33DAAC}">
  <dimension ref="A1:AF19"/>
  <sheetViews>
    <sheetView topLeftCell="A2" workbookViewId="0">
      <selection activeCell="D22" sqref="D22"/>
    </sheetView>
  </sheetViews>
  <sheetFormatPr defaultRowHeight="15"/>
  <cols>
    <col min="1" max="1" width="8" style="13" bestFit="1" customWidth="1"/>
    <col min="2" max="2" width="26.7109375" style="13" bestFit="1" customWidth="1"/>
    <col min="3" max="3" width="30.85546875" style="13" bestFit="1" customWidth="1"/>
    <col min="4" max="4" width="14.7109375" style="13" bestFit="1" customWidth="1"/>
    <col min="5" max="5" width="17.85546875" style="13" bestFit="1" customWidth="1"/>
    <col min="6" max="6" width="27.7109375" style="13" bestFit="1" customWidth="1"/>
    <col min="7" max="7" width="22.28515625" style="13" bestFit="1" customWidth="1"/>
    <col min="8" max="8" width="8" style="13" bestFit="1" customWidth="1"/>
    <col min="9" max="9" width="15" style="13" bestFit="1" customWidth="1"/>
    <col min="10" max="10" width="13.28515625" style="13" bestFit="1" customWidth="1"/>
    <col min="11" max="11" width="16.85546875" style="13" bestFit="1" customWidth="1"/>
    <col min="12" max="12" width="7.28515625" style="13" bestFit="1" customWidth="1"/>
    <col min="13" max="13" width="13.7109375" style="13" bestFit="1" customWidth="1"/>
    <col min="14" max="14" width="34.5703125" style="13" bestFit="1" customWidth="1"/>
    <col min="15" max="15" width="13.140625" style="13" bestFit="1" customWidth="1"/>
    <col min="16" max="16" width="10.140625" style="13" bestFit="1" customWidth="1"/>
    <col min="17" max="17" width="9.85546875" style="13" bestFit="1" customWidth="1"/>
    <col min="18" max="18" width="7.5703125" style="13" bestFit="1" customWidth="1"/>
    <col min="19" max="19" width="39.85546875" style="13" bestFit="1" customWidth="1"/>
    <col min="20" max="20" width="18.42578125" style="13" bestFit="1" customWidth="1"/>
    <col min="21" max="21" width="18.42578125" style="13" hidden="1" customWidth="1"/>
    <col min="22" max="22" width="2" style="13" hidden="1" customWidth="1"/>
    <col min="23" max="24" width="10.5703125" style="13" hidden="1" customWidth="1"/>
    <col min="25" max="27" width="9.140625" style="13"/>
    <col min="28" max="28" width="12.5703125" style="13" hidden="1" customWidth="1"/>
    <col min="29" max="30" width="10.5703125" style="13" hidden="1" customWidth="1"/>
    <col min="31" max="31" width="0" style="13" hidden="1" customWidth="1"/>
    <col min="32" max="16384" width="9.140625" style="13"/>
  </cols>
  <sheetData>
    <row r="1" spans="1:32" ht="25.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60" t="s">
        <v>7</v>
      </c>
      <c r="I1" s="59" t="s">
        <v>8</v>
      </c>
      <c r="J1" s="61" t="s">
        <v>9</v>
      </c>
      <c r="K1" s="59" t="s">
        <v>10</v>
      </c>
      <c r="L1" s="59" t="s">
        <v>11</v>
      </c>
      <c r="M1" s="60" t="s">
        <v>12</v>
      </c>
      <c r="N1" s="60" t="s">
        <v>13</v>
      </c>
      <c r="O1" s="63" t="s">
        <v>14</v>
      </c>
      <c r="P1" s="63" t="s">
        <v>15</v>
      </c>
      <c r="Q1" s="60" t="s">
        <v>16</v>
      </c>
      <c r="R1" s="60" t="s">
        <v>17</v>
      </c>
      <c r="S1" s="60" t="s">
        <v>18</v>
      </c>
      <c r="T1" s="60" t="s">
        <v>19</v>
      </c>
    </row>
    <row r="2" spans="1:32">
      <c r="A2" s="13" t="s">
        <v>20</v>
      </c>
      <c r="B2" s="13" t="s">
        <v>50</v>
      </c>
      <c r="C2" s="66" t="s">
        <v>25</v>
      </c>
      <c r="D2" s="67" t="s">
        <v>51</v>
      </c>
      <c r="E2" s="13" t="s">
        <v>24</v>
      </c>
      <c r="F2" s="66" t="s">
        <v>25</v>
      </c>
      <c r="G2" s="67" t="s">
        <v>44</v>
      </c>
      <c r="H2" s="67" t="s">
        <v>27</v>
      </c>
      <c r="I2" s="67" t="s">
        <v>55</v>
      </c>
      <c r="J2" s="68" t="s">
        <v>56</v>
      </c>
      <c r="K2" s="67" t="s">
        <v>53</v>
      </c>
      <c r="L2" s="67" t="s">
        <v>57</v>
      </c>
      <c r="M2" s="67" t="s">
        <v>49</v>
      </c>
      <c r="N2" s="67" t="s">
        <v>33</v>
      </c>
      <c r="O2" s="70">
        <v>43978</v>
      </c>
      <c r="P2" s="69" t="s">
        <v>572</v>
      </c>
      <c r="Q2" s="71" t="s">
        <v>581</v>
      </c>
      <c r="R2" s="67"/>
      <c r="S2" s="67" t="s">
        <v>776</v>
      </c>
      <c r="T2" s="13" t="s">
        <v>771</v>
      </c>
    </row>
    <row r="3" spans="1:32">
      <c r="A3" s="13" t="s">
        <v>20</v>
      </c>
      <c r="B3" s="13" t="s">
        <v>316</v>
      </c>
      <c r="C3" s="66" t="s">
        <v>317</v>
      </c>
      <c r="D3" s="67" t="s">
        <v>328</v>
      </c>
      <c r="E3" s="13" t="s">
        <v>316</v>
      </c>
      <c r="F3" s="66" t="s">
        <v>317</v>
      </c>
      <c r="G3" s="67" t="s">
        <v>318</v>
      </c>
      <c r="H3" s="67" t="s">
        <v>334</v>
      </c>
      <c r="I3" s="67" t="s">
        <v>52</v>
      </c>
      <c r="J3" s="68" t="s">
        <v>359</v>
      </c>
      <c r="K3" s="67" t="s">
        <v>53</v>
      </c>
      <c r="L3" s="67" t="s">
        <v>54</v>
      </c>
      <c r="M3" s="75" t="s">
        <v>360</v>
      </c>
      <c r="N3" s="67" t="s">
        <v>169</v>
      </c>
      <c r="O3" s="69">
        <v>43999</v>
      </c>
      <c r="P3" s="70">
        <f>IFERROR(VLOOKUP(J3,'Obs Tecnicas'!$D$2:$I$320,5,0),O3)</f>
        <v>43999</v>
      </c>
      <c r="Q3" s="69" t="str">
        <f ca="1">IF(P3&lt;&gt;"",IF(P3+365&gt;TODAY(),"Calibrado","Vencido"),"")</f>
        <v>Vencido</v>
      </c>
      <c r="R3" s="71" t="str">
        <f>IFERROR(VLOOKUP(J3,'Obs Tecnicas'!$D$2:$G$340,2,0),"")</f>
        <v/>
      </c>
      <c r="S3" s="67"/>
      <c r="T3" s="13" t="s">
        <v>771</v>
      </c>
      <c r="V3" s="13">
        <f>IF(P3&lt;&gt;"",MONTH(P3),"")</f>
        <v>6</v>
      </c>
      <c r="W3" s="72">
        <f>VLOOKUP(I3,Planilha1!$AB$2:$AD$10,2,0)</f>
        <v>178.434</v>
      </c>
      <c r="X3" s="72">
        <f>VLOOKUP(I3,Planilha1!$AB$2:$AD$10,3,0)</f>
        <v>318.94200000000001</v>
      </c>
    </row>
    <row r="4" spans="1:32">
      <c r="A4" s="13" t="s">
        <v>20</v>
      </c>
      <c r="B4" s="13" t="s">
        <v>778</v>
      </c>
      <c r="C4" s="66" t="s">
        <v>777</v>
      </c>
      <c r="D4" s="67"/>
      <c r="E4" s="13" t="s">
        <v>432</v>
      </c>
      <c r="F4" s="66" t="s">
        <v>433</v>
      </c>
      <c r="G4" s="67" t="s">
        <v>434</v>
      </c>
      <c r="H4" s="67" t="s">
        <v>27</v>
      </c>
      <c r="I4" s="67" t="s">
        <v>34</v>
      </c>
      <c r="J4" s="68" t="s">
        <v>747</v>
      </c>
      <c r="K4" s="67" t="s">
        <v>35</v>
      </c>
      <c r="L4" s="67" t="s">
        <v>36</v>
      </c>
      <c r="M4" s="67" t="s">
        <v>32</v>
      </c>
      <c r="N4" s="67" t="s">
        <v>169</v>
      </c>
      <c r="O4" s="69">
        <v>43875</v>
      </c>
      <c r="P4" s="70">
        <f>IFERROR(VLOOKUP(J4,'Obs Tecnicas'!$D$2:$I$320,5,0),O4)</f>
        <v>44407</v>
      </c>
      <c r="Q4" s="69" t="str">
        <f ca="1">IF(P4&lt;&gt;"",IF(P4+365&gt;TODAY(),"Calibrado","Vencido"),"")</f>
        <v>Calibrado</v>
      </c>
      <c r="R4" s="71">
        <f>IFERROR(VLOOKUP(J4,'Obs Tecnicas'!$D$2:$G$340,2,0),"")</f>
        <v>13316</v>
      </c>
      <c r="S4" s="67"/>
      <c r="T4" s="13" t="s">
        <v>771</v>
      </c>
      <c r="V4" s="13">
        <f>IF(P4&lt;&gt;"",MONTH(P4),"")</f>
        <v>7</v>
      </c>
      <c r="W4" s="72">
        <f>VLOOKUP(I4,Planilha1!$AB$2:$AD$10,2,0)</f>
        <v>101.655</v>
      </c>
      <c r="X4" s="72">
        <f>VLOOKUP(I4,Planilha1!$AB$2:$AD$10,3,0)</f>
        <v>195.22799999999998</v>
      </c>
    </row>
    <row r="5" spans="1:32">
      <c r="A5" s="13" t="s">
        <v>20</v>
      </c>
      <c r="B5" s="13" t="s">
        <v>778</v>
      </c>
      <c r="C5" s="66" t="s">
        <v>777</v>
      </c>
      <c r="D5" s="67"/>
      <c r="E5" s="13" t="s">
        <v>432</v>
      </c>
      <c r="F5" s="66" t="s">
        <v>433</v>
      </c>
      <c r="G5" s="67" t="s">
        <v>434</v>
      </c>
      <c r="H5" s="67" t="s">
        <v>27</v>
      </c>
      <c r="I5" s="67" t="s">
        <v>76</v>
      </c>
      <c r="J5" s="68" t="s">
        <v>748</v>
      </c>
      <c r="K5" s="67" t="s">
        <v>77</v>
      </c>
      <c r="L5" s="75" t="s">
        <v>78</v>
      </c>
      <c r="M5" s="67" t="s">
        <v>32</v>
      </c>
      <c r="N5" s="67" t="s">
        <v>169</v>
      </c>
      <c r="O5" s="69">
        <v>43978</v>
      </c>
      <c r="P5" s="70">
        <f>IFERROR(VLOOKUP(J5,'Obs Tecnicas'!$D$2:$I$320,5,0),O5)</f>
        <v>44407</v>
      </c>
      <c r="Q5" s="69" t="str">
        <f ca="1">IF(P5&lt;&gt;"",IF(P5+365&gt;TODAY(),"Calibrado","Vencido"),"")</f>
        <v>Calibrado</v>
      </c>
      <c r="R5" s="71">
        <f>IFERROR(VLOOKUP(J5,'Obs Tecnicas'!$D$2:$G$340,2,0),"")</f>
        <v>1331</v>
      </c>
      <c r="S5" s="67"/>
      <c r="T5" s="13" t="s">
        <v>771</v>
      </c>
      <c r="V5" s="13">
        <f>IF(P5&lt;&gt;"",MONTH(P5),"")</f>
        <v>7</v>
      </c>
      <c r="W5" s="72">
        <f>VLOOKUP(I5,Planilha1!$AB$2:$AD$10,2,0)</f>
        <v>101.655</v>
      </c>
      <c r="X5" s="72">
        <f>VLOOKUP(I5,Planilha1!$AB$2:$AD$10,3,0)</f>
        <v>195.22799999999998</v>
      </c>
    </row>
    <row r="6" spans="1:32">
      <c r="A6" s="13" t="s">
        <v>20</v>
      </c>
      <c r="B6" s="13" t="s">
        <v>366</v>
      </c>
      <c r="C6" s="66" t="s">
        <v>367</v>
      </c>
      <c r="D6" s="67" t="s">
        <v>368</v>
      </c>
      <c r="E6" s="13" t="s">
        <v>364</v>
      </c>
      <c r="F6" s="66" t="s">
        <v>362</v>
      </c>
      <c r="G6" s="67" t="s">
        <v>365</v>
      </c>
      <c r="H6" s="67" t="s">
        <v>27</v>
      </c>
      <c r="I6" s="67" t="s">
        <v>76</v>
      </c>
      <c r="J6" s="68" t="s">
        <v>722</v>
      </c>
      <c r="K6" s="67" t="s">
        <v>77</v>
      </c>
      <c r="L6" s="75" t="s">
        <v>78</v>
      </c>
      <c r="M6" s="67" t="s">
        <v>369</v>
      </c>
      <c r="N6" s="67" t="s">
        <v>169</v>
      </c>
      <c r="O6" s="69">
        <v>43977</v>
      </c>
      <c r="P6" s="70">
        <f>IFERROR(VLOOKUP(J6,'Obs Tecnicas'!$D$2:$I$320,5,0),O6)</f>
        <v>43977</v>
      </c>
      <c r="Q6" s="69" t="str">
        <f ca="1">IF(P6&lt;&gt;"",IF(P6+365&gt;TODAY(),"Calibrado","Vencido"),"")</f>
        <v>Vencido</v>
      </c>
      <c r="R6" s="71" t="str">
        <f>IFERROR(VLOOKUP(J6,'Obs Tecnicas'!$D$2:$G$340,2,0),"")</f>
        <v/>
      </c>
      <c r="S6" s="67"/>
      <c r="T6" s="13" t="s">
        <v>771</v>
      </c>
      <c r="V6" s="13">
        <f>IF(P6&lt;&gt;"",MONTH(P6),"")</f>
        <v>5</v>
      </c>
      <c r="W6" s="72" t="e">
        <f>VLOOKUP(I6,$AB$6:$AD$6,2,0)</f>
        <v>#N/A</v>
      </c>
      <c r="X6" s="72" t="e">
        <f>VLOOKUP(I6,$AB$6:$AD$6,3,0)</f>
        <v>#N/A</v>
      </c>
      <c r="AB6" s="65" t="s">
        <v>55</v>
      </c>
      <c r="AC6" s="64">
        <v>237.20400000000001</v>
      </c>
      <c r="AD6" s="64">
        <v>232.416</v>
      </c>
    </row>
    <row r="7" spans="1:32">
      <c r="A7" s="13" t="s">
        <v>20</v>
      </c>
      <c r="B7" s="13" t="s">
        <v>457</v>
      </c>
      <c r="C7" s="66" t="s">
        <v>458</v>
      </c>
      <c r="D7" s="67" t="s">
        <v>459</v>
      </c>
      <c r="E7" s="13" t="s">
        <v>460</v>
      </c>
      <c r="F7" s="66" t="s">
        <v>461</v>
      </c>
      <c r="G7" s="67" t="s">
        <v>462</v>
      </c>
      <c r="H7" s="67" t="s">
        <v>27</v>
      </c>
      <c r="I7" s="67" t="s">
        <v>34</v>
      </c>
      <c r="J7" s="68" t="s">
        <v>769</v>
      </c>
      <c r="K7" s="67" t="s">
        <v>47</v>
      </c>
      <c r="L7" s="67" t="s">
        <v>468</v>
      </c>
      <c r="M7" s="67" t="s">
        <v>463</v>
      </c>
      <c r="N7" s="67" t="s">
        <v>33</v>
      </c>
      <c r="O7" s="69">
        <v>44007</v>
      </c>
      <c r="P7" s="70">
        <f>IFERROR(VLOOKUP(J7,'Obs Tecnicas'!$D$2:$I$320,5,0),O7)</f>
        <v>44007</v>
      </c>
      <c r="Q7" s="69" t="str">
        <f ca="1">IF(P7&lt;&gt;"",IF(P7+365&gt;TODAY(),"Calibrado","Vencido"),"")</f>
        <v>Vencido</v>
      </c>
      <c r="R7" s="71" t="str">
        <f>IFERROR(VLOOKUP(J7,'Obs Tecnicas'!$D$2:$G$340,2,0),"")</f>
        <v/>
      </c>
      <c r="S7" s="67"/>
      <c r="T7" s="13" t="s">
        <v>771</v>
      </c>
      <c r="V7" s="13">
        <f>IF(P7&lt;&gt;"",MONTH(P7),"")</f>
        <v>6</v>
      </c>
      <c r="W7" s="72">
        <f>VLOOKUP(I7,Planilha1!$AB$2:$AD$10,2,0)</f>
        <v>101.655</v>
      </c>
      <c r="X7" s="72">
        <f>VLOOKUP(I7,Planilha1!$AB$2:$AD$10,3,0)</f>
        <v>195.22799999999998</v>
      </c>
    </row>
    <row r="8" spans="1:32">
      <c r="A8" s="13" t="s">
        <v>20</v>
      </c>
      <c r="B8" s="13" t="s">
        <v>799</v>
      </c>
      <c r="C8" s="66" t="s">
        <v>798</v>
      </c>
      <c r="D8" s="3" t="s">
        <v>800</v>
      </c>
      <c r="E8" s="13" t="s">
        <v>786</v>
      </c>
      <c r="F8" s="66" t="s">
        <v>787</v>
      </c>
      <c r="G8" s="67" t="s">
        <v>318</v>
      </c>
      <c r="H8" s="67" t="s">
        <v>324</v>
      </c>
      <c r="I8" s="67" t="s">
        <v>79</v>
      </c>
      <c r="J8" s="68">
        <v>6247637</v>
      </c>
      <c r="K8" s="67" t="s">
        <v>77</v>
      </c>
      <c r="L8" s="67" t="s">
        <v>80</v>
      </c>
      <c r="M8" s="67" t="s">
        <v>326</v>
      </c>
      <c r="N8" s="67" t="s">
        <v>327</v>
      </c>
      <c r="P8" s="70">
        <v>44022</v>
      </c>
      <c r="Q8" s="69" t="s">
        <v>572</v>
      </c>
      <c r="R8" s="67" t="s">
        <v>582</v>
      </c>
      <c r="S8" s="67" t="s">
        <v>581</v>
      </c>
      <c r="T8" s="13" t="s">
        <v>771</v>
      </c>
    </row>
    <row r="9" spans="1:32">
      <c r="A9" s="13" t="s">
        <v>20</v>
      </c>
      <c r="B9" s="13" t="s">
        <v>799</v>
      </c>
      <c r="C9" s="66" t="s">
        <v>798</v>
      </c>
      <c r="D9" t="s">
        <v>800</v>
      </c>
      <c r="E9" s="13" t="s">
        <v>786</v>
      </c>
      <c r="F9" s="66" t="s">
        <v>323</v>
      </c>
      <c r="G9" s="67" t="s">
        <v>318</v>
      </c>
      <c r="H9" s="67" t="s">
        <v>324</v>
      </c>
      <c r="I9" s="67" t="s">
        <v>52</v>
      </c>
      <c r="J9" s="68" t="s">
        <v>325</v>
      </c>
      <c r="K9" s="67" t="s">
        <v>53</v>
      </c>
      <c r="L9" s="67" t="s">
        <v>86</v>
      </c>
      <c r="M9" s="67" t="s">
        <v>326</v>
      </c>
      <c r="N9" s="67" t="s">
        <v>327</v>
      </c>
      <c r="O9" s="69">
        <v>43805</v>
      </c>
      <c r="P9" s="70">
        <f>IFERROR(VLOOKUP(J9,'Obs Tecnicas'!$D$2:$I$320,5,0),O9)</f>
        <v>43805</v>
      </c>
      <c r="Q9" s="69" t="str">
        <f t="shared" ref="Q9:Q14" ca="1" si="0">IF(P9&lt;&gt;"",IF(P9+365&gt;TODAY(),"Calibrado","Vencido"),"")</f>
        <v>Vencido</v>
      </c>
      <c r="R9" s="67" t="str">
        <f>IFERROR(VLOOKUP(J9,'Obs Tecnicas'!$D$2:$G$344,3,0),"Hexis")</f>
        <v>Hexis</v>
      </c>
      <c r="T9" s="13" t="s">
        <v>771</v>
      </c>
      <c r="U9" s="13" t="s">
        <v>550</v>
      </c>
      <c r="V9" s="13">
        <f t="shared" ref="V9:V14" si="1">IF(P9&lt;&gt;"",MONTH(P9),"")</f>
        <v>12</v>
      </c>
      <c r="W9" s="72">
        <f>VLOOKUP(I9,Planilha1!$AB$2:$AD$10,2,0)</f>
        <v>178.434</v>
      </c>
      <c r="X9" s="72">
        <f>VLOOKUP(I9,Planilha1!$AB$2:$AD$10,3,0)</f>
        <v>318.94200000000001</v>
      </c>
      <c r="AE9" s="13" t="s">
        <v>806</v>
      </c>
    </row>
    <row r="10" spans="1:32">
      <c r="A10" s="13" t="s">
        <v>20</v>
      </c>
      <c r="B10" s="13" t="s">
        <v>162</v>
      </c>
      <c r="C10" s="66" t="s">
        <v>163</v>
      </c>
      <c r="D10" s="67" t="s">
        <v>137</v>
      </c>
      <c r="E10" s="13" t="s">
        <v>138</v>
      </c>
      <c r="F10" s="66" t="s">
        <v>139</v>
      </c>
      <c r="G10" s="67" t="s">
        <v>132</v>
      </c>
      <c r="H10" s="67" t="s">
        <v>27</v>
      </c>
      <c r="I10" s="67" t="s">
        <v>79</v>
      </c>
      <c r="J10" s="68" t="s">
        <v>639</v>
      </c>
      <c r="K10" s="67" t="s">
        <v>77</v>
      </c>
      <c r="L10" s="67" t="s">
        <v>80</v>
      </c>
      <c r="M10" s="67" t="s">
        <v>87</v>
      </c>
      <c r="N10" s="67" t="s">
        <v>169</v>
      </c>
      <c r="O10" s="69">
        <v>44068</v>
      </c>
      <c r="P10" s="70">
        <f>IFERROR(VLOOKUP(J10,'Obs Tecnicas'!$D$2:$I$320,5,0),O10)</f>
        <v>44068</v>
      </c>
      <c r="Q10" s="69" t="str">
        <f t="shared" ca="1" si="0"/>
        <v>Calibrado</v>
      </c>
      <c r="R10" s="71" t="str">
        <f>IFERROR(VLOOKUP(J10,'Obs Tecnicas'!$D$2:$G$340,2,0),"")</f>
        <v/>
      </c>
      <c r="S10" s="67" t="str">
        <f>IFERROR(VLOOKUP(J10,'Obs Tecnicas'!$D$2:$G$344,3,0),"Hexis")</f>
        <v>Hexis</v>
      </c>
      <c r="T10" s="13" t="s">
        <v>771</v>
      </c>
      <c r="U10" s="13" t="s">
        <v>464</v>
      </c>
      <c r="V10" s="13">
        <f t="shared" si="1"/>
        <v>8</v>
      </c>
      <c r="W10" s="72">
        <f>VLOOKUP(I10,Planilha1!$AB$2:$AD$10,2,0)</f>
        <v>101.655</v>
      </c>
      <c r="X10" s="72">
        <f>VLOOKUP(I10,Planilha1!$AB$2:$AD$10,3,0)</f>
        <v>390.45599999999996</v>
      </c>
      <c r="AE10" s="13" t="s">
        <v>806</v>
      </c>
    </row>
    <row r="11" spans="1:32">
      <c r="A11" s="13" t="s">
        <v>20</v>
      </c>
      <c r="B11" s="13" t="s">
        <v>162</v>
      </c>
      <c r="C11" s="66" t="s">
        <v>163</v>
      </c>
      <c r="D11" s="67" t="s">
        <v>137</v>
      </c>
      <c r="E11" s="13" t="s">
        <v>138</v>
      </c>
      <c r="F11" s="66" t="s">
        <v>139</v>
      </c>
      <c r="G11" s="67" t="s">
        <v>132</v>
      </c>
      <c r="H11" s="67" t="s">
        <v>27</v>
      </c>
      <c r="I11" s="67" t="s">
        <v>34</v>
      </c>
      <c r="J11" s="68" t="s">
        <v>641</v>
      </c>
      <c r="K11" s="67" t="s">
        <v>94</v>
      </c>
      <c r="L11" s="67" t="s">
        <v>123</v>
      </c>
      <c r="M11" s="67" t="s">
        <v>87</v>
      </c>
      <c r="N11" s="67" t="s">
        <v>165</v>
      </c>
      <c r="O11" s="69">
        <v>44147</v>
      </c>
      <c r="P11" s="70">
        <f>IFERROR(VLOOKUP(J11,'Obs Tecnicas'!$D$2:$I$320,5,0),O11)</f>
        <v>44147</v>
      </c>
      <c r="Q11" s="69" t="str">
        <f t="shared" ca="1" si="0"/>
        <v>Calibrado</v>
      </c>
      <c r="R11" s="71" t="str">
        <f>IFERROR(VLOOKUP(J11,'Obs Tecnicas'!$D$2:$G$340,2,0),"")</f>
        <v/>
      </c>
      <c r="S11" s="67" t="str">
        <f>IFERROR(VLOOKUP(J11,'Obs Tecnicas'!$D$2:$G$344,3,0),"Hexis")</f>
        <v>Hexis</v>
      </c>
      <c r="T11" s="13" t="s">
        <v>771</v>
      </c>
      <c r="U11" s="13" t="s">
        <v>464</v>
      </c>
      <c r="V11" s="13">
        <f t="shared" si="1"/>
        <v>11</v>
      </c>
      <c r="W11" s="72">
        <f>VLOOKUP(I11,Planilha1!$AB$2:$AD$10,2,0)</f>
        <v>101.655</v>
      </c>
      <c r="X11" s="72">
        <f>VLOOKUP(I11,Planilha1!$AB$2:$AD$10,3,0)</f>
        <v>195.22799999999998</v>
      </c>
      <c r="AE11" s="13" t="s">
        <v>806</v>
      </c>
    </row>
    <row r="12" spans="1:32" s="76" customFormat="1">
      <c r="A12" s="13" t="s">
        <v>20</v>
      </c>
      <c r="B12" s="13" t="s">
        <v>162</v>
      </c>
      <c r="C12" s="66" t="s">
        <v>163</v>
      </c>
      <c r="D12" s="67" t="s">
        <v>137</v>
      </c>
      <c r="E12" s="13" t="s">
        <v>138</v>
      </c>
      <c r="F12" s="66" t="s">
        <v>139</v>
      </c>
      <c r="G12" s="67" t="s">
        <v>132</v>
      </c>
      <c r="H12" s="67" t="s">
        <v>27</v>
      </c>
      <c r="I12" s="67" t="s">
        <v>76</v>
      </c>
      <c r="J12" s="68" t="s">
        <v>642</v>
      </c>
      <c r="K12" s="67" t="s">
        <v>94</v>
      </c>
      <c r="L12" s="67" t="s">
        <v>95</v>
      </c>
      <c r="M12" s="67" t="s">
        <v>87</v>
      </c>
      <c r="N12" s="67" t="s">
        <v>165</v>
      </c>
      <c r="O12" s="69">
        <v>44259</v>
      </c>
      <c r="P12" s="70">
        <f>IFERROR(VLOOKUP(J12,'Obs Tecnicas'!$D$2:$I$320,5,0),O12)</f>
        <v>44259</v>
      </c>
      <c r="Q12" s="69" t="str">
        <f t="shared" ca="1" si="0"/>
        <v>Calibrado</v>
      </c>
      <c r="R12" s="71" t="str">
        <f>IFERROR(VLOOKUP(J12,'Obs Tecnicas'!$D$2:$G$340,2,0),"")</f>
        <v/>
      </c>
      <c r="S12" s="67" t="str">
        <f>IFERROR(VLOOKUP(J12,'Obs Tecnicas'!$D$2:$G$344,3,0),"Hexis")</f>
        <v>Hexis</v>
      </c>
      <c r="T12" s="13" t="s">
        <v>771</v>
      </c>
      <c r="U12" s="13" t="s">
        <v>464</v>
      </c>
      <c r="V12" s="13">
        <f t="shared" si="1"/>
        <v>3</v>
      </c>
      <c r="W12" s="72">
        <f>VLOOKUP(I12,Planilha1!$AB$2:$AD$10,2,0)</f>
        <v>101.655</v>
      </c>
      <c r="X12" s="72">
        <f>VLOOKUP(I12,Planilha1!$AB$2:$AD$10,3,0)</f>
        <v>195.22799999999998</v>
      </c>
      <c r="AE12" s="13" t="s">
        <v>806</v>
      </c>
    </row>
    <row r="13" spans="1:32">
      <c r="A13" s="77" t="s">
        <v>20</v>
      </c>
      <c r="B13" s="77" t="s">
        <v>331</v>
      </c>
      <c r="C13" s="66" t="s">
        <v>332</v>
      </c>
      <c r="D13" s="67" t="s">
        <v>333</v>
      </c>
      <c r="E13" s="13" t="s">
        <v>316</v>
      </c>
      <c r="F13" s="66" t="s">
        <v>317</v>
      </c>
      <c r="G13" s="67" t="s">
        <v>318</v>
      </c>
      <c r="H13" s="67" t="s">
        <v>334</v>
      </c>
      <c r="I13" s="75" t="s">
        <v>52</v>
      </c>
      <c r="J13" s="68" t="s">
        <v>335</v>
      </c>
      <c r="K13" s="67" t="s">
        <v>53</v>
      </c>
      <c r="L13" s="67" t="s">
        <v>86</v>
      </c>
      <c r="M13" s="75" t="s">
        <v>336</v>
      </c>
      <c r="N13" s="75" t="s">
        <v>337</v>
      </c>
      <c r="O13" s="69">
        <v>44369</v>
      </c>
      <c r="P13" s="70">
        <f>IFERROR(VLOOKUP(J13,'Obs Tecnicas'!$D$2:$I$320,5,0),O13)</f>
        <v>44369</v>
      </c>
      <c r="Q13" s="69" t="str">
        <f t="shared" ca="1" si="0"/>
        <v>Calibrado</v>
      </c>
      <c r="R13" s="71" t="str">
        <f>IFERROR(VLOOKUP(J13,'Obs Tecnicas'!$D$2:$G$340,2,0),"")</f>
        <v/>
      </c>
      <c r="S13" s="67" t="str">
        <f>IFERROR(VLOOKUP(J13,'Obs Tecnicas'!$D$2:$G$344,3,0),"Hexis")</f>
        <v>Hexis</v>
      </c>
      <c r="T13" s="13" t="s">
        <v>771</v>
      </c>
      <c r="U13" s="13" t="s">
        <v>550</v>
      </c>
      <c r="V13" s="13">
        <f t="shared" si="1"/>
        <v>6</v>
      </c>
      <c r="W13" s="72">
        <f>VLOOKUP(I13,Planilha1!$AB$2:$AD$10,2,0)</f>
        <v>178.434</v>
      </c>
      <c r="X13" s="72">
        <f>VLOOKUP(I13,Planilha1!$AB$2:$AD$10,3,0)</f>
        <v>318.94200000000001</v>
      </c>
      <c r="AE13" s="13" t="s">
        <v>806</v>
      </c>
    </row>
    <row r="14" spans="1:32">
      <c r="A14" s="13" t="s">
        <v>20</v>
      </c>
      <c r="B14" s="13" t="s">
        <v>331</v>
      </c>
      <c r="C14" s="66" t="s">
        <v>332</v>
      </c>
      <c r="D14" s="67" t="s">
        <v>333</v>
      </c>
      <c r="E14" s="13" t="s">
        <v>316</v>
      </c>
      <c r="F14" s="66" t="s">
        <v>317</v>
      </c>
      <c r="G14" s="67" t="s">
        <v>318</v>
      </c>
      <c r="H14" s="67" t="s">
        <v>334</v>
      </c>
      <c r="I14" s="67" t="s">
        <v>79</v>
      </c>
      <c r="J14" s="68" t="s">
        <v>703</v>
      </c>
      <c r="K14" s="67" t="s">
        <v>77</v>
      </c>
      <c r="L14" s="67" t="s">
        <v>80</v>
      </c>
      <c r="M14" s="75" t="s">
        <v>336</v>
      </c>
      <c r="N14" s="67" t="s">
        <v>337</v>
      </c>
      <c r="O14" s="69">
        <v>44369</v>
      </c>
      <c r="P14" s="70">
        <f>IFERROR(VLOOKUP(J14,'Obs Tecnicas'!$D$2:$I$320,5,0),O14)</f>
        <v>44369</v>
      </c>
      <c r="Q14" s="69" t="str">
        <f t="shared" ca="1" si="0"/>
        <v>Calibrado</v>
      </c>
      <c r="R14" s="71" t="str">
        <f>IFERROR(VLOOKUP(J14,'Obs Tecnicas'!$D$2:$G$340,2,0),"")</f>
        <v/>
      </c>
      <c r="S14" s="67" t="str">
        <f>IFERROR(VLOOKUP(J14,'Obs Tecnicas'!$D$2:$G$344,3,0),"Hexis")</f>
        <v>Hexis</v>
      </c>
      <c r="T14" s="13" t="s">
        <v>771</v>
      </c>
      <c r="U14" s="13" t="s">
        <v>550</v>
      </c>
      <c r="V14" s="13">
        <f t="shared" si="1"/>
        <v>6</v>
      </c>
      <c r="W14" s="72">
        <f>VLOOKUP(I14,Planilha1!$AB$2:$AD$10,2,0)</f>
        <v>101.655</v>
      </c>
      <c r="X14" s="72">
        <f>VLOOKUP(I14,Planilha1!$AB$2:$AD$10,3,0)</f>
        <v>390.45599999999996</v>
      </c>
      <c r="AE14" s="13" t="s">
        <v>806</v>
      </c>
    </row>
    <row r="15" spans="1:32">
      <c r="A15" s="13" t="s">
        <v>20</v>
      </c>
      <c r="B15" s="13" t="s">
        <v>331</v>
      </c>
      <c r="C15" s="66" t="s">
        <v>332</v>
      </c>
      <c r="D15" s="67" t="s">
        <v>333</v>
      </c>
      <c r="E15" s="13" t="s">
        <v>316</v>
      </c>
      <c r="F15" s="66" t="s">
        <v>317</v>
      </c>
      <c r="G15" s="67" t="s">
        <v>318</v>
      </c>
      <c r="H15" s="67" t="s">
        <v>334</v>
      </c>
      <c r="I15" s="67" t="s">
        <v>79</v>
      </c>
      <c r="J15" s="68" t="s">
        <v>705</v>
      </c>
      <c r="K15" s="67" t="s">
        <v>77</v>
      </c>
      <c r="L15" s="67" t="s">
        <v>80</v>
      </c>
      <c r="M15" s="75" t="s">
        <v>336</v>
      </c>
      <c r="N15" s="67" t="s">
        <v>337</v>
      </c>
      <c r="O15" s="70">
        <v>44369</v>
      </c>
      <c r="P15" s="69" t="s">
        <v>572</v>
      </c>
      <c r="Q15" s="71" t="s">
        <v>581</v>
      </c>
      <c r="R15" s="67" t="s">
        <v>582</v>
      </c>
      <c r="S15" s="67" t="s">
        <v>581</v>
      </c>
      <c r="T15" s="13" t="s">
        <v>771</v>
      </c>
    </row>
    <row r="16" spans="1:32" s="86" customFormat="1">
      <c r="A16" s="13" t="s">
        <v>20</v>
      </c>
      <c r="B16" s="13" t="s">
        <v>805</v>
      </c>
      <c r="C16" s="66" t="s">
        <v>804</v>
      </c>
      <c r="D16" s="67" t="s">
        <v>444</v>
      </c>
      <c r="E16" s="13" t="s">
        <v>301</v>
      </c>
      <c r="F16" s="66" t="s">
        <v>302</v>
      </c>
      <c r="G16" s="67" t="s">
        <v>434</v>
      </c>
      <c r="H16" s="67" t="s">
        <v>191</v>
      </c>
      <c r="I16" s="67" t="s">
        <v>45</v>
      </c>
      <c r="J16" s="68" t="s">
        <v>751</v>
      </c>
      <c r="K16" s="67" t="s">
        <v>53</v>
      </c>
      <c r="L16" s="67" t="s">
        <v>72</v>
      </c>
      <c r="M16" s="67" t="s">
        <v>446</v>
      </c>
      <c r="N16" s="67" t="s">
        <v>447</v>
      </c>
      <c r="O16" s="69">
        <v>44040</v>
      </c>
      <c r="P16" s="70">
        <f>IFERROR(VLOOKUP(J16,'Obs Tecnicas'!$D$2:$I$320,5,0),O16)</f>
        <v>44040</v>
      </c>
      <c r="Q16" s="69" t="str">
        <f ca="1">IF(P16&lt;&gt;"",IF(P16+365&gt;TODAY(),"Calibrado","Vencido"),"")</f>
        <v>Vencido</v>
      </c>
      <c r="R16" s="71" t="str">
        <f>IFERROR(VLOOKUP(J16,'Obs Tecnicas'!$D$2:$G$340,2,0),"")</f>
        <v/>
      </c>
      <c r="S16" s="67" t="str">
        <f>IFERROR(VLOOKUP(J16,'Obs Tecnicas'!$D$2:$G$344,3,0),"Hexis")</f>
        <v>Hexis</v>
      </c>
      <c r="T16" s="67" t="str">
        <f>IFERROR(VLOOKUP(J16,'Obs Tecnicas'!$D$2:$G$344,4,0),"")</f>
        <v/>
      </c>
      <c r="U16" s="13" t="s">
        <v>464</v>
      </c>
      <c r="V16" s="13">
        <f>IF(P16&lt;&gt;"",MONTH(P16),"")</f>
        <v>7</v>
      </c>
      <c r="W16" s="72">
        <f>VLOOKUP(I16,Planilha1!$AB$2:$AD$10,2,0)</f>
        <v>420.44400000000002</v>
      </c>
      <c r="X16" s="72">
        <f>VLOOKUP(I16,Planilha1!$AB$2:$AD$10,3,0)</f>
        <v>385.26299999999998</v>
      </c>
      <c r="AE16" s="13" t="s">
        <v>807</v>
      </c>
      <c r="AF16" s="104">
        <v>44404</v>
      </c>
    </row>
    <row r="17" spans="1:32">
      <c r="A17" s="13" t="s">
        <v>20</v>
      </c>
      <c r="B17" s="13" t="s">
        <v>361</v>
      </c>
      <c r="C17" s="66" t="s">
        <v>362</v>
      </c>
      <c r="D17" s="67" t="s">
        <v>363</v>
      </c>
      <c r="E17" s="13" t="s">
        <v>364</v>
      </c>
      <c r="F17" s="66" t="s">
        <v>362</v>
      </c>
      <c r="G17" s="67" t="s">
        <v>365</v>
      </c>
      <c r="H17" s="67" t="s">
        <v>27</v>
      </c>
      <c r="I17" s="67" t="s">
        <v>52</v>
      </c>
      <c r="J17" s="68" t="s">
        <v>724</v>
      </c>
      <c r="K17" s="67" t="s">
        <v>53</v>
      </c>
      <c r="L17" s="67" t="s">
        <v>54</v>
      </c>
      <c r="M17" s="67" t="s">
        <v>149</v>
      </c>
      <c r="N17" s="67" t="s">
        <v>169</v>
      </c>
      <c r="O17" s="69">
        <v>43978</v>
      </c>
      <c r="P17" s="70">
        <f>IFERROR(VLOOKUP(J17,'Obs Tecnicas'!$D$2:$I$320,5,0),O17)</f>
        <v>43978</v>
      </c>
      <c r="Q17" s="69" t="str">
        <f ca="1">IF(P17&lt;&gt;"",IF(P17+365&gt;TODAY(),"Calibrado","Vencido"),"")</f>
        <v>Vencido</v>
      </c>
      <c r="R17" s="71" t="str">
        <f>IFERROR(VLOOKUP(J17,'Obs Tecnicas'!$D$2:$G$340,2,0),"")</f>
        <v/>
      </c>
      <c r="S17" s="67" t="str">
        <f>IFERROR(VLOOKUP(J17,'Obs Tecnicas'!$D$2:$G$344,3,0),"Hexis")</f>
        <v>Hexis</v>
      </c>
      <c r="T17" s="67" t="str">
        <f>IFERROR(VLOOKUP(J17,'Obs Tecnicas'!$D$2:$G$344,4,0),"")</f>
        <v/>
      </c>
      <c r="U17" s="13" t="s">
        <v>785</v>
      </c>
      <c r="V17" s="13">
        <f>IF(P17&lt;&gt;"",MONTH(P17),"")</f>
        <v>5</v>
      </c>
      <c r="W17" s="72">
        <f>VLOOKUP(I17,Planilha1!$AB$2:$AD$10,2,0)</f>
        <v>178.434</v>
      </c>
      <c r="X17" s="72">
        <f>VLOOKUP(I17,Planilha1!$AB$2:$AD$10,3,0)</f>
        <v>318.94200000000001</v>
      </c>
      <c r="AF17" s="104"/>
    </row>
    <row r="18" spans="1:32">
      <c r="A18" s="13" t="s">
        <v>20</v>
      </c>
      <c r="B18" s="13" t="s">
        <v>361</v>
      </c>
      <c r="C18" s="66" t="s">
        <v>362</v>
      </c>
      <c r="D18" s="67" t="s">
        <v>363</v>
      </c>
      <c r="E18" s="13" t="s">
        <v>364</v>
      </c>
      <c r="F18" s="66" t="s">
        <v>362</v>
      </c>
      <c r="G18" s="67" t="s">
        <v>365</v>
      </c>
      <c r="H18" s="67" t="s">
        <v>27</v>
      </c>
      <c r="I18" s="67" t="s">
        <v>76</v>
      </c>
      <c r="J18" s="68" t="s">
        <v>725</v>
      </c>
      <c r="K18" s="67" t="s">
        <v>94</v>
      </c>
      <c r="L18" s="67" t="s">
        <v>374</v>
      </c>
      <c r="M18" s="67" t="s">
        <v>149</v>
      </c>
      <c r="N18" s="67" t="s">
        <v>169</v>
      </c>
      <c r="O18" s="69">
        <v>43979</v>
      </c>
      <c r="P18" s="70">
        <f>IFERROR(VLOOKUP(J18,'Obs Tecnicas'!$D$2:$I$320,5,0),O18)</f>
        <v>43979</v>
      </c>
      <c r="Q18" s="69" t="str">
        <f ca="1">IF(P18&lt;&gt;"",IF(P18+365&gt;TODAY(),"Calibrado","Vencido"),"")</f>
        <v>Vencido</v>
      </c>
      <c r="R18" s="71" t="str">
        <f>IFERROR(VLOOKUP(J18,'Obs Tecnicas'!$D$2:$G$340,2,0),"")</f>
        <v/>
      </c>
      <c r="S18" s="67" t="str">
        <f>IFERROR(VLOOKUP(J18,'Obs Tecnicas'!$D$2:$G$344,3,0),"Hexis")</f>
        <v>Hexis</v>
      </c>
      <c r="T18" s="67" t="str">
        <f>IFERROR(VLOOKUP(J18,'Obs Tecnicas'!$D$2:$G$344,4,0),"")</f>
        <v/>
      </c>
      <c r="U18" s="13" t="s">
        <v>785</v>
      </c>
      <c r="V18" s="13">
        <f>IF(P18&lt;&gt;"",MONTH(P18),"")</f>
        <v>5</v>
      </c>
      <c r="W18" s="72">
        <f>VLOOKUP(I18,Planilha1!$AB$2:$AD$10,2,0)</f>
        <v>101.655</v>
      </c>
      <c r="X18" s="72">
        <f>VLOOKUP(I18,Planilha1!$AB$2:$AD$10,3,0)</f>
        <v>195.22799999999998</v>
      </c>
      <c r="AF18" s="104"/>
    </row>
    <row r="19" spans="1:32">
      <c r="A19" s="13" t="s">
        <v>20</v>
      </c>
      <c r="B19" s="13" t="s">
        <v>21</v>
      </c>
      <c r="C19" s="66" t="s">
        <v>22</v>
      </c>
      <c r="D19" s="67" t="s">
        <v>23</v>
      </c>
      <c r="E19" s="13" t="s">
        <v>24</v>
      </c>
      <c r="F19" s="66" t="s">
        <v>25</v>
      </c>
      <c r="G19" s="67" t="s">
        <v>26</v>
      </c>
      <c r="H19" s="67" t="s">
        <v>27</v>
      </c>
      <c r="I19" s="67" t="s">
        <v>76</v>
      </c>
      <c r="J19" s="68" t="s">
        <v>38</v>
      </c>
      <c r="K19" s="67" t="s">
        <v>39</v>
      </c>
      <c r="L19" s="67" t="s">
        <v>40</v>
      </c>
      <c r="M19" s="67" t="s">
        <v>32</v>
      </c>
      <c r="N19" s="67" t="s">
        <v>33</v>
      </c>
      <c r="O19" s="69">
        <v>44306</v>
      </c>
      <c r="P19" s="70">
        <f>IFERROR(VLOOKUP(J19,'Obs Tecnicas'!$D$2:$I$320,5,0),O19)</f>
        <v>44306</v>
      </c>
      <c r="Q19" s="69" t="str">
        <f ca="1">IF(P19&lt;&gt;"",IF(P19+365&gt;TODAY(),"Calibrado","Vencido"),"")</f>
        <v>Calibrado</v>
      </c>
      <c r="R19" s="71" t="str">
        <f>IFERROR(VLOOKUP(J19,'Obs Tecnicas'!$D$2:$G$340,2,0),"")</f>
        <v/>
      </c>
      <c r="S19" s="67" t="str">
        <f>IFERROR(VLOOKUP(J19,'Obs Tecnicas'!$D$2:$G$344,3,0),"Hexis")</f>
        <v>Hexis</v>
      </c>
      <c r="T19" s="67" t="str">
        <f>IFERROR(VLOOKUP(J19,'Obs Tecnicas'!$D$2:$G$344,4,0),"")</f>
        <v/>
      </c>
      <c r="V19" s="13">
        <f>IF(P19&lt;&gt;"",MONTH(P19),"")</f>
        <v>4</v>
      </c>
      <c r="W19" s="72">
        <f>VLOOKUP(I19,Planilha1!$AB$2:$AD$10,2,0)</f>
        <v>101.655</v>
      </c>
      <c r="X19" s="72">
        <f>VLOOKUP(I19,Planilha1!$AB$2:$AD$10,3,0)</f>
        <v>195.22799999999998</v>
      </c>
      <c r="AF19" s="104"/>
    </row>
  </sheetData>
  <sheetProtection algorithmName="SHA-512" hashValue="tZzBu+ZyseVA22rA8dxoWxe6xbEq74NKpmqfTmmWp2VfeCph33OLMHcKLqSFZw5wYlqJQeTCXWwhmXiRSqarSg==" saltValue="rfPgpVBAdlTs2Hz1avZCAg==" spinCount="100000" sheet="1" objects="1" scenarios="1"/>
  <conditionalFormatting sqref="P2">
    <cfRule type="expression" dxfId="116" priority="99">
      <formula>IF(O2&lt;=TODAY()-365,TRUE)</formula>
    </cfRule>
    <cfRule type="expression" dxfId="115" priority="100">
      <formula>IF(O2&lt;(TODAY())-320,TRUE)</formula>
    </cfRule>
    <cfRule type="expression" dxfId="114" priority="101">
      <formula>IF(O2&lt;(TODAY())+0,TRUE)</formula>
    </cfRule>
  </conditionalFormatting>
  <conditionalFormatting sqref="O3">
    <cfRule type="expression" dxfId="113" priority="96">
      <formula>IF(O3&lt;=TODAY()-365,TRUE)</formula>
    </cfRule>
    <cfRule type="expression" dxfId="112" priority="97">
      <formula>IF(O3&lt;(TODAY())-320,TRUE)</formula>
    </cfRule>
    <cfRule type="expression" dxfId="111" priority="98">
      <formula>IF(O3&lt;(TODAY())+0,TRUE)</formula>
    </cfRule>
  </conditionalFormatting>
  <conditionalFormatting sqref="Q3">
    <cfRule type="expression" dxfId="110" priority="93">
      <formula>IF(P3&lt;=TODAY()-365,TRUE)</formula>
    </cfRule>
    <cfRule type="expression" dxfId="109" priority="94">
      <formula>IF(P3&lt;(TODAY())-320,TRUE)</formula>
    </cfRule>
    <cfRule type="expression" dxfId="108" priority="95">
      <formula>IF(P3&lt;(TODAY())+0,TRUE)</formula>
    </cfRule>
  </conditionalFormatting>
  <conditionalFormatting sqref="O4:O5">
    <cfRule type="expression" dxfId="107" priority="84">
      <formula>IF(O4&lt;=TODAY()-365,TRUE)</formula>
    </cfRule>
    <cfRule type="expression" dxfId="106" priority="85">
      <formula>IF(O4&lt;(TODAY())-320,TRUE)</formula>
    </cfRule>
    <cfRule type="expression" dxfId="105" priority="86">
      <formula>IF(O4&lt;(TODAY())+0,TRUE)</formula>
    </cfRule>
  </conditionalFormatting>
  <conditionalFormatting sqref="Q4:Q5">
    <cfRule type="expression" dxfId="104" priority="81">
      <formula>IF(P4&lt;=TODAY()-365,TRUE)</formula>
    </cfRule>
    <cfRule type="expression" dxfId="103" priority="82">
      <formula>IF(P4&lt;(TODAY())-320,TRUE)</formula>
    </cfRule>
    <cfRule type="expression" dxfId="102" priority="83">
      <formula>IF(P4&lt;(TODAY())+0,TRUE)</formula>
    </cfRule>
  </conditionalFormatting>
  <conditionalFormatting sqref="O6">
    <cfRule type="expression" dxfId="101" priority="78">
      <formula>IF(O6&lt;=TODAY()-365,TRUE)</formula>
    </cfRule>
    <cfRule type="expression" dxfId="100" priority="79">
      <formula>IF(O6&lt;(TODAY())-320,TRUE)</formula>
    </cfRule>
    <cfRule type="expression" dxfId="99" priority="80">
      <formula>IF(O6&lt;(TODAY())+0,TRUE)</formula>
    </cfRule>
  </conditionalFormatting>
  <conditionalFormatting sqref="Q6">
    <cfRule type="expression" dxfId="98" priority="75">
      <formula>IF(P6&lt;=TODAY()-365,TRUE)</formula>
    </cfRule>
    <cfRule type="expression" dxfId="97" priority="76">
      <formula>IF(P6&lt;(TODAY())-320,TRUE)</formula>
    </cfRule>
    <cfRule type="expression" dxfId="96" priority="77">
      <formula>IF(P6&lt;(TODAY())+0,TRUE)</formula>
    </cfRule>
  </conditionalFormatting>
  <conditionalFormatting sqref="O7">
    <cfRule type="expression" dxfId="95" priority="72">
      <formula>IF(O7&lt;=TODAY()-365,TRUE)</formula>
    </cfRule>
    <cfRule type="expression" dxfId="94" priority="73">
      <formula>IF(O7&lt;(TODAY())-320,TRUE)</formula>
    </cfRule>
    <cfRule type="expression" dxfId="93" priority="74">
      <formula>IF(O7&lt;(TODAY())+0,TRUE)</formula>
    </cfRule>
  </conditionalFormatting>
  <conditionalFormatting sqref="Q7">
    <cfRule type="expression" dxfId="92" priority="69">
      <formula>IF(P7&lt;=TODAY()-365,TRUE)</formula>
    </cfRule>
    <cfRule type="expression" dxfId="91" priority="70">
      <formula>IF(P7&lt;(TODAY())-320,TRUE)</formula>
    </cfRule>
    <cfRule type="expression" dxfId="90" priority="71">
      <formula>IF(P7&lt;(TODAY())+0,TRUE)</formula>
    </cfRule>
  </conditionalFormatting>
  <conditionalFormatting sqref="Q8">
    <cfRule type="expression" dxfId="89" priority="66">
      <formula>IF(P8&lt;=TODAY()-365,TRUE)</formula>
    </cfRule>
    <cfRule type="expression" dxfId="88" priority="67">
      <formula>IF(P8&lt;(TODAY())-320,TRUE)</formula>
    </cfRule>
    <cfRule type="expression" dxfId="87" priority="68">
      <formula>IF(P8&lt;(TODAY())+0,TRUE)</formula>
    </cfRule>
  </conditionalFormatting>
  <conditionalFormatting sqref="Q9">
    <cfRule type="expression" dxfId="86" priority="63">
      <formula>IF(P9&lt;=TODAY()-365,TRUE)</formula>
    </cfRule>
    <cfRule type="expression" dxfId="85" priority="64">
      <formula>IF(P9&lt;(TODAY())-320,TRUE)</formula>
    </cfRule>
    <cfRule type="expression" dxfId="84" priority="65">
      <formula>IF(P9&lt;(TODAY())+0,TRUE)</formula>
    </cfRule>
  </conditionalFormatting>
  <conditionalFormatting sqref="O9">
    <cfRule type="expression" dxfId="83" priority="60">
      <formula>IF(O9&lt;=TODAY()-365,TRUE)</formula>
    </cfRule>
    <cfRule type="expression" dxfId="82" priority="61">
      <formula>IF(O9&lt;(TODAY())-320,TRUE)</formula>
    </cfRule>
    <cfRule type="expression" dxfId="81" priority="62">
      <formula>IF(O9&lt;(TODAY())+0,TRUE)</formula>
    </cfRule>
  </conditionalFormatting>
  <conditionalFormatting sqref="O10">
    <cfRule type="expression" dxfId="80" priority="57">
      <formula>IF(O10&lt;=TODAY()-365,TRUE)</formula>
    </cfRule>
    <cfRule type="expression" dxfId="79" priority="58">
      <formula>IF(O10&lt;(TODAY())-320,TRUE)</formula>
    </cfRule>
    <cfRule type="expression" dxfId="78" priority="59">
      <formula>IF(O10&lt;(TODAY())+0,TRUE)</formula>
    </cfRule>
  </conditionalFormatting>
  <conditionalFormatting sqref="Q10">
    <cfRule type="expression" dxfId="77" priority="54">
      <formula>IF(P10&lt;=TODAY()-365,TRUE)</formula>
    </cfRule>
    <cfRule type="expression" dxfId="76" priority="55">
      <formula>IF(P10&lt;(TODAY())-320,TRUE)</formula>
    </cfRule>
    <cfRule type="expression" dxfId="75" priority="56">
      <formula>IF(P10&lt;(TODAY())+0,TRUE)</formula>
    </cfRule>
  </conditionalFormatting>
  <conditionalFormatting sqref="O11:O12">
    <cfRule type="expression" dxfId="74" priority="51">
      <formula>IF(O11&lt;=TODAY()-365,TRUE)</formula>
    </cfRule>
    <cfRule type="expression" dxfId="73" priority="52">
      <formula>IF(O11&lt;(TODAY())-320,TRUE)</formula>
    </cfRule>
    <cfRule type="expression" dxfId="72" priority="53">
      <formula>IF(O11&lt;(TODAY())+0,TRUE)</formula>
    </cfRule>
  </conditionalFormatting>
  <conditionalFormatting sqref="Q11:Q12">
    <cfRule type="expression" dxfId="71" priority="48">
      <formula>IF(P11&lt;=TODAY()-365,TRUE)</formula>
    </cfRule>
    <cfRule type="expression" dxfId="70" priority="49">
      <formula>IF(P11&lt;(TODAY())-320,TRUE)</formula>
    </cfRule>
    <cfRule type="expression" dxfId="69" priority="50">
      <formula>IF(P11&lt;(TODAY())+0,TRUE)</formula>
    </cfRule>
  </conditionalFormatting>
  <conditionalFormatting sqref="O13">
    <cfRule type="expression" dxfId="68" priority="45">
      <formula>IF(O13&lt;=TODAY()-365,TRUE)</formula>
    </cfRule>
    <cfRule type="expression" dxfId="67" priority="46">
      <formula>IF(O13&lt;(TODAY())-320,TRUE)</formula>
    </cfRule>
    <cfRule type="expression" dxfId="66" priority="47">
      <formula>IF(O13&lt;(TODAY())+0,TRUE)</formula>
    </cfRule>
  </conditionalFormatting>
  <conditionalFormatting sqref="Q13">
    <cfRule type="expression" dxfId="65" priority="42">
      <formula>IF(P13&lt;=TODAY()-365,TRUE)</formula>
    </cfRule>
    <cfRule type="expression" dxfId="64" priority="43">
      <formula>IF(P13&lt;(TODAY())-320,TRUE)</formula>
    </cfRule>
    <cfRule type="expression" dxfId="63" priority="44">
      <formula>IF(P13&lt;(TODAY())+0,TRUE)</formula>
    </cfRule>
  </conditionalFormatting>
  <conditionalFormatting sqref="O14">
    <cfRule type="expression" dxfId="62" priority="39">
      <formula>IF(O14&lt;=TODAY()-365,TRUE)</formula>
    </cfRule>
    <cfRule type="expression" dxfId="61" priority="40">
      <formula>IF(O14&lt;(TODAY())-320,TRUE)</formula>
    </cfRule>
    <cfRule type="expression" dxfId="60" priority="41">
      <formula>IF(O14&lt;(TODAY())+0,TRUE)</formula>
    </cfRule>
  </conditionalFormatting>
  <conditionalFormatting sqref="Q14">
    <cfRule type="expression" dxfId="59" priority="36">
      <formula>IF(P14&lt;=TODAY()-365,TRUE)</formula>
    </cfRule>
    <cfRule type="expression" dxfId="58" priority="37">
      <formula>IF(P14&lt;(TODAY())-320,TRUE)</formula>
    </cfRule>
    <cfRule type="expression" dxfId="57" priority="38">
      <formula>IF(P14&lt;(TODAY())+0,TRUE)</formula>
    </cfRule>
  </conditionalFormatting>
  <conditionalFormatting sqref="P15">
    <cfRule type="expression" dxfId="56" priority="33">
      <formula>IF(O15&lt;=TODAY()-365,TRUE)</formula>
    </cfRule>
    <cfRule type="expression" dxfId="55" priority="34">
      <formula>IF(O15&lt;(TODAY())-320,TRUE)</formula>
    </cfRule>
    <cfRule type="expression" dxfId="54" priority="35">
      <formula>IF(O15&lt;(TODAY())+0,TRUE)</formula>
    </cfRule>
  </conditionalFormatting>
  <conditionalFormatting sqref="Q16">
    <cfRule type="expression" dxfId="53" priority="24">
      <formula>IF(P16&lt;=TODAY()-365,TRUE)</formula>
    </cfRule>
    <cfRule type="expression" dxfId="52" priority="25">
      <formula>IF(P16&lt;(TODAY())-320,TRUE)</formula>
    </cfRule>
    <cfRule type="expression" dxfId="51" priority="26">
      <formula>IF(P16&lt;(TODAY())+0,TRUE)</formula>
    </cfRule>
  </conditionalFormatting>
  <conditionalFormatting sqref="O16">
    <cfRule type="expression" dxfId="50" priority="21">
      <formula>IF(O16&lt;=TODAY()-365,TRUE)</formula>
    </cfRule>
    <cfRule type="expression" dxfId="49" priority="22">
      <formula>IF(O16&lt;(TODAY())-320,TRUE)</formula>
    </cfRule>
    <cfRule type="expression" dxfId="48" priority="23">
      <formula>IF(O16&lt;(TODAY())+0,TRUE)</formula>
    </cfRule>
  </conditionalFormatting>
  <conditionalFormatting sqref="Q17">
    <cfRule type="expression" dxfId="47" priority="17">
      <formula>IF(P17&lt;=TODAY()-365,TRUE)</formula>
    </cfRule>
    <cfRule type="expression" dxfId="46" priority="18">
      <formula>IF(P17&lt;(TODAY())-320,TRUE)</formula>
    </cfRule>
    <cfRule type="expression" dxfId="45" priority="19">
      <formula>IF(P17&lt;(TODAY())+0,TRUE)</formula>
    </cfRule>
  </conditionalFormatting>
  <conditionalFormatting sqref="O17">
    <cfRule type="expression" dxfId="44" priority="14">
      <formula>IF(O17&lt;=TODAY()-365,TRUE)</formula>
    </cfRule>
    <cfRule type="expression" dxfId="43" priority="15">
      <formula>IF(O17&lt;(TODAY())-320,TRUE)</formula>
    </cfRule>
    <cfRule type="expression" dxfId="42" priority="16">
      <formula>IF(O17&lt;(TODAY())+0,TRUE)</formula>
    </cfRule>
  </conditionalFormatting>
  <conditionalFormatting sqref="K17:N17 E17:I17 B17:C1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">
    <cfRule type="expression" dxfId="41" priority="10">
      <formula>IF(P18&lt;=TODAY()-365,TRUE)</formula>
    </cfRule>
    <cfRule type="expression" dxfId="40" priority="11">
      <formula>IF(P18&lt;(TODAY())-320,TRUE)</formula>
    </cfRule>
    <cfRule type="expression" dxfId="39" priority="12">
      <formula>IF(P18&lt;(TODAY())+0,TRUE)</formula>
    </cfRule>
  </conditionalFormatting>
  <conditionalFormatting sqref="O18">
    <cfRule type="expression" dxfId="38" priority="7">
      <formula>IF(O18&lt;=TODAY()-365,TRUE)</formula>
    </cfRule>
    <cfRule type="expression" dxfId="37" priority="8">
      <formula>IF(O18&lt;(TODAY())-320,TRUE)</formula>
    </cfRule>
    <cfRule type="expression" dxfId="36" priority="9">
      <formula>IF(O18&lt;(TODAY())+0,TRUE)</formula>
    </cfRule>
  </conditionalFormatting>
  <conditionalFormatting sqref="E18:F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">
    <cfRule type="expression" dxfId="35" priority="4">
      <formula>IF(O19&lt;=TODAY()-365,TRUE)</formula>
    </cfRule>
    <cfRule type="expression" dxfId="34" priority="5">
      <formula>IF(O19&lt;(TODAY())-320,TRUE)</formula>
    </cfRule>
    <cfRule type="expression" dxfId="33" priority="6">
      <formula>IF(O19&lt;(TODAY())+0,TRUE)</formula>
    </cfRule>
  </conditionalFormatting>
  <conditionalFormatting sqref="Q19">
    <cfRule type="expression" dxfId="32" priority="1">
      <formula>IF(P19&lt;=TODAY()-365,TRUE)</formula>
    </cfRule>
    <cfRule type="expression" dxfId="31" priority="2">
      <formula>IF(P19&lt;(TODAY())-320,TRUE)</formula>
    </cfRule>
    <cfRule type="expression" dxfId="30" priority="3">
      <formula>IF(P19&lt;(TODAY())+0,TRUE)</formula>
    </cfRule>
  </conditionalFormatting>
  <dataValidations count="2">
    <dataValidation type="list" allowBlank="1" showInputMessage="1" showErrorMessage="1" sqref="T1:T7" xr:uid="{5EB0B4DD-2F42-4818-B2DF-C1CF8994D35C}">
      <formula1>"ADICIONADO,REALIZADO,DESATIVADO, NÃO ENCONTRADO,AGENDADO,SEM RETORNO DO OWNER"</formula1>
    </dataValidation>
    <dataValidation type="list" allowBlank="1" showInputMessage="1" showErrorMessage="1" sqref="U3:U7 U9:U14 T8:T15 U16:U19" xr:uid="{E05A0DD8-F81F-4396-8A5A-B60E4C406C8F}">
      <formula1>"ADICIONADO,REALIZADO,DESATIVADO, NÃO ENCONTRADO,AGENDADO,SEM RETORNO DO OWNER,EM CONTATO"</formula1>
    </dataValidation>
  </dataValidations>
  <hyperlinks>
    <hyperlink ref="F2" r:id="rId1" display="an.santos@suez.com" xr:uid="{5C4F5F69-48C3-4EA3-A135-AE24486D3036}"/>
    <hyperlink ref="C3" r:id="rId2" xr:uid="{08E646A8-AAE1-4CD9-8892-5FCABBDEB612}"/>
    <hyperlink ref="F3" r:id="rId3" xr:uid="{10E8A467-2630-4EA6-9105-0A5327982B80}"/>
    <hyperlink ref="C4" r:id="rId4" xr:uid="{163DA96C-67BF-42E0-932B-A066DD1FB74C}"/>
    <hyperlink ref="C5" r:id="rId5" xr:uid="{5E253386-AF11-4BDC-ABD9-D9C67190B4E5}"/>
    <hyperlink ref="F4" r:id="rId6" xr:uid="{0701BC52-4940-4B48-B213-3DA05F475985}"/>
    <hyperlink ref="F5" r:id="rId7" xr:uid="{A42CCDA9-CD3E-44FA-92E6-41D4C3C770AD}"/>
    <hyperlink ref="F6" r:id="rId8" xr:uid="{D7C242CB-2D93-4D1E-9007-C7ADF903F2C2}"/>
    <hyperlink ref="C6" r:id="rId9" xr:uid="{3F9CCA66-ED3D-4DF2-9A4E-8415E822FCD1}"/>
    <hyperlink ref="F8" r:id="rId10" xr:uid="{92752436-FE5C-42F0-9CC6-D296518A46FF}"/>
    <hyperlink ref="C8" r:id="rId11" xr:uid="{798AE511-9DFB-475E-A7ED-A22CEB2079C0}"/>
    <hyperlink ref="C9" r:id="rId12" xr:uid="{A1A8B591-0D57-403E-895B-4B32E5D4967A}"/>
    <hyperlink ref="F10" r:id="rId13" xr:uid="{9E5BFD85-3305-40AF-91CF-5664FC2A095D}"/>
    <hyperlink ref="C11" r:id="rId14" xr:uid="{0530BC42-D677-4B9B-8151-86C654CD69FA}"/>
    <hyperlink ref="C12" r:id="rId15" display="rafaela.gomes@suez.com" xr:uid="{28A3272E-A87E-4456-A7EB-6D335D86E71B}"/>
    <hyperlink ref="F11" r:id="rId16" xr:uid="{F9A6EA9F-D433-471D-915F-D95AED44E8B0}"/>
    <hyperlink ref="F12" r:id="rId17" xr:uid="{A0F2E7C3-E05C-47E8-AECC-635613C39D66}"/>
    <hyperlink ref="C13" r:id="rId18" xr:uid="{4B4244FC-C361-47A5-ABEF-E2C51442E786}"/>
    <hyperlink ref="F13" r:id="rId19" xr:uid="{5AC86BF7-BBF7-48F0-BAA5-D44C98387C2C}"/>
    <hyperlink ref="F14" r:id="rId20" display="marcelo.soto@suez.com" xr:uid="{BA8A7EC2-6D1F-4FFC-8164-1778B107653D}"/>
    <hyperlink ref="C14" r:id="rId21" xr:uid="{D60D2601-5E70-4947-8E87-CAC2E8A4747C}"/>
    <hyperlink ref="F15" r:id="rId22" display="marcelo.soto@suez.com" xr:uid="{AA82C8AD-3E34-44E9-BF5C-6FF2F35BF67B}"/>
    <hyperlink ref="C16" r:id="rId23" xr:uid="{2CF6A76A-D09F-4627-BFE9-EC9B14F13360}"/>
    <hyperlink ref="F16" r:id="rId24" xr:uid="{314606C8-417E-408F-8576-865F2ACC86F5}"/>
    <hyperlink ref="C17" r:id="rId25" display="hugo.cavalcante@suez.com" xr:uid="{82EE5FC1-AF9B-4850-BE0C-007A91A51CEC}"/>
    <hyperlink ref="C18" r:id="rId26" xr:uid="{02C23B4E-A2BA-4148-9E32-C794BDDE83F6}"/>
    <hyperlink ref="C19" r:id="rId27" xr:uid="{B4CBBBB7-5B1D-4D05-AD15-86ABB6B43B7B}"/>
    <hyperlink ref="F19" r:id="rId28" display="an.santos@suez.com" xr:uid="{C5612DA1-60E9-460A-9DAA-971A832A3E35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596C-8E06-46F9-86A0-19DF1D157ED0}">
  <dimension ref="A1:J271"/>
  <sheetViews>
    <sheetView workbookViewId="0">
      <selection activeCell="C18" sqref="C18"/>
    </sheetView>
  </sheetViews>
  <sheetFormatPr defaultRowHeight="15"/>
  <cols>
    <col min="1" max="1" width="22.28515625" style="3" bestFit="1" customWidth="1"/>
    <col min="2" max="2" width="14" bestFit="1" customWidth="1"/>
    <col min="3" max="3" width="11.140625" customWidth="1"/>
    <col min="7" max="7" width="22.28515625" bestFit="1" customWidth="1"/>
    <col min="8" max="8" width="28.85546875" bestFit="1" customWidth="1"/>
    <col min="9" max="9" width="17.7109375" bestFit="1" customWidth="1"/>
    <col min="10" max="10" width="16.42578125" bestFit="1" customWidth="1"/>
    <col min="11" max="14" width="3" bestFit="1" customWidth="1"/>
    <col min="15" max="15" width="10.7109375" bestFit="1" customWidth="1"/>
    <col min="16" max="16" width="25.140625" bestFit="1" customWidth="1"/>
    <col min="17" max="17" width="13.85546875" bestFit="1" customWidth="1"/>
    <col min="18" max="18" width="17" bestFit="1" customWidth="1"/>
    <col min="19" max="19" width="18.42578125" bestFit="1" customWidth="1"/>
    <col min="20" max="20" width="21.7109375" bestFit="1" customWidth="1"/>
    <col min="21" max="21" width="15.5703125" bestFit="1" customWidth="1"/>
    <col min="22" max="22" width="18.7109375" bestFit="1" customWidth="1"/>
    <col min="23" max="23" width="24.140625" bestFit="1" customWidth="1"/>
    <col min="24" max="24" width="27.28515625" bestFit="1" customWidth="1"/>
    <col min="25" max="25" width="10.7109375" bestFit="1" customWidth="1"/>
  </cols>
  <sheetData>
    <row r="1" spans="1:10" ht="25.5">
      <c r="A1" s="1" t="s">
        <v>6</v>
      </c>
      <c r="B1" s="1" t="s">
        <v>571</v>
      </c>
      <c r="C1" s="1" t="s">
        <v>572</v>
      </c>
      <c r="D1" s="1" t="s">
        <v>573</v>
      </c>
    </row>
    <row r="2" spans="1:10">
      <c r="A2" s="2" t="s">
        <v>26</v>
      </c>
      <c r="B2">
        <f>COUNTIF(Planilha1!$G$2:$G$2505,Distritos!A2)</f>
        <v>3</v>
      </c>
      <c r="C2">
        <f ca="1">COUNTIFS(Planilha1!$G$2:$G$2505,Distritos!A2,Planilha1!$Q$2:$Q$2505,Distritos!$C$1)</f>
        <v>3</v>
      </c>
      <c r="D2" s="3">
        <f ca="1">COUNTIFS(Planilha1!$G$2:$G$2505,Distritos!A2,Planilha1!$Q$2:$Q$2505,Distritos!$D$1)</f>
        <v>0</v>
      </c>
    </row>
    <row r="3" spans="1:10">
      <c r="A3" s="2" t="s">
        <v>44</v>
      </c>
      <c r="B3" s="3">
        <f>COUNTIF(Planilha1!$G$2:$G$2505,Distritos!A3)</f>
        <v>22</v>
      </c>
      <c r="C3" s="3">
        <f ca="1">COUNTIFS(Planilha1!$G$2:$G$2505,Distritos!A3,Planilha1!$Q$2:$Q$2505,Distritos!$C$1)</f>
        <v>22</v>
      </c>
      <c r="D3" s="3">
        <f ca="1">COUNTIFS(Planilha1!$G$2:$G$2505,Distritos!A3,Planilha1!$Q$2:$Q$2505,Distritos!$D$1)</f>
        <v>0</v>
      </c>
      <c r="G3" s="5" t="s">
        <v>574</v>
      </c>
      <c r="H3" s="3" t="s">
        <v>576</v>
      </c>
      <c r="I3" s="3" t="s">
        <v>577</v>
      </c>
      <c r="J3" s="3" t="s">
        <v>578</v>
      </c>
    </row>
    <row r="4" spans="1:10">
      <c r="A4" s="2" t="s">
        <v>84</v>
      </c>
      <c r="B4" s="3">
        <f>COUNTIF(Planilha1!$G$2:$G$2505,Distritos!A4)</f>
        <v>31</v>
      </c>
      <c r="C4" s="3">
        <f ca="1">COUNTIFS(Planilha1!$G$2:$G$2505,Distritos!A4,Planilha1!$Q$2:$Q$2505,Distritos!$C$1)</f>
        <v>7</v>
      </c>
      <c r="D4" s="3">
        <f ca="1">COUNTIFS(Planilha1!$G$2:$G$2505,Distritos!A4,Planilha1!$Q$2:$Q$2505,Distritos!$D$1)</f>
        <v>24</v>
      </c>
      <c r="G4" s="4" t="s">
        <v>26</v>
      </c>
      <c r="H4" s="6">
        <v>3</v>
      </c>
      <c r="I4" s="6">
        <v>3</v>
      </c>
      <c r="J4" s="6">
        <v>0</v>
      </c>
    </row>
    <row r="5" spans="1:10">
      <c r="A5" s="2" t="s">
        <v>132</v>
      </c>
      <c r="B5" s="3">
        <f>COUNTIF(Planilha1!$G$2:$G$2505,Distritos!A5)</f>
        <v>21</v>
      </c>
      <c r="C5" s="3">
        <f ca="1">COUNTIFS(Planilha1!$G$2:$G$2505,Distritos!A5,Planilha1!$Q$2:$Q$2505,Distritos!$C$1)</f>
        <v>21</v>
      </c>
      <c r="D5" s="3">
        <f ca="1">COUNTIFS(Planilha1!$G$2:$G$2505,Distritos!A5,Planilha1!$Q$2:$Q$2505,Distritos!$D$1)</f>
        <v>0</v>
      </c>
      <c r="G5" s="4" t="s">
        <v>44</v>
      </c>
      <c r="H5" s="6">
        <v>18</v>
      </c>
      <c r="I5" s="6">
        <v>17</v>
      </c>
      <c r="J5" s="6">
        <v>1</v>
      </c>
    </row>
    <row r="6" spans="1:10">
      <c r="A6" s="2" t="s">
        <v>177</v>
      </c>
      <c r="B6" s="3">
        <f>COUNTIF(Planilha1!$G$2:$G$2505,Distritos!A6)</f>
        <v>86</v>
      </c>
      <c r="C6" s="3">
        <f ca="1">COUNTIFS(Planilha1!$G$2:$G$2505,Distritos!A6,Planilha1!$Q$2:$Q$2505,Distritos!$C$1)</f>
        <v>63</v>
      </c>
      <c r="D6" s="3">
        <f ca="1">COUNTIFS(Planilha1!$G$2:$G$2505,Distritos!A6,Planilha1!$Q$2:$Q$2505,Distritos!$D$1)</f>
        <v>23</v>
      </c>
      <c r="G6" s="4" t="s">
        <v>84</v>
      </c>
      <c r="H6" s="6">
        <v>31</v>
      </c>
      <c r="I6" s="6">
        <v>28</v>
      </c>
      <c r="J6" s="6">
        <v>3</v>
      </c>
    </row>
    <row r="7" spans="1:10">
      <c r="A7" s="2" t="s">
        <v>318</v>
      </c>
      <c r="B7" s="3">
        <f>COUNTIF(Planilha1!$G$2:$G$2505,Distritos!A7)</f>
        <v>32</v>
      </c>
      <c r="C7" s="3">
        <f ca="1">COUNTIFS(Planilha1!$G$2:$G$2505,Distritos!A7,Planilha1!$Q$2:$Q$2505,Distritos!$C$1)</f>
        <v>18</v>
      </c>
      <c r="D7" s="3">
        <f ca="1">COUNTIFS(Planilha1!$G$2:$G$2505,Distritos!A7,Planilha1!$Q$2:$Q$2505,Distritos!$D$1)</f>
        <v>14</v>
      </c>
      <c r="G7" s="4" t="s">
        <v>132</v>
      </c>
      <c r="H7" s="6">
        <v>27</v>
      </c>
      <c r="I7" s="6">
        <v>27</v>
      </c>
      <c r="J7" s="6">
        <v>0</v>
      </c>
    </row>
    <row r="8" spans="1:10">
      <c r="A8" s="2" t="s">
        <v>365</v>
      </c>
      <c r="B8" s="3">
        <f>COUNTIF(Planilha1!$G$2:$G$2505,Distritos!A8)</f>
        <v>28</v>
      </c>
      <c r="C8" s="3">
        <f ca="1">COUNTIFS(Planilha1!$G$2:$G$2505,Distritos!A8,Planilha1!$Q$2:$Q$2505,Distritos!$C$1)</f>
        <v>25</v>
      </c>
      <c r="D8" s="3">
        <f ca="1">COUNTIFS(Planilha1!$G$2:$G$2505,Distritos!A8,Planilha1!$Q$2:$Q$2505,Distritos!$D$1)</f>
        <v>3</v>
      </c>
      <c r="G8" s="4" t="s">
        <v>177</v>
      </c>
      <c r="H8" s="6">
        <v>87</v>
      </c>
      <c r="I8" s="6">
        <v>76</v>
      </c>
      <c r="J8" s="6">
        <v>11</v>
      </c>
    </row>
    <row r="9" spans="1:10">
      <c r="A9" s="2" t="s">
        <v>434</v>
      </c>
      <c r="B9" s="3">
        <f>COUNTIF(Planilha1!$G$2:$G$2505,Distritos!A9)</f>
        <v>24</v>
      </c>
      <c r="C9" s="3">
        <f ca="1">COUNTIFS(Planilha1!$G$2:$G$2505,Distritos!A9,Planilha1!$Q$2:$Q$2505,Distritos!$C$1)</f>
        <v>24</v>
      </c>
      <c r="D9" s="3">
        <f ca="1">COUNTIFS(Planilha1!$G$2:$G$2505,Distritos!A9,Planilha1!$Q$2:$Q$2505,Distritos!$D$1)</f>
        <v>0</v>
      </c>
      <c r="G9" s="4" t="s">
        <v>318</v>
      </c>
      <c r="H9" s="6">
        <v>38</v>
      </c>
      <c r="I9" s="6">
        <v>34</v>
      </c>
      <c r="J9" s="6">
        <v>4</v>
      </c>
    </row>
    <row r="10" spans="1:10">
      <c r="A10" s="2" t="s">
        <v>462</v>
      </c>
      <c r="B10" s="3">
        <f>COUNTIF(Planilha1!$G$2:$G$2505,Distritos!A10)</f>
        <v>6</v>
      </c>
      <c r="C10" s="3">
        <f ca="1">COUNTIFS(Planilha1!$G$2:$G$2505,Distritos!A10,Planilha1!$Q$2:$Q$2505,Distritos!$C$1)</f>
        <v>6</v>
      </c>
      <c r="D10" s="3">
        <f ca="1">COUNTIFS(Planilha1!$G$2:$G$2505,Distritos!A10,Planilha1!$Q$2:$Q$2505,Distritos!$D$1)</f>
        <v>0</v>
      </c>
      <c r="G10" s="4" t="s">
        <v>365</v>
      </c>
      <c r="H10" s="6">
        <v>31</v>
      </c>
      <c r="I10" s="6">
        <v>31</v>
      </c>
      <c r="J10" s="6">
        <v>0</v>
      </c>
    </row>
    <row r="11" spans="1:10">
      <c r="A11" s="2" t="s">
        <v>567</v>
      </c>
      <c r="B11">
        <f>SUM(B2:B10)</f>
        <v>253</v>
      </c>
      <c r="C11" s="3">
        <f ca="1">SUM(C2:C10)</f>
        <v>189</v>
      </c>
      <c r="D11" s="3">
        <f ca="1">SUM(D2:D10)</f>
        <v>64</v>
      </c>
      <c r="G11" s="4" t="s">
        <v>434</v>
      </c>
      <c r="H11" s="6">
        <v>27</v>
      </c>
      <c r="I11" s="6">
        <v>24</v>
      </c>
      <c r="J11" s="6">
        <v>3</v>
      </c>
    </row>
    <row r="12" spans="1:10">
      <c r="A12"/>
      <c r="G12" s="4" t="s">
        <v>462</v>
      </c>
      <c r="H12" s="6">
        <v>8</v>
      </c>
      <c r="I12" s="6">
        <v>8</v>
      </c>
      <c r="J12" s="6">
        <v>0</v>
      </c>
    </row>
    <row r="13" spans="1:10">
      <c r="A13"/>
      <c r="G13" s="4" t="s">
        <v>575</v>
      </c>
      <c r="H13" s="6">
        <v>270</v>
      </c>
      <c r="I13" s="6">
        <v>248</v>
      </c>
      <c r="J13" s="6">
        <v>22</v>
      </c>
    </row>
    <row r="14" spans="1:10">
      <c r="A14"/>
    </row>
    <row r="15" spans="1:10">
      <c r="A15"/>
    </row>
    <row r="16" spans="1:10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</sheetData>
  <sheetProtection algorithmName="SHA-512" hashValue="JhN99jdVpcPY9I36Mvr/3Bt8W4j0Wa3awUiUVuMqmDWMQ2AMyu2se2EmDVuiYyL8IbDhJIG7g5xiJQQnVqtsMQ==" saltValue="5IIEmECCErztTNMguSrtw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ED3F-C58C-41B6-A92B-4E2C3F80BC8A}">
  <dimension ref="A1:X11"/>
  <sheetViews>
    <sheetView topLeftCell="C1" workbookViewId="0">
      <selection activeCell="L11" sqref="L11"/>
    </sheetView>
  </sheetViews>
  <sheetFormatPr defaultRowHeight="15"/>
  <cols>
    <col min="1" max="1" width="8" style="13" bestFit="1" customWidth="1"/>
    <col min="2" max="2" width="20.28515625" style="13" bestFit="1" customWidth="1"/>
    <col min="3" max="3" width="23.5703125" style="13" bestFit="1" customWidth="1"/>
    <col min="4" max="4" width="14.7109375" style="13" bestFit="1" customWidth="1"/>
    <col min="5" max="5" width="20.28515625" style="13" bestFit="1" customWidth="1"/>
    <col min="6" max="6" width="26.140625" style="13" bestFit="1" customWidth="1"/>
    <col min="7" max="7" width="13.28515625" style="13" bestFit="1" customWidth="1"/>
    <col min="8" max="8" width="8" style="13" bestFit="1" customWidth="1"/>
    <col min="9" max="9" width="15" style="13" bestFit="1" customWidth="1"/>
    <col min="10" max="10" width="8.140625" style="91" bestFit="1" customWidth="1"/>
    <col min="11" max="11" width="6.42578125" style="13" bestFit="1" customWidth="1"/>
    <col min="12" max="12" width="6.5703125" style="13" bestFit="1" customWidth="1"/>
    <col min="13" max="13" width="13.7109375" style="13" bestFit="1" customWidth="1"/>
    <col min="14" max="14" width="8.85546875" style="13" bestFit="1" customWidth="1"/>
    <col min="15" max="15" width="13.140625" style="13" bestFit="1" customWidth="1"/>
    <col min="16" max="16" width="9.85546875" style="13" bestFit="1" customWidth="1"/>
    <col min="17" max="17" width="12.140625" style="13" bestFit="1" customWidth="1"/>
    <col min="18" max="18" width="9.5703125" style="13" bestFit="1" customWidth="1"/>
    <col min="19" max="19" width="12.42578125" style="13" bestFit="1" customWidth="1"/>
    <col min="20" max="20" width="3" style="13" bestFit="1" customWidth="1"/>
    <col min="21" max="16384" width="9.140625" style="13"/>
  </cols>
  <sheetData>
    <row r="1" spans="1:24" ht="25.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60" t="s">
        <v>7</v>
      </c>
      <c r="I1" s="59" t="s">
        <v>8</v>
      </c>
      <c r="J1" s="61" t="s">
        <v>9</v>
      </c>
      <c r="K1" s="59" t="s">
        <v>10</v>
      </c>
      <c r="L1" s="59" t="s">
        <v>11</v>
      </c>
      <c r="M1" s="60" t="s">
        <v>12</v>
      </c>
      <c r="N1" s="60" t="s">
        <v>13</v>
      </c>
      <c r="O1" s="63" t="s">
        <v>772</v>
      </c>
      <c r="P1" s="60" t="s">
        <v>773</v>
      </c>
      <c r="Q1" s="60" t="s">
        <v>17</v>
      </c>
      <c r="R1" s="60" t="s">
        <v>18</v>
      </c>
      <c r="S1" s="60" t="s">
        <v>19</v>
      </c>
      <c r="T1" s="62"/>
    </row>
    <row r="2" spans="1:24">
      <c r="A2" s="13" t="s">
        <v>20</v>
      </c>
      <c r="B2" s="13" t="s">
        <v>429</v>
      </c>
      <c r="C2" s="66" t="s">
        <v>430</v>
      </c>
      <c r="D2" s="67" t="s">
        <v>431</v>
      </c>
      <c r="E2" s="13" t="s">
        <v>432</v>
      </c>
      <c r="F2" s="66" t="s">
        <v>433</v>
      </c>
      <c r="G2" s="67" t="s">
        <v>434</v>
      </c>
      <c r="H2" s="67" t="s">
        <v>27</v>
      </c>
      <c r="I2" s="67" t="s">
        <v>34</v>
      </c>
      <c r="J2" s="68" t="s">
        <v>745</v>
      </c>
      <c r="K2" s="67" t="s">
        <v>35</v>
      </c>
      <c r="L2" s="67" t="s">
        <v>36</v>
      </c>
      <c r="M2" s="67" t="s">
        <v>32</v>
      </c>
      <c r="N2" s="67" t="s">
        <v>435</v>
      </c>
      <c r="O2" s="70">
        <v>44333</v>
      </c>
      <c r="P2" s="71">
        <f t="shared" ref="P2:P11" si="0">IF(O2&lt;&gt;"",MONTH(O2),"")</f>
        <v>5</v>
      </c>
      <c r="Q2" s="67" t="s">
        <v>582</v>
      </c>
      <c r="R2" s="67" t="s">
        <v>581</v>
      </c>
      <c r="S2" s="13" t="s">
        <v>436</v>
      </c>
      <c r="T2" s="13">
        <v>10</v>
      </c>
      <c r="U2" s="13" t="s">
        <v>436</v>
      </c>
      <c r="V2" s="13">
        <f t="shared" ref="V2:V5" si="1">IF(P2&lt;&gt;"",MONTH(P2),"")</f>
        <v>1</v>
      </c>
    </row>
    <row r="3" spans="1:24">
      <c r="A3" s="13" t="s">
        <v>20</v>
      </c>
      <c r="B3" s="13" t="s">
        <v>437</v>
      </c>
      <c r="C3" s="66" t="s">
        <v>438</v>
      </c>
      <c r="D3" s="67" t="s">
        <v>439</v>
      </c>
      <c r="E3" s="13" t="s">
        <v>437</v>
      </c>
      <c r="F3" s="66" t="s">
        <v>438</v>
      </c>
      <c r="G3" s="67" t="s">
        <v>434</v>
      </c>
      <c r="H3" s="67" t="s">
        <v>27</v>
      </c>
      <c r="I3" s="67" t="s">
        <v>34</v>
      </c>
      <c r="J3" s="68" t="s">
        <v>746</v>
      </c>
      <c r="K3" s="67" t="s">
        <v>35</v>
      </c>
      <c r="L3" s="67" t="s">
        <v>36</v>
      </c>
      <c r="M3" s="67" t="s">
        <v>32</v>
      </c>
      <c r="N3" s="67" t="s">
        <v>435</v>
      </c>
      <c r="O3" s="70">
        <v>44333</v>
      </c>
      <c r="P3" s="71">
        <f t="shared" si="0"/>
        <v>5</v>
      </c>
      <c r="Q3" s="67" t="s">
        <v>582</v>
      </c>
      <c r="R3" s="67" t="s">
        <v>581</v>
      </c>
      <c r="S3" s="87" t="s">
        <v>436</v>
      </c>
      <c r="T3" s="13">
        <v>10</v>
      </c>
      <c r="U3" s="13" t="s">
        <v>436</v>
      </c>
      <c r="V3" s="13">
        <f t="shared" si="1"/>
        <v>1</v>
      </c>
    </row>
    <row r="4" spans="1:24">
      <c r="A4" s="13" t="s">
        <v>20</v>
      </c>
      <c r="B4" s="13" t="s">
        <v>127</v>
      </c>
      <c r="C4" s="66" t="s">
        <v>128</v>
      </c>
      <c r="D4" s="67" t="s">
        <v>129</v>
      </c>
      <c r="E4" s="13" t="s">
        <v>130</v>
      </c>
      <c r="F4" s="66" t="s">
        <v>131</v>
      </c>
      <c r="G4" s="67" t="s">
        <v>132</v>
      </c>
      <c r="H4" s="67" t="s">
        <v>27</v>
      </c>
      <c r="I4" s="67" t="s">
        <v>76</v>
      </c>
      <c r="J4" s="68" t="s">
        <v>626</v>
      </c>
      <c r="K4" s="67" t="s">
        <v>77</v>
      </c>
      <c r="L4" s="75" t="s">
        <v>80</v>
      </c>
      <c r="M4" s="67" t="s">
        <v>133</v>
      </c>
      <c r="N4" s="67" t="s">
        <v>134</v>
      </c>
      <c r="O4" s="69">
        <v>44344</v>
      </c>
      <c r="P4" s="71">
        <f t="shared" si="0"/>
        <v>5</v>
      </c>
      <c r="Q4" s="67" t="s">
        <v>582</v>
      </c>
      <c r="R4" s="71"/>
      <c r="S4" s="87" t="s">
        <v>436</v>
      </c>
      <c r="T4" s="67" t="str">
        <f>IFERROR(VLOOKUP(J4,'Obs Tecnicas'!$D$2:$G$344,4,0),"")</f>
        <v>Demora excessiva na estabilização das leituras, indicando vida útil avançada do sensor de pH.</v>
      </c>
      <c r="U4" s="13" t="s">
        <v>436</v>
      </c>
      <c r="V4" s="13">
        <f t="shared" si="1"/>
        <v>1</v>
      </c>
      <c r="W4" s="72"/>
      <c r="X4" s="72"/>
    </row>
    <row r="5" spans="1:24">
      <c r="I5" s="67" t="s">
        <v>76</v>
      </c>
      <c r="J5" s="68" t="s">
        <v>530</v>
      </c>
      <c r="K5" s="13" t="s">
        <v>529</v>
      </c>
      <c r="M5" s="67" t="s">
        <v>49</v>
      </c>
      <c r="O5" s="69">
        <v>44347</v>
      </c>
      <c r="P5" s="71">
        <f t="shared" si="0"/>
        <v>5</v>
      </c>
      <c r="Q5" s="67" t="s">
        <v>582</v>
      </c>
      <c r="R5" s="71">
        <f>IFERROR(VLOOKUP(J5,'Obs Tecnicas'!$D$2:$G$340,2,0),"")</f>
        <v>12366</v>
      </c>
      <c r="S5" s="67" t="str">
        <f>IFERROR(VLOOKUP(J5,'Obs Tecnicas'!$D$2:$G$344,3,0),"Hexis")</f>
        <v>ER ANALITICA</v>
      </c>
      <c r="T5" s="67" t="str">
        <f>IFERROR(VLOOKUP(J5,'Obs Tecnicas'!$D$2:$G$344,4,0),"")</f>
        <v>Instrumento inoperante, não liga. Será encaminhado para ER.</v>
      </c>
      <c r="U5" s="13" t="s">
        <v>436</v>
      </c>
      <c r="V5" s="13">
        <f t="shared" si="1"/>
        <v>1</v>
      </c>
      <c r="W5" s="72">
        <f>VLOOKUP(I5,Planilha1!$AB$2:$AD$10,2,0)</f>
        <v>101.655</v>
      </c>
      <c r="X5" s="72">
        <f>VLOOKUP(I5,Planilha1!$AB$2:$AD$10,3,0)</f>
        <v>195.22799999999998</v>
      </c>
    </row>
    <row r="6" spans="1:24">
      <c r="A6" s="13" t="s">
        <v>20</v>
      </c>
      <c r="B6" s="13" t="s">
        <v>143</v>
      </c>
      <c r="C6" s="66" t="s">
        <v>144</v>
      </c>
      <c r="D6" s="67" t="s">
        <v>145</v>
      </c>
      <c r="E6" s="13" t="s">
        <v>146</v>
      </c>
      <c r="F6" s="66" t="s">
        <v>147</v>
      </c>
      <c r="G6" s="67" t="s">
        <v>132</v>
      </c>
      <c r="H6" s="67" t="s">
        <v>27</v>
      </c>
      <c r="I6" s="67" t="s">
        <v>76</v>
      </c>
      <c r="J6" s="68" t="s">
        <v>151</v>
      </c>
      <c r="K6" s="67" t="s">
        <v>152</v>
      </c>
      <c r="L6" s="67" t="s">
        <v>153</v>
      </c>
      <c r="M6" s="67" t="s">
        <v>149</v>
      </c>
      <c r="N6" s="67" t="s">
        <v>150</v>
      </c>
      <c r="O6" s="69">
        <v>44021</v>
      </c>
      <c r="P6" s="71">
        <f t="shared" si="0"/>
        <v>7</v>
      </c>
      <c r="Q6" s="67" t="s">
        <v>582</v>
      </c>
      <c r="R6" s="71" t="str">
        <f>IFERROR(VLOOKUP(J6,'Obs Tecnicas'!$D$2:$G$340,2,0),"")</f>
        <v/>
      </c>
      <c r="S6" s="13" t="s">
        <v>436</v>
      </c>
      <c r="T6" s="67" t="str">
        <f>IFERROR(VLOOKUP(J6,'Obs Tecnicas'!$D$2:$G$344,4,0),"")</f>
        <v/>
      </c>
      <c r="V6" s="13">
        <f>IF(P6&lt;&gt;"",MONTH(P6),"")</f>
        <v>1</v>
      </c>
      <c r="W6" s="72">
        <f>VLOOKUP(I6,Planilha1!$AB$2:$AD$10,2,0)</f>
        <v>101.655</v>
      </c>
      <c r="X6" s="72">
        <f>VLOOKUP(I6,Planilha1!$AB$2:$AD$10,3,0)</f>
        <v>195.22799999999998</v>
      </c>
    </row>
    <row r="7" spans="1:24">
      <c r="A7" s="13" t="s">
        <v>20</v>
      </c>
      <c r="B7" s="13" t="s">
        <v>143</v>
      </c>
      <c r="C7" s="66" t="s">
        <v>144</v>
      </c>
      <c r="D7" s="67" t="s">
        <v>145</v>
      </c>
      <c r="E7" s="13" t="s">
        <v>146</v>
      </c>
      <c r="F7" s="66" t="s">
        <v>147</v>
      </c>
      <c r="G7" s="67" t="s">
        <v>132</v>
      </c>
      <c r="H7" s="67" t="s">
        <v>27</v>
      </c>
      <c r="I7" s="67" t="s">
        <v>76</v>
      </c>
      <c r="J7" s="68" t="s">
        <v>628</v>
      </c>
      <c r="K7" s="67" t="s">
        <v>39</v>
      </c>
      <c r="L7" s="67" t="s">
        <v>154</v>
      </c>
      <c r="M7" s="67" t="s">
        <v>149</v>
      </c>
      <c r="N7" s="67" t="s">
        <v>150</v>
      </c>
      <c r="O7" s="69">
        <v>44021</v>
      </c>
      <c r="P7" s="71">
        <f t="shared" si="0"/>
        <v>7</v>
      </c>
      <c r="Q7" s="67" t="s">
        <v>582</v>
      </c>
      <c r="R7" s="71" t="str">
        <f>IFERROR(VLOOKUP(J7,'Obs Tecnicas'!$D$2:$G$340,2,0),"")</f>
        <v/>
      </c>
      <c r="S7" s="13" t="s">
        <v>436</v>
      </c>
      <c r="T7" s="67" t="str">
        <f>IFERROR(VLOOKUP(J7,'Obs Tecnicas'!$D$2:$G$344,4,0),"")</f>
        <v/>
      </c>
      <c r="V7" s="13">
        <f>IF(P7&lt;&gt;"",MONTH(P7),"")</f>
        <v>1</v>
      </c>
      <c r="W7" s="72">
        <f>VLOOKUP(I7,Planilha1!$AB$2:$AD$10,2,0)</f>
        <v>101.655</v>
      </c>
      <c r="X7" s="72">
        <f>VLOOKUP(I7,Planilha1!$AB$2:$AD$10,3,0)</f>
        <v>195.22799999999998</v>
      </c>
    </row>
    <row r="8" spans="1:24">
      <c r="A8" s="13" t="s">
        <v>20</v>
      </c>
      <c r="B8" s="13" t="s">
        <v>457</v>
      </c>
      <c r="C8" s="66" t="s">
        <v>458</v>
      </c>
      <c r="D8" s="67" t="s">
        <v>459</v>
      </c>
      <c r="E8" s="13" t="s">
        <v>460</v>
      </c>
      <c r="F8" s="66" t="s">
        <v>461</v>
      </c>
      <c r="G8" s="67" t="s">
        <v>462</v>
      </c>
      <c r="H8" s="67" t="s">
        <v>27</v>
      </c>
      <c r="I8" s="67" t="s">
        <v>45</v>
      </c>
      <c r="J8" s="68" t="s">
        <v>768</v>
      </c>
      <c r="K8" s="67" t="s">
        <v>53</v>
      </c>
      <c r="L8" s="67" t="s">
        <v>467</v>
      </c>
      <c r="M8" s="67" t="s">
        <v>463</v>
      </c>
      <c r="N8" s="67" t="s">
        <v>33</v>
      </c>
      <c r="O8" s="69">
        <v>44007</v>
      </c>
      <c r="P8" s="71">
        <f t="shared" si="0"/>
        <v>6</v>
      </c>
      <c r="Q8" s="67" t="s">
        <v>582</v>
      </c>
      <c r="R8" s="71" t="str">
        <f>IFERROR(VLOOKUP(J8,'Obs Tecnicas'!$D$2:$G$340,2,0),"")</f>
        <v/>
      </c>
      <c r="S8" s="13" t="s">
        <v>436</v>
      </c>
      <c r="T8" s="67" t="str">
        <f>IFERROR(VLOOKUP(J8,'Obs Tecnicas'!$D$2:$G$344,4,0),"")</f>
        <v/>
      </c>
      <c r="V8" s="13">
        <f>IF(P8&lt;&gt;"",MONTH(P8),"")</f>
        <v>1</v>
      </c>
      <c r="W8" s="72">
        <f>VLOOKUP(I8,Planilha1!$AB$2:$AD$10,2,0)</f>
        <v>420.44400000000002</v>
      </c>
      <c r="X8" s="72">
        <f>VLOOKUP(I8,Planilha1!$AB$2:$AD$10,3,0)</f>
        <v>385.26299999999998</v>
      </c>
    </row>
    <row r="9" spans="1:24">
      <c r="A9" s="13" t="s">
        <v>20</v>
      </c>
      <c r="B9" s="13" t="s">
        <v>89</v>
      </c>
      <c r="C9" s="66" t="s">
        <v>862</v>
      </c>
      <c r="D9" s="67" t="s">
        <v>90</v>
      </c>
      <c r="E9" s="13" t="s">
        <v>829</v>
      </c>
      <c r="F9" s="66" t="s">
        <v>830</v>
      </c>
      <c r="G9" s="67" t="s">
        <v>84</v>
      </c>
      <c r="H9" s="67" t="s">
        <v>27</v>
      </c>
      <c r="I9" s="67" t="s">
        <v>76</v>
      </c>
      <c r="J9" s="68" t="s">
        <v>602</v>
      </c>
      <c r="K9" s="67" t="s">
        <v>94</v>
      </c>
      <c r="L9" s="67" t="s">
        <v>95</v>
      </c>
      <c r="M9" s="67" t="s">
        <v>87</v>
      </c>
      <c r="N9" s="67" t="s">
        <v>88</v>
      </c>
      <c r="O9" s="69">
        <v>43900</v>
      </c>
      <c r="P9" s="71">
        <f t="shared" si="0"/>
        <v>3</v>
      </c>
      <c r="Q9" s="67" t="s">
        <v>582</v>
      </c>
      <c r="R9" s="71" t="str">
        <f>IFERROR(VLOOKUP(J9,'Obs Tecnicas'!$D$2:$G$340,2,0),"")</f>
        <v/>
      </c>
      <c r="S9" s="13" t="s">
        <v>436</v>
      </c>
    </row>
    <row r="10" spans="1:24">
      <c r="A10" s="13" t="s">
        <v>20</v>
      </c>
      <c r="B10" s="13" t="s">
        <v>89</v>
      </c>
      <c r="C10" s="66" t="s">
        <v>862</v>
      </c>
      <c r="D10" s="67" t="s">
        <v>90</v>
      </c>
      <c r="E10" s="13" t="s">
        <v>829</v>
      </c>
      <c r="F10" s="66" t="s">
        <v>830</v>
      </c>
      <c r="G10" s="67" t="s">
        <v>84</v>
      </c>
      <c r="H10" s="67" t="s">
        <v>27</v>
      </c>
      <c r="I10" s="67" t="s">
        <v>76</v>
      </c>
      <c r="J10" s="68" t="s">
        <v>96</v>
      </c>
      <c r="K10" s="67" t="s">
        <v>94</v>
      </c>
      <c r="L10" s="67" t="s">
        <v>95</v>
      </c>
      <c r="M10" s="67" t="s">
        <v>87</v>
      </c>
      <c r="N10" s="67" t="s">
        <v>88</v>
      </c>
      <c r="O10" s="69">
        <v>43900</v>
      </c>
      <c r="P10" s="71">
        <f t="shared" si="0"/>
        <v>3</v>
      </c>
      <c r="Q10" s="67" t="s">
        <v>582</v>
      </c>
      <c r="R10" s="71" t="str">
        <f>IFERROR(VLOOKUP(J10,'Obs Tecnicas'!$D$2:$G$340,2,0),"")</f>
        <v/>
      </c>
      <c r="S10" s="13" t="s">
        <v>436</v>
      </c>
    </row>
    <row r="11" spans="1:24">
      <c r="A11" s="13" t="s">
        <v>20</v>
      </c>
      <c r="B11" s="13" t="s">
        <v>172</v>
      </c>
      <c r="C11" s="66" t="s">
        <v>173</v>
      </c>
      <c r="D11" s="67" t="s">
        <v>174</v>
      </c>
      <c r="E11" s="13" t="s">
        <v>175</v>
      </c>
      <c r="F11" s="66" t="s">
        <v>176</v>
      </c>
      <c r="G11" s="67" t="s">
        <v>177</v>
      </c>
      <c r="H11" s="67" t="s">
        <v>178</v>
      </c>
      <c r="I11" s="67" t="s">
        <v>28</v>
      </c>
      <c r="J11" s="68" t="s">
        <v>643</v>
      </c>
      <c r="K11" s="67" t="s">
        <v>179</v>
      </c>
      <c r="L11" s="67" t="s">
        <v>180</v>
      </c>
      <c r="M11" s="67" t="s">
        <v>181</v>
      </c>
      <c r="N11" s="67" t="s">
        <v>182</v>
      </c>
      <c r="O11" s="69">
        <v>43718</v>
      </c>
      <c r="P11" s="71">
        <f t="shared" si="0"/>
        <v>9</v>
      </c>
      <c r="Q11" s="67" t="s">
        <v>582</v>
      </c>
      <c r="R11" s="71" t="str">
        <f>IFERROR(VLOOKUP(J11,'Obs Tecnicas'!$D$2:$G$340,2,0),"")</f>
        <v/>
      </c>
      <c r="S11" s="13" t="s">
        <v>436</v>
      </c>
      <c r="T11" s="67" t="str">
        <f>IFERROR(VLOOKUP(J11,'Obs Tecnicas'!$D$2:$G$344,4,0),"")</f>
        <v/>
      </c>
    </row>
  </sheetData>
  <sheetProtection algorithmName="SHA-512" hashValue="ZKdE+MZjVezU430HECEIJlc85ygaePHvd5RTM96tr79DjZj3yhb/GeQwM8dUrXXgKEMe02guLwFGQUM/2lZviQ==" saltValue="Y+I/JAL33YLGtiLEwsihog==" spinCount="100000" sheet="1" autoFilter="0"/>
  <autoFilter ref="A1:T3" xr:uid="{3655C334-C217-4894-B2AE-6F2A1F91BCBF}"/>
  <conditionalFormatting sqref="O4">
    <cfRule type="expression" dxfId="29" priority="43">
      <formula>IF(O4&lt;=TODAY()-365,TRUE)</formula>
    </cfRule>
    <cfRule type="expression" dxfId="28" priority="44">
      <formula>IF(O4&lt;(TODAY())-320,TRUE)</formula>
    </cfRule>
    <cfRule type="expression" dxfId="27" priority="45">
      <formula>IF(O4&lt;(TODAY())+0,TRUE)</formula>
    </cfRule>
  </conditionalFormatting>
  <conditionalFormatting sqref="I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expression" dxfId="26" priority="33">
      <formula>IF(O5&lt;=TODAY()-365,TRUE)</formula>
    </cfRule>
    <cfRule type="expression" dxfId="25" priority="34">
      <formula>IF(O5&lt;(TODAY())-320,TRUE)</formula>
    </cfRule>
    <cfRule type="expression" dxfId="24" priority="35">
      <formula>IF(O5&lt;(TODAY())+0,TRUE)</formula>
    </cfRule>
  </conditionalFormatting>
  <conditionalFormatting sqref="O6">
    <cfRule type="expression" dxfId="23" priority="27">
      <formula>IF(O6&lt;=TODAY()-365,TRUE)</formula>
    </cfRule>
    <cfRule type="expression" dxfId="22" priority="28">
      <formula>IF(O6&lt;(TODAY())-320,TRUE)</formula>
    </cfRule>
    <cfRule type="expression" dxfId="21" priority="29">
      <formula>IF(O6&lt;(TODAY())+0,TRUE)</formula>
    </cfRule>
  </conditionalFormatting>
  <conditionalFormatting sqref="O7">
    <cfRule type="expression" dxfId="20" priority="21">
      <formula>IF(O7&lt;=TODAY()-365,TRUE)</formula>
    </cfRule>
    <cfRule type="expression" dxfId="19" priority="22">
      <formula>IF(O7&lt;(TODAY())-320,TRUE)</formula>
    </cfRule>
    <cfRule type="expression" dxfId="18" priority="23">
      <formula>IF(O7&lt;(TODAY())+0,TRUE)</formula>
    </cfRule>
  </conditionalFormatting>
  <conditionalFormatting sqref="O8">
    <cfRule type="expression" dxfId="17" priority="18">
      <formula>IF(O8&lt;=TODAY()-365,TRUE)</formula>
    </cfRule>
    <cfRule type="expression" dxfId="16" priority="19">
      <formula>IF(O8&lt;(TODAY())-320,TRUE)</formula>
    </cfRule>
    <cfRule type="expression" dxfId="15" priority="20">
      <formula>IF(O8&lt;(TODAY())+0,TRUE)</formula>
    </cfRule>
  </conditionalFormatting>
  <conditionalFormatting sqref="O9:O10">
    <cfRule type="expression" dxfId="14" priority="7">
      <formula>IF(O9&lt;=TODAY()-365,TRUE)</formula>
    </cfRule>
    <cfRule type="expression" dxfId="13" priority="8">
      <formula>IF(O9&lt;(TODAY())-320,TRUE)</formula>
    </cfRule>
    <cfRule type="expression" dxfId="12" priority="9">
      <formula>IF(O9&lt;(TODAY())+0,TRUE)</formula>
    </cfRule>
  </conditionalFormatting>
  <conditionalFormatting sqref="I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expression" dxfId="11" priority="4">
      <formula>IF(O11&lt;=TODAY()-365,TRUE)</formula>
    </cfRule>
    <cfRule type="expression" dxfId="10" priority="5">
      <formula>IF(O11&lt;(TODAY())-320,TRUE)</formula>
    </cfRule>
    <cfRule type="expression" dxfId="9" priority="6">
      <formula>IF(O11&lt;(TODAY())+0,TRUE)</formula>
    </cfRule>
  </conditionalFormatting>
  <dataValidations count="2">
    <dataValidation type="list" allowBlank="1" showInputMessage="1" showErrorMessage="1" sqref="S2:S4" xr:uid="{FDB53C3F-A3A7-48EB-A876-AF2FA342DE62}">
      <formula1>"REALIZADO,DESATIVADO, NÃO ENCONTRADO,AGENDADO,SEM RETORNO DO OWNER"</formula1>
    </dataValidation>
    <dataValidation type="list" allowBlank="1" showInputMessage="1" showErrorMessage="1" sqref="U2:U5 S6:S11" xr:uid="{D7E43CDE-11BA-45FB-8369-6F591AB54BC1}">
      <formula1>"ADICIONADO,REALIZADO,DESATIVADO, NÃO ENCONTRADO,AGENDADO,SEM RETORNO DO OWNER,EM CONTATO"</formula1>
    </dataValidation>
  </dataValidations>
  <hyperlinks>
    <hyperlink ref="F2" r:id="rId1" xr:uid="{44615E02-F8E6-4C20-8A0B-5C474D84E937}"/>
    <hyperlink ref="F4" r:id="rId2" xr:uid="{CA080FC5-B017-4B8A-92C9-476FA5B50016}"/>
    <hyperlink ref="F9" r:id="rId3" xr:uid="{D0C26CA0-0AC7-4DFA-835E-ADE6327F2280}"/>
    <hyperlink ref="F10" r:id="rId4" xr:uid="{9BF1A722-3592-48DF-B388-F68D25254962}"/>
    <hyperlink ref="C9" r:id="rId5" xr:uid="{7DCD11A9-C147-4222-9AB1-661BF3B195D5}"/>
    <hyperlink ref="C11" r:id="rId6" xr:uid="{2C521BA5-F514-4529-A06B-2AA8B4D14F0B}"/>
    <hyperlink ref="F11" r:id="rId7" xr:uid="{255C1DE4-4223-49C0-9CC6-060AAFD9F32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C49C-E9E8-48B6-A48C-A4A7D21F7520}">
  <dimension ref="A1:AF56"/>
  <sheetViews>
    <sheetView tabSelected="1" topLeftCell="A40" workbookViewId="0">
      <selection activeCell="B56" sqref="B56"/>
    </sheetView>
  </sheetViews>
  <sheetFormatPr defaultRowHeight="15"/>
  <cols>
    <col min="1" max="1" width="24.28515625" bestFit="1" customWidth="1"/>
    <col min="2" max="2" width="14.28515625" style="117" bestFit="1" customWidth="1"/>
    <col min="3" max="3" width="16.85546875" style="117" bestFit="1" customWidth="1"/>
    <col min="4" max="4" width="25.85546875" style="117" bestFit="1" customWidth="1"/>
    <col min="5" max="5" width="17.42578125" bestFit="1" customWidth="1"/>
    <col min="6" max="6" width="8.85546875" bestFit="1" customWidth="1"/>
    <col min="7" max="7" width="14.42578125" style="2" bestFit="1" customWidth="1"/>
    <col min="8" max="8" width="11.42578125" bestFit="1" customWidth="1"/>
    <col min="9" max="9" width="10.85546875" style="2" bestFit="1" customWidth="1"/>
    <col min="10" max="10" width="13.140625" bestFit="1" customWidth="1"/>
    <col min="11" max="11" width="56.42578125" bestFit="1" customWidth="1"/>
    <col min="12" max="12" width="12.7109375" bestFit="1" customWidth="1"/>
    <col min="18" max="20" width="2" bestFit="1" customWidth="1"/>
    <col min="23" max="24" width="5.5703125" bestFit="1" customWidth="1"/>
  </cols>
  <sheetData>
    <row r="1" spans="1:12" ht="25.5">
      <c r="A1" s="59" t="s">
        <v>8</v>
      </c>
      <c r="B1" s="61" t="s">
        <v>9</v>
      </c>
      <c r="C1" s="59" t="s">
        <v>10</v>
      </c>
      <c r="D1" s="59" t="s">
        <v>11</v>
      </c>
      <c r="E1" s="60" t="s">
        <v>12</v>
      </c>
      <c r="F1" s="60" t="s">
        <v>13</v>
      </c>
      <c r="G1" s="63" t="s">
        <v>14</v>
      </c>
      <c r="H1" s="63" t="s">
        <v>15</v>
      </c>
      <c r="I1" s="146" t="s">
        <v>16</v>
      </c>
      <c r="J1" s="60" t="s">
        <v>17</v>
      </c>
      <c r="K1" s="60" t="s">
        <v>18</v>
      </c>
      <c r="L1" s="60" t="s">
        <v>19</v>
      </c>
    </row>
    <row r="2" spans="1:12">
      <c r="A2" s="67" t="s">
        <v>28</v>
      </c>
      <c r="B2" s="116" t="s">
        <v>527</v>
      </c>
      <c r="C2" s="94" t="s">
        <v>526</v>
      </c>
      <c r="D2" s="94"/>
      <c r="E2" s="67" t="s">
        <v>49</v>
      </c>
      <c r="F2" s="13"/>
      <c r="G2" s="70">
        <v>44333</v>
      </c>
      <c r="H2" s="69" t="s">
        <v>572</v>
      </c>
      <c r="I2" s="71">
        <v>12351</v>
      </c>
      <c r="J2" s="67" t="s">
        <v>546</v>
      </c>
      <c r="K2" s="67">
        <v>0</v>
      </c>
      <c r="L2" s="13" t="s">
        <v>774</v>
      </c>
    </row>
    <row r="3" spans="1:12">
      <c r="A3" s="67" t="s">
        <v>28</v>
      </c>
      <c r="B3" s="116" t="s">
        <v>537</v>
      </c>
      <c r="C3" s="94" t="s">
        <v>179</v>
      </c>
      <c r="D3" s="94"/>
      <c r="E3" s="67" t="s">
        <v>49</v>
      </c>
      <c r="F3" s="13"/>
      <c r="G3" s="70">
        <v>44333</v>
      </c>
      <c r="H3" s="69" t="s">
        <v>572</v>
      </c>
      <c r="I3" s="71">
        <v>12356</v>
      </c>
      <c r="J3" s="67" t="s">
        <v>546</v>
      </c>
      <c r="K3" s="67">
        <v>0</v>
      </c>
      <c r="L3" s="13" t="s">
        <v>774</v>
      </c>
    </row>
    <row r="4" spans="1:12">
      <c r="A4" s="67" t="s">
        <v>28</v>
      </c>
      <c r="B4" s="116" t="s">
        <v>539</v>
      </c>
      <c r="C4" s="94" t="s">
        <v>526</v>
      </c>
      <c r="D4" s="94"/>
      <c r="E4" s="67" t="s">
        <v>49</v>
      </c>
      <c r="F4" s="13"/>
      <c r="G4" s="70">
        <v>44333</v>
      </c>
      <c r="H4" s="69" t="s">
        <v>572</v>
      </c>
      <c r="I4" s="71">
        <v>12350</v>
      </c>
      <c r="J4" s="67" t="s">
        <v>546</v>
      </c>
      <c r="K4" s="67">
        <v>0</v>
      </c>
      <c r="L4" s="13" t="s">
        <v>774</v>
      </c>
    </row>
    <row r="5" spans="1:12">
      <c r="A5" s="67" t="s">
        <v>28</v>
      </c>
      <c r="B5" s="116" t="s">
        <v>541</v>
      </c>
      <c r="C5" s="94" t="s">
        <v>454</v>
      </c>
      <c r="D5" s="94"/>
      <c r="E5" s="67" t="s">
        <v>49</v>
      </c>
      <c r="F5" s="13"/>
      <c r="G5" s="70">
        <v>44333</v>
      </c>
      <c r="H5" s="69" t="s">
        <v>572</v>
      </c>
      <c r="I5" s="71">
        <v>12354</v>
      </c>
      <c r="J5" s="67" t="s">
        <v>546</v>
      </c>
      <c r="K5" s="67">
        <v>0</v>
      </c>
      <c r="L5" s="13" t="s">
        <v>774</v>
      </c>
    </row>
    <row r="6" spans="1:12">
      <c r="A6" s="67" t="s">
        <v>28</v>
      </c>
      <c r="B6" s="116" t="s">
        <v>543</v>
      </c>
      <c r="C6" s="94" t="s">
        <v>542</v>
      </c>
      <c r="D6" s="94"/>
      <c r="E6" s="67" t="s">
        <v>49</v>
      </c>
      <c r="F6" s="13"/>
      <c r="G6" s="70">
        <v>44333</v>
      </c>
      <c r="H6" s="69" t="s">
        <v>572</v>
      </c>
      <c r="I6" s="71">
        <v>12353</v>
      </c>
      <c r="J6" s="67" t="s">
        <v>546</v>
      </c>
      <c r="K6" s="67">
        <v>0</v>
      </c>
      <c r="L6" s="13" t="s">
        <v>774</v>
      </c>
    </row>
    <row r="7" spans="1:12">
      <c r="A7" s="67" t="s">
        <v>28</v>
      </c>
      <c r="B7" s="116" t="s">
        <v>544</v>
      </c>
      <c r="C7" s="94" t="s">
        <v>542</v>
      </c>
      <c r="D7" s="94"/>
      <c r="E7" s="67" t="s">
        <v>49</v>
      </c>
      <c r="F7" s="13"/>
      <c r="G7" s="70">
        <v>44333</v>
      </c>
      <c r="H7" s="69" t="s">
        <v>572</v>
      </c>
      <c r="I7" s="71">
        <v>12355</v>
      </c>
      <c r="J7" s="67" t="s">
        <v>546</v>
      </c>
      <c r="K7" s="67">
        <v>0</v>
      </c>
      <c r="L7" s="13" t="s">
        <v>774</v>
      </c>
    </row>
    <row r="8" spans="1:12">
      <c r="A8" s="67" t="s">
        <v>28</v>
      </c>
      <c r="B8" s="116" t="s">
        <v>589</v>
      </c>
      <c r="C8" s="126" t="s">
        <v>179</v>
      </c>
      <c r="D8" s="94"/>
      <c r="E8" s="67" t="s">
        <v>49</v>
      </c>
      <c r="F8" s="13"/>
      <c r="G8" s="70">
        <v>44333</v>
      </c>
      <c r="H8" s="69" t="s">
        <v>572</v>
      </c>
      <c r="I8" s="71">
        <v>12352</v>
      </c>
      <c r="J8" s="67" t="s">
        <v>546</v>
      </c>
      <c r="K8" s="67">
        <v>0</v>
      </c>
      <c r="L8" s="13" t="s">
        <v>774</v>
      </c>
    </row>
    <row r="9" spans="1:12">
      <c r="A9" s="13" t="s">
        <v>52</v>
      </c>
      <c r="B9" s="116" t="s">
        <v>520</v>
      </c>
      <c r="C9" s="94" t="s">
        <v>424</v>
      </c>
      <c r="D9" s="94"/>
      <c r="E9" s="67" t="s">
        <v>49</v>
      </c>
      <c r="F9" s="13"/>
      <c r="G9" s="70">
        <v>44333</v>
      </c>
      <c r="H9" s="69" t="s">
        <v>572</v>
      </c>
      <c r="I9" s="71">
        <v>12316</v>
      </c>
      <c r="J9" s="67" t="s">
        <v>546</v>
      </c>
      <c r="K9" s="67">
        <v>0</v>
      </c>
      <c r="L9" s="13" t="s">
        <v>774</v>
      </c>
    </row>
    <row r="10" spans="1:12">
      <c r="A10" s="67" t="s">
        <v>76</v>
      </c>
      <c r="B10" s="116" t="s">
        <v>505</v>
      </c>
      <c r="C10" s="94" t="s">
        <v>483</v>
      </c>
      <c r="D10" s="94"/>
      <c r="E10" s="67" t="s">
        <v>49</v>
      </c>
      <c r="F10" s="13"/>
      <c r="G10" s="70">
        <v>44333</v>
      </c>
      <c r="H10" s="69" t="s">
        <v>572</v>
      </c>
      <c r="I10" s="71">
        <v>12341</v>
      </c>
      <c r="J10" s="67" t="s">
        <v>546</v>
      </c>
      <c r="K10" s="67" t="s">
        <v>506</v>
      </c>
      <c r="L10" s="13" t="s">
        <v>774</v>
      </c>
    </row>
    <row r="11" spans="1:12">
      <c r="A11" s="67" t="s">
        <v>76</v>
      </c>
      <c r="B11" s="116" t="s">
        <v>511</v>
      </c>
      <c r="C11" s="94" t="s">
        <v>483</v>
      </c>
      <c r="D11" s="94"/>
      <c r="E11" s="67" t="s">
        <v>49</v>
      </c>
      <c r="F11" s="13"/>
      <c r="G11" s="70">
        <v>44333</v>
      </c>
      <c r="H11" s="69" t="s">
        <v>572</v>
      </c>
      <c r="I11" s="71">
        <v>12342</v>
      </c>
      <c r="J11" s="67" t="s">
        <v>546</v>
      </c>
      <c r="K11" s="67">
        <v>0</v>
      </c>
      <c r="L11" s="13" t="s">
        <v>774</v>
      </c>
    </row>
    <row r="12" spans="1:12">
      <c r="A12" s="67" t="s">
        <v>76</v>
      </c>
      <c r="B12" s="116" t="s">
        <v>514</v>
      </c>
      <c r="C12" s="129" t="s">
        <v>483</v>
      </c>
      <c r="D12" s="94"/>
      <c r="E12" s="67" t="s">
        <v>49</v>
      </c>
      <c r="F12" s="13"/>
      <c r="G12" s="70">
        <v>44333</v>
      </c>
      <c r="H12" s="69" t="s">
        <v>572</v>
      </c>
      <c r="I12" s="71">
        <v>12338</v>
      </c>
      <c r="J12" s="67" t="s">
        <v>546</v>
      </c>
      <c r="K12" s="67">
        <v>0</v>
      </c>
      <c r="L12" s="13" t="s">
        <v>774</v>
      </c>
    </row>
    <row r="13" spans="1:12">
      <c r="A13" s="67" t="s">
        <v>76</v>
      </c>
      <c r="B13" s="116" t="s">
        <v>530</v>
      </c>
      <c r="C13" s="94" t="s">
        <v>529</v>
      </c>
      <c r="D13" s="94"/>
      <c r="E13" s="67" t="s">
        <v>49</v>
      </c>
      <c r="F13" s="13"/>
      <c r="G13" s="70">
        <v>44333</v>
      </c>
      <c r="H13" s="69" t="s">
        <v>572</v>
      </c>
      <c r="I13" s="71">
        <v>12366</v>
      </c>
      <c r="J13" s="67" t="s">
        <v>546</v>
      </c>
      <c r="K13" s="67" t="s">
        <v>531</v>
      </c>
      <c r="L13" s="13" t="s">
        <v>774</v>
      </c>
    </row>
    <row r="14" spans="1:12">
      <c r="A14" s="67" t="s">
        <v>76</v>
      </c>
      <c r="B14" s="116" t="s">
        <v>532</v>
      </c>
      <c r="C14" s="94" t="s">
        <v>529</v>
      </c>
      <c r="D14" s="94"/>
      <c r="E14" s="67" t="s">
        <v>49</v>
      </c>
      <c r="F14" s="13"/>
      <c r="G14" s="70">
        <v>44333</v>
      </c>
      <c r="H14" s="69" t="s">
        <v>572</v>
      </c>
      <c r="I14" s="71">
        <v>12339</v>
      </c>
      <c r="J14" s="67" t="s">
        <v>546</v>
      </c>
      <c r="K14" s="67" t="s">
        <v>533</v>
      </c>
      <c r="L14" s="13" t="s">
        <v>774</v>
      </c>
    </row>
    <row r="15" spans="1:12">
      <c r="A15" s="67" t="s">
        <v>34</v>
      </c>
      <c r="B15" s="116" t="s">
        <v>588</v>
      </c>
      <c r="C15" s="126" t="s">
        <v>596</v>
      </c>
      <c r="D15" s="94"/>
      <c r="E15" s="67" t="s">
        <v>49</v>
      </c>
      <c r="F15" s="13"/>
      <c r="G15" s="70">
        <v>44333</v>
      </c>
      <c r="H15" s="69" t="s">
        <v>572</v>
      </c>
      <c r="I15" s="71">
        <v>12347</v>
      </c>
      <c r="J15" s="67" t="s">
        <v>546</v>
      </c>
      <c r="K15" s="67">
        <v>0</v>
      </c>
      <c r="L15" s="13" t="s">
        <v>774</v>
      </c>
    </row>
    <row r="16" spans="1:12">
      <c r="A16" s="13" t="s">
        <v>587</v>
      </c>
      <c r="B16" s="116" t="s">
        <v>488</v>
      </c>
      <c r="C16" s="94" t="s">
        <v>487</v>
      </c>
      <c r="D16" s="94"/>
      <c r="E16" s="67" t="s">
        <v>49</v>
      </c>
      <c r="F16" s="13"/>
      <c r="G16" s="70">
        <v>44333</v>
      </c>
      <c r="H16" s="69" t="s">
        <v>572</v>
      </c>
      <c r="I16" s="71">
        <v>12343</v>
      </c>
      <c r="J16" s="67" t="s">
        <v>546</v>
      </c>
      <c r="K16" s="67">
        <v>0</v>
      </c>
      <c r="L16" s="13" t="s">
        <v>774</v>
      </c>
    </row>
    <row r="17" spans="1:12">
      <c r="A17" s="13" t="s">
        <v>587</v>
      </c>
      <c r="B17" s="116" t="s">
        <v>590</v>
      </c>
      <c r="C17" s="126" t="s">
        <v>595</v>
      </c>
      <c r="D17" s="94"/>
      <c r="E17" s="67" t="s">
        <v>49</v>
      </c>
      <c r="F17" s="13"/>
      <c r="G17" s="70">
        <v>44333</v>
      </c>
      <c r="H17" s="69" t="s">
        <v>572</v>
      </c>
      <c r="I17" s="71">
        <v>12376</v>
      </c>
      <c r="J17" s="67" t="s">
        <v>546</v>
      </c>
      <c r="K17" s="67">
        <v>0</v>
      </c>
      <c r="L17" s="13" t="s">
        <v>774</v>
      </c>
    </row>
    <row r="18" spans="1:12">
      <c r="A18" s="13" t="s">
        <v>587</v>
      </c>
      <c r="B18" s="116" t="s">
        <v>591</v>
      </c>
      <c r="C18" s="126" t="s">
        <v>595</v>
      </c>
      <c r="D18" s="94"/>
      <c r="E18" s="67" t="s">
        <v>49</v>
      </c>
      <c r="F18" s="13"/>
      <c r="G18" s="70">
        <v>44333</v>
      </c>
      <c r="H18" s="69" t="s">
        <v>572</v>
      </c>
      <c r="I18" s="71">
        <v>12377</v>
      </c>
      <c r="J18" s="67" t="s">
        <v>546</v>
      </c>
      <c r="K18" s="67">
        <v>0</v>
      </c>
      <c r="L18" s="13" t="s">
        <v>774</v>
      </c>
    </row>
    <row r="19" spans="1:12">
      <c r="A19" s="13" t="s">
        <v>587</v>
      </c>
      <c r="B19" s="116" t="s">
        <v>592</v>
      </c>
      <c r="C19" s="126" t="s">
        <v>10</v>
      </c>
      <c r="D19" s="94"/>
      <c r="E19" s="67" t="s">
        <v>49</v>
      </c>
      <c r="F19" s="13"/>
      <c r="G19" s="70">
        <v>44333</v>
      </c>
      <c r="H19" s="69" t="s">
        <v>572</v>
      </c>
      <c r="I19" s="71">
        <v>12378</v>
      </c>
      <c r="J19" s="67" t="s">
        <v>546</v>
      </c>
      <c r="K19" s="67">
        <v>0</v>
      </c>
      <c r="L19" s="13" t="s">
        <v>774</v>
      </c>
    </row>
    <row r="20" spans="1:12">
      <c r="A20" s="13" t="s">
        <v>587</v>
      </c>
      <c r="B20" s="116" t="s">
        <v>593</v>
      </c>
      <c r="C20" s="126" t="s">
        <v>10</v>
      </c>
      <c r="D20" s="94"/>
      <c r="E20" s="67" t="s">
        <v>49</v>
      </c>
      <c r="F20" s="13"/>
      <c r="G20" s="70">
        <v>44333</v>
      </c>
      <c r="H20" s="69" t="s">
        <v>572</v>
      </c>
      <c r="I20" s="71">
        <v>12379</v>
      </c>
      <c r="J20" s="67" t="s">
        <v>546</v>
      </c>
      <c r="K20" s="67">
        <v>0</v>
      </c>
      <c r="L20" s="13" t="s">
        <v>774</v>
      </c>
    </row>
    <row r="21" spans="1:12">
      <c r="A21" s="13" t="s">
        <v>587</v>
      </c>
      <c r="B21" s="116" t="s">
        <v>775</v>
      </c>
      <c r="C21" s="126" t="s">
        <v>487</v>
      </c>
      <c r="D21" s="94"/>
      <c r="E21" s="67" t="s">
        <v>49</v>
      </c>
      <c r="F21" s="13"/>
      <c r="G21" s="70">
        <v>44333</v>
      </c>
      <c r="H21" s="69" t="s">
        <v>572</v>
      </c>
      <c r="I21" s="71">
        <v>12381</v>
      </c>
      <c r="J21" s="67" t="s">
        <v>546</v>
      </c>
      <c r="K21" s="67">
        <v>0</v>
      </c>
      <c r="L21" s="13" t="s">
        <v>774</v>
      </c>
    </row>
    <row r="22" spans="1:12">
      <c r="A22" s="67" t="s">
        <v>79</v>
      </c>
      <c r="B22" s="116" t="s">
        <v>878</v>
      </c>
      <c r="C22" s="94" t="s">
        <v>77</v>
      </c>
      <c r="D22" s="94" t="s">
        <v>80</v>
      </c>
      <c r="E22" s="75" t="s">
        <v>336</v>
      </c>
      <c r="F22" s="67" t="s">
        <v>337</v>
      </c>
      <c r="G22" s="70">
        <v>44369</v>
      </c>
      <c r="H22" s="69" t="s">
        <v>572</v>
      </c>
      <c r="I22" s="71">
        <v>12616</v>
      </c>
      <c r="J22" s="67" t="s">
        <v>546</v>
      </c>
      <c r="K22" s="67" t="s">
        <v>877</v>
      </c>
      <c r="L22" s="13" t="s">
        <v>774</v>
      </c>
    </row>
    <row r="23" spans="1:12">
      <c r="A23" s="13" t="s">
        <v>76</v>
      </c>
      <c r="B23" s="117">
        <v>6263666</v>
      </c>
      <c r="C23" s="117" t="s">
        <v>77</v>
      </c>
      <c r="D23" s="117" t="s">
        <v>879</v>
      </c>
      <c r="E23" s="107" t="s">
        <v>880</v>
      </c>
      <c r="G23" s="123">
        <v>44343</v>
      </c>
      <c r="H23" s="69" t="s">
        <v>572</v>
      </c>
      <c r="I23" s="71" t="s">
        <v>886</v>
      </c>
      <c r="J23" s="67" t="s">
        <v>582</v>
      </c>
      <c r="L23" s="13" t="s">
        <v>774</v>
      </c>
    </row>
    <row r="24" spans="1:12">
      <c r="A24" s="13" t="s">
        <v>34</v>
      </c>
      <c r="B24" s="117">
        <v>6263666</v>
      </c>
      <c r="C24" s="117" t="s">
        <v>77</v>
      </c>
      <c r="D24" s="117" t="s">
        <v>879</v>
      </c>
      <c r="E24" s="107" t="s">
        <v>880</v>
      </c>
      <c r="G24" s="123">
        <v>44343</v>
      </c>
      <c r="H24" s="69" t="s">
        <v>572</v>
      </c>
      <c r="I24" s="71" t="s">
        <v>885</v>
      </c>
      <c r="J24" s="67" t="s">
        <v>582</v>
      </c>
      <c r="L24" s="13" t="s">
        <v>774</v>
      </c>
    </row>
    <row r="25" spans="1:12">
      <c r="A25" s="13" t="s">
        <v>76</v>
      </c>
      <c r="B25" s="117">
        <v>4220746</v>
      </c>
      <c r="C25" s="117" t="s">
        <v>77</v>
      </c>
      <c r="D25" s="117" t="s">
        <v>879</v>
      </c>
      <c r="E25" s="107" t="s">
        <v>880</v>
      </c>
      <c r="G25" s="123">
        <v>44343</v>
      </c>
      <c r="H25" s="69" t="s">
        <v>572</v>
      </c>
      <c r="I25" s="2" t="s">
        <v>887</v>
      </c>
      <c r="J25" s="67" t="s">
        <v>582</v>
      </c>
      <c r="L25" s="13" t="s">
        <v>774</v>
      </c>
    </row>
    <row r="26" spans="1:12">
      <c r="A26" s="13" t="s">
        <v>889</v>
      </c>
      <c r="B26" s="118">
        <v>150750001006</v>
      </c>
      <c r="C26" s="117" t="s">
        <v>424</v>
      </c>
      <c r="D26" s="117" t="s">
        <v>890</v>
      </c>
      <c r="E26" s="107" t="s">
        <v>880</v>
      </c>
      <c r="G26" s="123">
        <v>44344</v>
      </c>
      <c r="H26" s="69" t="s">
        <v>572</v>
      </c>
      <c r="I26" s="71" t="s">
        <v>891</v>
      </c>
      <c r="J26" s="67" t="s">
        <v>582</v>
      </c>
      <c r="L26" s="13" t="s">
        <v>774</v>
      </c>
    </row>
    <row r="27" spans="1:12">
      <c r="A27" s="13" t="s">
        <v>52</v>
      </c>
      <c r="B27" s="118">
        <v>210266601021</v>
      </c>
      <c r="C27" s="117" t="s">
        <v>424</v>
      </c>
      <c r="D27" s="117" t="s">
        <v>893</v>
      </c>
      <c r="E27" s="107" t="s">
        <v>49</v>
      </c>
      <c r="G27" s="123">
        <v>44306</v>
      </c>
      <c r="H27" s="69" t="s">
        <v>572</v>
      </c>
      <c r="I27" s="71" t="s">
        <v>894</v>
      </c>
      <c r="J27" s="67" t="s">
        <v>582</v>
      </c>
      <c r="L27" s="13" t="s">
        <v>774</v>
      </c>
    </row>
    <row r="28" spans="1:12">
      <c r="A28" s="13" t="s">
        <v>52</v>
      </c>
      <c r="B28" s="119">
        <v>210266601016</v>
      </c>
      <c r="C28" s="117" t="s">
        <v>424</v>
      </c>
      <c r="D28" s="117" t="s">
        <v>893</v>
      </c>
      <c r="E28" s="107" t="s">
        <v>49</v>
      </c>
      <c r="G28" s="123">
        <v>44306</v>
      </c>
      <c r="H28" s="69" t="s">
        <v>572</v>
      </c>
      <c r="I28" s="71" t="s">
        <v>896</v>
      </c>
      <c r="J28" s="67" t="s">
        <v>582</v>
      </c>
      <c r="L28" s="13" t="s">
        <v>774</v>
      </c>
    </row>
    <row r="29" spans="1:12">
      <c r="A29" s="13" t="s">
        <v>76</v>
      </c>
      <c r="B29" s="117" t="s">
        <v>38</v>
      </c>
      <c r="C29" s="117" t="s">
        <v>424</v>
      </c>
      <c r="D29" s="117" t="s">
        <v>40</v>
      </c>
      <c r="E29" s="107" t="s">
        <v>49</v>
      </c>
      <c r="G29" s="123">
        <v>44306</v>
      </c>
      <c r="H29" s="69" t="s">
        <v>572</v>
      </c>
      <c r="I29" s="71" t="s">
        <v>897</v>
      </c>
      <c r="J29" s="67" t="s">
        <v>582</v>
      </c>
      <c r="L29" s="13" t="s">
        <v>774</v>
      </c>
    </row>
    <row r="30" spans="1:12">
      <c r="A30" s="13" t="s">
        <v>34</v>
      </c>
      <c r="B30" s="119">
        <v>200710001808</v>
      </c>
      <c r="C30" s="117" t="s">
        <v>424</v>
      </c>
      <c r="D30" s="117" t="s">
        <v>899</v>
      </c>
      <c r="E30" s="107" t="s">
        <v>900</v>
      </c>
      <c r="G30" s="124">
        <v>44330</v>
      </c>
      <c r="H30" s="69" t="s">
        <v>572</v>
      </c>
      <c r="I30" s="71" t="s">
        <v>901</v>
      </c>
      <c r="J30" s="67" t="s">
        <v>582</v>
      </c>
      <c r="L30" s="13" t="s">
        <v>774</v>
      </c>
    </row>
    <row r="31" spans="1:12">
      <c r="A31" s="13" t="s">
        <v>34</v>
      </c>
      <c r="B31" s="118">
        <v>200710001815</v>
      </c>
      <c r="C31" s="117" t="s">
        <v>424</v>
      </c>
      <c r="D31" s="117" t="s">
        <v>899</v>
      </c>
      <c r="E31" s="107" t="s">
        <v>900</v>
      </c>
      <c r="G31" s="124">
        <v>44330</v>
      </c>
      <c r="H31" s="69" t="s">
        <v>572</v>
      </c>
      <c r="I31" s="71" t="s">
        <v>902</v>
      </c>
      <c r="J31" s="67" t="s">
        <v>582</v>
      </c>
      <c r="L31" s="13" t="s">
        <v>774</v>
      </c>
    </row>
    <row r="32" spans="1:12">
      <c r="A32" s="13" t="s">
        <v>76</v>
      </c>
      <c r="B32" s="117">
        <v>68923</v>
      </c>
      <c r="C32" s="117" t="s">
        <v>839</v>
      </c>
      <c r="D32" s="117" t="s">
        <v>906</v>
      </c>
      <c r="E32" s="107" t="s">
        <v>900</v>
      </c>
      <c r="G32" s="124">
        <v>44313</v>
      </c>
      <c r="H32" s="69" t="s">
        <v>572</v>
      </c>
      <c r="I32" s="71" t="s">
        <v>907</v>
      </c>
      <c r="J32" s="67" t="s">
        <v>582</v>
      </c>
      <c r="L32" s="13" t="s">
        <v>774</v>
      </c>
    </row>
    <row r="33" spans="1:32">
      <c r="A33" s="13" t="s">
        <v>34</v>
      </c>
      <c r="B33" s="117">
        <v>687678</v>
      </c>
      <c r="C33" s="117" t="s">
        <v>839</v>
      </c>
      <c r="D33" s="117" t="s">
        <v>213</v>
      </c>
      <c r="E33" s="107" t="s">
        <v>900</v>
      </c>
      <c r="G33" s="124">
        <v>44313</v>
      </c>
      <c r="H33" s="69" t="s">
        <v>572</v>
      </c>
      <c r="I33" s="71" t="s">
        <v>911</v>
      </c>
      <c r="J33" s="67" t="s">
        <v>582</v>
      </c>
      <c r="L33" s="13" t="s">
        <v>774</v>
      </c>
    </row>
    <row r="34" spans="1:32">
      <c r="A34" s="13" t="s">
        <v>55</v>
      </c>
      <c r="B34" s="117">
        <v>69755</v>
      </c>
      <c r="C34" s="117" t="s">
        <v>839</v>
      </c>
      <c r="D34" s="117" t="s">
        <v>912</v>
      </c>
      <c r="E34" s="107" t="s">
        <v>900</v>
      </c>
      <c r="G34" s="124">
        <v>44313</v>
      </c>
      <c r="H34" s="69" t="s">
        <v>572</v>
      </c>
      <c r="I34" s="71" t="s">
        <v>913</v>
      </c>
      <c r="J34" s="67" t="s">
        <v>582</v>
      </c>
      <c r="L34" s="13" t="s">
        <v>774</v>
      </c>
    </row>
    <row r="35" spans="1:32">
      <c r="A35" s="13" t="s">
        <v>915</v>
      </c>
      <c r="B35" s="117">
        <v>2005741</v>
      </c>
      <c r="C35" s="117" t="s">
        <v>424</v>
      </c>
      <c r="D35" s="117" t="s">
        <v>916</v>
      </c>
      <c r="E35" s="107" t="s">
        <v>900</v>
      </c>
      <c r="G35" s="124">
        <v>44313</v>
      </c>
      <c r="H35" s="69" t="s">
        <v>572</v>
      </c>
      <c r="I35" s="71" t="s">
        <v>917</v>
      </c>
      <c r="J35" s="67" t="s">
        <v>582</v>
      </c>
      <c r="L35" s="13" t="s">
        <v>774</v>
      </c>
    </row>
    <row r="36" spans="1:32">
      <c r="A36" s="13" t="s">
        <v>28</v>
      </c>
      <c r="B36" s="117" t="s">
        <v>929</v>
      </c>
      <c r="C36" s="117" t="s">
        <v>542</v>
      </c>
      <c r="E36" s="107" t="s">
        <v>49</v>
      </c>
      <c r="G36" s="124">
        <v>44403</v>
      </c>
      <c r="H36" s="69" t="s">
        <v>572</v>
      </c>
      <c r="I36" s="2">
        <v>13280</v>
      </c>
      <c r="J36" s="67" t="s">
        <v>546</v>
      </c>
      <c r="L36" s="13" t="s">
        <v>774</v>
      </c>
    </row>
    <row r="37" spans="1:32">
      <c r="A37" s="13" t="s">
        <v>930</v>
      </c>
      <c r="B37" s="117" t="s">
        <v>931</v>
      </c>
      <c r="C37" s="117" t="s">
        <v>10</v>
      </c>
      <c r="E37" s="107" t="s">
        <v>49</v>
      </c>
      <c r="G37" s="124">
        <v>44403</v>
      </c>
      <c r="H37" s="69" t="s">
        <v>572</v>
      </c>
      <c r="I37" s="2">
        <v>13281</v>
      </c>
      <c r="J37" s="67" t="s">
        <v>546</v>
      </c>
      <c r="L37" s="13" t="s">
        <v>774</v>
      </c>
    </row>
    <row r="38" spans="1:32">
      <c r="A38" s="13" t="s">
        <v>932</v>
      </c>
      <c r="B38" s="118">
        <v>1827001034376</v>
      </c>
      <c r="C38" s="117" t="s">
        <v>933</v>
      </c>
      <c r="E38" s="107" t="s">
        <v>49</v>
      </c>
      <c r="G38" s="124">
        <v>44403</v>
      </c>
      <c r="H38" s="115" t="s">
        <v>572</v>
      </c>
      <c r="I38" s="2">
        <v>13282</v>
      </c>
      <c r="J38" s="67" t="s">
        <v>546</v>
      </c>
      <c r="L38" s="13" t="s">
        <v>774</v>
      </c>
    </row>
    <row r="39" spans="1:32">
      <c r="A39" s="13" t="s">
        <v>45</v>
      </c>
      <c r="B39" s="117">
        <v>1404677</v>
      </c>
      <c r="C39" s="117" t="s">
        <v>934</v>
      </c>
      <c r="D39" s="117" t="s">
        <v>935</v>
      </c>
      <c r="E39" s="107" t="s">
        <v>936</v>
      </c>
      <c r="G39" s="124">
        <v>44398</v>
      </c>
      <c r="H39" s="115" t="s">
        <v>572</v>
      </c>
      <c r="I39" s="2">
        <v>13217</v>
      </c>
      <c r="J39" s="67" t="s">
        <v>546</v>
      </c>
      <c r="L39" s="13" t="s">
        <v>774</v>
      </c>
    </row>
    <row r="40" spans="1:32">
      <c r="A40" s="13" t="s">
        <v>937</v>
      </c>
      <c r="B40" s="117" t="s">
        <v>939</v>
      </c>
      <c r="C40" s="117" t="s">
        <v>424</v>
      </c>
      <c r="D40" s="117" t="s">
        <v>938</v>
      </c>
      <c r="E40" s="107" t="s">
        <v>936</v>
      </c>
      <c r="G40" s="124">
        <v>44398</v>
      </c>
      <c r="H40" s="115" t="s">
        <v>572</v>
      </c>
      <c r="I40" s="2">
        <v>13218</v>
      </c>
      <c r="J40" s="67" t="s">
        <v>546</v>
      </c>
      <c r="L40" s="13" t="s">
        <v>774</v>
      </c>
    </row>
    <row r="41" spans="1:32">
      <c r="A41" s="13" t="s">
        <v>940</v>
      </c>
      <c r="B41" s="117">
        <v>4221150</v>
      </c>
      <c r="C41" s="117" t="s">
        <v>941</v>
      </c>
      <c r="D41" s="117" t="s">
        <v>780</v>
      </c>
      <c r="E41" s="107" t="s">
        <v>936</v>
      </c>
      <c r="G41" s="124">
        <v>44398</v>
      </c>
      <c r="H41" s="115" t="s">
        <v>572</v>
      </c>
      <c r="I41" s="2">
        <v>13219</v>
      </c>
      <c r="J41" s="67" t="s">
        <v>546</v>
      </c>
      <c r="L41" s="13" t="s">
        <v>774</v>
      </c>
    </row>
    <row r="42" spans="1:32">
      <c r="A42" s="13" t="s">
        <v>940</v>
      </c>
      <c r="B42" s="117">
        <v>6213432</v>
      </c>
      <c r="C42" s="117" t="s">
        <v>941</v>
      </c>
      <c r="D42" s="117" t="s">
        <v>942</v>
      </c>
      <c r="E42" s="107" t="s">
        <v>936</v>
      </c>
      <c r="G42" s="124">
        <v>44398</v>
      </c>
      <c r="H42" s="115" t="s">
        <v>572</v>
      </c>
      <c r="I42" s="2">
        <v>13220</v>
      </c>
      <c r="J42" s="67" t="s">
        <v>546</v>
      </c>
      <c r="L42" s="13" t="s">
        <v>774</v>
      </c>
    </row>
    <row r="43" spans="1:32">
      <c r="A43" s="13" t="s">
        <v>486</v>
      </c>
      <c r="B43" s="117" t="s">
        <v>943</v>
      </c>
      <c r="C43" s="117" t="s">
        <v>596</v>
      </c>
      <c r="D43" s="117" t="s">
        <v>946</v>
      </c>
      <c r="E43" s="107" t="s">
        <v>936</v>
      </c>
      <c r="G43" s="124">
        <v>44398</v>
      </c>
      <c r="H43" s="115" t="s">
        <v>572</v>
      </c>
      <c r="I43" s="2">
        <v>13221</v>
      </c>
      <c r="J43" s="67" t="s">
        <v>546</v>
      </c>
      <c r="L43" s="13" t="s">
        <v>774</v>
      </c>
    </row>
    <row r="44" spans="1:32">
      <c r="A44" s="13" t="s">
        <v>486</v>
      </c>
      <c r="B44" s="117" t="s">
        <v>944</v>
      </c>
      <c r="C44" s="117" t="s">
        <v>596</v>
      </c>
      <c r="D44" s="117" t="s">
        <v>945</v>
      </c>
      <c r="E44" s="107" t="s">
        <v>936</v>
      </c>
      <c r="G44" s="124">
        <v>44398</v>
      </c>
      <c r="H44" s="115" t="s">
        <v>572</v>
      </c>
      <c r="I44" s="2">
        <v>13222</v>
      </c>
      <c r="J44" s="67" t="s">
        <v>546</v>
      </c>
      <c r="L44" s="13" t="s">
        <v>774</v>
      </c>
    </row>
    <row r="45" spans="1:32">
      <c r="A45" s="13" t="s">
        <v>587</v>
      </c>
      <c r="B45" s="117" t="s">
        <v>947</v>
      </c>
      <c r="C45" s="117" t="s">
        <v>596</v>
      </c>
      <c r="D45" s="117" t="s">
        <v>948</v>
      </c>
      <c r="E45" s="107" t="s">
        <v>936</v>
      </c>
      <c r="G45" s="124">
        <v>44398</v>
      </c>
      <c r="H45" s="115" t="s">
        <v>572</v>
      </c>
      <c r="I45" s="2">
        <v>13223</v>
      </c>
      <c r="J45" s="67" t="s">
        <v>546</v>
      </c>
      <c r="L45" s="13" t="s">
        <v>774</v>
      </c>
    </row>
    <row r="46" spans="1:32" s="13" customFormat="1">
      <c r="A46" s="67" t="s">
        <v>45</v>
      </c>
      <c r="B46" s="68" t="s">
        <v>959</v>
      </c>
      <c r="C46" s="94" t="s">
        <v>960</v>
      </c>
      <c r="D46" s="94" t="s">
        <v>935</v>
      </c>
      <c r="E46" s="107" t="s">
        <v>936</v>
      </c>
      <c r="F46" s="67" t="s">
        <v>447</v>
      </c>
      <c r="G46" s="124">
        <v>44398</v>
      </c>
      <c r="H46" s="115" t="s">
        <v>572</v>
      </c>
      <c r="I46" s="71">
        <v>13247</v>
      </c>
      <c r="J46" s="67" t="s">
        <v>546</v>
      </c>
      <c r="K46" s="67" t="str">
        <f>IFERROR(VLOOKUP(A46,'Obs Tecnicas'!$D$2:$G$344,4,0),"")</f>
        <v/>
      </c>
      <c r="R46" s="71">
        <f>IFERROR(VLOOKUP(B46,'Obs Tecnicas'!$D$2:$G$340,2,0),"")</f>
        <v>13247</v>
      </c>
      <c r="S46" s="67" t="str">
        <f>IFERROR(VLOOKUP(B46,'Obs Tecnicas'!$D$2:$G$344,3,0),"Hexis")</f>
        <v>ER ANALITICA</v>
      </c>
      <c r="T46" s="67" t="str">
        <f>IFERROR(VLOOKUP(B46,'Obs Tecnicas'!$D$2:$G$344,4,0),"")</f>
        <v>Bateria de lítio responsavel pelo armazenamento de dados e configurações de usuário enconra-se sem carga e o filtro óptico azul está oxidado.</v>
      </c>
      <c r="W46" s="72" t="e">
        <f>VLOOKUP(A46,$AB$2:$AD$10,2,0)</f>
        <v>#N/A</v>
      </c>
      <c r="X46" s="72" t="e">
        <f>VLOOKUP(A46,$AB$2:$AD$10,3,0)</f>
        <v>#N/A</v>
      </c>
      <c r="AF46" s="104"/>
    </row>
    <row r="47" spans="1:32" s="13" customFormat="1">
      <c r="A47" s="13" t="s">
        <v>973</v>
      </c>
      <c r="B47" s="67" t="s">
        <v>974</v>
      </c>
      <c r="C47" s="94" t="s">
        <v>424</v>
      </c>
      <c r="D47" s="131" t="s">
        <v>938</v>
      </c>
      <c r="E47" s="107" t="s">
        <v>936</v>
      </c>
      <c r="G47" s="125">
        <v>44370</v>
      </c>
      <c r="H47" s="115" t="s">
        <v>572</v>
      </c>
      <c r="I47" s="67">
        <v>13218</v>
      </c>
      <c r="J47" s="67" t="s">
        <v>546</v>
      </c>
    </row>
    <row r="48" spans="1:32" s="102" customFormat="1">
      <c r="A48" s="122" t="s">
        <v>834</v>
      </c>
      <c r="B48" s="127">
        <v>756690243</v>
      </c>
      <c r="C48" s="130" t="s">
        <v>835</v>
      </c>
      <c r="D48" s="132"/>
      <c r="E48" s="122" t="s">
        <v>1000</v>
      </c>
      <c r="F48" s="122"/>
      <c r="G48" s="125">
        <v>44370</v>
      </c>
      <c r="H48" s="115" t="s">
        <v>572</v>
      </c>
      <c r="I48" s="133">
        <v>12662</v>
      </c>
      <c r="J48" s="13" t="s">
        <v>546</v>
      </c>
    </row>
    <row r="49" spans="1:10" s="13" customFormat="1">
      <c r="A49" s="13" t="s">
        <v>844</v>
      </c>
      <c r="B49" s="67">
        <v>2141238</v>
      </c>
      <c r="C49" s="94" t="s">
        <v>845</v>
      </c>
      <c r="D49" s="116"/>
      <c r="E49" s="122" t="s">
        <v>1000</v>
      </c>
      <c r="G49" s="128">
        <v>44370</v>
      </c>
      <c r="H49" s="115" t="s">
        <v>572</v>
      </c>
      <c r="I49" s="133">
        <v>12667</v>
      </c>
      <c r="J49" s="13" t="s">
        <v>546</v>
      </c>
    </row>
    <row r="50" spans="1:10" s="13" customFormat="1">
      <c r="A50" s="91" t="s">
        <v>811</v>
      </c>
      <c r="B50" s="13" t="s">
        <v>848</v>
      </c>
      <c r="C50" s="94" t="s">
        <v>424</v>
      </c>
      <c r="D50" s="131" t="s">
        <v>57</v>
      </c>
      <c r="E50" s="122" t="s">
        <v>1000</v>
      </c>
      <c r="G50" s="128">
        <v>44370</v>
      </c>
      <c r="H50" s="115" t="s">
        <v>572</v>
      </c>
      <c r="I50" s="67">
        <v>12670</v>
      </c>
      <c r="J50" s="13" t="s">
        <v>546</v>
      </c>
    </row>
    <row r="51" spans="1:10" s="13" customFormat="1">
      <c r="A51" s="91" t="s">
        <v>1001</v>
      </c>
      <c r="B51" s="13">
        <v>6217524</v>
      </c>
      <c r="C51" s="94" t="s">
        <v>861</v>
      </c>
      <c r="D51" s="131"/>
      <c r="E51" s="122" t="s">
        <v>1000</v>
      </c>
      <c r="G51" s="128">
        <v>44370</v>
      </c>
      <c r="H51" s="115" t="s">
        <v>572</v>
      </c>
      <c r="I51" s="67">
        <v>12673</v>
      </c>
      <c r="J51" s="13" t="s">
        <v>546</v>
      </c>
    </row>
    <row r="52" spans="1:10" s="13" customFormat="1">
      <c r="A52" s="91" t="s">
        <v>1002</v>
      </c>
      <c r="B52" s="67">
        <v>52162</v>
      </c>
      <c r="C52" s="94" t="s">
        <v>839</v>
      </c>
      <c r="D52" s="94" t="s">
        <v>95</v>
      </c>
      <c r="E52" s="122" t="s">
        <v>1000</v>
      </c>
      <c r="G52" s="128">
        <v>44371</v>
      </c>
      <c r="H52" s="115" t="s">
        <v>572</v>
      </c>
      <c r="I52" s="67">
        <v>12675</v>
      </c>
      <c r="J52" s="13" t="s">
        <v>546</v>
      </c>
    </row>
    <row r="53" spans="1:10" s="13" customFormat="1">
      <c r="A53" s="91" t="s">
        <v>1010</v>
      </c>
      <c r="B53" s="117">
        <v>4240437</v>
      </c>
      <c r="C53" s="117" t="s">
        <v>483</v>
      </c>
      <c r="D53" s="117" t="s">
        <v>780</v>
      </c>
      <c r="E53" s="2" t="s">
        <v>1017</v>
      </c>
      <c r="G53" s="145">
        <v>44407</v>
      </c>
      <c r="H53" s="115" t="s">
        <v>572</v>
      </c>
      <c r="I53" s="67">
        <v>13319</v>
      </c>
      <c r="J53" s="13" t="str">
        <f>IFERROR(VLOOKUP(D53,Planilha1!$J$2:$X$376,4,0),"Adicionado")</f>
        <v>Adicionado</v>
      </c>
    </row>
    <row r="54" spans="1:10" s="13" customFormat="1">
      <c r="A54" s="91" t="s">
        <v>817</v>
      </c>
      <c r="B54" s="13">
        <v>2902019</v>
      </c>
      <c r="C54" s="94" t="s">
        <v>1009</v>
      </c>
      <c r="D54" s="131" t="s">
        <v>36</v>
      </c>
      <c r="E54" s="2" t="s">
        <v>1017</v>
      </c>
      <c r="G54" s="97">
        <v>44407</v>
      </c>
      <c r="H54" s="115" t="s">
        <v>572</v>
      </c>
      <c r="I54" s="67">
        <v>13316</v>
      </c>
      <c r="J54" s="13" t="str">
        <f>IFERROR(VLOOKUP(D54,Planilha1!$J$2:$X$376,4,0),"Adicionado")</f>
        <v>Adicionado</v>
      </c>
    </row>
    <row r="55" spans="1:10" s="13" customFormat="1">
      <c r="A55" s="91" t="s">
        <v>1021</v>
      </c>
      <c r="B55" s="131" t="s">
        <v>1012</v>
      </c>
      <c r="C55" s="94" t="s">
        <v>934</v>
      </c>
      <c r="D55" s="131" t="s">
        <v>1022</v>
      </c>
      <c r="E55" s="122" t="s">
        <v>1017</v>
      </c>
      <c r="G55" s="97">
        <v>44407</v>
      </c>
      <c r="H55" s="115" t="s">
        <v>572</v>
      </c>
      <c r="I55" s="2">
        <v>13320</v>
      </c>
      <c r="J55" s="13" t="str">
        <f>IFERROR(VLOOKUP(D55,Planilha1!$J$2:$X$376,4,0),"Adicionado")</f>
        <v>Adicionado</v>
      </c>
    </row>
    <row r="56" spans="1:10" s="13" customFormat="1">
      <c r="A56" s="91" t="s">
        <v>37</v>
      </c>
      <c r="B56" s="131" t="s">
        <v>748</v>
      </c>
      <c r="C56" s="94" t="s">
        <v>1005</v>
      </c>
      <c r="D56" s="117" t="s">
        <v>1018</v>
      </c>
      <c r="E56" s="67" t="s">
        <v>1017</v>
      </c>
      <c r="G56" s="97">
        <v>44407</v>
      </c>
      <c r="H56" s="115" t="s">
        <v>572</v>
      </c>
      <c r="I56" s="67">
        <v>1331</v>
      </c>
      <c r="J56" s="13" t="str">
        <f>IFERROR(VLOOKUP(D56,Planilha1!$J$2:$X$376,4,0),"Adicionado")</f>
        <v>Adicionado</v>
      </c>
    </row>
  </sheetData>
  <sheetProtection algorithmName="SHA-512" hashValue="7zyYCcg7V9yVDQC7vHuaZjOQHvZIx2nnWQq8qG71qoExMT43PC6TJyDuW0n5mAZzFyOTj7EFW2r4pEKFS3bglA==" saltValue="aa9Fcg0GIrSDfadMIt7wAw==" spinCount="100000" sheet="1" objects="1" scenarios="1"/>
  <autoFilter ref="G1:G45" xr:uid="{0582C49C-E9E8-48B6-A48C-A4A7D21F7520}"/>
  <conditionalFormatting sqref="A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1">
    <cfRule type="expression" dxfId="8" priority="13">
      <formula>IF(G2&lt;=TODAY()-365,TRUE)</formula>
    </cfRule>
    <cfRule type="expression" dxfId="7" priority="14">
      <formula>IF(G2&lt;(TODAY())-320,TRUE)</formula>
    </cfRule>
    <cfRule type="expression" dxfId="6" priority="15">
      <formula>IF(G2&lt;(TODAY())+0,TRUE)</formula>
    </cfRule>
  </conditionalFormatting>
  <conditionalFormatting sqref="H32:H34">
    <cfRule type="expression" dxfId="5" priority="322">
      <formula>IF(G31&lt;=TODAY()-365,TRUE)</formula>
    </cfRule>
    <cfRule type="expression" dxfId="4" priority="323">
      <formula>IF(G31&lt;(TODAY())-320,TRUE)</formula>
    </cfRule>
    <cfRule type="expression" dxfId="3" priority="324">
      <formula>IF(G31&lt;(TODAY())+0,TRUE)</formula>
    </cfRule>
  </conditionalFormatting>
  <conditionalFormatting sqref="H35:H56">
    <cfRule type="expression" dxfId="2" priority="328">
      <formula>IF(G33&lt;=TODAY()-365,TRUE)</formula>
    </cfRule>
    <cfRule type="expression" dxfId="1" priority="329">
      <formula>IF(G33&lt;(TODAY())-320,TRUE)</formula>
    </cfRule>
    <cfRule type="expression" dxfId="0" priority="330">
      <formula>IF(G33&lt;(TODAY())+0,TRUE)</formula>
    </cfRule>
  </conditionalFormatting>
  <dataValidations count="2">
    <dataValidation type="list" allowBlank="1" showInputMessage="1" showErrorMessage="1" sqref="L1:L21" xr:uid="{871DC767-8A8C-45B2-B6A1-4BA04C5E30DA}">
      <formula1>"ADICIONADO,REALIZADO,DESATIVADO, NÃO ENCONTRADO,AGENDADO,SEM RETORNO DO OWNER"</formula1>
    </dataValidation>
    <dataValidation type="list" allowBlank="1" showInputMessage="1" showErrorMessage="1" sqref="L22:L46 U46" xr:uid="{1C839FEB-05F7-4E74-983B-FB5E54964933}">
      <formula1>"ADICIONADO,REALIZADO,DESATIVADO, NÃO ENCONTRADO,AGENDADO,SEM RETORNO DO OWNER,EM CONTATO"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2EEB0C6D83CB4ABAEB488C050756FA" ma:contentTypeVersion="2" ma:contentTypeDescription="Crie um novo documento." ma:contentTypeScope="" ma:versionID="6fe2b01dc6d16f409ff34c1c35645731">
  <xsd:schema xmlns:xsd="http://www.w3.org/2001/XMLSchema" xmlns:xs="http://www.w3.org/2001/XMLSchema" xmlns:p="http://schemas.microsoft.com/office/2006/metadata/properties" xmlns:ns2="8b948e9f-9399-4ed5-b03b-f0dc618b0f11" targetNamespace="http://schemas.microsoft.com/office/2006/metadata/properties" ma:root="true" ma:fieldsID="59c8b3b3d58cca2393442b7abdcfdb33" ns2:_="">
    <xsd:import namespace="8b948e9f-9399-4ed5-b03b-f0dc618b0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48e9f-9399-4ed5-b03b-f0dc618b0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3DDBED-9AB6-49FB-A763-F3AA2AF5C667}">
  <ds:schemaRefs>
    <ds:schemaRef ds:uri="http://schemas.microsoft.com/office/2006/metadata/properties"/>
    <ds:schemaRef ds:uri="http://schemas.microsoft.com/office/infopath/2007/PartnerControls"/>
    <ds:schemaRef ds:uri="a552b7a5-8e3a-430d-8c3b-979486a88382"/>
  </ds:schemaRefs>
</ds:datastoreItem>
</file>

<file path=customXml/itemProps2.xml><?xml version="1.0" encoding="utf-8"?>
<ds:datastoreItem xmlns:ds="http://schemas.openxmlformats.org/officeDocument/2006/customXml" ds:itemID="{A91E1A46-8859-49EE-A463-9D4611E50A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87DBD5-EEFE-42E4-BFE5-EEC484ADD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48e9f-9399-4ed5-b03b-f0dc618b0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KPIs</vt:lpstr>
      <vt:lpstr>Obs Tecnicas</vt:lpstr>
      <vt:lpstr>Planilha1</vt:lpstr>
      <vt:lpstr>Não Encontrado</vt:lpstr>
      <vt:lpstr>Distritos</vt:lpstr>
      <vt:lpstr>Equipamentos Desativados</vt:lpstr>
      <vt:lpstr>Adicionados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Bruna Santos - ER Analitica</cp:lastModifiedBy>
  <cp:lastPrinted>2021-06-05T21:38:44Z</cp:lastPrinted>
  <dcterms:created xsi:type="dcterms:W3CDTF">2021-05-21T17:16:48Z</dcterms:created>
  <dcterms:modified xsi:type="dcterms:W3CDTF">2021-08-17T17:12:25Z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0x010100082EEB0C6D83CB4ABAEB488C050756FA</vt:lpwstr>
  </property>
  <property fmtid="{D5CDD505-2E9C-101B-9397-08002B2CF9AE}" pid="3" name="ComplianceAssetId">
    <vt:lpwstr/>
  </property>
  <property fmtid="{D5CDD505-2E9C-101B-9397-08002B2CF9AE}" pid="4" name="_ExtendedDescription">
    <vt:lpwstr/>
  </property>
</Properties>
</file>