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KPIs" sheetId="1" state="hidden" r:id="rId2"/>
    <sheet name="KPI-s de Controle " sheetId="2" state="visible" r:id="rId3"/>
    <sheet name="Controle de equipamento" sheetId="3" state="visible" r:id="rId4"/>
    <sheet name="PIPETAS-MICROPIPETAS" sheetId="4" state="visible" r:id="rId5"/>
    <sheet name="Obs Tecnicas" sheetId="5" state="visible" r:id="rId6"/>
    <sheet name="Distritos" sheetId="6" state="visible" r:id="rId7"/>
    <sheet name="Não Encontrado" sheetId="7" state="visible" r:id="rId8"/>
    <sheet name="Equipamentos Desativados" sheetId="8" state="visible" r:id="rId9"/>
    <sheet name="Adicionados" sheetId="9" state="visible" r:id="rId10"/>
  </sheets>
  <externalReferences>
    <externalReference r:id="rId11"/>
  </externalReferences>
  <definedNames>
    <definedName function="false" hidden="true" localSheetId="8" name="_xlnm._FilterDatabase" vbProcedure="false">Adicionados!$A$1:$AF$124</definedName>
    <definedName function="false" hidden="true" localSheetId="2" name="_xlnm._FilterDatabase" vbProcedure="false">'Controle de equipamento'!$A$1:$AO$308</definedName>
    <definedName function="false" hidden="true" localSheetId="7" name="_xlnm._FilterDatabase" vbProcedure="false">'Equipamentos Desativados'!$A$1:$V$23</definedName>
    <definedName function="false" hidden="true" localSheetId="6" name="_xlnm._FilterDatabase" vbProcedure="false">'Não Encontrado'!$A$1:$W$44</definedName>
    <definedName function="false" hidden="true" localSheetId="4" name="_xlnm._FilterDatabase" vbProcedure="false">'Obs Tecnicas'!$A$1:$J$482</definedName>
    <definedName function="false" hidden="true" localSheetId="3" name="_xlnm._FilterDatabase" vbProcedure="false">'PIPETAS-MICROPIPETAS'!$A$1:$Y$1</definedName>
  </definedNames>
  <calcPr iterateCount="100" refMode="A1" iterate="false" iterateDelta="0.0001"/>
  <pivotCaches>
    <pivotCache cacheId="1" r:id="rId13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<sst xmlns="http://schemas.openxmlformats.org/spreadsheetml/2006/main" count="8415" uniqueCount="1390">
  <si>
    <t xml:space="preserve">Equipamentos Cadastrados</t>
  </si>
  <si>
    <t xml:space="preserve">Calibrados</t>
  </si>
  <si>
    <t xml:space="preserve">Vencidos</t>
  </si>
  <si>
    <t xml:space="preserve">% de Instrumentos Calibrados</t>
  </si>
  <si>
    <t xml:space="preserve">Janeiro</t>
  </si>
  <si>
    <t xml:space="preserve">Fevereiro</t>
  </si>
  <si>
    <t xml:space="preserve">Março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</si>
  <si>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</si>
  <si>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</si>
  <si>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</si>
  <si>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</si>
  <si>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</si>
  <si>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</si>
  <si>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</si>
  <si>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</si>
  <si>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</si>
  <si>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</si>
  <si>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Calibrações Realizadas</t>
  </si>
  <si>
    <t xml:space="preserve">Calibrações Previstas</t>
  </si>
  <si>
    <t xml:space="preserve">Desativados</t>
  </si>
  <si>
    <t xml:space="preserve">Adicionado</t>
  </si>
  <si>
    <t xml:space="preserve">Agendado</t>
  </si>
  <si>
    <t xml:space="preserve">Em Contato</t>
  </si>
  <si>
    <t xml:space="preserve">EQUIPAMENTOS CADASTRADOS </t>
  </si>
  <si>
    <t xml:space="preserve">CONTATO FEITO</t>
  </si>
  <si>
    <t xml:space="preserve">CALIBRADOS </t>
  </si>
  <si>
    <t xml:space="preserve">VENCIDOS </t>
  </si>
  <si>
    <t xml:space="preserve">EM CONTATO</t>
  </si>
  <si>
    <t xml:space="preserve">AGENDADO</t>
  </si>
  <si>
    <t xml:space="preserve">EQUIPAMENTOS DESATIVADOS  </t>
  </si>
  <si>
    <t xml:space="preserve">CONSERTO INTERNO</t>
  </si>
  <si>
    <t xml:space="preserve">Mês</t>
  </si>
  <si>
    <t xml:space="preserve">Previsto</t>
  </si>
  <si>
    <t xml:space="preserve">Executado</t>
  </si>
  <si>
    <t xml:space="preserve">Jan</t>
  </si>
  <si>
    <t xml:space="preserve">Fev</t>
  </si>
  <si>
    <t xml:space="preserve">Mar</t>
  </si>
  <si>
    <t xml:space="preserve">Abr</t>
  </si>
  <si>
    <t xml:space="preserve">Mai</t>
  </si>
  <si>
    <t xml:space="preserve">Jun</t>
  </si>
  <si>
    <t xml:space="preserve">Jul</t>
  </si>
  <si>
    <t xml:space="preserve">Ago</t>
  </si>
  <si>
    <t xml:space="preserve">Set</t>
  </si>
  <si>
    <t xml:space="preserve">Out</t>
  </si>
  <si>
    <t xml:space="preserve">Nov</t>
  </si>
  <si>
    <t xml:space="preserve">Dez</t>
  </si>
  <si>
    <t xml:space="preserve">Country</t>
  </si>
  <si>
    <t xml:space="preserve">Owner</t>
  </si>
  <si>
    <t xml:space="preserve">e-mail</t>
  </si>
  <si>
    <t xml:space="preserve">Cel #</t>
  </si>
  <si>
    <t xml:space="preserve">Leader</t>
  </si>
  <si>
    <t xml:space="preserve">email (leader)</t>
  </si>
  <si>
    <t xml:space="preserve">District</t>
  </si>
  <si>
    <t xml:space="preserve">Region/State</t>
  </si>
  <si>
    <t xml:space="preserve">Equipment</t>
  </si>
  <si>
    <t xml:space="preserve">Serial Number</t>
  </si>
  <si>
    <t xml:space="preserve">Brand</t>
  </si>
  <si>
    <t xml:space="preserve">Model</t>
  </si>
  <si>
    <t xml:space="preserve">City</t>
  </si>
  <si>
    <t xml:space="preserve">Customer</t>
  </si>
  <si>
    <t xml:space="preserve">form</t>
  </si>
  <si>
    <t xml:space="preserve">Calibration Date</t>
  </si>
  <si>
    <t xml:space="preserve">Status</t>
  </si>
  <si>
    <t xml:space="preserve">Certificate</t>
  </si>
  <si>
    <t xml:space="preserve">Vendor</t>
  </si>
  <si>
    <t xml:space="preserve">Obs.</t>
  </si>
  <si>
    <t xml:space="preserve">STATUS</t>
  </si>
  <si>
    <t xml:space="preserve">Brasil</t>
  </si>
  <si>
    <t xml:space="preserve">Luiz Silva</t>
  </si>
  <si>
    <t xml:space="preserve">luiz.silva@suez.com</t>
  </si>
  <si>
    <t xml:space="preserve">(82) 98160-7731</t>
  </si>
  <si>
    <t xml:space="preserve">Edmilson Santos</t>
  </si>
  <si>
    <t xml:space="preserve">edmilson.santos@suez.com</t>
  </si>
  <si>
    <t xml:space="preserve">Heavy Industry - Zeus</t>
  </si>
  <si>
    <t xml:space="preserve">AL</t>
  </si>
  <si>
    <t xml:space="preserve">Reator DQO</t>
  </si>
  <si>
    <t xml:space="preserve">POLILAB</t>
  </si>
  <si>
    <t xml:space="preserve">Maceió-AL</t>
  </si>
  <si>
    <t xml:space="preserve">no fixed customer (carried by owner)</t>
  </si>
  <si>
    <t xml:space="preserve">Colorímetro</t>
  </si>
  <si>
    <t xml:space="preserve">09049BC21221</t>
  </si>
  <si>
    <t xml:space="preserve">Hach</t>
  </si>
  <si>
    <t xml:space="preserve">DR890</t>
  </si>
  <si>
    <t xml:space="preserve">Condutivímetro</t>
  </si>
  <si>
    <t xml:space="preserve">Myron L. Company</t>
  </si>
  <si>
    <t xml:space="preserve">4PII</t>
  </si>
  <si>
    <t xml:space="preserve">pHmetro</t>
  </si>
  <si>
    <t xml:space="preserve">Digimed</t>
  </si>
  <si>
    <t xml:space="preserve">DM22 </t>
  </si>
  <si>
    <t xml:space="preserve">Turbidímetro</t>
  </si>
  <si>
    <t xml:space="preserve">16030C048264</t>
  </si>
  <si>
    <t xml:space="preserve">2100Q</t>
  </si>
  <si>
    <t xml:space="preserve">Rosangela de Lima Valente Soares</t>
  </si>
  <si>
    <t xml:space="preserve">rosangela.soares@suez.com</t>
  </si>
  <si>
    <t xml:space="preserve">(55) 98146-8350</t>
  </si>
  <si>
    <t xml:space="preserve">Adalberto Diniz</t>
  </si>
  <si>
    <t xml:space="preserve">adalberto.diniz@suez.com</t>
  </si>
  <si>
    <t xml:space="preserve">MM S&amp;E Sud&amp;NE</t>
  </si>
  <si>
    <t xml:space="preserve">AM</t>
  </si>
  <si>
    <t xml:space="preserve">Manaus-AM</t>
  </si>
  <si>
    <t xml:space="preserve">Wartsila</t>
  </si>
  <si>
    <t xml:space="preserve">Espectrofotômetro</t>
  </si>
  <si>
    <t xml:space="preserve">1264624</t>
  </si>
  <si>
    <t xml:space="preserve">DR2800</t>
  </si>
  <si>
    <t xml:space="preserve"> 2996109</t>
  </si>
  <si>
    <t xml:space="preserve">Oaklon</t>
  </si>
  <si>
    <t xml:space="preserve">PH5+</t>
  </si>
  <si>
    <t xml:space="preserve"> HAO4421691</t>
  </si>
  <si>
    <t xml:space="preserve"> HI98107</t>
  </si>
  <si>
    <t xml:space="preserve">Tatiana Almeida</t>
  </si>
  <si>
    <t xml:space="preserve">tatiana.almeida@suez.com</t>
  </si>
  <si>
    <t xml:space="preserve">(71) 9714-5909</t>
  </si>
  <si>
    <t xml:space="preserve">Marcelo Soto</t>
  </si>
  <si>
    <t xml:space="preserve">marcelo.soto@suez.com</t>
  </si>
  <si>
    <t xml:space="preserve">BA</t>
  </si>
  <si>
    <t xml:space="preserve">Balança Analítica</t>
  </si>
  <si>
    <t xml:space="preserve">B147469098</t>
  </si>
  <si>
    <t xml:space="preserve">Mettler Toledo</t>
  </si>
  <si>
    <t xml:space="preserve">MS204</t>
  </si>
  <si>
    <t xml:space="preserve">Camaçari-BA</t>
  </si>
  <si>
    <t xml:space="preserve">Unigel EDN</t>
  </si>
  <si>
    <t xml:space="preserve">DM22</t>
  </si>
  <si>
    <t xml:space="preserve">10110C0840</t>
  </si>
  <si>
    <t xml:space="preserve">DRB200</t>
  </si>
  <si>
    <t xml:space="preserve">11110C014243</t>
  </si>
  <si>
    <t xml:space="preserve">Itana Sousa</t>
  </si>
  <si>
    <t xml:space="preserve">itana.souza@suez.com</t>
  </si>
  <si>
    <t xml:space="preserve">(71) 99714-5911</t>
  </si>
  <si>
    <t xml:space="preserve">B449346278</t>
  </si>
  <si>
    <t xml:space="preserve">MS204S</t>
  </si>
  <si>
    <t xml:space="preserve">Braskem Q1 Bahia ( Unib)</t>
  </si>
  <si>
    <t xml:space="preserve">4223997</t>
  </si>
  <si>
    <t xml:space="preserve">B21662</t>
  </si>
  <si>
    <t xml:space="preserve">Orion</t>
  </si>
  <si>
    <t xml:space="preserve">Orion 3 Star</t>
  </si>
  <si>
    <t xml:space="preserve">B27525</t>
  </si>
  <si>
    <t xml:space="preserve">GE</t>
  </si>
  <si>
    <t xml:space="preserve">L6606</t>
  </si>
  <si>
    <t xml:space="preserve">Sension 2 GO</t>
  </si>
  <si>
    <t xml:space="preserve">B06517</t>
  </si>
  <si>
    <t xml:space="preserve">THERMO</t>
  </si>
  <si>
    <t xml:space="preserve">Orion 4 Star</t>
  </si>
  <si>
    <t xml:space="preserve">1308011</t>
  </si>
  <si>
    <t xml:space="preserve">pH31</t>
  </si>
  <si>
    <t xml:space="preserve">Braskem Q-2</t>
  </si>
  <si>
    <t xml:space="preserve"> 11080C011203</t>
  </si>
  <si>
    <t xml:space="preserve">Braskem Q-3</t>
  </si>
  <si>
    <t xml:space="preserve"> 1591465</t>
  </si>
  <si>
    <t xml:space="preserve"> DR3900</t>
  </si>
  <si>
    <t xml:space="preserve">Braskem Q-10</t>
  </si>
  <si>
    <t xml:space="preserve">2062403</t>
  </si>
  <si>
    <t xml:space="preserve"> L6606</t>
  </si>
  <si>
    <t xml:space="preserve">12049BC22029</t>
  </si>
  <si>
    <t xml:space="preserve"> DR890</t>
  </si>
  <si>
    <t xml:space="preserve">121290C93261</t>
  </si>
  <si>
    <t xml:space="preserve"> 16020C047582</t>
  </si>
  <si>
    <t xml:space="preserve">DM32</t>
  </si>
  <si>
    <t xml:space="preserve">12039BC22006</t>
  </si>
  <si>
    <t xml:space="preserve">Anderson Brandão de Souza</t>
  </si>
  <si>
    <t xml:space="preserve">anderson.souza@suez.com</t>
  </si>
  <si>
    <t xml:space="preserve">(73) 99198-0508</t>
  </si>
  <si>
    <t xml:space="preserve">Antonio Santos</t>
  </si>
  <si>
    <t xml:space="preserve">an.santos@suez.com</t>
  </si>
  <si>
    <t xml:space="preserve">09069BC21306</t>
  </si>
  <si>
    <t xml:space="preserve">Ilheus -BA</t>
  </si>
  <si>
    <t xml:space="preserve">Barry Callebaut</t>
  </si>
  <si>
    <t xml:space="preserve">Hugo Cavalcante</t>
  </si>
  <si>
    <t xml:space="preserve">hugo.cavalcante@suez.com</t>
  </si>
  <si>
    <t xml:space="preserve">(85) 99991-8828</t>
  </si>
  <si>
    <t xml:space="preserve">Osvaldo Melo (Dib)</t>
  </si>
  <si>
    <t xml:space="preserve">osvaldo.melo@suez.com</t>
  </si>
  <si>
    <t xml:space="preserve">CE</t>
  </si>
  <si>
    <t xml:space="preserve">140690002033</t>
  </si>
  <si>
    <t xml:space="preserve">Fortaleza-CE</t>
  </si>
  <si>
    <t xml:space="preserve">TBM</t>
  </si>
  <si>
    <t xml:space="preserve">67108</t>
  </si>
  <si>
    <t xml:space="preserve">68352</t>
  </si>
  <si>
    <t xml:space="preserve">Glaydiane Melo </t>
  </si>
  <si>
    <t xml:space="preserve">glaydiane.melo@suez.com</t>
  </si>
  <si>
    <t xml:space="preserve">(15) 99731-4948</t>
  </si>
  <si>
    <t xml:space="preserve">59331</t>
  </si>
  <si>
    <t xml:space="preserve">Maracanaú-CE </t>
  </si>
  <si>
    <t xml:space="preserve">GERDAU</t>
  </si>
  <si>
    <t xml:space="preserve">59343</t>
  </si>
  <si>
    <t xml:space="preserve">212256601040 </t>
  </si>
  <si>
    <t xml:space="preserve">DR900 </t>
  </si>
  <si>
    <t xml:space="preserve">59792</t>
  </si>
  <si>
    <t xml:space="preserve">DM TU</t>
  </si>
  <si>
    <t xml:space="preserve">Pecém-CE</t>
  </si>
  <si>
    <t xml:space="preserve">CSP</t>
  </si>
  <si>
    <t xml:space="preserve">21080D000413 </t>
  </si>
  <si>
    <t xml:space="preserve">2100Qis </t>
  </si>
  <si>
    <t xml:space="preserve">Aliny Nunes </t>
  </si>
  <si>
    <t xml:space="preserve">aliny.nunes@suez.com</t>
  </si>
  <si>
    <t xml:space="preserve">(11) 95569-1312</t>
  </si>
  <si>
    <t xml:space="preserve">20090148</t>
  </si>
  <si>
    <t xml:space="preserve">Quimis</t>
  </si>
  <si>
    <t xml:space="preserve">M214AI</t>
  </si>
  <si>
    <t xml:space="preserve">1788818</t>
  </si>
  <si>
    <t xml:space="preserve">72555 </t>
  </si>
  <si>
    <t xml:space="preserve">DM22 </t>
  </si>
  <si>
    <t xml:space="preserve">72561 </t>
  </si>
  <si>
    <t xml:space="preserve">DM32 </t>
  </si>
  <si>
    <t xml:space="preserve">20030C0092</t>
  </si>
  <si>
    <t xml:space="preserve">150060001017</t>
  </si>
  <si>
    <t xml:space="preserve">DR1900</t>
  </si>
  <si>
    <t xml:space="preserve">Quixeré-CE</t>
  </si>
  <si>
    <t xml:space="preserve">Apodi Quixeré</t>
  </si>
  <si>
    <t xml:space="preserve">Ozeas Boone Rufino</t>
  </si>
  <si>
    <t xml:space="preserve">ozeas.rufino@suez.com</t>
  </si>
  <si>
    <t xml:space="preserve">(13) 98138-9202</t>
  </si>
  <si>
    <t xml:space="preserve">Rodrigo Silva</t>
  </si>
  <si>
    <t xml:space="preserve">rodrigo.silva@suez.com</t>
  </si>
  <si>
    <t xml:space="preserve">ES</t>
  </si>
  <si>
    <t xml:space="preserve">12199</t>
  </si>
  <si>
    <t xml:space="preserve">Serra-ES</t>
  </si>
  <si>
    <t xml:space="preserve">Arcelor Mittal</t>
  </si>
  <si>
    <t xml:space="preserve">Multiparâmetro </t>
  </si>
  <si>
    <t xml:space="preserve">6247839</t>
  </si>
  <si>
    <t xml:space="preserve">6PFC</t>
  </si>
  <si>
    <t xml:space="preserve">6261856</t>
  </si>
  <si>
    <t xml:space="preserve">48493</t>
  </si>
  <si>
    <t xml:space="preserve">DM-22</t>
  </si>
  <si>
    <t xml:space="preserve">1521</t>
  </si>
  <si>
    <t xml:space="preserve">Policontrol</t>
  </si>
  <si>
    <t xml:space="preserve">AP2000</t>
  </si>
  <si>
    <t xml:space="preserve">68553</t>
  </si>
  <si>
    <t xml:space="preserve">DM-TU</t>
  </si>
  <si>
    <t xml:space="preserve">D452201361</t>
  </si>
  <si>
    <t xml:space="preserve">SHIMADZU</t>
  </si>
  <si>
    <t xml:space="preserve">AY220</t>
  </si>
  <si>
    <t xml:space="preserve">(31) 99735-2775 </t>
  </si>
  <si>
    <t xml:space="preserve">051090C56708</t>
  </si>
  <si>
    <t xml:space="preserve">1983628</t>
  </si>
  <si>
    <t xml:space="preserve">Braskem</t>
  </si>
  <si>
    <t xml:space="preserve">Isaac Alves Pinto</t>
  </si>
  <si>
    <t xml:space="preserve">isaac.pinto@suez.com</t>
  </si>
  <si>
    <t xml:space="preserve">(99) 99155-3898</t>
  </si>
  <si>
    <t xml:space="preserve">MA</t>
  </si>
  <si>
    <t xml:space="preserve">140070001031</t>
  </si>
  <si>
    <t xml:space="preserve">Imperatriz -MA</t>
  </si>
  <si>
    <t xml:space="preserve">Gerson Miranda  (AcM Carlos Santos)</t>
  </si>
  <si>
    <t xml:space="preserve">gerson.miranda@suez.com</t>
  </si>
  <si>
    <t xml:space="preserve">(31) 99744-8598</t>
  </si>
  <si>
    <t xml:space="preserve">Carlos Santos</t>
  </si>
  <si>
    <t xml:space="preserve">carlos.santos@suez.com</t>
  </si>
  <si>
    <t xml:space="preserve">MG</t>
  </si>
  <si>
    <t xml:space="preserve">060390C58361</t>
  </si>
  <si>
    <t xml:space="preserve">Belo Horizonte-MG</t>
  </si>
  <si>
    <t xml:space="preserve">2102266601021</t>
  </si>
  <si>
    <t xml:space="preserve">Ygor Marinho</t>
  </si>
  <si>
    <t xml:space="preserve">ygor.marinho@suez.com</t>
  </si>
  <si>
    <t xml:space="preserve">(37) 9964-6048</t>
  </si>
  <si>
    <t xml:space="preserve">14090C35115</t>
  </si>
  <si>
    <t xml:space="preserve">Divinópolis-MG </t>
  </si>
  <si>
    <t xml:space="preserve">133510002005</t>
  </si>
  <si>
    <t xml:space="preserve">6266879</t>
  </si>
  <si>
    <t xml:space="preserve">Ultrameter II 6P</t>
  </si>
  <si>
    <t xml:space="preserve">6269690</t>
  </si>
  <si>
    <t xml:space="preserve">M607036</t>
  </si>
  <si>
    <t xml:space="preserve">MP-6</t>
  </si>
  <si>
    <t xml:space="preserve">Thiago Henrique Miné de Morais </t>
  </si>
  <si>
    <t xml:space="preserve">thiago.morais@suez.com </t>
  </si>
  <si>
    <t xml:space="preserve">(31) 99680-1591</t>
  </si>
  <si>
    <t xml:space="preserve">17121575001003</t>
  </si>
  <si>
    <t xml:space="preserve">Analyser</t>
  </si>
  <si>
    <t xml:space="preserve">650MA</t>
  </si>
  <si>
    <t xml:space="preserve">Juatuba -MG</t>
  </si>
  <si>
    <t xml:space="preserve">Ambev</t>
  </si>
  <si>
    <t xml:space="preserve">9216/19</t>
  </si>
  <si>
    <t xml:space="preserve">350M</t>
  </si>
  <si>
    <t xml:space="preserve">Jobson Rodrigo Larrubia Da Silva</t>
  </si>
  <si>
    <t xml:space="preserve">jobson-rodrigo.silva@suez.com</t>
  </si>
  <si>
    <t xml:space="preserve">(21) 98110-2537</t>
  </si>
  <si>
    <t xml:space="preserve">PH31</t>
  </si>
  <si>
    <t xml:space="preserve">Juiz de Fora-MG</t>
  </si>
  <si>
    <t xml:space="preserve">Mercedes Benz</t>
  </si>
  <si>
    <t xml:space="preserve">Jackson Augusto Gomes</t>
  </si>
  <si>
    <t xml:space="preserve">jackson.gomes@suez.com</t>
  </si>
  <si>
    <t xml:space="preserve">(32) 99132-8924</t>
  </si>
  <si>
    <t xml:space="preserve">11059BC21741</t>
  </si>
  <si>
    <t xml:space="preserve">Mercedez Bens</t>
  </si>
  <si>
    <t xml:space="preserve">4222111</t>
  </si>
  <si>
    <t xml:space="preserve">William Leite Romano</t>
  </si>
  <si>
    <t xml:space="preserve">william.leiteromano@suez.com</t>
  </si>
  <si>
    <t xml:space="preserve">(37) 9965-3947</t>
  </si>
  <si>
    <t xml:space="preserve">11039BC21695</t>
  </si>
  <si>
    <t xml:space="preserve">086775-01</t>
  </si>
  <si>
    <t xml:space="preserve">Hanna</t>
  </si>
  <si>
    <t xml:space="preserve">HANNA</t>
  </si>
  <si>
    <t xml:space="preserve">DM-2P</t>
  </si>
  <si>
    <t xml:space="preserve">Matheus Henrique Veloso Ferreira</t>
  </si>
  <si>
    <t xml:space="preserve">matheus.ferreira@suez.com</t>
  </si>
  <si>
    <t xml:space="preserve">(38) 99722-7683</t>
  </si>
  <si>
    <t xml:space="preserve">182180001049</t>
  </si>
  <si>
    <t xml:space="preserve">Montes Claros-MG</t>
  </si>
  <si>
    <t xml:space="preserve">Coteminas S.A.</t>
  </si>
  <si>
    <t xml:space="preserve">Gabriel Lourenço</t>
  </si>
  <si>
    <t xml:space="preserve">gabriel.lourenco@suez.com</t>
  </si>
  <si>
    <t xml:space="preserve">(31) 99838-4748</t>
  </si>
  <si>
    <t xml:space="preserve">17040C057193</t>
  </si>
  <si>
    <t xml:space="preserve">Ouro Branco-MG</t>
  </si>
  <si>
    <t xml:space="preserve">63442</t>
  </si>
  <si>
    <t xml:space="preserve">DM-3P</t>
  </si>
  <si>
    <t xml:space="preserve">4212782</t>
  </si>
  <si>
    <t xml:space="preserve">141480001016</t>
  </si>
  <si>
    <t xml:space="preserve">M609346</t>
  </si>
  <si>
    <t xml:space="preserve">MP6</t>
  </si>
  <si>
    <t xml:space="preserve">0083</t>
  </si>
  <si>
    <t xml:space="preserve">Bioprecisa</t>
  </si>
  <si>
    <t xml:space="preserve">FA-2104N</t>
  </si>
  <si>
    <t xml:space="preserve">13090C028101</t>
  </si>
  <si>
    <t xml:space="preserve">José Nascimento</t>
  </si>
  <si>
    <t xml:space="preserve">jose.nascimento@suez.com</t>
  </si>
  <si>
    <t xml:space="preserve">(31) 99217-1073</t>
  </si>
  <si>
    <t xml:space="preserve">2736</t>
  </si>
  <si>
    <t xml:space="preserve">4211939</t>
  </si>
  <si>
    <t xml:space="preserve">4222022</t>
  </si>
  <si>
    <t xml:space="preserve"> 4PII</t>
  </si>
  <si>
    <t xml:space="preserve">4226993</t>
  </si>
  <si>
    <t xml:space="preserve"> 2017108474</t>
  </si>
  <si>
    <t xml:space="preserve">Prominent</t>
  </si>
  <si>
    <t xml:space="preserve"> 2017006235</t>
  </si>
  <si>
    <t xml:space="preserve">Felipe Viegas</t>
  </si>
  <si>
    <t xml:space="preserve">felipe.viegas@suez.com</t>
  </si>
  <si>
    <t xml:space="preserve">(34) 98170-2525</t>
  </si>
  <si>
    <t xml:space="preserve">MM S&amp;E Sude</t>
  </si>
  <si>
    <t xml:space="preserve">09049BC21223</t>
  </si>
  <si>
    <t xml:space="preserve">Uberlândia-MG</t>
  </si>
  <si>
    <t xml:space="preserve">Cargill</t>
  </si>
  <si>
    <t xml:space="preserve">(34) 98170-2526</t>
  </si>
  <si>
    <t xml:space="preserve">1378679</t>
  </si>
  <si>
    <t xml:space="preserve">Thiago Tomazelli</t>
  </si>
  <si>
    <t xml:space="preserve">thiago.tomazelli@suez.com</t>
  </si>
  <si>
    <t xml:space="preserve">6255191</t>
  </si>
  <si>
    <t xml:space="preserve">M606994</t>
  </si>
  <si>
    <t xml:space="preserve">Luiz Herculani </t>
  </si>
  <si>
    <t xml:space="preserve">luiz.herculani@suez.com</t>
  </si>
  <si>
    <t xml:space="preserve">(67) 98165-4687</t>
  </si>
  <si>
    <t xml:space="preserve">Rafael Nascimento</t>
  </si>
  <si>
    <t xml:space="preserve">rafael.nascimento@suez.com</t>
  </si>
  <si>
    <t xml:space="preserve">MS</t>
  </si>
  <si>
    <t xml:space="preserve">Caarapó-MS</t>
  </si>
  <si>
    <t xml:space="preserve">Fatima Do Sul Agro-Energetica S/A</t>
  </si>
  <si>
    <t xml:space="preserve">REALIZADO</t>
  </si>
  <si>
    <t xml:space="preserve">Ultrameter II 4P</t>
  </si>
  <si>
    <t xml:space="preserve">MM CO&amp;Sul</t>
  </si>
  <si>
    <t xml:space="preserve">1563933</t>
  </si>
  <si>
    <t xml:space="preserve">Dourados-MS</t>
  </si>
  <si>
    <t xml:space="preserve">417246</t>
  </si>
  <si>
    <t xml:space="preserve">sensION pH1</t>
  </si>
  <si>
    <t xml:space="preserve">AGUARDANDO RETORNO </t>
  </si>
  <si>
    <t xml:space="preserve">Marcelo Bovolenta</t>
  </si>
  <si>
    <t xml:space="preserve">marcelo.bovolenta@suez.com</t>
  </si>
  <si>
    <t xml:space="preserve">(65) 98124- 4236</t>
  </si>
  <si>
    <t xml:space="preserve">MT</t>
  </si>
  <si>
    <t xml:space="preserve">1404677</t>
  </si>
  <si>
    <t xml:space="preserve">Nova Olimpia-MT</t>
  </si>
  <si>
    <t xml:space="preserve">Usinas Itamarati </t>
  </si>
  <si>
    <t xml:space="preserve">(65) 98124- 4237</t>
  </si>
  <si>
    <t xml:space="preserve">Fotômetro</t>
  </si>
  <si>
    <t xml:space="preserve">10079BC21470</t>
  </si>
  <si>
    <t xml:space="preserve">(65) 98124- 4238</t>
  </si>
  <si>
    <t xml:space="preserve">4221150</t>
  </si>
  <si>
    <t xml:space="preserve">4P</t>
  </si>
  <si>
    <t xml:space="preserve">(65) 98124- 4239</t>
  </si>
  <si>
    <t xml:space="preserve">6213432</t>
  </si>
  <si>
    <t xml:space="preserve">6P </t>
  </si>
  <si>
    <t xml:space="preserve">Anderson Oliveira</t>
  </si>
  <si>
    <t xml:space="preserve">anderson.oliveira@suez.com</t>
  </si>
  <si>
    <t xml:space="preserve">(91) 99292-7121</t>
  </si>
  <si>
    <t xml:space="preserve">Adriano Ribeiro </t>
  </si>
  <si>
    <t xml:space="preserve">adriano.ribeiro@suez.com</t>
  </si>
  <si>
    <t xml:space="preserve">PA</t>
  </si>
  <si>
    <t xml:space="preserve">Pocket Pro</t>
  </si>
  <si>
    <t xml:space="preserve">Barcarena-PA</t>
  </si>
  <si>
    <t xml:space="preserve">Alunorte </t>
  </si>
  <si>
    <t xml:space="preserve">200710001815</t>
  </si>
  <si>
    <t xml:space="preserve">DM-32</t>
  </si>
  <si>
    <t xml:space="preserve">Joseane Macena</t>
  </si>
  <si>
    <t xml:space="preserve">joseane.macena@suez.com</t>
  </si>
  <si>
    <t xml:space="preserve">(81) 99632-9183</t>
  </si>
  <si>
    <t xml:space="preserve">PE</t>
  </si>
  <si>
    <t xml:space="preserve">Jaboatão dos Guararapes-PE </t>
  </si>
  <si>
    <t xml:space="preserve">CBA</t>
  </si>
  <si>
    <t xml:space="preserve">Severino Brito</t>
  </si>
  <si>
    <t xml:space="preserve">severino.silva@suez.com</t>
  </si>
  <si>
    <t xml:space="preserve">(81) 99232-9208</t>
  </si>
  <si>
    <t xml:space="preserve">Jardiel Jose de Oliveira</t>
  </si>
  <si>
    <t xml:space="preserve">jardiel.oliveira@suez.com</t>
  </si>
  <si>
    <t xml:space="preserve">(86) 99408-7574</t>
  </si>
  <si>
    <t xml:space="preserve">PI</t>
  </si>
  <si>
    <t xml:space="preserve">182790001035</t>
  </si>
  <si>
    <t xml:space="preserve">Teresina-PI</t>
  </si>
  <si>
    <t xml:space="preserve">4227209</t>
  </si>
  <si>
    <t xml:space="preserve">4227316</t>
  </si>
  <si>
    <t xml:space="preserve">181790001011</t>
  </si>
  <si>
    <t xml:space="preserve">2224264</t>
  </si>
  <si>
    <t xml:space="preserve">2068798</t>
  </si>
  <si>
    <t xml:space="preserve">10090C040251</t>
  </si>
  <si>
    <t xml:space="preserve">2100P</t>
  </si>
  <si>
    <t xml:space="preserve">(44) 99172-5427</t>
  </si>
  <si>
    <t xml:space="preserve">PR</t>
  </si>
  <si>
    <t xml:space="preserve">6263667</t>
  </si>
  <si>
    <t xml:space="preserve">Astorga-PR</t>
  </si>
  <si>
    <t xml:space="preserve">Nova Produtiva</t>
  </si>
  <si>
    <t xml:space="preserve">150750001005</t>
  </si>
  <si>
    <t xml:space="preserve">1483375</t>
  </si>
  <si>
    <t xml:space="preserve">6252724</t>
  </si>
  <si>
    <t xml:space="preserve">15030C039256</t>
  </si>
  <si>
    <t xml:space="preserve">4220749</t>
  </si>
  <si>
    <t xml:space="preserve">6265833</t>
  </si>
  <si>
    <t xml:space="preserve">3008531</t>
  </si>
  <si>
    <t xml:space="preserve">pH 5+</t>
  </si>
  <si>
    <t xml:space="preserve">6247093</t>
  </si>
  <si>
    <t xml:space="preserve">10049BC21424</t>
  </si>
  <si>
    <t xml:space="preserve">Rafael Pedroso</t>
  </si>
  <si>
    <t xml:space="preserve">rafael.pedroso@suez.com</t>
  </si>
  <si>
    <t xml:space="preserve">(42) 99152 7969</t>
  </si>
  <si>
    <t xml:space="preserve">Leandro Zunkowski</t>
  </si>
  <si>
    <t xml:space="preserve">leandro.zunkowski@suez.com</t>
  </si>
  <si>
    <t xml:space="preserve">182190001001</t>
  </si>
  <si>
    <t xml:space="preserve">Ponta Grossa-PR</t>
  </si>
  <si>
    <t xml:space="preserve">AMBEV</t>
  </si>
  <si>
    <t xml:space="preserve">17121575001016</t>
  </si>
  <si>
    <t xml:space="preserve">6273833</t>
  </si>
  <si>
    <t xml:space="preserve">9203/19</t>
  </si>
  <si>
    <t xml:space="preserve">Ronaldo Melo </t>
  </si>
  <si>
    <t xml:space="preserve">ronaldo.melo@suez.com</t>
  </si>
  <si>
    <t xml:space="preserve">RJ</t>
  </si>
  <si>
    <t xml:space="preserve">4224380</t>
  </si>
  <si>
    <t xml:space="preserve">Duque de Caxias-RJ</t>
  </si>
  <si>
    <t xml:space="preserve">Arlanxeo</t>
  </si>
  <si>
    <t xml:space="preserve">4226194</t>
  </si>
  <si>
    <t xml:space="preserve">1518973</t>
  </si>
  <si>
    <t xml:space="preserve">133510002007</t>
  </si>
  <si>
    <t xml:space="preserve">Pocket Pro PH</t>
  </si>
  <si>
    <t xml:space="preserve">Leonardo Gonçalves</t>
  </si>
  <si>
    <t xml:space="preserve">leonardo.goncalves@suez.com</t>
  </si>
  <si>
    <t xml:space="preserve">(21) 99607-3132</t>
  </si>
  <si>
    <t xml:space="preserve">Lab E&amp;P</t>
  </si>
  <si>
    <t xml:space="preserve">B207696042</t>
  </si>
  <si>
    <t xml:space="preserve">Ohaus</t>
  </si>
  <si>
    <t xml:space="preserve">ARC 120BR</t>
  </si>
  <si>
    <t xml:space="preserve">Alfa Rio Química </t>
  </si>
  <si>
    <t xml:space="preserve">Sartorius</t>
  </si>
  <si>
    <t xml:space="preserve">ED224S</t>
  </si>
  <si>
    <t xml:space="preserve">Metrohm</t>
  </si>
  <si>
    <t xml:space="preserve">827 PH LAB</t>
  </si>
  <si>
    <t xml:space="preserve">14070C034003</t>
  </si>
  <si>
    <t xml:space="preserve">Analisador de Umidade</t>
  </si>
  <si>
    <t xml:space="preserve">D207302309</t>
  </si>
  <si>
    <t xml:space="preserve">Shimadzu</t>
  </si>
  <si>
    <t xml:space="preserve">MOC 120H</t>
  </si>
  <si>
    <t xml:space="preserve">Eduardo Mello</t>
  </si>
  <si>
    <t xml:space="preserve">eduardo.mello@suez.com</t>
  </si>
  <si>
    <t xml:space="preserve">(21) 98103-6080</t>
  </si>
  <si>
    <t xml:space="preserve">B21649</t>
  </si>
  <si>
    <t xml:space="preserve">Itaguaí-RJ</t>
  </si>
  <si>
    <t xml:space="preserve">143160001033</t>
  </si>
  <si>
    <t xml:space="preserve">782590</t>
  </si>
  <si>
    <t xml:space="preserve">11060C009644</t>
  </si>
  <si>
    <t xml:space="preserve">4211933</t>
  </si>
  <si>
    <t xml:space="preserve">1512638</t>
  </si>
  <si>
    <t xml:space="preserve">6244344</t>
  </si>
  <si>
    <t xml:space="preserve">1518977</t>
  </si>
  <si>
    <t xml:space="preserve">6273837</t>
  </si>
  <si>
    <t xml:space="preserve">21070D000217</t>
  </si>
  <si>
    <t xml:space="preserve">B347032029</t>
  </si>
  <si>
    <t xml:space="preserve">Fabiano Argolo</t>
  </si>
  <si>
    <t xml:space="preserve">fabiano.argolo@suez.com</t>
  </si>
  <si>
    <t xml:space="preserve">(21) 99657-0065</t>
  </si>
  <si>
    <t xml:space="preserve">Miguel Frug</t>
  </si>
  <si>
    <t xml:space="preserve">miguel.frug@suez.com</t>
  </si>
  <si>
    <t xml:space="preserve">Macacu-RJ</t>
  </si>
  <si>
    <t xml:space="preserve">Luis Guillermo </t>
  </si>
  <si>
    <t xml:space="preserve">luis-guillermo.freites@suez.com</t>
  </si>
  <si>
    <t xml:space="preserve">RS</t>
  </si>
  <si>
    <t xml:space="preserve"> Ultrameter II</t>
  </si>
  <si>
    <t xml:space="preserve">Alegrete-RS</t>
  </si>
  <si>
    <t xml:space="preserve">12119BC222005</t>
  </si>
  <si>
    <t xml:space="preserve">Thais Silva Nunes</t>
  </si>
  <si>
    <t xml:space="preserve">thais.nunes@suez.com</t>
  </si>
  <si>
    <t xml:space="preserve">(51) 98182-5891</t>
  </si>
  <si>
    <t xml:space="preserve">Paulo Corsete</t>
  </si>
  <si>
    <t xml:space="preserve">paulo.corsete@suez.com</t>
  </si>
  <si>
    <t xml:space="preserve">12079BC22146</t>
  </si>
  <si>
    <t xml:space="preserve">Porto Alegre-RS</t>
  </si>
  <si>
    <t xml:space="preserve">6273676</t>
  </si>
  <si>
    <t xml:space="preserve">6P</t>
  </si>
  <si>
    <t xml:space="preserve">6270110</t>
  </si>
  <si>
    <t xml:space="preserve">210246601028</t>
  </si>
  <si>
    <t xml:space="preserve">2015768</t>
  </si>
  <si>
    <t xml:space="preserve">Fernanda Kaiser</t>
  </si>
  <si>
    <t xml:space="preserve">fernanda.kaiser@suez.com</t>
  </si>
  <si>
    <t xml:space="preserve">(51) 98105-8910</t>
  </si>
  <si>
    <t xml:space="preserve">Heavy Industry - Fenix</t>
  </si>
  <si>
    <t xml:space="preserve">Triunfo-RS</t>
  </si>
  <si>
    <t xml:space="preserve">AL204</t>
  </si>
  <si>
    <t xml:space="preserve">Akso</t>
  </si>
  <si>
    <t xml:space="preserve">AK151</t>
  </si>
  <si>
    <t xml:space="preserve">11050C0018</t>
  </si>
  <si>
    <t xml:space="preserve">Deivid elias</t>
  </si>
  <si>
    <t xml:space="preserve">deivid.elias@suez.com</t>
  </si>
  <si>
    <t xml:space="preserve">(55) 9626-8529</t>
  </si>
  <si>
    <t xml:space="preserve">Karla Perin</t>
  </si>
  <si>
    <t xml:space="preserve">karla.perin@suez.com</t>
  </si>
  <si>
    <t xml:space="preserve">Uruguaiana-RS</t>
  </si>
  <si>
    <t xml:space="preserve">AES</t>
  </si>
  <si>
    <t xml:space="preserve">UP-25058168</t>
  </si>
  <si>
    <t xml:space="preserve">Denver</t>
  </si>
  <si>
    <t xml:space="preserve">UP-25</t>
  </si>
  <si>
    <t xml:space="preserve">UP-10066426</t>
  </si>
  <si>
    <t xml:space="preserve">UP-10</t>
  </si>
  <si>
    <t xml:space="preserve">Matheus Hermes Bahr</t>
  </si>
  <si>
    <t xml:space="preserve">matheus.bahr@suez.com</t>
  </si>
  <si>
    <t xml:space="preserve">(47) 99138-6501</t>
  </si>
  <si>
    <t xml:space="preserve">SC</t>
  </si>
  <si>
    <t xml:space="preserve">192330001025</t>
  </si>
  <si>
    <t xml:space="preserve">Jaraguá do Sul-SC</t>
  </si>
  <si>
    <t xml:space="preserve">WEG</t>
  </si>
  <si>
    <t xml:space="preserve">4212780</t>
  </si>
  <si>
    <t xml:space="preserve">6253769</t>
  </si>
  <si>
    <t xml:space="preserve">6251804</t>
  </si>
  <si>
    <t xml:space="preserve">6258650</t>
  </si>
  <si>
    <t xml:space="preserve">6253770</t>
  </si>
  <si>
    <t xml:space="preserve">6247088</t>
  </si>
  <si>
    <t xml:space="preserve">Thiago Ferreira da Silva</t>
  </si>
  <si>
    <t xml:space="preserve">thiago.ferreiradasilva@suez.com</t>
  </si>
  <si>
    <t xml:space="preserve">(11) 96068-7071</t>
  </si>
  <si>
    <t xml:space="preserve">Davi Santos</t>
  </si>
  <si>
    <t xml:space="preserve">davi.santos@suez.com</t>
  </si>
  <si>
    <t xml:space="preserve">SP</t>
  </si>
  <si>
    <t xml:space="preserve">ABC-SP</t>
  </si>
  <si>
    <t xml:space="preserve">Myron L Company</t>
  </si>
  <si>
    <t xml:space="preserve">Eduardo Garcia Zotto</t>
  </si>
  <si>
    <t xml:space="preserve">eduardo.zotto@suez.com</t>
  </si>
  <si>
    <t xml:space="preserve">(14)  99836 9382  </t>
  </si>
  <si>
    <t xml:space="preserve">Rafael Pietro</t>
  </si>
  <si>
    <t xml:space="preserve">rafael.pietro@suez.com</t>
  </si>
  <si>
    <t xml:space="preserve">142380001002</t>
  </si>
  <si>
    <t xml:space="preserve">Agudos-SP</t>
  </si>
  <si>
    <t xml:space="preserve">Rafaela Gomes</t>
  </si>
  <si>
    <t xml:space="preserve">rafaela.gomes@suez.com</t>
  </si>
  <si>
    <t xml:space="preserve">(11) 97192-7984</t>
  </si>
  <si>
    <t xml:space="preserve">Vinicius de Paula</t>
  </si>
  <si>
    <t xml:space="preserve">vinicius.paula@suez.com</t>
  </si>
  <si>
    <t xml:space="preserve">Heavy Industry - Lobos</t>
  </si>
  <si>
    <t xml:space="preserve">Alumínio-SP</t>
  </si>
  <si>
    <t xml:space="preserve">Sonia Cristina De Jesus Oliveira</t>
  </si>
  <si>
    <t xml:space="preserve">sonia.jesus@suez.com</t>
  </si>
  <si>
    <t xml:space="preserve">(16) 99636-8332</t>
  </si>
  <si>
    <t xml:space="preserve">1532591</t>
  </si>
  <si>
    <t xml:space="preserve">Araraquara-SP</t>
  </si>
  <si>
    <t xml:space="preserve">Suez WTS (Laboratório)</t>
  </si>
  <si>
    <t xml:space="preserve">6227214</t>
  </si>
  <si>
    <t xml:space="preserve">50008</t>
  </si>
  <si>
    <t xml:space="preserve">Natália Correia</t>
  </si>
  <si>
    <t xml:space="preserve">natalia.correa@suez.com</t>
  </si>
  <si>
    <t xml:space="preserve">(16) 99756-8086</t>
  </si>
  <si>
    <t xml:space="preserve">Rafael Campos</t>
  </si>
  <si>
    <t xml:space="preserve">rafael.campos@suez.com</t>
  </si>
  <si>
    <t xml:space="preserve">1354920</t>
  </si>
  <si>
    <t xml:space="preserve"> DR2800</t>
  </si>
  <si>
    <t xml:space="preserve">Phmetro</t>
  </si>
  <si>
    <t xml:space="preserve">Flaminio Neto</t>
  </si>
  <si>
    <t xml:space="preserve">flaminio.neto@suez.com</t>
  </si>
  <si>
    <t xml:space="preserve">(16) 99610-2979</t>
  </si>
  <si>
    <t xml:space="preserve">Araraquara (Lab)</t>
  </si>
  <si>
    <t xml:space="preserve">H59327</t>
  </si>
  <si>
    <t xml:space="preserve">AE 200</t>
  </si>
  <si>
    <t xml:space="preserve">2902426</t>
  </si>
  <si>
    <t xml:space="preserve">5370058101</t>
  </si>
  <si>
    <t xml:space="preserve">Hi98703</t>
  </si>
  <si>
    <t xml:space="preserve">1373274</t>
  </si>
  <si>
    <t xml:space="preserve">4229146</t>
  </si>
  <si>
    <t xml:space="preserve"> 4P</t>
  </si>
  <si>
    <t xml:space="preserve">Jonathan Giovedy</t>
  </si>
  <si>
    <t xml:space="preserve">jonathan.giovedy@suez.com</t>
  </si>
  <si>
    <t xml:space="preserve">(19) 99965-7673</t>
  </si>
  <si>
    <t xml:space="preserve">Gustavo Rowe</t>
  </si>
  <si>
    <t xml:space="preserve">gustavo.rowe@suez.com</t>
  </si>
  <si>
    <t xml:space="preserve">203166601039</t>
  </si>
  <si>
    <t xml:space="preserve">Campinas-SP</t>
  </si>
  <si>
    <t xml:space="preserve">Raul Oliveira</t>
  </si>
  <si>
    <t xml:space="preserve">raul.oliveira@suez.com</t>
  </si>
  <si>
    <t xml:space="preserve">(11) 97586 9162</t>
  </si>
  <si>
    <t xml:space="preserve">Saulo Colenci </t>
  </si>
  <si>
    <t xml:space="preserve">saulo.colenci@suez.com</t>
  </si>
  <si>
    <t xml:space="preserve">Cotia (Laboratórios)</t>
  </si>
  <si>
    <t xml:space="preserve">B042078134</t>
  </si>
  <si>
    <t xml:space="preserve">Cotia -SP</t>
  </si>
  <si>
    <t xml:space="preserve">1113112822</t>
  </si>
  <si>
    <t xml:space="preserve">(11) 95784-0665</t>
  </si>
  <si>
    <t xml:space="preserve">153160001028</t>
  </si>
  <si>
    <t xml:space="preserve">Braulio Herrera </t>
  </si>
  <si>
    <t xml:space="preserve">braulio.herrera@suez.com</t>
  </si>
  <si>
    <t xml:space="preserve">(19) 99906-7480 </t>
  </si>
  <si>
    <t xml:space="preserve">10090C0150</t>
  </si>
  <si>
    <t xml:space="preserve">Lab Suplly</t>
  </si>
  <si>
    <t xml:space="preserve">1207916</t>
  </si>
  <si>
    <t xml:space="preserve">1137166</t>
  </si>
  <si>
    <t xml:space="preserve">12070C019229</t>
  </si>
  <si>
    <t xml:space="preserve">27308347</t>
  </si>
  <si>
    <t xml:space="preserve">D452201536</t>
  </si>
  <si>
    <t xml:space="preserve">B142364760</t>
  </si>
  <si>
    <t xml:space="preserve">X09247</t>
  </si>
  <si>
    <t xml:space="preserve">Thermo</t>
  </si>
  <si>
    <t xml:space="preserve">VED1404020</t>
  </si>
  <si>
    <t xml:space="preserve">Ajmicronal</t>
  </si>
  <si>
    <t xml:space="preserve">AJX1600</t>
  </si>
  <si>
    <t xml:space="preserve">472748</t>
  </si>
  <si>
    <t xml:space="preserve">Qualxtron</t>
  </si>
  <si>
    <t xml:space="preserve">QX1500</t>
  </si>
  <si>
    <t xml:space="preserve">410480</t>
  </si>
  <si>
    <t xml:space="preserve">4210448</t>
  </si>
  <si>
    <t xml:space="preserve">210266601021</t>
  </si>
  <si>
    <t xml:space="preserve">210246661016</t>
  </si>
  <si>
    <t xml:space="preserve">A15763</t>
  </si>
  <si>
    <t xml:space="preserve">Rubens Giglioli</t>
  </si>
  <si>
    <t xml:space="preserve">rubens.giglioli@suez.com</t>
  </si>
  <si>
    <t xml:space="preserve">1378680</t>
  </si>
  <si>
    <t xml:space="preserve">Lençois Paulista-SP</t>
  </si>
  <si>
    <t xml:space="preserve">Bracell</t>
  </si>
  <si>
    <t xml:space="preserve">Thiago Garcia</t>
  </si>
  <si>
    <t xml:space="preserve">thiago.garcia@suez.com</t>
  </si>
  <si>
    <t xml:space="preserve">Renato Chialastri</t>
  </si>
  <si>
    <t xml:space="preserve">renato.chialastri@suez.com</t>
  </si>
  <si>
    <t xml:space="preserve">1562954</t>
  </si>
  <si>
    <t xml:space="preserve">Presidente Prudente-SP</t>
  </si>
  <si>
    <t xml:space="preserve">Marfrig</t>
  </si>
  <si>
    <t xml:space="preserve">2848909</t>
  </si>
  <si>
    <t xml:space="preserve">Brasil </t>
  </si>
  <si>
    <t xml:space="preserve">4236903</t>
  </si>
  <si>
    <t xml:space="preserve">Rodrigo Aparecido Teixeira Amaro</t>
  </si>
  <si>
    <t xml:space="preserve">rodrigo.amaro@suez.com</t>
  </si>
  <si>
    <t xml:space="preserve">(14) 99688-0361</t>
  </si>
  <si>
    <t xml:space="preserve">D452202153</t>
  </si>
  <si>
    <t xml:space="preserve">Promissão-SP</t>
  </si>
  <si>
    <t xml:space="preserve">53253</t>
  </si>
  <si>
    <t xml:space="preserve">4220742</t>
  </si>
  <si>
    <t xml:space="preserve">142380001005</t>
  </si>
  <si>
    <t xml:space="preserve">Ulisses Alves de Sibia</t>
  </si>
  <si>
    <t xml:space="preserve">ulisses.sibia@suez.com</t>
  </si>
  <si>
    <t xml:space="preserve">(14) 98157 5005</t>
  </si>
  <si>
    <t xml:space="preserve">6213434</t>
  </si>
  <si>
    <t xml:space="preserve">53320</t>
  </si>
  <si>
    <t xml:space="preserve">538624</t>
  </si>
  <si>
    <t xml:space="preserve">2905640</t>
  </si>
  <si>
    <t xml:space="preserve">16100C053269</t>
  </si>
  <si>
    <t xml:space="preserve">Everton Delturqui</t>
  </si>
  <si>
    <t xml:space="preserve">everton.delturqui@suez.com</t>
  </si>
  <si>
    <t xml:space="preserve">(12) 99783-1123</t>
  </si>
  <si>
    <t xml:space="preserve">150080001029</t>
  </si>
  <si>
    <t xml:space="preserve">Rio Claro-SP</t>
  </si>
  <si>
    <t xml:space="preserve">DELTA</t>
  </si>
  <si>
    <t xml:space="preserve">40400007670</t>
  </si>
  <si>
    <t xml:space="preserve">DR2500</t>
  </si>
  <si>
    <t xml:space="preserve">6257535</t>
  </si>
  <si>
    <t xml:space="preserve">50009</t>
  </si>
  <si>
    <t xml:space="preserve">19040C075336</t>
  </si>
  <si>
    <t xml:space="preserve">Lucas Munhoz</t>
  </si>
  <si>
    <t xml:space="preserve">lucas.munhoz@suez.com</t>
  </si>
  <si>
    <t xml:space="preserve">(11) 94278-5357</t>
  </si>
  <si>
    <t xml:space="preserve">Amadeu Peixoto</t>
  </si>
  <si>
    <t xml:space="preserve">amadeu.peixoto@suez.com</t>
  </si>
  <si>
    <t xml:space="preserve">Santo André-SP</t>
  </si>
  <si>
    <t xml:space="preserve">RHODIA</t>
  </si>
  <si>
    <t xml:space="preserve">DM 3</t>
  </si>
  <si>
    <t xml:space="preserve">14080C034429</t>
  </si>
  <si>
    <t xml:space="preserve">(11) 94314-2588</t>
  </si>
  <si>
    <t xml:space="preserve">12100C0301</t>
  </si>
  <si>
    <t xml:space="preserve">Felipe Rokicki</t>
  </si>
  <si>
    <t xml:space="preserve">bianca.dossantos@suez.com</t>
  </si>
  <si>
    <t xml:space="preserve">(11) 98251-1011</t>
  </si>
  <si>
    <t xml:space="preserve">felipe.rokicki@suez.com</t>
  </si>
  <si>
    <t xml:space="preserve">10079C21465</t>
  </si>
  <si>
    <t xml:space="preserve">Fábio Morais</t>
  </si>
  <si>
    <t xml:space="preserve">fabio.morais@suez.com</t>
  </si>
  <si>
    <t xml:space="preserve">(11) 94447-4426</t>
  </si>
  <si>
    <t xml:space="preserve">10030C001527</t>
  </si>
  <si>
    <t xml:space="preserve">56698</t>
  </si>
  <si>
    <t xml:space="preserve">120890C91018</t>
  </si>
  <si>
    <t xml:space="preserve">1394478</t>
  </si>
  <si>
    <t xml:space="preserve">4396</t>
  </si>
  <si>
    <t xml:space="preserve">LOVIBOND</t>
  </si>
  <si>
    <t xml:space="preserve">TB 250 WL</t>
  </si>
  <si>
    <t xml:space="preserve">Amanda Mendes</t>
  </si>
  <si>
    <t xml:space="preserve">amanda.mendes@suez.com</t>
  </si>
  <si>
    <t xml:space="preserve">(16) 9 8156-3130 </t>
  </si>
  <si>
    <t xml:space="preserve">Rony Funes</t>
  </si>
  <si>
    <t xml:space="preserve">rony.funes@suez.com</t>
  </si>
  <si>
    <t xml:space="preserve"> DM-3P</t>
  </si>
  <si>
    <t xml:space="preserve">Prometeon</t>
  </si>
  <si>
    <t xml:space="preserve">Prometeon </t>
  </si>
  <si>
    <t xml:space="preserve">Romildo Gonçalves</t>
  </si>
  <si>
    <t xml:space="preserve">romildo.goncalves@suez.com</t>
  </si>
  <si>
    <t xml:space="preserve">12039BC22007</t>
  </si>
  <si>
    <t xml:space="preserve">São José dos Campos-SP</t>
  </si>
  <si>
    <t xml:space="preserve">REVAP</t>
  </si>
  <si>
    <t xml:space="preserve">Clovis Oliveira</t>
  </si>
  <si>
    <t xml:space="preserve">clovis.oliveira@suez.com</t>
  </si>
  <si>
    <t xml:space="preserve">(24) 98112-8147</t>
  </si>
  <si>
    <t xml:space="preserve">São Paulo-SP</t>
  </si>
  <si>
    <t xml:space="preserve">Davi Nascimento Santos</t>
  </si>
  <si>
    <t xml:space="preserve">(11) 98371-6541</t>
  </si>
  <si>
    <t xml:space="preserve">4212786</t>
  </si>
  <si>
    <t xml:space="preserve">16020C047676</t>
  </si>
  <si>
    <t xml:space="preserve">Antonio Aguimar Ribeiro</t>
  </si>
  <si>
    <t xml:space="preserve">a.ribeiro@suez.com</t>
  </si>
  <si>
    <t xml:space="preserve">(11) 95476-9333</t>
  </si>
  <si>
    <t xml:space="preserve">Gustavo Pereira</t>
  </si>
  <si>
    <t xml:space="preserve">gustavo.pereira@suez.com</t>
  </si>
  <si>
    <t xml:space="preserve">DR2000</t>
  </si>
  <si>
    <t xml:space="preserve">Nitroquimica</t>
  </si>
  <si>
    <t xml:space="preserve">Giovana Tardelli</t>
  </si>
  <si>
    <t xml:space="preserve">giovana.tardelli@suez.com</t>
  </si>
  <si>
    <t xml:space="preserve">(11) 96343-9697</t>
  </si>
  <si>
    <t xml:space="preserve">Ana Oliveira</t>
  </si>
  <si>
    <t xml:space="preserve">ana.oliveira@suez.com</t>
  </si>
  <si>
    <t xml:space="preserve">Sorocaba (Laboratórios)</t>
  </si>
  <si>
    <t xml:space="preserve">13060C026283</t>
  </si>
  <si>
    <t xml:space="preserve">Sorocaba-SP</t>
  </si>
  <si>
    <t xml:space="preserve">VED 1304018</t>
  </si>
  <si>
    <t xml:space="preserve">Micronal</t>
  </si>
  <si>
    <t xml:space="preserve">B380AJX1600</t>
  </si>
  <si>
    <t xml:space="preserve">B746974184</t>
  </si>
  <si>
    <t xml:space="preserve">S220</t>
  </si>
  <si>
    <t xml:space="preserve">13010C022672</t>
  </si>
  <si>
    <t xml:space="preserve">12069BC22126</t>
  </si>
  <si>
    <t xml:space="preserve"> 12119BC22187</t>
  </si>
  <si>
    <t xml:space="preserve">Medidor de OD</t>
  </si>
  <si>
    <t xml:space="preserve">17K101047</t>
  </si>
  <si>
    <t xml:space="preserve">YSI</t>
  </si>
  <si>
    <t xml:space="preserve">Pro 20i</t>
  </si>
  <si>
    <t xml:space="preserve">Humberto de Campos Junior</t>
  </si>
  <si>
    <t xml:space="preserve">humberto.junior@suez.com</t>
  </si>
  <si>
    <t xml:space="preserve">(19) 97147 2917</t>
  </si>
  <si>
    <t xml:space="preserve">09059BC21258</t>
  </si>
  <si>
    <t xml:space="preserve">Varzea Paulista-SP</t>
  </si>
  <si>
    <t xml:space="preserve">ELEKEIROS</t>
  </si>
  <si>
    <t xml:space="preserve">4222088</t>
  </si>
  <si>
    <t xml:space="preserve">1314664</t>
  </si>
  <si>
    <t xml:space="preserve">893757</t>
  </si>
  <si>
    <t xml:space="preserve">(65) 98124- 4240</t>
  </si>
  <si>
    <t xml:space="preserve">Micropipeta </t>
  </si>
  <si>
    <t xml:space="preserve">NJ01239</t>
  </si>
  <si>
    <t xml:space="preserve">Finnpipette F2 100 - 1000uL </t>
  </si>
  <si>
    <t xml:space="preserve">(65) 98124- 4241</t>
  </si>
  <si>
    <t xml:space="preserve">NJ01219</t>
  </si>
  <si>
    <t xml:space="preserve">Finnpipette F2 10 - 100uL</t>
  </si>
  <si>
    <t xml:space="preserve">(65) 98124- 4242</t>
  </si>
  <si>
    <t xml:space="preserve">Pipeta</t>
  </si>
  <si>
    <t xml:space="preserve">NJ01259</t>
  </si>
  <si>
    <t xml:space="preserve"> Finnpipette F2 1-10mL </t>
  </si>
  <si>
    <t xml:space="preserve">Brand </t>
  </si>
  <si>
    <t xml:space="preserve">Transferpette S</t>
  </si>
  <si>
    <t xml:space="preserve">124754Z</t>
  </si>
  <si>
    <t xml:space="preserve">Eppendorf</t>
  </si>
  <si>
    <t xml:space="preserve">Research Plus</t>
  </si>
  <si>
    <t xml:space="preserve">Research Plus </t>
  </si>
  <si>
    <t xml:space="preserve">H26572D</t>
  </si>
  <si>
    <t xml:space="preserve">Research</t>
  </si>
  <si>
    <t xml:space="preserve">20L82761</t>
  </si>
  <si>
    <t xml:space="preserve">20G35640</t>
  </si>
  <si>
    <t xml:space="preserve">12N93913</t>
  </si>
  <si>
    <t xml:space="preserve">P31644C</t>
  </si>
  <si>
    <t xml:space="preserve">ME905279</t>
  </si>
  <si>
    <t xml:space="preserve">Boeco</t>
  </si>
  <si>
    <t xml:space="preserve">ME905258</t>
  </si>
  <si>
    <t xml:space="preserve">20D57924</t>
  </si>
  <si>
    <t xml:space="preserve">19B28639</t>
  </si>
  <si>
    <t xml:space="preserve">M23227B</t>
  </si>
  <si>
    <t xml:space="preserve">Identif. Cliente</t>
  </si>
  <si>
    <t xml:space="preserve">Equipamento</t>
  </si>
  <si>
    <t xml:space="preserve">Número de Série</t>
  </si>
  <si>
    <t xml:space="preserve">O.S.</t>
  </si>
  <si>
    <t xml:space="preserve">PRESTADOR</t>
  </si>
  <si>
    <t xml:space="preserve">Observações</t>
  </si>
  <si>
    <t xml:space="preserve">DATA DA CALIBRAÇÃO</t>
  </si>
  <si>
    <t xml:space="preserve">Mês de Calibração</t>
  </si>
  <si>
    <t xml:space="preserve">Localização</t>
  </si>
  <si>
    <t xml:space="preserve">Não Especificado</t>
  </si>
  <si>
    <t xml:space="preserve">Phmetro Portátil - Pcket Pro </t>
  </si>
  <si>
    <t xml:space="preserve">ER ANALITICA</t>
  </si>
  <si>
    <t xml:space="preserve">Condutivímetro - DM32</t>
  </si>
  <si>
    <t xml:space="preserve">Phmetro Bancada - DM22</t>
  </si>
  <si>
    <t xml:space="preserve">Espectro - DR3900</t>
  </si>
  <si>
    <t xml:space="preserve">Intrumento liberado com restrição, apresenta avarias no display e no detector principal compartimento de cubeta.</t>
  </si>
  <si>
    <t xml:space="preserve">Phmetro Portátil - Pocket Pro</t>
  </si>
  <si>
    <t xml:space="preserve">Medidor Mult. - Ultrameter 6P</t>
  </si>
  <si>
    <t xml:space="preserve">Condutívimetro - Ultrameter 4P</t>
  </si>
  <si>
    <t xml:space="preserve">PH-00072</t>
  </si>
  <si>
    <t xml:space="preserve">Phmetro Portatil -  L6606</t>
  </si>
  <si>
    <t xml:space="preserve">TURB-00005</t>
  </si>
  <si>
    <t xml:space="preserve">Turbidimetro 2100Q</t>
  </si>
  <si>
    <t xml:space="preserve">Carcaça superior com avarias. </t>
  </si>
  <si>
    <t xml:space="preserve">Pipeta Transferpette S 1 - 10 ml</t>
  </si>
  <si>
    <t xml:space="preserve">Pipeta Transferpette S 100 - 1000 µL</t>
  </si>
  <si>
    <t xml:space="preserve">Carcaça com avarias</t>
  </si>
  <si>
    <t xml:space="preserve">Pipeta Research Plus 100 - 1000 µL</t>
  </si>
  <si>
    <t xml:space="preserve">Pipeta Research Plus 100 µL</t>
  </si>
  <si>
    <t xml:space="preserve">Pipeta Research 10 µL </t>
  </si>
  <si>
    <t xml:space="preserve">Pipeta Research 10 µL</t>
  </si>
  <si>
    <t xml:space="preserve">Pipeta Transferpette S 10 µL</t>
  </si>
  <si>
    <t xml:space="preserve">ESP-00021</t>
  </si>
  <si>
    <t xml:space="preserve">Espectro DR2800</t>
  </si>
  <si>
    <t xml:space="preserve">PH-00035</t>
  </si>
  <si>
    <t xml:space="preserve">Phmetro Bancada 827 ph</t>
  </si>
  <si>
    <t xml:space="preserve">Balança Analítica ED224S</t>
  </si>
  <si>
    <t xml:space="preserve">Balança Semi Analítica ARC120</t>
  </si>
  <si>
    <t xml:space="preserve">Determinador Umidade MOC-120H</t>
  </si>
  <si>
    <t xml:space="preserve">Turbidimetro Portátil - 2100Q</t>
  </si>
  <si>
    <t xml:space="preserve"> Condutivimetro Portátil - 912</t>
  </si>
  <si>
    <t xml:space="preserve"> ESP-00019</t>
  </si>
  <si>
    <t xml:space="preserve">Espectrofotômetro - AJX1600</t>
  </si>
  <si>
    <t xml:space="preserve">Phmetro - Seven Compact</t>
  </si>
  <si>
    <t xml:space="preserve">PH-00032</t>
  </si>
  <si>
    <t xml:space="preserve">Phmetro Portátil - 827phlab</t>
  </si>
  <si>
    <t xml:space="preserve">PH-00031</t>
  </si>
  <si>
    <t xml:space="preserve">Espectrofotômetro - DR3900</t>
  </si>
  <si>
    <t xml:space="preserve">Fotômetro - DR890</t>
  </si>
  <si>
    <t xml:space="preserve">Instrumento com demasiada oxidação no compartimento de pilhas, liberado com restrição.</t>
  </si>
  <si>
    <t xml:space="preserve">Equipamento com demasiada oxidação no compartimento de pilhas, liberado com restrição.</t>
  </si>
  <si>
    <t xml:space="preserve">TURB-00003</t>
  </si>
  <si>
    <t xml:space="preserve">Condutivimetro Portátil - 4P</t>
  </si>
  <si>
    <t xml:space="preserve">Phmetro Portátil - L6606</t>
  </si>
  <si>
    <t xml:space="preserve"> Eletrodo de pH com alta lentidão, indicando fim de vida útil, necessário troca. Liberado com restrição.</t>
  </si>
  <si>
    <t xml:space="preserve">Medidor de OD - Pro 20i</t>
  </si>
  <si>
    <t xml:space="preserve">COND-00025</t>
  </si>
  <si>
    <t xml:space="preserve">Myron L</t>
  </si>
  <si>
    <t xml:space="preserve"> Adesivo do teclado deteriorado, liberado com restrição.</t>
  </si>
  <si>
    <t xml:space="preserve">Micropipeta - Research Plus</t>
  </si>
  <si>
    <t xml:space="preserve">TURB-00025</t>
  </si>
  <si>
    <t xml:space="preserve">16837 - Tampa superior avariada, recomendamos a troca na próxima manutenção. </t>
  </si>
  <si>
    <t xml:space="preserve"> COND-00015</t>
  </si>
  <si>
    <t xml:space="preserve">Condutivimetro Bancada</t>
  </si>
  <si>
    <t xml:space="preserve">Phmetro Bancada</t>
  </si>
  <si>
    <t xml:space="preserve">PH-00026</t>
  </si>
  <si>
    <t xml:space="preserve">Espectrofotômetro - DR 1900</t>
  </si>
  <si>
    <t xml:space="preserve">M Multiparametro 6P</t>
  </si>
  <si>
    <t xml:space="preserve"> DQO-00005</t>
  </si>
  <si>
    <t xml:space="preserve">Reator DQO DRB200</t>
  </si>
  <si>
    <t xml:space="preserve">ESP-00044</t>
  </si>
  <si>
    <t xml:space="preserve">Espectro DR1900</t>
  </si>
  <si>
    <t xml:space="preserve">Condutivimetro 4P</t>
  </si>
  <si>
    <t xml:space="preserve">Phmetro Portátil</t>
  </si>
  <si>
    <t xml:space="preserve"> COL-00022</t>
  </si>
  <si>
    <t xml:space="preserve">Fotômetro DR900</t>
  </si>
  <si>
    <t xml:space="preserve">Phmetro L660</t>
  </si>
  <si>
    <t xml:space="preserve">Instrumento liberado com restrição. Avarias na mascara do teclado.</t>
  </si>
  <si>
    <t xml:space="preserve">Fotômetro DR890</t>
  </si>
  <si>
    <t xml:space="preserve"> Instrumento liberado com restrição. Todos filtros opticos e contatos de pilhas com oxidação.</t>
  </si>
  <si>
    <t xml:space="preserve">ESP-00023</t>
  </si>
  <si>
    <t xml:space="preserve">Hach </t>
  </si>
  <si>
    <t xml:space="preserve">Compartimento de cubeta e bateria de lítio em final de vida útil.</t>
  </si>
  <si>
    <t xml:space="preserve">Condutivimetro Portátil</t>
  </si>
  <si>
    <t xml:space="preserve">-</t>
  </si>
  <si>
    <t xml:space="preserve">Ge</t>
  </si>
  <si>
    <t xml:space="preserve">CT003</t>
  </si>
  <si>
    <t xml:space="preserve">Turbidimetro Portátil</t>
  </si>
  <si>
    <t xml:space="preserve">Lingueta de fixação da cubeta (tampa superior do conj. Optico) danificada.</t>
  </si>
  <si>
    <t xml:space="preserve">ESP-00020</t>
  </si>
  <si>
    <t xml:space="preserve">Bateria de lítio com baixa carga e lazer de cod. De barras inoperante.</t>
  </si>
  <si>
    <t xml:space="preserve">DQO-00004</t>
  </si>
  <si>
    <t xml:space="preserve">Reator DRB200</t>
  </si>
  <si>
    <t xml:space="preserve">COND-00020</t>
  </si>
  <si>
    <t xml:space="preserve">Display com avarias</t>
  </si>
  <si>
    <t xml:space="preserve">PH-00034</t>
  </si>
  <si>
    <t xml:space="preserve">Instrumento inoperante, devido vazamento de pilhas. Será encaminhado a ER.</t>
  </si>
  <si>
    <t xml:space="preserve">DQO-00005</t>
  </si>
  <si>
    <t xml:space="preserve">Phmetro Portátil </t>
  </si>
  <si>
    <t xml:space="preserve">Instrumento com divergências de resistividade. Será encaminhado para ER.</t>
  </si>
  <si>
    <t xml:space="preserve">COL-00022</t>
  </si>
  <si>
    <t xml:space="preserve">Colorimetro DR900</t>
  </si>
  <si>
    <t xml:space="preserve">COL-00016</t>
  </si>
  <si>
    <t xml:space="preserve">LADC 3</t>
  </si>
  <si>
    <t xml:space="preserve">Balança Micro </t>
  </si>
  <si>
    <t xml:space="preserve">M Toledo</t>
  </si>
  <si>
    <t xml:space="preserve">Condutivimetro Portátil </t>
  </si>
  <si>
    <t xml:space="preserve">Myron L </t>
  </si>
  <si>
    <t xml:space="preserve">Instrumento inoperante, não liga. Será encaminhado para ER.</t>
  </si>
  <si>
    <t xml:space="preserve">Carcaça do instrumento trincada.</t>
  </si>
  <si>
    <t xml:space="preserve">CT 051</t>
  </si>
  <si>
    <t xml:space="preserve">Balança Semi Analítica </t>
  </si>
  <si>
    <t xml:space="preserve">LADC 1</t>
  </si>
  <si>
    <t xml:space="preserve">CT 008</t>
  </si>
  <si>
    <t xml:space="preserve">Bateria de litio com baixa carga.</t>
  </si>
  <si>
    <t xml:space="preserve">Phmetro/ISE Bancada </t>
  </si>
  <si>
    <t xml:space="preserve">Balança Analítica </t>
  </si>
  <si>
    <t xml:space="preserve">GESULRS-EQUI009</t>
  </si>
  <si>
    <t xml:space="preserve">Espectrofotômetro - DR2800</t>
  </si>
  <si>
    <t xml:space="preserve">LC-021</t>
  </si>
  <si>
    <t xml:space="preserve">Turbídimetro</t>
  </si>
  <si>
    <t xml:space="preserve">1306C026283</t>
  </si>
  <si>
    <t xml:space="preserve">PROD-002</t>
  </si>
  <si>
    <t xml:space="preserve">Condutivimetro</t>
  </si>
  <si>
    <t xml:space="preserve">LC-013</t>
  </si>
  <si>
    <t xml:space="preserve">VED1304018</t>
  </si>
  <si>
    <t xml:space="preserve">Equipamento obsoletado pelo cliente.</t>
  </si>
  <si>
    <t xml:space="preserve">LC-036</t>
  </si>
  <si>
    <t xml:space="preserve">36/15</t>
  </si>
  <si>
    <t xml:space="preserve">Equipamento não aceita ajuste devido vida útil avançada, impossibilitando sua calibração.</t>
  </si>
  <si>
    <t xml:space="preserve">LC-032</t>
  </si>
  <si>
    <t xml:space="preserve">LC-038</t>
  </si>
  <si>
    <t xml:space="preserve">1027001034317</t>
  </si>
  <si>
    <t xml:space="preserve">LC-039</t>
  </si>
  <si>
    <t xml:space="preserve">1827001034324</t>
  </si>
  <si>
    <t xml:space="preserve">Phmetro L6606</t>
  </si>
  <si>
    <t xml:space="preserve">Pipeta LABMATE</t>
  </si>
  <si>
    <t xml:space="preserve">Labmate</t>
  </si>
  <si>
    <t xml:space="preserve">Equipamento encontra-se com vida útil avançada, impossibilitando o ajuste linear de sua curva de calibração</t>
  </si>
  <si>
    <t xml:space="preserve">DQO-00003</t>
  </si>
  <si>
    <t xml:space="preserve">Reator de DQO DRB200</t>
  </si>
  <si>
    <t xml:space="preserve">COND-00015</t>
  </si>
  <si>
    <t xml:space="preserve">Condutívimetro DM-32</t>
  </si>
  <si>
    <t xml:space="preserve">52395</t>
  </si>
  <si>
    <t xml:space="preserve">Colorímetro DR890</t>
  </si>
  <si>
    <t xml:space="preserve">Condutívimetro SC82</t>
  </si>
  <si>
    <t xml:space="preserve">Yokogawa</t>
  </si>
  <si>
    <t xml:space="preserve">Phmetro pHtestr30</t>
  </si>
  <si>
    <t xml:space="preserve">Waterproof</t>
  </si>
  <si>
    <t xml:space="preserve">2141238</t>
  </si>
  <si>
    <t xml:space="preserve">09059BC21244</t>
  </si>
  <si>
    <t xml:space="preserve">Necessário a troca de todos filtros opticos para ajustar os valores de leitura.</t>
  </si>
  <si>
    <t xml:space="preserve">Condutívimetro DM-3</t>
  </si>
  <si>
    <t xml:space="preserve">31520</t>
  </si>
  <si>
    <t xml:space="preserve">TURB-00026</t>
  </si>
  <si>
    <t xml:space="preserve">Turbídimetro 2100Q</t>
  </si>
  <si>
    <t xml:space="preserve">Carcaça superior do instrumento avariada na tecla "ler/confirma"</t>
  </si>
  <si>
    <t xml:space="preserve">Phmetro DM22</t>
  </si>
  <si>
    <t xml:space="preserve">49334</t>
  </si>
  <si>
    <t xml:space="preserve">ESP-00026</t>
  </si>
  <si>
    <t xml:space="preserve">Especttrofotômetro DR1900</t>
  </si>
  <si>
    <t xml:space="preserve">141490001004</t>
  </si>
  <si>
    <t xml:space="preserve">Carcaça do instrumento avariada na tecla "ler/confirma"</t>
  </si>
  <si>
    <t xml:space="preserve">MULT-0004</t>
  </si>
  <si>
    <t xml:space="preserve">Multi-parametros Ultrameter</t>
  </si>
  <si>
    <t xml:space="preserve">Myron C</t>
  </si>
  <si>
    <t xml:space="preserve">6217524</t>
  </si>
  <si>
    <t xml:space="preserve">Demora excessiva na estabilização das leituras, indicando vida útil avançada do sensor de pH.</t>
  </si>
  <si>
    <t xml:space="preserve">Carcaça superior do instrumento danificada na tecla "ler/confirma"</t>
  </si>
  <si>
    <t xml:space="preserve">COND-00064</t>
  </si>
  <si>
    <t xml:space="preserve">Condutívimetro DM32</t>
  </si>
  <si>
    <t xml:space="preserve">52162</t>
  </si>
  <si>
    <t xml:space="preserve">Eletrodo com Slope abaixo do recomendado pelo fabricante (85%).</t>
  </si>
  <si>
    <t xml:space="preserve">Sonda com a ponta quebrada.</t>
  </si>
  <si>
    <t xml:space="preserve">M Multiparametro</t>
  </si>
  <si>
    <t xml:space="preserve">COL-00009</t>
  </si>
  <si>
    <t xml:space="preserve">Colorimetro</t>
  </si>
  <si>
    <t xml:space="preserve">06129BC20563</t>
  </si>
  <si>
    <t xml:space="preserve">Compartimento de pilhas do instrumento encontra-se oxidado, sendo recomendado sua troca na próxima manutenção</t>
  </si>
  <si>
    <t xml:space="preserve">ESP-00013</t>
  </si>
  <si>
    <t xml:space="preserve">940600030283</t>
  </si>
  <si>
    <t xml:space="preserve">PH-00022</t>
  </si>
  <si>
    <t xml:space="preserve">2830186</t>
  </si>
  <si>
    <t xml:space="preserve">eletrodo de pH lento, recomendável a troca</t>
  </si>
  <si>
    <t xml:space="preserve">Balança Analítica A200</t>
  </si>
  <si>
    <t xml:space="preserve">H53323</t>
  </si>
  <si>
    <t xml:space="preserve">ESP-2107</t>
  </si>
  <si>
    <t xml:space="preserve">Espectrofotômetro DR/2010</t>
  </si>
  <si>
    <t xml:space="preserve">970680000371</t>
  </si>
  <si>
    <t xml:space="preserve">COND-2105</t>
  </si>
  <si>
    <t xml:space="preserve">Condutivimetro Orion Star 3 Cond</t>
  </si>
  <si>
    <t xml:space="preserve">Thermo Scientific</t>
  </si>
  <si>
    <t xml:space="preserve">B24943</t>
  </si>
  <si>
    <t xml:space="preserve">PH-2137</t>
  </si>
  <si>
    <t xml:space="preserve">Phmetro Orion 3 Star</t>
  </si>
  <si>
    <t xml:space="preserve">B17138</t>
  </si>
  <si>
    <t xml:space="preserve">Compartimento de pilhas oxidado, recomendado a troca na próxima manutenção.</t>
  </si>
  <si>
    <t xml:space="preserve">Espectrofotômetro DR2800</t>
  </si>
  <si>
    <t xml:space="preserve">Bateria de lítio responsavel pelo armazenamento de dados e configurações de usuário enconra-se sem carga e o filtro óptico azul está oxidado.</t>
  </si>
  <si>
    <t xml:space="preserve">Multiparâmetros Ultrametter II</t>
  </si>
  <si>
    <t xml:space="preserve">Phmetro MP-6</t>
  </si>
  <si>
    <t xml:space="preserve">M Multiparâmetros 4P</t>
  </si>
  <si>
    <t xml:space="preserve">Myron</t>
  </si>
  <si>
    <t xml:space="preserve">M Multiparâmetros 6P</t>
  </si>
  <si>
    <t xml:space="preserve">Micropipeta</t>
  </si>
  <si>
    <t xml:space="preserve">Condutivimetro  Orion 3 Star</t>
  </si>
  <si>
    <t xml:space="preserve"> Thermo</t>
  </si>
  <si>
    <t xml:space="preserve">Filtro óptico azul encontra-se oxidado e compartimento de cubeta quebrado</t>
  </si>
  <si>
    <t xml:space="preserve">MULTI-00008</t>
  </si>
  <si>
    <t xml:space="preserve"> Multiparâmetros - 6PFC </t>
  </si>
  <si>
    <t xml:space="preserve">Multiparâmetros - 6PFC</t>
  </si>
  <si>
    <t xml:space="preserve">Phmetro - DM-22</t>
  </si>
  <si>
    <t xml:space="preserve"> Policontrol</t>
  </si>
  <si>
    <t xml:space="preserve">Tampa corta luz danificada</t>
  </si>
  <si>
    <t xml:space="preserve">Turbídimetro </t>
  </si>
  <si>
    <t xml:space="preserve">Balança Analítica - AY220</t>
  </si>
  <si>
    <t xml:space="preserve">Equipamento possui demasiada oxidação no seu compartimento de pilhas e placa eletrônica, fazendo com que o instrumento não inicialize. Recomendado o envio do equipamento à ER para verificação</t>
  </si>
  <si>
    <t xml:space="preserve">COL-00005</t>
  </si>
  <si>
    <t xml:space="preserve"> Hach</t>
  </si>
  <si>
    <t xml:space="preserve">Espectro DR2500</t>
  </si>
  <si>
    <t xml:space="preserve"> Carcaça com avarias</t>
  </si>
  <si>
    <t xml:space="preserve">Multiparametro 6P</t>
  </si>
  <si>
    <t xml:space="preserve">PHmetro</t>
  </si>
  <si>
    <t xml:space="preserve">DIGIMED</t>
  </si>
  <si>
    <t xml:space="preserve">Phmetro Bancada  DM2P</t>
  </si>
  <si>
    <t xml:space="preserve">Conselhavel a troca do eletrodo, devido instabilidade nas leituras.</t>
  </si>
  <si>
    <t xml:space="preserve">MULT-00003</t>
  </si>
  <si>
    <t xml:space="preserve">Multipareametro 6P</t>
  </si>
  <si>
    <t xml:space="preserve"> ESP-00017</t>
  </si>
  <si>
    <t xml:space="preserve">Espectro DR3900</t>
  </si>
  <si>
    <t xml:space="preserve"> GE</t>
  </si>
  <si>
    <t xml:space="preserve"> COND-00022</t>
  </si>
  <si>
    <t xml:space="preserve">Condutivimetro Portátil 4P</t>
  </si>
  <si>
    <t xml:space="preserve"> Myron L</t>
  </si>
  <si>
    <t xml:space="preserve">Filtro optico BG370 (Azul redondo) oxidado e bateria de litio em final de vida útil.</t>
  </si>
  <si>
    <t xml:space="preserve">Colorimetro DR890</t>
  </si>
  <si>
    <t xml:space="preserve">Todos filtros oxidados (420, 520, 560 e 610nm) e teclado de borracha descolado.</t>
  </si>
  <si>
    <t xml:space="preserve">COND-00019</t>
  </si>
  <si>
    <t xml:space="preserve"> Bateria de litio com baixa carga.</t>
  </si>
  <si>
    <t xml:space="preserve">Bateria de litio com baixa carga e filtros oxidados (OG570 e BG370). Além, da carcaça estar com avarias.</t>
  </si>
  <si>
    <t xml:space="preserve"> Equipamento inoperante, cliente não ira realizar o serviço</t>
  </si>
  <si>
    <t xml:space="preserve">ESP-00011</t>
  </si>
  <si>
    <t xml:space="preserve"> Carcaça superior com avarias. Necessário a troca</t>
  </si>
  <si>
    <t xml:space="preserve">Sonda de condutividade apresenta vida útil avançada.</t>
  </si>
  <si>
    <t xml:space="preserve">Phmetro DM-22</t>
  </si>
  <si>
    <t xml:space="preserve">Balança Analítica - M214Ai</t>
  </si>
  <si>
    <t xml:space="preserve">Condutivímetro - DM-32</t>
  </si>
  <si>
    <t xml:space="preserve">Sonda de condutivídade com vida útil avançada.</t>
  </si>
  <si>
    <t xml:space="preserve"> Filtro óptico azul manchado.</t>
  </si>
  <si>
    <t xml:space="preserve">ESP-00036</t>
  </si>
  <si>
    <t xml:space="preserve">Espectrofotômetro - DR1900</t>
  </si>
  <si>
    <t xml:space="preserve">Carcaça superior avariada</t>
  </si>
  <si>
    <t xml:space="preserve">PH-00054</t>
  </si>
  <si>
    <t xml:space="preserve">Eletrodo com vida útil avançada.</t>
  </si>
  <si>
    <t xml:space="preserve">Turbidímetro - DM-TU</t>
  </si>
  <si>
    <t xml:space="preserve">Phmetro Portátil L6606</t>
  </si>
  <si>
    <t xml:space="preserve">Instrumento com avarias na curva, não aceita calibração. Devido a problemas na resistividade.</t>
  </si>
  <si>
    <t xml:space="preserve">Balança Analítica AL204</t>
  </si>
  <si>
    <t xml:space="preserve">DQO-00001</t>
  </si>
  <si>
    <t xml:space="preserve">COND-00026</t>
  </si>
  <si>
    <t xml:space="preserve">COND-00003</t>
  </si>
  <si>
    <t xml:space="preserve">COL-00002</t>
  </si>
  <si>
    <t xml:space="preserve">PH-00011</t>
  </si>
  <si>
    <t xml:space="preserve">Mascara do teclado com avarias.</t>
  </si>
  <si>
    <t xml:space="preserve">PH-00013</t>
  </si>
  <si>
    <t xml:space="preserve">Não liberado, devido avarias na curva e não aceita calibração. Necessário envio a ER</t>
  </si>
  <si>
    <t xml:space="preserve">Phmetro Bancada PH31</t>
  </si>
  <si>
    <t xml:space="preserve">Condutivimetro AZ 86505</t>
  </si>
  <si>
    <t xml:space="preserve">AZ</t>
  </si>
  <si>
    <t xml:space="preserve">PH-00014</t>
  </si>
  <si>
    <t xml:space="preserve">Equipamentos incluidos.</t>
  </si>
  <si>
    <t xml:space="preserve"> Equipamentos incluidos.</t>
  </si>
  <si>
    <t xml:space="preserve">ESP-00003</t>
  </si>
  <si>
    <t xml:space="preserve">Bateria de litio com carga abaixo do recomendado pelo fabricante</t>
  </si>
  <si>
    <t xml:space="preserve">ESP-00004</t>
  </si>
  <si>
    <t xml:space="preserve">COND-00004</t>
  </si>
  <si>
    <t xml:space="preserve">Condutivimetro DM-3P</t>
  </si>
  <si>
    <t xml:space="preserve">COL-00020</t>
  </si>
  <si>
    <t xml:space="preserve"> Recomendada troca do filtro óptico de 420nm devido inicio de desgaste.</t>
  </si>
  <si>
    <t xml:space="preserve">Multiparâmetros HI98311</t>
  </si>
  <si>
    <t xml:space="preserve"> Hanna</t>
  </si>
  <si>
    <t xml:space="preserve">Phmetro DM-2P</t>
  </si>
  <si>
    <t xml:space="preserve">PH-00042</t>
  </si>
  <si>
    <t xml:space="preserve">Phmetro PH31</t>
  </si>
  <si>
    <t xml:space="preserve">TURB-00007</t>
  </si>
  <si>
    <t xml:space="preserve">Turbidímetro AP2000</t>
  </si>
  <si>
    <t xml:space="preserve">COND-00030</t>
  </si>
  <si>
    <t xml:space="preserve">Condutivímetro Ultrameter 4P</t>
  </si>
  <si>
    <t xml:space="preserve">Myron L C</t>
  </si>
  <si>
    <t xml:space="preserve">Medidor Multi Ultrameter II 6P</t>
  </si>
  <si>
    <t xml:space="preserve">Myron LC</t>
  </si>
  <si>
    <t xml:space="preserve">Turbidímetro 2100Q</t>
  </si>
  <si>
    <t xml:space="preserve">Multiparâmetros MP-6</t>
  </si>
  <si>
    <t xml:space="preserve">Eletrôdo de pH apresenta estado de vida útil avançada, realizada calibração apenas no parâmetro de condutividade</t>
  </si>
  <si>
    <t xml:space="preserve"> Cond-00063</t>
  </si>
  <si>
    <t xml:space="preserve">PH-00084</t>
  </si>
  <si>
    <t xml:space="preserve">Eletrôdo com vida útil avançada</t>
  </si>
  <si>
    <t xml:space="preserve"> PH-00085</t>
  </si>
  <si>
    <t xml:space="preserve">Multiparâmetros</t>
  </si>
  <si>
    <t xml:space="preserve">Eletrodo de pH apresenta estado de vida útil avançada e necessita ser trocado.</t>
  </si>
  <si>
    <t xml:space="preserve"> Recomendada troca preventiva de todos os filtros ópticos</t>
  </si>
  <si>
    <t xml:space="preserve">SGQ 114</t>
  </si>
  <si>
    <t xml:space="preserve">Polilab</t>
  </si>
  <si>
    <t xml:space="preserve"> Equipamento com vida útil avançada</t>
  </si>
  <si>
    <t xml:space="preserve"> Filtro óptico de 420nm manchado e contatos de pilhas oxidados</t>
  </si>
  <si>
    <t xml:space="preserve">Condutívimetro - 4PII</t>
  </si>
  <si>
    <t xml:space="preserve">Turbídimetro - 2100Q</t>
  </si>
  <si>
    <t xml:space="preserve">Fotômetro - DR900</t>
  </si>
  <si>
    <t xml:space="preserve"> Equipamento apresenta display avariado portando manchas e demasiada degradação em sua face dificultando a visualização das informações nele impressas. Também verificado necessidade de troca do filtro óptico BG370/B39 devido demasiada oxidação.</t>
  </si>
  <si>
    <t xml:space="preserve">COND-00001</t>
  </si>
  <si>
    <t xml:space="preserve">Condutivímetro DM4P</t>
  </si>
  <si>
    <t xml:space="preserve">Phmetro PH5+</t>
  </si>
  <si>
    <t xml:space="preserve">Phmetro HI98107</t>
  </si>
  <si>
    <t xml:space="preserve">Phmetro - DM22</t>
  </si>
  <si>
    <t xml:space="preserve">COL-00034</t>
  </si>
  <si>
    <t xml:space="preserve">Colorímetro - DR890</t>
  </si>
  <si>
    <t xml:space="preserve"> COND-00035</t>
  </si>
  <si>
    <t xml:space="preserve">Condutivímetro - Orion 3 Star</t>
  </si>
  <si>
    <t xml:space="preserve"> BALAN-0005</t>
  </si>
  <si>
    <t xml:space="preserve">Balança Analítica - MS204S</t>
  </si>
  <si>
    <t xml:space="preserve">PH-00076</t>
  </si>
  <si>
    <t xml:space="preserve">Phmetro - PH31</t>
  </si>
  <si>
    <t xml:space="preserve">COL-00015</t>
  </si>
  <si>
    <t xml:space="preserve"> Filtro óptico azul encontra-se oxidado e bateria de lítio responsável pelo armazenamento de dados e configurações do usuário está sem carga.</t>
  </si>
  <si>
    <t xml:space="preserve">DQO-00002</t>
  </si>
  <si>
    <t xml:space="preserve">Reator DQO - DRB200</t>
  </si>
  <si>
    <t xml:space="preserve"> Equipamento sem a manta térmica centra</t>
  </si>
  <si>
    <t xml:space="preserve">BALAN-0004</t>
  </si>
  <si>
    <t xml:space="preserve">PH-00047</t>
  </si>
  <si>
    <t xml:space="preserve">Multiparâmetros - Orion 4 Star</t>
  </si>
  <si>
    <t xml:space="preserve"> Thermo Scientific</t>
  </si>
  <si>
    <t xml:space="preserve"> TURB-00009</t>
  </si>
  <si>
    <t xml:space="preserve"> Equipamento demora para inicializar.</t>
  </si>
  <si>
    <t xml:space="preserve">ESP-00030</t>
  </si>
  <si>
    <t xml:space="preserve">COND-00034</t>
  </si>
  <si>
    <t xml:space="preserve"> PH-00074</t>
  </si>
  <si>
    <t xml:space="preserve">Phmetro - Seven 2 Go</t>
  </si>
  <si>
    <t xml:space="preserve"> COL-00025</t>
  </si>
  <si>
    <t xml:space="preserve">Phmetro - L6606</t>
  </si>
  <si>
    <t xml:space="preserve">GE Infrastructure</t>
  </si>
  <si>
    <t xml:space="preserve">Condutivímetro - Ultrameter II</t>
  </si>
  <si>
    <t xml:space="preserve">Myron Company</t>
  </si>
  <si>
    <t xml:space="preserve">COL- 00026</t>
  </si>
  <si>
    <t xml:space="preserve">COND-00037</t>
  </si>
  <si>
    <t xml:space="preserve">Condutivímetro - 4PII</t>
  </si>
  <si>
    <t xml:space="preserve">AI-900-6</t>
  </si>
  <si>
    <t xml:space="preserve">Myron L.C</t>
  </si>
  <si>
    <t xml:space="preserve"> COND-00055</t>
  </si>
  <si>
    <t xml:space="preserve">COND-00007</t>
  </si>
  <si>
    <t xml:space="preserve">Myron L.C.</t>
  </si>
  <si>
    <t xml:space="preserve">ESP-00024</t>
  </si>
  <si>
    <t xml:space="preserve">MULT-00006</t>
  </si>
  <si>
    <t xml:space="preserve">Necessário a substituição do filtro BG370/B39 na próxima manutenção, devido oxidações presentes  nas bordas do filtro óptico.</t>
  </si>
  <si>
    <t xml:space="preserve">Phmetro Processo</t>
  </si>
  <si>
    <t xml:space="preserve"> BAL.AN-00002</t>
  </si>
  <si>
    <t xml:space="preserve">Balança Analítica FA - 2104N</t>
  </si>
  <si>
    <t xml:space="preserve">TURB-00001</t>
  </si>
  <si>
    <t xml:space="preserve">150700001005</t>
  </si>
  <si>
    <t xml:space="preserve">Liberado com restrição, eletrodo de pH em final da vida útil (lentidão).</t>
  </si>
  <si>
    <t xml:space="preserve">Medidor Multiparametro 6P</t>
  </si>
  <si>
    <t xml:space="preserve">Espectrofotômetro DR3900</t>
  </si>
  <si>
    <t xml:space="preserve">HACH</t>
  </si>
  <si>
    <t xml:space="preserve">MODULO DE ALIMENTAÇÃOCOM AVARIAS,E NCAMINHADO PARA NOSSA AT</t>
  </si>
  <si>
    <t xml:space="preserve">Colorímetro DR900</t>
  </si>
  <si>
    <t xml:space="preserve">Filtro de 560nm manchado.</t>
  </si>
  <si>
    <t xml:space="preserve">Condutivimetro - 650MA</t>
  </si>
  <si>
    <t xml:space="preserve">Phmetro - 350M</t>
  </si>
  <si>
    <t xml:space="preserve">Eletrodo apresenta vida útil avançada.</t>
  </si>
  <si>
    <t xml:space="preserve">LAAE 002</t>
  </si>
  <si>
    <t xml:space="preserve">Espectrofotômetro - AJX-1600</t>
  </si>
  <si>
    <t xml:space="preserve">LAEE 001</t>
  </si>
  <si>
    <t xml:space="preserve">Quaxltron</t>
  </si>
  <si>
    <t xml:space="preserve">hach</t>
  </si>
  <si>
    <t xml:space="preserve">Substituido o compartimento de pilhas</t>
  </si>
  <si>
    <t xml:space="preserve">Turbidimêtro TB 250 WL</t>
  </si>
  <si>
    <t xml:space="preserve">Condutivímetro DM32</t>
  </si>
  <si>
    <t xml:space="preserve">pHmetro - DM22</t>
  </si>
  <si>
    <t xml:space="preserve">Colorímetro -DR900</t>
  </si>
  <si>
    <t xml:space="preserve">Condutivímetro - 4P</t>
  </si>
  <si>
    <t xml:space="preserve">Phmetro - Pocket Pro PH</t>
  </si>
  <si>
    <t xml:space="preserve"> Equipamento apresenta demasiada lentidão, indicando fim de vida útil.</t>
  </si>
  <si>
    <t xml:space="preserve">COND-00032</t>
  </si>
  <si>
    <t xml:space="preserve">Condutivímetro - 3Star</t>
  </si>
  <si>
    <t xml:space="preserve">COND-00059</t>
  </si>
  <si>
    <t xml:space="preserve"> Eletrodo de pH encontra-se inoperante.</t>
  </si>
  <si>
    <t xml:space="preserve"> Eletrodo apresenta lentidão para realizar as leituras.</t>
  </si>
  <si>
    <t xml:space="preserve">Contatos de pilhas oxidados e carcaça superior com vida útil avançada</t>
  </si>
  <si>
    <t xml:space="preserve"> ESP-00008</t>
  </si>
  <si>
    <t xml:space="preserve">Filtro óptico azul manchado.</t>
  </si>
  <si>
    <t xml:space="preserve">ESP-00028</t>
  </si>
  <si>
    <t xml:space="preserve">PH-00018</t>
  </si>
  <si>
    <t xml:space="preserve">Phmetro -L6606</t>
  </si>
  <si>
    <t xml:space="preserve">PH-00044</t>
  </si>
  <si>
    <t xml:space="preserve">Eletrodo apresenta lentidão e vida útil avançada</t>
  </si>
  <si>
    <t xml:space="preserve"> BALAN-00003</t>
  </si>
  <si>
    <t xml:space="preserve">METLER TOLEDO </t>
  </si>
  <si>
    <t xml:space="preserve">Colorímetro - DR900</t>
  </si>
  <si>
    <t xml:space="preserve">Medidor Multiparâmetro - 6PFC</t>
  </si>
  <si>
    <t xml:space="preserve">MULT-00011</t>
  </si>
  <si>
    <t xml:space="preserve">Medidor Multirâmetros - 6PI</t>
  </si>
  <si>
    <t xml:space="preserve">ESP-00045</t>
  </si>
  <si>
    <t xml:space="preserve">Carcaça superior danificada, necessário troca na próxima manutenção.</t>
  </si>
  <si>
    <t xml:space="preserve">PH-0078</t>
  </si>
  <si>
    <t xml:space="preserve">Eletrodo com vida útil avançada, sendo necessário sua troca.</t>
  </si>
  <si>
    <t xml:space="preserve">BALAN-00007</t>
  </si>
  <si>
    <t xml:space="preserve">COND-00058</t>
  </si>
  <si>
    <t xml:space="preserve">Condutívimetro - DM32</t>
  </si>
  <si>
    <t xml:space="preserve">COND-00012</t>
  </si>
  <si>
    <t xml:space="preserve">ESP-00010</t>
  </si>
  <si>
    <t xml:space="preserve">PH-0079</t>
  </si>
  <si>
    <t xml:space="preserve"> 020979</t>
  </si>
  <si>
    <t xml:space="preserve"> Filtro óptico azul manchado e lâmpada de tungstênio com vida útil avançada.</t>
  </si>
  <si>
    <t xml:space="preserve"> TURB-00020</t>
  </si>
  <si>
    <t xml:space="preserve">022418</t>
  </si>
  <si>
    <t xml:space="preserve">Balança Analítica - AE200</t>
  </si>
  <si>
    <t xml:space="preserve">Equipamento não aceita ajuste na sua curva de calibração</t>
  </si>
  <si>
    <t xml:space="preserve">020981</t>
  </si>
  <si>
    <t xml:space="preserve">Turbídimetro - Hi98703</t>
  </si>
  <si>
    <t xml:space="preserve">TUB-00005</t>
  </si>
  <si>
    <t xml:space="preserve">Qtd de equipamentos</t>
  </si>
  <si>
    <t xml:space="preserve">Calibrado</t>
  </si>
  <si>
    <t xml:space="preserve">Vencido</t>
  </si>
  <si>
    <t xml:space="preserve">Data</t>
  </si>
  <si>
    <t xml:space="preserve">Soma de Qtd de equipamentos</t>
  </si>
  <si>
    <t xml:space="preserve">Soma de Calibrado</t>
  </si>
  <si>
    <t xml:space="preserve">Soma de Vencido</t>
  </si>
  <si>
    <t xml:space="preserve">Não identificado </t>
  </si>
  <si>
    <t xml:space="preserve">Total Result</t>
  </si>
  <si>
    <t xml:space="preserve">Rafael Rodrigues De Campos</t>
  </si>
  <si>
    <t xml:space="preserve">14090C035220</t>
  </si>
  <si>
    <t xml:space="preserve">Cotia - SP</t>
  </si>
  <si>
    <t xml:space="preserve">NÃO ENCONTRADO</t>
  </si>
  <si>
    <t xml:space="preserve">203166601040</t>
  </si>
  <si>
    <t xml:space="preserve">DR/900</t>
  </si>
  <si>
    <t xml:space="preserve">Xanxerê - SC</t>
  </si>
  <si>
    <t xml:space="preserve">Natalia Correa </t>
  </si>
  <si>
    <t xml:space="preserve">2902019</t>
  </si>
  <si>
    <t xml:space="preserve">96115</t>
  </si>
  <si>
    <t xml:space="preserve">B474</t>
  </si>
  <si>
    <t xml:space="preserve">Sorocaba - SP</t>
  </si>
  <si>
    <t xml:space="preserve">Glauber Ruiz</t>
  </si>
  <si>
    <t xml:space="preserve">glauber.ruiz@suez.com</t>
  </si>
  <si>
    <t xml:space="preserve">42 99157-6316</t>
  </si>
  <si>
    <t xml:space="preserve">Multiparametro</t>
  </si>
  <si>
    <t xml:space="preserve">6247637</t>
  </si>
  <si>
    <t xml:space="preserve">Ponta Grossa - PR</t>
  </si>
  <si>
    <t xml:space="preserve">Larissa Robert Da Silva</t>
  </si>
  <si>
    <t xml:space="preserve">larissa.silva@suez.com</t>
  </si>
  <si>
    <t xml:space="preserve">6203838</t>
  </si>
  <si>
    <t xml:space="preserve">Santo André - SP</t>
  </si>
  <si>
    <t xml:space="preserve">52328</t>
  </si>
  <si>
    <t xml:space="preserve">52044</t>
  </si>
  <si>
    <t xml:space="preserve">09059BC21257</t>
  </si>
  <si>
    <t xml:space="preserve">DR/890</t>
  </si>
  <si>
    <t xml:space="preserve">Jaraguá do Sul - SC</t>
  </si>
  <si>
    <t xml:space="preserve">6247091</t>
  </si>
  <si>
    <t xml:space="preserve">141980001025</t>
  </si>
  <si>
    <t xml:space="preserve">DR/1900</t>
  </si>
  <si>
    <t xml:space="preserve">Uberlândia - MG</t>
  </si>
  <si>
    <t xml:space="preserve">182190001002</t>
  </si>
  <si>
    <t xml:space="preserve">São Paulo - SP</t>
  </si>
  <si>
    <t xml:space="preserve">48564</t>
  </si>
  <si>
    <t xml:space="preserve">DM3P</t>
  </si>
  <si>
    <t xml:space="preserve">1282924</t>
  </si>
  <si>
    <t xml:space="preserve">DR/2800</t>
  </si>
  <si>
    <t xml:space="preserve">Porto Alegre - RS</t>
  </si>
  <si>
    <t xml:space="preserve">6553970</t>
  </si>
  <si>
    <t xml:space="preserve">4212773</t>
  </si>
  <si>
    <t xml:space="preserve">012119BC22205</t>
  </si>
  <si>
    <t xml:space="preserve">10069BC21449</t>
  </si>
  <si>
    <t xml:space="preserve">1526469</t>
  </si>
  <si>
    <t xml:space="preserve">1347596</t>
  </si>
  <si>
    <t xml:space="preserve">4222113</t>
  </si>
  <si>
    <t xml:space="preserve">604097</t>
  </si>
  <si>
    <t xml:space="preserve">pH 1</t>
  </si>
  <si>
    <t xml:space="preserve">929021</t>
  </si>
  <si>
    <t xml:space="preserve">pH 31</t>
  </si>
  <si>
    <t xml:space="preserve">39281</t>
  </si>
  <si>
    <t xml:space="preserve">José Alexandre do Nascimento</t>
  </si>
  <si>
    <t xml:space="preserve">Divinópolis</t>
  </si>
  <si>
    <t xml:space="preserve">Ultrameter</t>
  </si>
  <si>
    <t xml:space="preserve">EC71</t>
  </si>
  <si>
    <t xml:space="preserve">Manaus - AM</t>
  </si>
  <si>
    <t xml:space="preserve">PM31</t>
  </si>
  <si>
    <t xml:space="preserve">pH</t>
  </si>
  <si>
    <t xml:space="preserve">16020C047582</t>
  </si>
  <si>
    <t xml:space="preserve">Unigel / Braskem</t>
  </si>
  <si>
    <t xml:space="preserve">Thermo Digest</t>
  </si>
  <si>
    <t xml:space="preserve">11080C011203</t>
  </si>
  <si>
    <t xml:space="preserve">9301589</t>
  </si>
  <si>
    <t xml:space="preserve">Multiparâmetro</t>
  </si>
  <si>
    <t xml:space="preserve">Montes Claros MG</t>
  </si>
  <si>
    <t xml:space="preserve">Ambev </t>
  </si>
  <si>
    <t xml:space="preserve">2983032</t>
  </si>
  <si>
    <t xml:space="preserve">YOKOGAWA</t>
  </si>
  <si>
    <t xml:space="preserve">SC 82</t>
  </si>
  <si>
    <t xml:space="preserve">Status </t>
  </si>
  <si>
    <t xml:space="preserve">Cristiano Lima</t>
  </si>
  <si>
    <t xml:space="preserve">cristiano.lima@suez.com</t>
  </si>
  <si>
    <t xml:space="preserve">(14) 98117-0984</t>
  </si>
  <si>
    <t xml:space="preserve">570687</t>
  </si>
  <si>
    <t xml:space="preserve">DESATIVADO</t>
  </si>
  <si>
    <t xml:space="preserve">Ulisses Alves De Sibia</t>
  </si>
  <si>
    <t xml:space="preserve">(14) 98157-5005</t>
  </si>
  <si>
    <t xml:space="preserve">1518994</t>
  </si>
  <si>
    <t xml:space="preserve">B02206</t>
  </si>
  <si>
    <t xml:space="preserve">ORION</t>
  </si>
  <si>
    <t xml:space="preserve">3 Star</t>
  </si>
  <si>
    <t xml:space="preserve">5307</t>
  </si>
  <si>
    <t xml:space="preserve">Orion 115A+</t>
  </si>
  <si>
    <t xml:space="preserve">1420968</t>
  </si>
  <si>
    <t xml:space="preserve">DR/2700</t>
  </si>
  <si>
    <t xml:space="preserve">Bianca dos Santos</t>
  </si>
  <si>
    <t xml:space="preserve">(11) 95163-4425</t>
  </si>
  <si>
    <t xml:space="preserve">Mateus Ambrosio</t>
  </si>
  <si>
    <t xml:space="preserve">matheus.ambrosio@suez.com</t>
  </si>
  <si>
    <t xml:space="preserve">62044</t>
  </si>
  <si>
    <t xml:space="preserve">52462 (ou 52162)</t>
  </si>
  <si>
    <t xml:space="preserve">23409689</t>
  </si>
  <si>
    <t xml:space="preserve">TE214S</t>
  </si>
  <si>
    <t xml:space="preserve">SANTA CRUZ - RJ</t>
  </si>
  <si>
    <t xml:space="preserve">(99) 99144-4609</t>
  </si>
  <si>
    <t xml:space="preserve">133510002009</t>
  </si>
  <si>
    <t xml:space="preserve">Imperatriz - MA</t>
  </si>
  <si>
    <t xml:space="preserve">150080001010</t>
  </si>
  <si>
    <t xml:space="preserve">Ouro Branco - MG</t>
  </si>
  <si>
    <t xml:space="preserve">3070005800</t>
  </si>
  <si>
    <t xml:space="preserve">DR/2500</t>
  </si>
  <si>
    <t xml:space="preserve">1228415241</t>
  </si>
  <si>
    <t xml:space="preserve">Mettle Toledo</t>
  </si>
  <si>
    <t xml:space="preserve">Seven GO</t>
  </si>
  <si>
    <t xml:space="preserve">Juiz de Fora- MG</t>
  </si>
  <si>
    <t xml:space="preserve">mercedes Benz</t>
  </si>
  <si>
    <t xml:space="preserve">Luciene Irmao</t>
  </si>
  <si>
    <t xml:space="preserve">luciene.irmao@suez.com</t>
  </si>
  <si>
    <t xml:space="preserve">A200</t>
  </si>
  <si>
    <t xml:space="preserve">Jaboatão dos Guararapes-PE</t>
  </si>
  <si>
    <t xml:space="preserve">Star</t>
  </si>
  <si>
    <t xml:space="preserve">DR2010</t>
  </si>
  <si>
    <t xml:space="preserve">Caarapó- MS</t>
  </si>
  <si>
    <t xml:space="preserve">Orion 115</t>
  </si>
  <si>
    <t xml:space="preserve">L6607</t>
  </si>
  <si>
    <t xml:space="preserve">(71) 99714-5919</t>
  </si>
  <si>
    <t xml:space="preserve">Braskem Q-11</t>
  </si>
  <si>
    <t xml:space="preserve">Braskem Q-1</t>
  </si>
  <si>
    <t xml:space="preserve">ADICIONADO</t>
  </si>
  <si>
    <t xml:space="preserve">28708450</t>
  </si>
  <si>
    <t xml:space="preserve">1201020001</t>
  </si>
  <si>
    <t xml:space="preserve">DR900</t>
  </si>
  <si>
    <t xml:space="preserve">4239606</t>
  </si>
  <si>
    <t xml:space="preserve">614031</t>
  </si>
  <si>
    <t xml:space="preserve">4221160</t>
  </si>
  <si>
    <t xml:space="preserve">Ultrametter II 6P</t>
  </si>
  <si>
    <t xml:space="preserve">LQ-3239/21</t>
  </si>
  <si>
    <t xml:space="preserve">Hexis</t>
  </si>
  <si>
    <t xml:space="preserve">LQ-3231/21</t>
  </si>
  <si>
    <t xml:space="preserve">LQ-3230/21</t>
  </si>
  <si>
    <t xml:space="preserve">LO-8549/21</t>
  </si>
  <si>
    <t xml:space="preserve">LO-8329/21</t>
  </si>
  <si>
    <t xml:space="preserve">LO-8338/21</t>
  </si>
  <si>
    <t xml:space="preserve">LQ-3150/21</t>
  </si>
  <si>
    <t xml:space="preserve">LQ-3193/21</t>
  </si>
  <si>
    <t xml:space="preserve">LQ-3192/21</t>
  </si>
  <si>
    <t xml:space="preserve">LQ-3157/21</t>
  </si>
  <si>
    <t xml:space="preserve">LQ-3156/21</t>
  </si>
  <si>
    <t xml:space="preserve">Turbidímêtro</t>
  </si>
  <si>
    <t xml:space="preserve">MD-TU</t>
  </si>
  <si>
    <t xml:space="preserve">LQ-8342/21</t>
  </si>
  <si>
    <t xml:space="preserve">DR3900</t>
  </si>
  <si>
    <t xml:space="preserve">LQ-8343/21</t>
  </si>
  <si>
    <t xml:space="preserve">C105085557</t>
  </si>
  <si>
    <t xml:space="preserve">21C38762</t>
  </si>
  <si>
    <t xml:space="preserve">Transferpetettor</t>
  </si>
  <si>
    <t xml:space="preserve"> Metrohm</t>
  </si>
  <si>
    <t xml:space="preserve"> 10079BC21470</t>
  </si>
  <si>
    <t xml:space="preserve"> NJ01239</t>
  </si>
  <si>
    <t xml:space="preserve"> NJ01219</t>
  </si>
  <si>
    <t xml:space="preserve">Santo André- SP</t>
  </si>
  <si>
    <t xml:space="preserve">pHtestr30</t>
  </si>
  <si>
    <t xml:space="preserve">Araraquara- SP</t>
  </si>
  <si>
    <t xml:space="preserve">2905626</t>
  </si>
  <si>
    <t xml:space="preserve">Triunfo- RS</t>
  </si>
  <si>
    <t xml:space="preserve">13034</t>
  </si>
  <si>
    <t xml:space="preserve">2905620</t>
  </si>
  <si>
    <t xml:space="preserve">2901943</t>
  </si>
  <si>
    <t xml:space="preserve">6263410</t>
  </si>
  <si>
    <t xml:space="preserve">1397596</t>
  </si>
  <si>
    <t xml:space="preserve">341053</t>
  </si>
  <si>
    <t xml:space="preserve">Divinópolis- MG </t>
  </si>
  <si>
    <t xml:space="preserve">GERDAL</t>
  </si>
  <si>
    <t xml:space="preserve">Aguardando informações</t>
  </si>
  <si>
    <t xml:space="preserve">Oakton</t>
  </si>
  <si>
    <t xml:space="preserve">Manaus- AM</t>
  </si>
  <si>
    <t xml:space="preserve">Wartsilla</t>
  </si>
  <si>
    <t xml:space="preserve">HI98107</t>
  </si>
  <si>
    <t xml:space="preserve">Laboratório Cotia </t>
  </si>
  <si>
    <t xml:space="preserve"> B06517</t>
  </si>
  <si>
    <t xml:space="preserve">Camaçari- BA</t>
  </si>
  <si>
    <t xml:space="preserve">Ultrameter II</t>
  </si>
  <si>
    <t xml:space="preserve">Seven 2 Go</t>
  </si>
  <si>
    <t xml:space="preserve"> 2100Q</t>
  </si>
  <si>
    <t xml:space="preserve"> Orion 4 Star</t>
  </si>
  <si>
    <t xml:space="preserve">3449346278</t>
  </si>
  <si>
    <t xml:space="preserve">Unigel</t>
  </si>
  <si>
    <t xml:space="preserve"> 12039BC22006</t>
  </si>
  <si>
    <t xml:space="preserve">COL-00006</t>
  </si>
  <si>
    <t xml:space="preserve">Montes Claros</t>
  </si>
  <si>
    <t xml:space="preserve">Pecém - CE</t>
  </si>
  <si>
    <t xml:space="preserve">Maracanaú - CE </t>
  </si>
  <si>
    <t xml:space="preserve">Maracanaú -CE </t>
  </si>
  <si>
    <t xml:space="preserve">Belo Horizonte - MG</t>
  </si>
  <si>
    <t xml:space="preserve">Braskem </t>
  </si>
  <si>
    <t xml:space="preserve">Duque de Caxias - RJ</t>
  </si>
  <si>
    <t xml:space="preserve">Itaguaí - RJ</t>
  </si>
  <si>
    <t xml:space="preserve">Condutivímetro </t>
  </si>
  <si>
    <t xml:space="preserve">São Paulo - SP </t>
  </si>
  <si>
    <t xml:space="preserve">Fotômetro 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</si>
</sst>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General"/>
    <numFmt numFmtId="166" formatCode="0%"/>
    <numFmt numFmtId="167" formatCode="d\-mmm\-yy"/>
    <numFmt numFmtId="168" formatCode="0"/>
    <numFmt numFmtId="169" formatCode="[$-409]d\-mmm\-yyyy;@"/>
    <numFmt numFmtId="170" formatCode="[$-409]dd\-mmm\-yy;@"/>
    <numFmt numFmtId="171" formatCode="@"/>
    <numFmt numFmtId="172" formatCode="m/d/yyyy"/>
    <numFmt numFmtId="173" formatCode="[$-409]d\-mmm\-yy;@"/>
    <numFmt numFmtId="174" formatCode="0;[RED]0"/>
    <numFmt numFmtId="175" formatCode="_(&quot;R$&quot;* #,##0.00_);_(&quot;R$&quot;* \(#,##0.00\);_(&quot;R$&quot;* \-??_);_(@_)"/>
    <numFmt numFmtId="176" formatCode="d\-mmm"/>
  </numFmts>
  <fonts count="4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sz val="12"/>
      <color rgb="FF3F3F3F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3F3F3F"/>
      <name val="Calibri"/>
      <family val="2"/>
      <charset val="1"/>
    </font>
    <font>
      <b val="true"/>
      <sz val="32"/>
      <color rgb="FF3F3F3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32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4"/>
      <color rgb="FF3F3F3F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1A1A1A"/>
      <name val="Calibri"/>
      <family val="2"/>
    </font>
    <font>
      <sz val="9"/>
      <color rgb="FF404040"/>
      <name val="Calibri"/>
      <family val="2"/>
    </font>
    <font>
      <sz val="9"/>
      <color rgb="FF595959"/>
      <name val="Calibri"/>
      <family val="2"/>
    </font>
    <font>
      <b val="true"/>
      <sz val="13.5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b val="true"/>
      <sz val="13"/>
      <name val="Calibri"/>
      <family val="2"/>
      <charset val="1"/>
    </font>
    <font>
      <sz val="14"/>
      <color rgb="FF000000"/>
      <name val="Calibri"/>
      <family val="2"/>
    </font>
    <font>
      <b val="true"/>
      <sz val="10"/>
      <color rgb="FF00FF00"/>
      <name val="Arial"/>
      <family val="2"/>
      <charset val="1"/>
    </font>
    <font>
      <sz val="10"/>
      <color rgb="FF00FF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GE Inspira"/>
      <family val="2"/>
      <charset val="1"/>
    </font>
    <font>
      <sz val="11"/>
      <color rgb="FF7F7F7F"/>
      <name val="Calibri"/>
      <family val="2"/>
      <charset val="1"/>
    </font>
    <font>
      <sz val="11"/>
      <color rgb="FF808080"/>
      <name val="Calibri"/>
      <family val="2"/>
      <charset val="1"/>
    </font>
    <font>
      <sz val="11"/>
      <color rgb="FF000000"/>
      <name val="Calibri Light"/>
      <family val="2"/>
      <charset val="1"/>
    </font>
    <font>
      <sz val="11"/>
      <color rgb="FF242424"/>
      <name val="Segoe UI"/>
      <family val="2"/>
      <charset val="1"/>
    </font>
    <font>
      <sz val="12"/>
      <color rgb="FF000000"/>
      <name val="Arial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Times New Roman"/>
      <family val="1"/>
      <charset val="1"/>
    </font>
  </fonts>
  <fills count="17">
    <fill>
      <patternFill patternType="none"/>
    </fill>
    <fill>
      <patternFill patternType="gray125"/>
    </fill>
    <fill>
      <patternFill patternType="solid">
        <fgColor rgb="FFBDD7EE"/>
        <bgColor rgb="FFD8D8D8"/>
      </patternFill>
    </fill>
    <fill>
      <patternFill patternType="solid">
        <fgColor rgb="FF55B03E"/>
        <bgColor rgb="FF92D050"/>
      </patternFill>
    </fill>
    <fill>
      <patternFill patternType="solid">
        <fgColor rgb="FFF0462E"/>
        <bgColor rgb="FFC55A11"/>
      </patternFill>
    </fill>
    <fill>
      <patternFill patternType="solid">
        <fgColor rgb="FFF2F2F2"/>
        <bgColor rgb="FFDEEBF7"/>
      </patternFill>
    </fill>
    <fill>
      <patternFill patternType="solid">
        <fgColor rgb="FFD8D8D8"/>
        <bgColor rgb="FFD9D9D9"/>
      </patternFill>
    </fill>
    <fill>
      <patternFill patternType="solid">
        <fgColor rgb="FFDEEBF7"/>
        <bgColor rgb="FFF2F2F2"/>
      </patternFill>
    </fill>
    <fill>
      <patternFill patternType="solid">
        <fgColor rgb="FFA9D18E"/>
        <bgColor rgb="FFC5E0B4"/>
      </patternFill>
    </fill>
    <fill>
      <patternFill patternType="solid">
        <fgColor rgb="FFFF0000"/>
        <bgColor rgb="FFF0462E"/>
      </patternFill>
    </fill>
    <fill>
      <patternFill patternType="solid">
        <fgColor rgb="FFC5E0B4"/>
        <bgColor rgb="FFD8D8D8"/>
      </patternFill>
    </fill>
    <fill>
      <patternFill patternType="solid">
        <fgColor rgb="FFF8CBAD"/>
        <bgColor rgb="FFF4B183"/>
      </patternFill>
    </fill>
    <fill>
      <patternFill patternType="solid">
        <fgColor rgb="FFC55A11"/>
        <bgColor rgb="FFF0462E"/>
      </patternFill>
    </fill>
    <fill>
      <patternFill patternType="solid">
        <fgColor rgb="FFF4B183"/>
        <bgColor rgb="FFF8CBAD"/>
      </patternFill>
    </fill>
    <fill>
      <patternFill patternType="solid">
        <fgColor rgb="FF9DC3E6"/>
        <bgColor rgb="FFBDD7EE"/>
      </patternFill>
    </fill>
    <fill>
      <patternFill patternType="solid">
        <fgColor rgb="FF002060"/>
        <bgColor rgb="FF203864"/>
      </patternFill>
    </fill>
    <fill>
      <patternFill patternType="solid">
        <fgColor rgb="FFFFFFFF"/>
        <bgColor rgb="FFF2F2F2"/>
      </patternFill>
    </fill>
  </fills>
  <borders count="3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ck">
        <color rgb="FFFFFFFF"/>
      </right>
      <top style="medium"/>
      <bottom style="thick">
        <color rgb="FFFFFFFF"/>
      </bottom>
      <diagonal/>
    </border>
    <border diagonalUp="false" diagonalDown="false">
      <left style="thick">
        <color rgb="FFFFFFFF"/>
      </left>
      <right style="thick">
        <color rgb="FFFFFFFF"/>
      </right>
      <top style="medium"/>
      <bottom style="thick">
        <color rgb="FFFFFFFF"/>
      </bottom>
      <diagonal/>
    </border>
    <border diagonalUp="false" diagonalDown="false">
      <left style="medium"/>
      <right style="thick">
        <color rgb="FFFFFFFF"/>
      </right>
      <top style="thick">
        <color rgb="FFFFFFFF"/>
      </top>
      <bottom style="thick">
        <color rgb="FFFFFFFF"/>
      </bottom>
      <diagonal/>
    </border>
    <border diagonalUp="false" diagonalDown="false"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32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tru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0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9" fillId="0" borderId="2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1" fillId="0" borderId="2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2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0" fillId="0" borderId="2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8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8" fillId="0" borderId="3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true"/>
    </xf>
    <xf numFmtId="165" fontId="13" fillId="2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4" fillId="0" borderId="0" xfId="0" applyFont="true" applyBorder="false" applyAlignment="true" applyProtection="true">
      <alignment horizontal="left" vertical="bottom" textRotation="0" wrapText="false" indent="0" shrinkToFit="false"/>
      <protection locked="true" hidden="tru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tru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true"/>
    </xf>
    <xf numFmtId="164" fontId="5" fillId="0" borderId="4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0" borderId="0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2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5" fontId="15" fillId="3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1" fillId="0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9" fillId="0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5" fontId="15" fillId="4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6" fillId="0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true"/>
    </xf>
    <xf numFmtId="164" fontId="7" fillId="0" borderId="6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6" fontId="13" fillId="5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17" fillId="6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7" fillId="6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7" fillId="6" borderId="11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5" fontId="18" fillId="5" borderId="1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7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8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11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1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5" fillId="13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30" fillId="15" borderId="16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30" fillId="15" borderId="16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5" borderId="16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1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7" fontId="30" fillId="15" borderId="17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2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3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9" fontId="34" fillId="16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70" fontId="3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5" fontId="3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5" fontId="3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3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71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5" fillId="16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32" fillId="16" borderId="0" xfId="2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3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9" fontId="34" fillId="16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3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32" fillId="0" borderId="0" xfId="20" applyFont="true" applyBorder="true" applyAlignment="true" applyProtection="true">
      <alignment horizontal="center" vertical="top" textRotation="0" wrapText="false" indent="0" shrinkToFit="false"/>
      <protection locked="true" hidden="tru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3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72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71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2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3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71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71" fontId="32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3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33" fillId="16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0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71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73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71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73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39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3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4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71" fontId="4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4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73" fontId="4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true"/>
    </xf>
    <xf numFmtId="164" fontId="30" fillId="15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4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5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6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1" xfId="2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32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3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4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30" fillId="15" borderId="16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2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1" fontId="3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70" fontId="3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3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3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8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tru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71" fontId="3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71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3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30" fillId="15" borderId="17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30" fillId="15" borderId="16" xfId="0" applyFont="true" applyBorder="true" applyAlignment="true" applyProtection="true">
      <alignment horizontal="center" vertical="bottom" textRotation="0" wrapText="true" indent="0" shrinkToFit="false"/>
      <protection locked="true" hidden="true"/>
    </xf>
    <xf numFmtId="173" fontId="3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3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7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76" fontId="3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73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true"/>
    </xf>
    <xf numFmtId="172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tru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0" fillId="12" borderId="0" xfId="0" applyFont="false" applyBorder="false" applyAlignment="true" applyProtection="true">
      <alignment horizontal="center" vertical="bottom" textRotation="0" wrapText="false" indent="0" shrinkToFit="false"/>
      <protection locked="true" hidden="true"/>
    </xf>
    <xf numFmtId="17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1"/>
    <cellStyle name="Pivot Table Value" xfId="22"/>
    <cellStyle name="Pivot Table Field" xfId="23"/>
    <cellStyle name="Pivot Table Category" xfId="24"/>
    <cellStyle name="Pivot Table Title" xfId="25"/>
    <cellStyle name="Pivot Table Result" xfId="26"/>
    <cellStyle name="*unknown*" xfId="20" builtinId="8"/>
  </cellStyles>
  <dxfs count="183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5623"/>
      <rgbColor rgb="FF000080"/>
      <rgbColor rgb="FF7F7F7F"/>
      <rgbColor rgb="FF800080"/>
      <rgbColor rgb="FF00B050"/>
      <rgbColor rgb="FFD8D8D8"/>
      <rgbColor rgb="FF808080"/>
      <rgbColor rgb="FFA5A5A5"/>
      <rgbColor rgb="FF404040"/>
      <rgbColor rgb="FFF2F2F2"/>
      <rgbColor rgb="FFDEEBF7"/>
      <rgbColor rgb="FF660066"/>
      <rgbColor rgb="FFF0462E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C5E0B4"/>
      <rgbColor rgb="FFA9D18E"/>
      <rgbColor rgb="FF9DC3E6"/>
      <rgbColor rgb="FFF4B183"/>
      <rgbColor rgb="FFCC99FF"/>
      <rgbColor rgb="FFF8CBAD"/>
      <rgbColor rgb="FF4472C4"/>
      <rgbColor rgb="FF33CCCC"/>
      <rgbColor rgb="FF92D050"/>
      <rgbColor rgb="FFFFCC00"/>
      <rgbColor rgb="FFFF9900"/>
      <rgbColor rgb="FFED7D31"/>
      <rgbColor rgb="FF595959"/>
      <rgbColor rgb="FF8B8B8B"/>
      <rgbColor rgb="FF002060"/>
      <rgbColor rgb="FF55B03E"/>
      <rgbColor rgb="FF1A1A1A"/>
      <rgbColor rgb="FF242424"/>
      <rgbColor rgb="FFC55A11"/>
      <rgbColor rgb="FF993366"/>
      <rgbColor rgb="FF203864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13" Type="http://schemas.openxmlformats.org/officeDocument/2006/relationships/pivotCacheDefinition" Target="pivotCache/pivotCacheDefinition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pt-BR" sz="1400" spc="-1" strike="noStrike">
                <a:solidFill>
                  <a:srgbClr val="000000"/>
                </a:solidFill>
                <a:latin typeface="Calibri"/>
              </a:rPr>
              <a:t>Calibrações Previstas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1"/>
        <c:ser>
          <c:idx val="0"/>
          <c:order val="0"/>
          <c:tx>
            <c:strRef>
              <c:f>"Calibrações Necessárias"</c:f>
              <c:strCache>
                <c:ptCount val="1"/>
                <c:pt idx="0">
                  <c:v>Calibrações Necessárias</c:v>
                </c:pt>
              </c:strCache>
            </c:strRef>
          </c:tx>
          <c:spPr>
            <a:solidFill>
              <a:srgbClr val="f4b183"/>
            </a:solidFill>
            <a:ln>
              <a:noFill/>
            </a:ln>
          </c:spPr>
          <c:invertIfNegative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>
                <a:noFill/>
              </a:ln>
            </c:spPr>
          </c:dPt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val>
            <c:numRef>
              <c:f>KPIs!$D$18:$O$18</c:f>
              <c:numCache>
                <c:formatCode>General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25</c:v>
                </c:pt>
                <c:pt idx="3">
                  <c:v>6</c:v>
                </c:pt>
                <c:pt idx="4">
                  <c:v>15</c:v>
                </c:pt>
                <c:pt idx="5">
                  <c:v>61</c:v>
                </c:pt>
                <c:pt idx="6">
                  <c:v>32</c:v>
                </c:pt>
                <c:pt idx="7">
                  <c:v>48</c:v>
                </c:pt>
                <c:pt idx="8">
                  <c:v>49</c:v>
                </c:pt>
                <c:pt idx="9">
                  <c:v>5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</c:ser>
        <c:gapWidth val="150"/>
        <c:overlap val="0"/>
        <c:axId val="34358976"/>
        <c:axId val="29449372"/>
      </c:barChart>
      <c:catAx>
        <c:axId val="3435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9449372"/>
        <c:crosses val="autoZero"/>
        <c:auto val="1"/>
        <c:lblAlgn val="ctr"/>
        <c:lblOffset val="100"/>
        <c:noMultiLvlLbl val="0"/>
      </c:catAx>
      <c:valAx>
        <c:axId val="29449372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4358976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pt-BR" sz="1400" spc="-1" strike="noStrike">
                <a:solidFill>
                  <a:srgbClr val="000000"/>
                </a:solidFill>
                <a:latin typeface="Calibri"/>
              </a:rPr>
              <a:t>Percentual de Calibrações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374525218620263"/>
          <c:y val="0.087571739560657"/>
          <c:w val="0.915731825810441"/>
          <c:h val="0.696319018404908"/>
        </c:manualLayout>
      </c:layout>
      <c:doughnutChart>
        <c:varyColors val="1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explosion val="0"/>
          <c:dPt>
            <c:idx val="0"/>
            <c:spPr>
              <a:solidFill>
                <a:srgbClr val="00b050"/>
              </a:solidFill>
              <a:ln>
                <a:noFill/>
              </a:ln>
            </c:spPr>
          </c:dPt>
          <c:dPt>
            <c:idx val="1"/>
            <c:spPr>
              <a:solidFill>
                <a:srgbClr val="ff0000"/>
              </a:solidFill>
              <a:ln>
                <a:noFill/>
              </a:ln>
            </c:spPr>
          </c:dPt>
          <c:dLbls>
            <c:dLbl>
              <c:idx val="0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eparator>
</c:separator>
            </c:dLbl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1"/>
            <c:separator>
</c:separator>
            <c:showLeaderLines val="0"/>
          </c:dLbls>
          <c:cat>
            <c:strRef>
              <c:f>KPIs!$A$6:$A$7</c:f>
              <c:strCache>
                <c:ptCount val="2"/>
                <c:pt idx="0">
                  <c:v>Calibrados</c:v>
                </c:pt>
                <c:pt idx="1">
                  <c:v>Vencidos</c:v>
                </c:pt>
              </c:strCache>
            </c:strRef>
          </c:cat>
          <c:val>
            <c:numRef>
              <c:f>KPIs!$B$6:$B$7</c:f>
              <c:numCache>
                <c:formatCode>General</c:formatCode>
                <c:ptCount val="2"/>
                <c:pt idx="0">
                  <c:v>253</c:v>
                </c:pt>
                <c:pt idx="1">
                  <c:v>54</c:v>
                </c:pt>
              </c:numCache>
            </c:numRef>
          </c:val>
        </c:ser>
        <c:firstSliceAng val="0"/>
        <c:holeSize val="50"/>
      </c:doughnutChart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1a1a1a"/>
              </a:solidFill>
              <a:latin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pt-BR" sz="1400" spc="-1" strike="noStrike">
                <a:solidFill>
                  <a:srgbClr val="000000"/>
                </a:solidFill>
                <a:latin typeface="Calibri"/>
              </a:rPr>
              <a:t>Calibrações Realizadas ER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781662617513468"/>
          <c:y val="0.277766069546891"/>
          <c:w val="0.905214605119538"/>
          <c:h val="0.40484720758693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"Calibrações Realizadas"</c:f>
              <c:strCache>
                <c:ptCount val="1"/>
                <c:pt idx="0">
                  <c:v>Calibrações Realizadas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val>
            <c:numRef>
              <c:f>KPIs!$D$17:$O$17</c:f>
              <c:numCache>
                <c:formatCode>General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32</c:v>
                </c:pt>
                <c:pt idx="3">
                  <c:v>19</c:v>
                </c:pt>
                <c:pt idx="4">
                  <c:v>38</c:v>
                </c:pt>
                <c:pt idx="5">
                  <c:v>39</c:v>
                </c:pt>
                <c:pt idx="6">
                  <c:v>37</c:v>
                </c:pt>
                <c:pt idx="7">
                  <c:v>57</c:v>
                </c:pt>
                <c:pt idx="8">
                  <c:v>52</c:v>
                </c:pt>
                <c:pt idx="9">
                  <c:v>5</c:v>
                </c:pt>
                <c:pt idx="10">
                  <c:v>11</c:v>
                </c:pt>
                <c:pt idx="11">
                  <c:v>2</c:v>
                </c:pt>
              </c:numCache>
            </c:numRef>
          </c:val>
        </c:ser>
        <c:gapWidth val="150"/>
        <c:overlap val="0"/>
        <c:axId val="73085467"/>
        <c:axId val="77548398"/>
      </c:barChart>
      <c:lineChart>
        <c:grouping val="standard"/>
        <c:varyColors val="0"/>
        <c:ser>
          <c:idx val="1"/>
          <c:order val="1"/>
          <c:tx>
            <c:strRef>
              <c:f>"Agendado"</c:f>
              <c:strCache>
                <c:ptCount val="1"/>
                <c:pt idx="0">
                  <c:v>Agendado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square"/>
            <c:size val="5"/>
            <c:spPr>
              <a:solidFill>
                <a:srgbClr val="ed7d31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val>
            <c:numRef>
              <c:f>KPIs!$D$21:$O$21</c:f>
              <c:numCache>
                <c:formatCode>General</c:formatCode>
                <c:ptCount val="12"/>
                <c:pt idx="0">
                  <c:v>17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51</c:v>
                </c:pt>
                <c:pt idx="8">
                  <c:v>11</c:v>
                </c:pt>
                <c:pt idx="10">
                  <c:v>22</c:v>
                </c:pt>
                <c:pt idx="11">
                  <c:v>22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"Em Contato"</c:f>
              <c:strCache>
                <c:ptCount val="1"/>
                <c:pt idx="0">
                  <c:v>Em Contato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square"/>
            <c:size val="5"/>
            <c:spPr>
              <a:solidFill>
                <a:srgbClr val="a5a5a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KPIs!$D$22:$O$22</c:f>
              <c:numCache>
                <c:formatCode>General</c:formatCode>
                <c:ptCount val="12"/>
                <c:pt idx="1">
                  <c:v>17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3085467"/>
        <c:axId val="77548398"/>
      </c:lineChart>
      <c:catAx>
        <c:axId val="730854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7548398"/>
        <c:crosses val="autoZero"/>
        <c:auto val="1"/>
        <c:lblAlgn val="ctr"/>
        <c:lblOffset val="100"/>
        <c:noMultiLvlLbl val="0"/>
      </c:catAx>
      <c:valAx>
        <c:axId val="7754839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3085467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"Calibrações Necessárias"</c:f>
              <c:strCache>
                <c:ptCount val="1"/>
                <c:pt idx="0">
                  <c:v>Calibrações Necessárias</c:v>
                </c:pt>
              </c:strCache>
            </c:strRef>
          </c:tx>
          <c:spPr>
            <a:solidFill>
              <a:srgbClr val="9dc3e6"/>
            </a:solidFill>
            <a:ln>
              <a:noFill/>
            </a:ln>
          </c:spPr>
          <c:invertIfNegative val="0"/>
          <c:dPt>
            <c:idx val="4"/>
            <c:invertIfNegative val="0"/>
            <c:spPr>
              <a:solidFill>
                <a:srgbClr val="9dc3e6"/>
              </a:solidFill>
              <a:ln>
                <a:noFill/>
              </a:ln>
            </c:spPr>
          </c:dPt>
          <c:dLbls>
            <c:numFmt formatCode="General" sourceLinked="1"/>
            <c:dLbl>
              <c:idx val="4"/>
              <c:numFmt formatCode="General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[1]CAL!$D$4:$O$4</c:f>
              <c:multiLvlStrCache>
                <c:ptCount val="1"/>
                <c:lvl>
                  <c:pt idx="0">
                    <c:v>Dezembro</c:v>
                  </c:pt>
                </c:lvl>
                <c:lvl>
                  <c:pt idx="0">
                    <c:v>Novembro</c:v>
                  </c:pt>
                </c:lvl>
                <c:lvl>
                  <c:pt idx="0">
                    <c:v>Outubro</c:v>
                  </c:pt>
                </c:lvl>
                <c:lvl>
                  <c:pt idx="0">
                    <c:v>Setembro</c:v>
                  </c:pt>
                </c:lvl>
                <c:lvl>
                  <c:pt idx="0">
                    <c:v>Agosto</c:v>
                  </c:pt>
                </c:lvl>
                <c:lvl>
                  <c:pt idx="0">
                    <c:v>Julho</c:v>
                  </c:pt>
                </c:lvl>
                <c:lvl>
                  <c:pt idx="0">
                    <c:v>Junho</c:v>
                  </c:pt>
                </c:lvl>
                <c:lvl>
                  <c:pt idx="0">
                    <c:v>Maio</c:v>
                  </c:pt>
                </c:lvl>
                <c:lvl>
                  <c:pt idx="0">
                    <c:v>Abril</c:v>
                  </c:pt>
                </c:lvl>
                <c:lvl>
                  <c:pt idx="0">
                    <c:v>Março</c:v>
                  </c:pt>
                </c:lvl>
                <c:lvl>
                  <c:pt idx="0">
                    <c:v>Fevereiro</c:v>
                  </c:pt>
                </c:lvl>
                <c:lvl>
                  <c:pt idx="0">
                    <c:v>Janeiro</c:v>
                  </c:pt>
                </c:lvl>
              </c:multiLvlStrCache>
            </c:multiLvlStrRef>
          </c:cat>
          <c:val>
            <c:numRef>
              <c:f>KPIs!$D$18:$O$18</c:f>
              <c:numCache>
                <c:formatCode>General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25</c:v>
                </c:pt>
                <c:pt idx="3">
                  <c:v>6</c:v>
                </c:pt>
                <c:pt idx="4">
                  <c:v>15</c:v>
                </c:pt>
                <c:pt idx="5">
                  <c:v>61</c:v>
                </c:pt>
                <c:pt idx="6">
                  <c:v>32</c:v>
                </c:pt>
                <c:pt idx="7">
                  <c:v>48</c:v>
                </c:pt>
                <c:pt idx="8">
                  <c:v>49</c:v>
                </c:pt>
                <c:pt idx="9">
                  <c:v>5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</c:ser>
        <c:gapWidth val="150"/>
        <c:overlap val="0"/>
        <c:axId val="21289368"/>
        <c:axId val="7388174"/>
      </c:barChart>
      <c:lineChart>
        <c:grouping val="standard"/>
        <c:varyColors val="0"/>
        <c:ser>
          <c:idx val="1"/>
          <c:order val="1"/>
          <c:tx>
            <c:strRef>
              <c:f>"Calibrações Realizadas"</c:f>
              <c:strCache>
                <c:ptCount val="1"/>
                <c:pt idx="0">
                  <c:v>Calibrações Realizadas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[1]CAL!$D$4:$O$4</c:f>
              <c:multiLvlStrCache>
                <c:ptCount val="1"/>
                <c:lvl>
                  <c:pt idx="0">
                    <c:v>Dezembro</c:v>
                  </c:pt>
                </c:lvl>
                <c:lvl>
                  <c:pt idx="0">
                    <c:v>Novembro</c:v>
                  </c:pt>
                </c:lvl>
                <c:lvl>
                  <c:pt idx="0">
                    <c:v>Outubro</c:v>
                  </c:pt>
                </c:lvl>
                <c:lvl>
                  <c:pt idx="0">
                    <c:v>Setembro</c:v>
                  </c:pt>
                </c:lvl>
                <c:lvl>
                  <c:pt idx="0">
                    <c:v>Agosto</c:v>
                  </c:pt>
                </c:lvl>
                <c:lvl>
                  <c:pt idx="0">
                    <c:v>Julho</c:v>
                  </c:pt>
                </c:lvl>
                <c:lvl>
                  <c:pt idx="0">
                    <c:v>Junho</c:v>
                  </c:pt>
                </c:lvl>
                <c:lvl>
                  <c:pt idx="0">
                    <c:v>Maio</c:v>
                  </c:pt>
                </c:lvl>
                <c:lvl>
                  <c:pt idx="0">
                    <c:v>Abril</c:v>
                  </c:pt>
                </c:lvl>
                <c:lvl>
                  <c:pt idx="0">
                    <c:v>Março</c:v>
                  </c:pt>
                </c:lvl>
                <c:lvl>
                  <c:pt idx="0">
                    <c:v>Fevereiro</c:v>
                  </c:pt>
                </c:lvl>
                <c:lvl>
                  <c:pt idx="0">
                    <c:v>Janeiro</c:v>
                  </c:pt>
                </c:lvl>
              </c:multiLvlStrCache>
            </c:multiLvlStrRef>
          </c:cat>
          <c:val>
            <c:numRef>
              <c:f>KPIs!$D$17:$O$17</c:f>
              <c:numCache>
                <c:formatCode>General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32</c:v>
                </c:pt>
                <c:pt idx="3">
                  <c:v>19</c:v>
                </c:pt>
                <c:pt idx="4">
                  <c:v>38</c:v>
                </c:pt>
                <c:pt idx="5">
                  <c:v>39</c:v>
                </c:pt>
                <c:pt idx="6">
                  <c:v>37</c:v>
                </c:pt>
                <c:pt idx="7">
                  <c:v>57</c:v>
                </c:pt>
                <c:pt idx="8">
                  <c:v>52</c:v>
                </c:pt>
                <c:pt idx="9">
                  <c:v>5</c:v>
                </c:pt>
                <c:pt idx="10">
                  <c:v>11</c:v>
                </c:pt>
                <c:pt idx="11">
                  <c:v>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"Adicionados"</c:f>
              <c:strCache>
                <c:ptCount val="1"/>
                <c:pt idx="0">
                  <c:v>Adicionados</c:v>
                </c:pt>
              </c:strCache>
            </c:strRef>
          </c:tx>
          <c:spPr>
            <a:solidFill>
              <a:srgbClr val="00b050"/>
            </a:solidFill>
            <a:ln w="19080">
              <a:solidFill>
                <a:srgbClr val="00b050"/>
              </a:solidFill>
              <a:round/>
            </a:ln>
          </c:spPr>
          <c:marker>
            <c:symbol val="none"/>
          </c:marker>
          <c:dPt>
            <c:idx val="4"/>
            <c:marker>
              <c:symbol val="none"/>
            </c:marker>
          </c:dPt>
          <c:dLbls>
            <c:numFmt formatCode="General" sourceLinked="1"/>
            <c:dLbl>
              <c:idx val="4"/>
              <c:numFmt formatCode="General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[1]CAL!$D$4:$O$4</c:f>
              <c:multiLvlStrCache>
                <c:ptCount val="1"/>
                <c:lvl>
                  <c:pt idx="0">
                    <c:v>Dezembro</c:v>
                  </c:pt>
                </c:lvl>
                <c:lvl>
                  <c:pt idx="0">
                    <c:v>Novembro</c:v>
                  </c:pt>
                </c:lvl>
                <c:lvl>
                  <c:pt idx="0">
                    <c:v>Outubro</c:v>
                  </c:pt>
                </c:lvl>
                <c:lvl>
                  <c:pt idx="0">
                    <c:v>Setembro</c:v>
                  </c:pt>
                </c:lvl>
                <c:lvl>
                  <c:pt idx="0">
                    <c:v>Agosto</c:v>
                  </c:pt>
                </c:lvl>
                <c:lvl>
                  <c:pt idx="0">
                    <c:v>Julho</c:v>
                  </c:pt>
                </c:lvl>
                <c:lvl>
                  <c:pt idx="0">
                    <c:v>Junho</c:v>
                  </c:pt>
                </c:lvl>
                <c:lvl>
                  <c:pt idx="0">
                    <c:v>Maio</c:v>
                  </c:pt>
                </c:lvl>
                <c:lvl>
                  <c:pt idx="0">
                    <c:v>Abril</c:v>
                  </c:pt>
                </c:lvl>
                <c:lvl>
                  <c:pt idx="0">
                    <c:v>Março</c:v>
                  </c:pt>
                </c:lvl>
                <c:lvl>
                  <c:pt idx="0">
                    <c:v>Fevereiro</c:v>
                  </c:pt>
                </c:lvl>
                <c:lvl>
                  <c:pt idx="0">
                    <c:v>Janeiro</c:v>
                  </c:pt>
                </c:lvl>
              </c:multiLvlStrCache>
            </c:multiLvlStrRef>
          </c:cat>
          <c:val>
            <c:numRef>
              <c:f>KPIs!$D$20:$O$20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21</c:v>
                </c:pt>
                <c:pt idx="5">
                  <c:v>1</c:v>
                </c:pt>
                <c:pt idx="6">
                  <c:v>10</c:v>
                </c:pt>
                <c:pt idx="7">
                  <c:v>7</c:v>
                </c:pt>
                <c:pt idx="8">
                  <c:v>26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"Não Encontrados"</c:f>
              <c:strCache>
                <c:ptCount val="1"/>
                <c:pt idx="0">
                  <c:v>Não Encontrados</c:v>
                </c:pt>
              </c:strCache>
            </c:strRef>
          </c:tx>
          <c:spPr>
            <a:solidFill>
              <a:srgbClr val="ff0000"/>
            </a:solidFill>
            <a:ln w="1908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[1]CAL!$D$4:$O$4</c:f>
              <c:multiLvlStrCache>
                <c:ptCount val="1"/>
                <c:lvl>
                  <c:pt idx="0">
                    <c:v>Dezembro</c:v>
                  </c:pt>
                </c:lvl>
                <c:lvl>
                  <c:pt idx="0">
                    <c:v>Novembro</c:v>
                  </c:pt>
                </c:lvl>
                <c:lvl>
                  <c:pt idx="0">
                    <c:v>Outubro</c:v>
                  </c:pt>
                </c:lvl>
                <c:lvl>
                  <c:pt idx="0">
                    <c:v>Setembro</c:v>
                  </c:pt>
                </c:lvl>
                <c:lvl>
                  <c:pt idx="0">
                    <c:v>Agosto</c:v>
                  </c:pt>
                </c:lvl>
                <c:lvl>
                  <c:pt idx="0">
                    <c:v>Julho</c:v>
                  </c:pt>
                </c:lvl>
                <c:lvl>
                  <c:pt idx="0">
                    <c:v>Junho</c:v>
                  </c:pt>
                </c:lvl>
                <c:lvl>
                  <c:pt idx="0">
                    <c:v>Maio</c:v>
                  </c:pt>
                </c:lvl>
                <c:lvl>
                  <c:pt idx="0">
                    <c:v>Abril</c:v>
                  </c:pt>
                </c:lvl>
                <c:lvl>
                  <c:pt idx="0">
                    <c:v>Março</c:v>
                  </c:pt>
                </c:lvl>
                <c:lvl>
                  <c:pt idx="0">
                    <c:v>Fevereiro</c:v>
                  </c:pt>
                </c:lvl>
                <c:lvl>
                  <c:pt idx="0">
                    <c:v>Janeiro</c:v>
                  </c:pt>
                </c:lvl>
              </c:multiLvlStrCache>
            </c:multiLvlStrRef>
          </c:cat>
          <c:val>
            <c:numRef>
              <c:f>KPIs!$D$19:$O$19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8</c:v>
                </c:pt>
                <c:pt idx="7">
                  <c:v>2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1289368"/>
        <c:axId val="7388174"/>
      </c:lineChart>
      <c:catAx>
        <c:axId val="21289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388174"/>
        <c:crosses val="autoZero"/>
        <c:auto val="1"/>
        <c:lblAlgn val="ctr"/>
        <c:lblOffset val="100"/>
        <c:noMultiLvlLbl val="0"/>
      </c:catAx>
      <c:valAx>
        <c:axId val="7388174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1289368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1a1a1a"/>
              </a:solidFill>
              <a:latin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pt-BR" sz="1400" spc="-1" strike="noStrike">
                <a:solidFill>
                  <a:srgbClr val="000000"/>
                </a:solidFill>
                <a:latin typeface="Calibri"/>
              </a:rPr>
              <a:t>Análise por Distrito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Distritos!$C$1</c:f>
              <c:strCache>
                <c:ptCount val="1"/>
                <c:pt idx="0">
                  <c:v>Calibrado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Distritos!$A$2:$A$12</c:f>
              <c:strCache>
                <c:ptCount val="11"/>
                <c:pt idx="0">
                  <c:v>Araraquara (Lab)</c:v>
                </c:pt>
                <c:pt idx="1">
                  <c:v>Cotia (Laboratórios)</c:v>
                </c:pt>
                <c:pt idx="2">
                  <c:v>Heavy Industry - Fenix</c:v>
                </c:pt>
                <c:pt idx="3">
                  <c:v>Heavy Industry - Lobos</c:v>
                </c:pt>
                <c:pt idx="4">
                  <c:v>Heavy Industry - Zeus</c:v>
                </c:pt>
                <c:pt idx="5">
                  <c:v>MM CO&amp;Sul</c:v>
                </c:pt>
                <c:pt idx="6">
                  <c:v>MM S&amp;E Sud&amp;NE</c:v>
                </c:pt>
                <c:pt idx="7">
                  <c:v>MM S&amp;E Sude</c:v>
                </c:pt>
                <c:pt idx="8">
                  <c:v>Sorocaba (Laboratórios)</c:v>
                </c:pt>
                <c:pt idx="9">
                  <c:v>Não identificado </c:v>
                </c:pt>
                <c:pt idx="10">
                  <c:v>Total</c:v>
                </c:pt>
              </c:strCache>
            </c:strRef>
          </c:cat>
          <c:val>
            <c:numRef>
              <c:f>Distritos!$C$2:$C$12</c:f>
              <c:numCache>
                <c:formatCode>General</c:formatCode>
                <c:ptCount val="11"/>
                <c:pt idx="0">
                  <c:v>4</c:v>
                </c:pt>
                <c:pt idx="1">
                  <c:v>3</c:v>
                </c:pt>
                <c:pt idx="2">
                  <c:v>31</c:v>
                </c:pt>
                <c:pt idx="3">
                  <c:v>11</c:v>
                </c:pt>
                <c:pt idx="4">
                  <c:v>86</c:v>
                </c:pt>
                <c:pt idx="5">
                  <c:v>24</c:v>
                </c:pt>
                <c:pt idx="6">
                  <c:v>29</c:v>
                </c:pt>
                <c:pt idx="7">
                  <c:v>25</c:v>
                </c:pt>
                <c:pt idx="8">
                  <c:v>14</c:v>
                </c:pt>
                <c:pt idx="9">
                  <c:v>15</c:v>
                </c:pt>
                <c:pt idx="10">
                  <c:v>227</c:v>
                </c:pt>
              </c:numCache>
            </c:numRef>
          </c:val>
        </c:ser>
        <c:ser>
          <c:idx val="1"/>
          <c:order val="1"/>
          <c:tx>
            <c:strRef>
              <c:f>Distritos!$D$1</c:f>
              <c:strCache>
                <c:ptCount val="1"/>
                <c:pt idx="0">
                  <c:v>Vencido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Distritos!$A$2:$A$12</c:f>
              <c:strCache>
                <c:ptCount val="11"/>
                <c:pt idx="0">
                  <c:v>Araraquara (Lab)</c:v>
                </c:pt>
                <c:pt idx="1">
                  <c:v>Cotia (Laboratórios)</c:v>
                </c:pt>
                <c:pt idx="2">
                  <c:v>Heavy Industry - Fenix</c:v>
                </c:pt>
                <c:pt idx="3">
                  <c:v>Heavy Industry - Lobos</c:v>
                </c:pt>
                <c:pt idx="4">
                  <c:v>Heavy Industry - Zeus</c:v>
                </c:pt>
                <c:pt idx="5">
                  <c:v>MM CO&amp;Sul</c:v>
                </c:pt>
                <c:pt idx="6">
                  <c:v>MM S&amp;E Sud&amp;NE</c:v>
                </c:pt>
                <c:pt idx="7">
                  <c:v>MM S&amp;E Sude</c:v>
                </c:pt>
                <c:pt idx="8">
                  <c:v>Sorocaba (Laboratórios)</c:v>
                </c:pt>
                <c:pt idx="9">
                  <c:v>Não identificado </c:v>
                </c:pt>
                <c:pt idx="10">
                  <c:v>Total</c:v>
                </c:pt>
              </c:strCache>
            </c:strRef>
          </c:cat>
          <c:val>
            <c:numRef>
              <c:f>Distritos!$D$2:$D$12</c:f>
              <c:numCache>
                <c:formatCode>General</c:formatCode>
                <c:ptCount val="1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5</c:v>
                </c:pt>
                <c:pt idx="4">
                  <c:v>8</c:v>
                </c:pt>
                <c:pt idx="5">
                  <c:v>13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36</c:v>
                </c:pt>
              </c:numCache>
            </c:numRef>
          </c:val>
        </c:ser>
        <c:gapWidth val="150"/>
        <c:overlap val="100"/>
        <c:axId val="34401487"/>
        <c:axId val="57679395"/>
      </c:barChart>
      <c:catAx>
        <c:axId val="34401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7679395"/>
        <c:crosses val="autoZero"/>
        <c:auto val="1"/>
        <c:lblAlgn val="ctr"/>
        <c:lblOffset val="100"/>
        <c:noMultiLvlLbl val="0"/>
      </c:catAx>
      <c:valAx>
        <c:axId val="5767939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4401487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pieChart>
        <c:varyColors val="1"/>
        <c:ser>
          <c:idx val="0"/>
          <c:order val="0"/>
          <c:spPr>
            <a:solidFill>
              <a:srgbClr val="ff0000"/>
            </a:solidFill>
            <a:ln>
              <a:noFill/>
            </a:ln>
          </c:spPr>
          <c:explosion val="0"/>
          <c:dPt>
            <c:idx val="0"/>
            <c:spPr>
              <a:solidFill>
                <a:srgbClr val="92d050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ff0000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txPr>
              <a:bodyPr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eparator>
</c:separator>
            <c:showLeaderLines val="0"/>
          </c:dLbls>
          <c:cat>
            <c:strRef>
              <c:f>'KPI-s de Controle '!$D$8:$E$8</c:f>
              <c:strCache>
                <c:ptCount val="2"/>
                <c:pt idx="0">
                  <c:v>CALIBRADOS </c:v>
                </c:pt>
                <c:pt idx="1">
                  <c:v>VENCIDOS </c:v>
                </c:pt>
              </c:strCache>
            </c:strRef>
          </c:cat>
          <c:val>
            <c:numRef>
              <c:f>'KPI-s de Controle '!$H$12:$I$12</c:f>
              <c:numCache>
                <c:formatCode>General</c:formatCode>
                <c:ptCount val="2"/>
                <c:pt idx="0">
                  <c:v>0.821428571428571</c:v>
                </c:pt>
                <c:pt idx="1">
                  <c:v>0.178571428571429</c:v>
                </c:pt>
              </c:numCache>
            </c:numRef>
          </c:val>
        </c:ser>
        <c:firstSliceAng val="0"/>
      </c:pieChart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pt-BR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0" lang="pt-BR" sz="1400" spc="-1" strike="noStrike">
                <a:solidFill>
                  <a:srgbClr val="000000"/>
                </a:solidFill>
                <a:latin typeface="Calibri"/>
              </a:rPr>
              <a:t>Calibrações Previstas X Calibrações Executadas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'KPI-s de Controle '!$T$18</c:f>
              <c:strCache>
                <c:ptCount val="1"/>
                <c:pt idx="0">
                  <c:v>Previsto</c:v>
                </c:pt>
              </c:strCache>
            </c:strRef>
          </c:tx>
          <c:spPr>
            <a:solidFill>
              <a:srgbClr val="bdd7e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'KPI-s de Controle '!$R$19:$R$30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'KPI-s de Controle '!$T$19:$T$30</c:f>
              <c:numCache>
                <c:formatCode>General</c:formatCode>
                <c:ptCount val="12"/>
                <c:pt idx="0">
                  <c:v>1</c:v>
                </c:pt>
                <c:pt idx="1">
                  <c:v>3</c:v>
                </c:pt>
                <c:pt idx="2">
                  <c:v>25</c:v>
                </c:pt>
                <c:pt idx="3">
                  <c:v>23</c:v>
                </c:pt>
                <c:pt idx="4">
                  <c:v>42</c:v>
                </c:pt>
                <c:pt idx="5">
                  <c:v>43</c:v>
                </c:pt>
                <c:pt idx="6">
                  <c:v>36</c:v>
                </c:pt>
                <c:pt idx="7">
                  <c:v>61</c:v>
                </c:pt>
                <c:pt idx="8">
                  <c:v>49</c:v>
                </c:pt>
                <c:pt idx="9">
                  <c:v>5</c:v>
                </c:pt>
                <c:pt idx="10">
                  <c:v>12</c:v>
                </c:pt>
                <c:pt idx="11">
                  <c:v>1</c:v>
                </c:pt>
              </c:numCache>
            </c:numRef>
          </c:val>
        </c:ser>
        <c:gapWidth val="219"/>
        <c:overlap val="0"/>
        <c:axId val="90440745"/>
        <c:axId val="67267566"/>
      </c:barChart>
      <c:lineChart>
        <c:grouping val="standard"/>
        <c:varyColors val="0"/>
        <c:ser>
          <c:idx val="1"/>
          <c:order val="1"/>
          <c:tx>
            <c:strRef>
              <c:f>'KPI-s de Controle '!$U$18</c:f>
              <c:strCache>
                <c:ptCount val="1"/>
                <c:pt idx="0">
                  <c:v>Executado</c:v>
                </c:pt>
              </c:strCache>
            </c:strRef>
          </c:tx>
          <c:spPr>
            <a:solidFill>
              <a:srgbClr val="385623"/>
            </a:solidFill>
            <a:ln w="28440">
              <a:solidFill>
                <a:srgbClr val="385623"/>
              </a:solidFill>
              <a:round/>
            </a:ln>
          </c:spPr>
          <c:marker>
            <c:symbol val="circle"/>
            <c:size val="5"/>
            <c:spPr>
              <a:solidFill>
                <a:srgbClr val="385623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'KPI-s de Controle '!$R$19:$R$30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'KPI-s de Controle '!$U$19:$U$30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</c:v>
                </c:pt>
                <c:pt idx="5">
                  <c:v>40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0440745"/>
        <c:axId val="67267566"/>
      </c:lineChart>
      <c:catAx>
        <c:axId val="9044074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7267566"/>
        <c:crosses val="autoZero"/>
        <c:auto val="1"/>
        <c:lblAlgn val="ctr"/>
        <c:lblOffset val="100"/>
        <c:noMultiLvlLbl val="0"/>
      </c:catAx>
      <c:valAx>
        <c:axId val="6726756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0440745"/>
        <c:crosses val="autoZero"/>
        <c:crossBetween val="between"/>
      </c:valAx>
      <c:dTable>
        <c:showHorzBorder val="1"/>
        <c:showVertBorder val="1"/>
        <c:showOutline val="1"/>
      </c:dTable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19080"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pt-BR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0" lang="pt-BR" sz="1400" spc="-1" strike="noStrike">
                <a:solidFill>
                  <a:srgbClr val="000000"/>
                </a:solidFill>
                <a:latin typeface="Calibri"/>
              </a:rPr>
              <a:t>Equipamentos por Distrito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Distritos!$C$1</c:f>
              <c:strCache>
                <c:ptCount val="1"/>
                <c:pt idx="0">
                  <c:v>Calibrado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Distritos!$A$2:$A$12</c:f>
              <c:strCache>
                <c:ptCount val="11"/>
                <c:pt idx="0">
                  <c:v>Araraquara (Lab)</c:v>
                </c:pt>
                <c:pt idx="1">
                  <c:v>Cotia (Laboratórios)</c:v>
                </c:pt>
                <c:pt idx="2">
                  <c:v>Heavy Industry - Fenix</c:v>
                </c:pt>
                <c:pt idx="3">
                  <c:v>Heavy Industry - Lobos</c:v>
                </c:pt>
                <c:pt idx="4">
                  <c:v>Heavy Industry - Zeus</c:v>
                </c:pt>
                <c:pt idx="5">
                  <c:v>MM CO&amp;Sul</c:v>
                </c:pt>
                <c:pt idx="6">
                  <c:v>MM S&amp;E Sud&amp;NE</c:v>
                </c:pt>
                <c:pt idx="7">
                  <c:v>MM S&amp;E Sude</c:v>
                </c:pt>
                <c:pt idx="8">
                  <c:v>Sorocaba (Laboratórios)</c:v>
                </c:pt>
                <c:pt idx="9">
                  <c:v>Não identificado </c:v>
                </c:pt>
                <c:pt idx="10">
                  <c:v>Total</c:v>
                </c:pt>
              </c:strCache>
            </c:strRef>
          </c:cat>
          <c:val>
            <c:numRef>
              <c:f>Distritos!$C$2:$C$11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31</c:v>
                </c:pt>
                <c:pt idx="3">
                  <c:v>11</c:v>
                </c:pt>
                <c:pt idx="4">
                  <c:v>86</c:v>
                </c:pt>
                <c:pt idx="5">
                  <c:v>24</c:v>
                </c:pt>
                <c:pt idx="6">
                  <c:v>29</c:v>
                </c:pt>
                <c:pt idx="7">
                  <c:v>25</c:v>
                </c:pt>
                <c:pt idx="8">
                  <c:v>14</c:v>
                </c:pt>
                <c:pt idx="9">
                  <c:v>15</c:v>
                </c:pt>
              </c:numCache>
            </c:numRef>
          </c:val>
        </c:ser>
        <c:ser>
          <c:idx val="1"/>
          <c:order val="1"/>
          <c:tx>
            <c:strRef>
              <c:f>Distritos!$D$1</c:f>
              <c:strCache>
                <c:ptCount val="1"/>
                <c:pt idx="0">
                  <c:v>Vencido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Distritos!$A$2:$A$12</c:f>
              <c:strCache>
                <c:ptCount val="11"/>
                <c:pt idx="0">
                  <c:v>Araraquara (Lab)</c:v>
                </c:pt>
                <c:pt idx="1">
                  <c:v>Cotia (Laboratórios)</c:v>
                </c:pt>
                <c:pt idx="2">
                  <c:v>Heavy Industry - Fenix</c:v>
                </c:pt>
                <c:pt idx="3">
                  <c:v>Heavy Industry - Lobos</c:v>
                </c:pt>
                <c:pt idx="4">
                  <c:v>Heavy Industry - Zeus</c:v>
                </c:pt>
                <c:pt idx="5">
                  <c:v>MM CO&amp;Sul</c:v>
                </c:pt>
                <c:pt idx="6">
                  <c:v>MM S&amp;E Sud&amp;NE</c:v>
                </c:pt>
                <c:pt idx="7">
                  <c:v>MM S&amp;E Sude</c:v>
                </c:pt>
                <c:pt idx="8">
                  <c:v>Sorocaba (Laboratórios)</c:v>
                </c:pt>
                <c:pt idx="9">
                  <c:v>Não identificado </c:v>
                </c:pt>
                <c:pt idx="10">
                  <c:v>Total</c:v>
                </c:pt>
              </c:strCache>
            </c:strRef>
          </c:cat>
          <c:val>
            <c:numRef>
              <c:f>Distritos!$D$2:$D$11</c:f>
              <c:numCache>
                <c:formatCode>General</c:formatCode>
                <c:ptCount val="10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5</c:v>
                </c:pt>
                <c:pt idx="4">
                  <c:v>8</c:v>
                </c:pt>
                <c:pt idx="5">
                  <c:v>13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</c:numCache>
            </c:numRef>
          </c:val>
        </c:ser>
        <c:gapWidth val="150"/>
        <c:overlap val="100"/>
        <c:axId val="37933867"/>
        <c:axId val="60824480"/>
      </c:barChart>
      <c:lineChart>
        <c:grouping val="stacked"/>
        <c:varyColors val="0"/>
        <c:ser>
          <c:idx val="2"/>
          <c:order val="2"/>
          <c:tx>
            <c:strRef>
              <c:f>Distritos!$B$1</c:f>
              <c:strCache>
                <c:ptCount val="1"/>
                <c:pt idx="0">
                  <c:v>Qtd de equipamentos</c:v>
                </c:pt>
              </c:strCache>
            </c:strRef>
          </c:tx>
          <c:spPr>
            <a:solidFill>
              <a:srgbClr val="203864"/>
            </a:solidFill>
            <a:ln w="28440">
              <a:solidFill>
                <a:srgbClr val="203864"/>
              </a:solidFill>
              <a:round/>
            </a:ln>
          </c:spPr>
          <c:marker>
            <c:symbol val="circle"/>
            <c:size val="5"/>
            <c:spPr>
              <a:solidFill>
                <a:srgbClr val="20386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Distritos!$A$2:$A$12</c:f>
              <c:strCache>
                <c:ptCount val="11"/>
                <c:pt idx="0">
                  <c:v>Araraquara (Lab)</c:v>
                </c:pt>
                <c:pt idx="1">
                  <c:v>Cotia (Laboratórios)</c:v>
                </c:pt>
                <c:pt idx="2">
                  <c:v>Heavy Industry - Fenix</c:v>
                </c:pt>
                <c:pt idx="3">
                  <c:v>Heavy Industry - Lobos</c:v>
                </c:pt>
                <c:pt idx="4">
                  <c:v>Heavy Industry - Zeus</c:v>
                </c:pt>
                <c:pt idx="5">
                  <c:v>MM CO&amp;Sul</c:v>
                </c:pt>
                <c:pt idx="6">
                  <c:v>MM S&amp;E Sud&amp;NE</c:v>
                </c:pt>
                <c:pt idx="7">
                  <c:v>MM S&amp;E Sude</c:v>
                </c:pt>
                <c:pt idx="8">
                  <c:v>Sorocaba (Laboratórios)</c:v>
                </c:pt>
                <c:pt idx="9">
                  <c:v>Não identificado </c:v>
                </c:pt>
                <c:pt idx="10">
                  <c:v>Total</c:v>
                </c:pt>
              </c:strCache>
            </c:strRef>
          </c:cat>
          <c:val>
            <c:numRef>
              <c:f>Distritos!$B$2:$B$11</c:f>
              <c:numCache>
                <c:formatCode>General</c:formatCode>
                <c:ptCount val="10"/>
                <c:pt idx="0">
                  <c:v>4</c:v>
                </c:pt>
                <c:pt idx="1">
                  <c:v>10</c:v>
                </c:pt>
                <c:pt idx="2">
                  <c:v>31</c:v>
                </c:pt>
                <c:pt idx="3">
                  <c:v>16</c:v>
                </c:pt>
                <c:pt idx="4">
                  <c:v>94</c:v>
                </c:pt>
                <c:pt idx="5">
                  <c:v>37</c:v>
                </c:pt>
                <c:pt idx="6">
                  <c:v>32</c:v>
                </c:pt>
                <c:pt idx="7">
                  <c:v>25</c:v>
                </c:pt>
                <c:pt idx="8">
                  <c:v>14</c:v>
                </c:pt>
                <c:pt idx="9">
                  <c:v>20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7933867"/>
        <c:axId val="60824480"/>
      </c:lineChart>
      <c:catAx>
        <c:axId val="379338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0824480"/>
        <c:crosses val="autoZero"/>
        <c:auto val="1"/>
        <c:lblAlgn val="ctr"/>
        <c:lblOffset val="100"/>
        <c:noMultiLvlLbl val="0"/>
      </c:catAx>
      <c:valAx>
        <c:axId val="608244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7933867"/>
        <c:crosses val="autoZero"/>
        <c:crossBetween val="between"/>
      </c:valAx>
      <c:dTable>
        <c:showHorzBorder val="1"/>
        <c:showVertBorder val="1"/>
        <c:showOutline val="1"/>
      </c:dTable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489960</xdr:colOff>
      <xdr:row>6</xdr:row>
      <xdr:rowOff>132120</xdr:rowOff>
    </xdr:from>
    <xdr:to>
      <xdr:col>16</xdr:col>
      <xdr:colOff>442800</xdr:colOff>
      <xdr:row>11</xdr:row>
      <xdr:rowOff>451440</xdr:rowOff>
    </xdr:to>
    <xdr:graphicFrame>
      <xdr:nvGraphicFramePr>
        <xdr:cNvPr id="0" name="Chart 2"/>
        <xdr:cNvGraphicFramePr/>
      </xdr:nvGraphicFramePr>
      <xdr:xfrm>
        <a:off x="8974080" y="2084400"/>
        <a:ext cx="10379520" cy="1729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245160</xdr:colOff>
      <xdr:row>1</xdr:row>
      <xdr:rowOff>57960</xdr:rowOff>
    </xdr:from>
    <xdr:to>
      <xdr:col>8</xdr:col>
      <xdr:colOff>268920</xdr:colOff>
      <xdr:row>12</xdr:row>
      <xdr:rowOff>9720</xdr:rowOff>
    </xdr:to>
    <xdr:graphicFrame>
      <xdr:nvGraphicFramePr>
        <xdr:cNvPr id="1" name="Chart 3"/>
        <xdr:cNvGraphicFramePr/>
      </xdr:nvGraphicFramePr>
      <xdr:xfrm>
        <a:off x="4677840" y="267480"/>
        <a:ext cx="4075200" cy="3637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585360</xdr:colOff>
      <xdr:row>1</xdr:row>
      <xdr:rowOff>57960</xdr:rowOff>
    </xdr:from>
    <xdr:to>
      <xdr:col>16</xdr:col>
      <xdr:colOff>382680</xdr:colOff>
      <xdr:row>6</xdr:row>
      <xdr:rowOff>23040</xdr:rowOff>
    </xdr:to>
    <xdr:graphicFrame>
      <xdr:nvGraphicFramePr>
        <xdr:cNvPr id="2" name="Chart 4"/>
        <xdr:cNvGraphicFramePr/>
      </xdr:nvGraphicFramePr>
      <xdr:xfrm>
        <a:off x="9069480" y="267480"/>
        <a:ext cx="10224000" cy="170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</xdr:col>
      <xdr:colOff>7200</xdr:colOff>
      <xdr:row>21</xdr:row>
      <xdr:rowOff>242280</xdr:rowOff>
    </xdr:from>
    <xdr:to>
      <xdr:col>16</xdr:col>
      <xdr:colOff>325080</xdr:colOff>
      <xdr:row>37</xdr:row>
      <xdr:rowOff>86400</xdr:rowOff>
    </xdr:to>
    <xdr:graphicFrame>
      <xdr:nvGraphicFramePr>
        <xdr:cNvPr id="3" name="Chart 1"/>
        <xdr:cNvGraphicFramePr/>
      </xdr:nvGraphicFramePr>
      <xdr:xfrm>
        <a:off x="400680" y="6576120"/>
        <a:ext cx="18835200" cy="3111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</xdr:col>
      <xdr:colOff>350280</xdr:colOff>
      <xdr:row>39</xdr:row>
      <xdr:rowOff>120240</xdr:rowOff>
    </xdr:from>
    <xdr:to>
      <xdr:col>18</xdr:col>
      <xdr:colOff>10440</xdr:colOff>
      <xdr:row>56</xdr:row>
      <xdr:rowOff>168480</xdr:rowOff>
    </xdr:to>
    <xdr:graphicFrame>
      <xdr:nvGraphicFramePr>
        <xdr:cNvPr id="4" name="Gráfico 6"/>
        <xdr:cNvGraphicFramePr/>
      </xdr:nvGraphicFramePr>
      <xdr:xfrm>
        <a:off x="743760" y="10130760"/>
        <a:ext cx="18964800" cy="3458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28440</xdr:colOff>
      <xdr:row>3</xdr:row>
      <xdr:rowOff>47520</xdr:rowOff>
    </xdr:from>
    <xdr:to>
      <xdr:col>11</xdr:col>
      <xdr:colOff>570960</xdr:colOff>
      <xdr:row>15</xdr:row>
      <xdr:rowOff>132840</xdr:rowOff>
    </xdr:to>
    <xdr:graphicFrame>
      <xdr:nvGraphicFramePr>
        <xdr:cNvPr id="5" name="Gráfico 1"/>
        <xdr:cNvGraphicFramePr/>
      </xdr:nvGraphicFramePr>
      <xdr:xfrm>
        <a:off x="4749480" y="628200"/>
        <a:ext cx="5419440" cy="2552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85680</xdr:colOff>
      <xdr:row>18</xdr:row>
      <xdr:rowOff>52560</xdr:rowOff>
    </xdr:from>
    <xdr:to>
      <xdr:col>12</xdr:col>
      <xdr:colOff>1333080</xdr:colOff>
      <xdr:row>35</xdr:row>
      <xdr:rowOff>142560</xdr:rowOff>
    </xdr:to>
    <xdr:graphicFrame>
      <xdr:nvGraphicFramePr>
        <xdr:cNvPr id="6" name="Gráfico 2"/>
        <xdr:cNvGraphicFramePr/>
      </xdr:nvGraphicFramePr>
      <xdr:xfrm>
        <a:off x="1911240" y="3728880"/>
        <a:ext cx="9832320" cy="332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69120</xdr:colOff>
      <xdr:row>37</xdr:row>
      <xdr:rowOff>69120</xdr:rowOff>
    </xdr:from>
    <xdr:to>
      <xdr:col>13</xdr:col>
      <xdr:colOff>527760</xdr:colOff>
      <xdr:row>57</xdr:row>
      <xdr:rowOff>137880</xdr:rowOff>
    </xdr:to>
    <xdr:graphicFrame>
      <xdr:nvGraphicFramePr>
        <xdr:cNvPr id="7" name="Gráfico 4"/>
        <xdr:cNvGraphicFramePr/>
      </xdr:nvGraphicFramePr>
      <xdr:xfrm>
        <a:off x="1081800" y="7384320"/>
        <a:ext cx="11710800" cy="3878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eranalitica/Downloads/Planilha_de_Controle_de_Calibracao_de_Instrumentos_de_Medicao_-%20DASH%2021.05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dINS"/>
      <sheetName val="Obs Tecnicas"/>
      <sheetName val="Planilha2"/>
      <sheetName val="CCAL"/>
      <sheetName val="CINS"/>
      <sheetName val="CAL"/>
      <sheetName val="ANA"/>
      <sheetName val="AC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9" createdVersion="3">
  <cacheSource type="worksheet">
    <worksheetSource ref="A1:D10" sheet="Distritos"/>
  </cacheSource>
  <cacheFields count="4">
    <cacheField name="District" numFmtId="0">
      <sharedItems count="9">
        <s v="Araraquara (Lab)"/>
        <s v="Cotia (Laboratórios)"/>
        <s v="Heavy Industry - Fenix"/>
        <s v="Heavy Industry - Lobos"/>
        <s v="Heavy Industry - Zeus"/>
        <s v="MM CO&amp;Sul"/>
        <s v="MM S&amp;E Sud&amp;NE"/>
        <s v="MM S&amp;E Sude"/>
        <s v="Sorocaba (Laboratórios)"/>
      </sharedItems>
    </cacheField>
    <cacheField name="Qtd de equipamentos" numFmtId="0">
      <sharedItems containsSemiMixedTypes="0" containsString="0" containsNumber="1" containsInteger="1" minValue="4" maxValue="94" count="9">
        <n v="4"/>
        <n v="10"/>
        <n v="14"/>
        <n v="16"/>
        <n v="25"/>
        <n v="31"/>
        <n v="32"/>
        <n v="37"/>
        <n v="94"/>
      </sharedItems>
    </cacheField>
    <cacheField name="Calibrado" numFmtId="0">
      <sharedItems containsSemiMixedTypes="0" containsString="0" containsNumber="1" containsInteger="1" minValue="3" maxValue="86" count="9">
        <n v="3"/>
        <n v="4"/>
        <n v="11"/>
        <n v="14"/>
        <n v="24"/>
        <n v="25"/>
        <n v="29"/>
        <n v="31"/>
        <n v="86"/>
      </sharedItems>
    </cacheField>
    <cacheField name="Vencido" numFmtId="0">
      <sharedItems containsSemiMixedTypes="0" containsString="0" containsNumber="1" containsInteger="1" minValue="0" maxValue="13" count="6">
        <n v="0"/>
        <n v="3"/>
        <n v="5"/>
        <n v="7"/>
        <n v="8"/>
        <n v="13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">
  <r>
    <x v="0"/>
    <x v="0"/>
    <x v="1"/>
    <x v="0"/>
  </r>
  <r>
    <x v="1"/>
    <x v="1"/>
    <x v="0"/>
    <x v="3"/>
  </r>
  <r>
    <x v="2"/>
    <x v="5"/>
    <x v="7"/>
    <x v="0"/>
  </r>
  <r>
    <x v="3"/>
    <x v="3"/>
    <x v="2"/>
    <x v="2"/>
  </r>
  <r>
    <x v="4"/>
    <x v="8"/>
    <x v="8"/>
    <x v="4"/>
  </r>
  <r>
    <x v="5"/>
    <x v="7"/>
    <x v="4"/>
    <x v="5"/>
  </r>
  <r>
    <x v="6"/>
    <x v="6"/>
    <x v="6"/>
    <x v="1"/>
  </r>
  <r>
    <x v="7"/>
    <x v="4"/>
    <x v="5"/>
    <x v="0"/>
  </r>
  <r>
    <x v="8"/>
    <x v="2"/>
    <x v="3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Tabela dinâmica3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G1:J12" firstHeaderRow="1" firstDataRow="2" firstDataCol="1"/>
  <pivotFields count="4">
    <pivotField axis="axisRow" compact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compact="0" showAll="0"/>
    <pivotField dataField="1" compact="0" showAll="0"/>
    <pivotField dataField="1" compact="0" showAll="0"/>
  </pivotFields>
  <rowFields count="1">
    <field x="0"/>
  </rowFields>
  <colFields count="1">
    <field x="-2"/>
  </colFields>
  <dataFields count="3">
    <dataField name="Soma de Qtd de equipamentos" fld="1" subtotal="sum" numFmtId="164"/>
    <dataField name="Soma de Calibrado" fld="2" subtotal="sum" numFmtId="164"/>
    <dataField name="Soma de Vencido" fld="3" subtotal="sum" numFmtId="164"/>
  </dataFields>
  <pivotTableStyleInfo name="PivotStyleLight16" showRowHeaders="1" showColHeaders="1" showRowStripes="0" showColStripes="0" showLastColumn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luiz.silva@suez.com" TargetMode="External"/><Relationship Id="rId2" Type="http://schemas.openxmlformats.org/officeDocument/2006/relationships/hyperlink" Target="mailto:edmilson.santos@suez.com" TargetMode="External"/><Relationship Id="rId3" Type="http://schemas.openxmlformats.org/officeDocument/2006/relationships/hyperlink" Target="mailto:luiz.silva@suez.com" TargetMode="External"/><Relationship Id="rId4" Type="http://schemas.openxmlformats.org/officeDocument/2006/relationships/hyperlink" Target="mailto:edmilson.santos@suez.com" TargetMode="External"/><Relationship Id="rId5" Type="http://schemas.openxmlformats.org/officeDocument/2006/relationships/hyperlink" Target="mailto:an.santos@suez.com" TargetMode="External"/><Relationship Id="rId6" Type="http://schemas.openxmlformats.org/officeDocument/2006/relationships/hyperlink" Target="mailto:rosangela.soares@suez.com" TargetMode="External"/><Relationship Id="rId7" Type="http://schemas.openxmlformats.org/officeDocument/2006/relationships/hyperlink" Target="mailto:adalberto.diniz@suez.com" TargetMode="External"/><Relationship Id="rId8" Type="http://schemas.openxmlformats.org/officeDocument/2006/relationships/hyperlink" Target="mailto:rosangela.soares@suez.com" TargetMode="External"/><Relationship Id="rId9" Type="http://schemas.openxmlformats.org/officeDocument/2006/relationships/hyperlink" Target="mailto:adalberto.diniz@suez.com" TargetMode="External"/><Relationship Id="rId10" Type="http://schemas.openxmlformats.org/officeDocument/2006/relationships/hyperlink" Target="mailto:rosangela.soares@suez.com" TargetMode="External"/><Relationship Id="rId11" Type="http://schemas.openxmlformats.org/officeDocument/2006/relationships/hyperlink" Target="mailto:adalberto.diniz@suez.com" TargetMode="External"/><Relationship Id="rId12" Type="http://schemas.openxmlformats.org/officeDocument/2006/relationships/hyperlink" Target="mailto:rosangela.soares@suez.com" TargetMode="External"/><Relationship Id="rId13" Type="http://schemas.openxmlformats.org/officeDocument/2006/relationships/hyperlink" Target="mailto:adalberto.diniz@suez.com" TargetMode="External"/><Relationship Id="rId14" Type="http://schemas.openxmlformats.org/officeDocument/2006/relationships/hyperlink" Target="mailto:patricia.campos@suez.com" TargetMode="External"/><Relationship Id="rId15" Type="http://schemas.openxmlformats.org/officeDocument/2006/relationships/hyperlink" Target="mailto:marcelo.soto@suez.com" TargetMode="External"/><Relationship Id="rId16" Type="http://schemas.openxmlformats.org/officeDocument/2006/relationships/hyperlink" Target="mailto:patricia.campos@suez.com" TargetMode="External"/><Relationship Id="rId17" Type="http://schemas.openxmlformats.org/officeDocument/2006/relationships/hyperlink" Target="mailto:marcelo.soto@suez.com" TargetMode="External"/><Relationship Id="rId18" Type="http://schemas.openxmlformats.org/officeDocument/2006/relationships/hyperlink" Target="mailto:patricia.campos@suez.com" TargetMode="External"/><Relationship Id="rId19" Type="http://schemas.openxmlformats.org/officeDocument/2006/relationships/hyperlink" Target="mailto:marcelo.soto@suez.com" TargetMode="External"/><Relationship Id="rId20" Type="http://schemas.openxmlformats.org/officeDocument/2006/relationships/hyperlink" Target="mailto:patricia.campos@suez.com" TargetMode="External"/><Relationship Id="rId21" Type="http://schemas.openxmlformats.org/officeDocument/2006/relationships/hyperlink" Target="mailto:marcelo.soto@suez.com" TargetMode="External"/><Relationship Id="rId22" Type="http://schemas.openxmlformats.org/officeDocument/2006/relationships/hyperlink" Target="mailto:tatiana.almeida@suez.com" TargetMode="External"/><Relationship Id="rId23" Type="http://schemas.openxmlformats.org/officeDocument/2006/relationships/hyperlink" Target="mailto:marcelo.soto@suez.com" TargetMode="External"/><Relationship Id="rId24" Type="http://schemas.openxmlformats.org/officeDocument/2006/relationships/hyperlink" Target="mailto:itana.souza@suez.com" TargetMode="External"/><Relationship Id="rId25" Type="http://schemas.openxmlformats.org/officeDocument/2006/relationships/hyperlink" Target="mailto:marcelo.soto@suez.com" TargetMode="External"/><Relationship Id="rId26" Type="http://schemas.openxmlformats.org/officeDocument/2006/relationships/hyperlink" Target="mailto:itana.souza@suez.com" TargetMode="External"/><Relationship Id="rId27" Type="http://schemas.openxmlformats.org/officeDocument/2006/relationships/hyperlink" Target="mailto:itana.souza@suez.com" TargetMode="External"/><Relationship Id="rId28" Type="http://schemas.openxmlformats.org/officeDocument/2006/relationships/hyperlink" Target="mailto:marcelo.soto@suez.com" TargetMode="External"/><Relationship Id="rId29" Type="http://schemas.openxmlformats.org/officeDocument/2006/relationships/hyperlink" Target="mailto:tatiana.almeida@suez.com" TargetMode="External"/><Relationship Id="rId30" Type="http://schemas.openxmlformats.org/officeDocument/2006/relationships/hyperlink" Target="mailto:marcelo.soto@suez.com" TargetMode="External"/><Relationship Id="rId31" Type="http://schemas.openxmlformats.org/officeDocument/2006/relationships/hyperlink" Target="mailto:tatiana.almeida@suez.com" TargetMode="External"/><Relationship Id="rId32" Type="http://schemas.openxmlformats.org/officeDocument/2006/relationships/hyperlink" Target="mailto:marcelo.soto@suez.com" TargetMode="External"/><Relationship Id="rId33" Type="http://schemas.openxmlformats.org/officeDocument/2006/relationships/hyperlink" Target="mailto:itana.souza@suez.com" TargetMode="External"/><Relationship Id="rId34" Type="http://schemas.openxmlformats.org/officeDocument/2006/relationships/hyperlink" Target="mailto:marcelo.soto@suez.com" TargetMode="External"/><Relationship Id="rId35" Type="http://schemas.openxmlformats.org/officeDocument/2006/relationships/hyperlink" Target="mailto:itana.souza@suez.com" TargetMode="External"/><Relationship Id="rId36" Type="http://schemas.openxmlformats.org/officeDocument/2006/relationships/hyperlink" Target="mailto:marcelo.soto@suez.com" TargetMode="External"/><Relationship Id="rId37" Type="http://schemas.openxmlformats.org/officeDocument/2006/relationships/hyperlink" Target="mailto:tatiana.almeida@suez.com" TargetMode="External"/><Relationship Id="rId38" Type="http://schemas.openxmlformats.org/officeDocument/2006/relationships/hyperlink" Target="mailto:marcelo.soto@suez.com" TargetMode="External"/><Relationship Id="rId39" Type="http://schemas.openxmlformats.org/officeDocument/2006/relationships/hyperlink" Target="mailto:itana.souza@suez.com" TargetMode="External"/><Relationship Id="rId40" Type="http://schemas.openxmlformats.org/officeDocument/2006/relationships/hyperlink" Target="mailto:marcelo.soto@suez.com" TargetMode="External"/><Relationship Id="rId41" Type="http://schemas.openxmlformats.org/officeDocument/2006/relationships/hyperlink" Target="mailto:itana.souza@suez.com" TargetMode="External"/><Relationship Id="rId42" Type="http://schemas.openxmlformats.org/officeDocument/2006/relationships/hyperlink" Target="mailto:marcelo.soto@suez.com" TargetMode="External"/><Relationship Id="rId43" Type="http://schemas.openxmlformats.org/officeDocument/2006/relationships/hyperlink" Target="mailto:itana.souza@suez.com" TargetMode="External"/><Relationship Id="rId44" Type="http://schemas.openxmlformats.org/officeDocument/2006/relationships/hyperlink" Target="mailto:marcelo.soto@suez.com" TargetMode="External"/><Relationship Id="rId45" Type="http://schemas.openxmlformats.org/officeDocument/2006/relationships/hyperlink" Target="mailto:tatiana.almeida@suez.com" TargetMode="External"/><Relationship Id="rId46" Type="http://schemas.openxmlformats.org/officeDocument/2006/relationships/hyperlink" Target="mailto:marcelo.soto@suez.com" TargetMode="External"/><Relationship Id="rId47" Type="http://schemas.openxmlformats.org/officeDocument/2006/relationships/hyperlink" Target="mailto:tatiana.almeida@suez.com" TargetMode="External"/><Relationship Id="rId48" Type="http://schemas.openxmlformats.org/officeDocument/2006/relationships/hyperlink" Target="mailto:marcelo.soto@suez.com" TargetMode="External"/><Relationship Id="rId49" Type="http://schemas.openxmlformats.org/officeDocument/2006/relationships/hyperlink" Target="mailto:tatiana.almeida@suez.com" TargetMode="External"/><Relationship Id="rId50" Type="http://schemas.openxmlformats.org/officeDocument/2006/relationships/hyperlink" Target="mailto:marcelo.soto@suez.com" TargetMode="External"/><Relationship Id="rId51" Type="http://schemas.openxmlformats.org/officeDocument/2006/relationships/hyperlink" Target="mailto:tatiana.almeida@suez.com" TargetMode="External"/><Relationship Id="rId52" Type="http://schemas.openxmlformats.org/officeDocument/2006/relationships/hyperlink" Target="mailto:marcelo.soto@suez.com" TargetMode="External"/><Relationship Id="rId53" Type="http://schemas.openxmlformats.org/officeDocument/2006/relationships/hyperlink" Target="mailto:tatiana.almeida@suez.com" TargetMode="External"/><Relationship Id="rId54" Type="http://schemas.openxmlformats.org/officeDocument/2006/relationships/hyperlink" Target="mailto:marcelo.soto@suez.com" TargetMode="External"/><Relationship Id="rId55" Type="http://schemas.openxmlformats.org/officeDocument/2006/relationships/hyperlink" Target="mailto:anderson.souza@suez.com" TargetMode="External"/><Relationship Id="rId56" Type="http://schemas.openxmlformats.org/officeDocument/2006/relationships/hyperlink" Target="mailto:an.santos@suez.com" TargetMode="External"/><Relationship Id="rId57" Type="http://schemas.openxmlformats.org/officeDocument/2006/relationships/hyperlink" Target="mailto:anderson.souza@suez.com" TargetMode="External"/><Relationship Id="rId58" Type="http://schemas.openxmlformats.org/officeDocument/2006/relationships/hyperlink" Target="mailto:an.santos@suez.com" TargetMode="External"/><Relationship Id="rId59" Type="http://schemas.openxmlformats.org/officeDocument/2006/relationships/hyperlink" Target="mailto:anderson.souza@suez.com" TargetMode="External"/><Relationship Id="rId60" Type="http://schemas.openxmlformats.org/officeDocument/2006/relationships/hyperlink" Target="mailto:roberto.nascimento@suez.com" TargetMode="External"/><Relationship Id="rId61" Type="http://schemas.openxmlformats.org/officeDocument/2006/relationships/hyperlink" Target="mailto:osvaldo.melo@suez.com" TargetMode="External"/><Relationship Id="rId62" Type="http://schemas.openxmlformats.org/officeDocument/2006/relationships/hyperlink" Target="mailto:roberto.nascimento@suez.com" TargetMode="External"/><Relationship Id="rId63" Type="http://schemas.openxmlformats.org/officeDocument/2006/relationships/hyperlink" Target="mailto:osvaldo.melo@suez.com" TargetMode="External"/><Relationship Id="rId64" Type="http://schemas.openxmlformats.org/officeDocument/2006/relationships/hyperlink" Target="mailto:roberto.nascimento@suez.com" TargetMode="External"/><Relationship Id="rId65" Type="http://schemas.openxmlformats.org/officeDocument/2006/relationships/hyperlink" Target="mailto:osvaldo.melo@suez.com" TargetMode="External"/><Relationship Id="rId66" Type="http://schemas.openxmlformats.org/officeDocument/2006/relationships/hyperlink" Target="mailto:glaydiane.melo@suez.com" TargetMode="External"/><Relationship Id="rId67" Type="http://schemas.openxmlformats.org/officeDocument/2006/relationships/hyperlink" Target="mailto:ozeas.rufino@suez.com" TargetMode="External"/><Relationship Id="rId68" Type="http://schemas.openxmlformats.org/officeDocument/2006/relationships/hyperlink" Target="mailto:rodrigo.silva@suez.com" TargetMode="External"/><Relationship Id="rId69" Type="http://schemas.openxmlformats.org/officeDocument/2006/relationships/hyperlink" Target="mailto:ozeas.rufino@suez.com" TargetMode="External"/><Relationship Id="rId70" Type="http://schemas.openxmlformats.org/officeDocument/2006/relationships/hyperlink" Target="mailto:rodrigo.silva@suez.com" TargetMode="External"/><Relationship Id="rId71" Type="http://schemas.openxmlformats.org/officeDocument/2006/relationships/hyperlink" Target="mailto:rodrigo.silva@suez.com" TargetMode="External"/><Relationship Id="rId72" Type="http://schemas.openxmlformats.org/officeDocument/2006/relationships/hyperlink" Target="mailto:rodrigo.silva@suez.com" TargetMode="External"/><Relationship Id="rId73" Type="http://schemas.openxmlformats.org/officeDocument/2006/relationships/hyperlink" Target="mailto:rodrigo.silva@suez.com" TargetMode="External"/><Relationship Id="rId74" Type="http://schemas.openxmlformats.org/officeDocument/2006/relationships/hyperlink" Target="mailto:rodrigo.silva@suez.com" TargetMode="External"/><Relationship Id="rId75" Type="http://schemas.openxmlformats.org/officeDocument/2006/relationships/hyperlink" Target="mailto:rodrigo.silva@suez.com" TargetMode="External"/><Relationship Id="rId76" Type="http://schemas.openxmlformats.org/officeDocument/2006/relationships/hyperlink" Target="mailto:rodrigo.silva@suez.com" TargetMode="External"/><Relationship Id="rId77" Type="http://schemas.openxmlformats.org/officeDocument/2006/relationships/hyperlink" Target="mailto:ozeas.rufino@suez.com" TargetMode="External"/><Relationship Id="rId78" Type="http://schemas.openxmlformats.org/officeDocument/2006/relationships/hyperlink" Target="mailto:rodrigo.silva@suez.com" TargetMode="External"/><Relationship Id="rId79" Type="http://schemas.openxmlformats.org/officeDocument/2006/relationships/hyperlink" Target="mailto:ozeas.rufino@suez.com" TargetMode="External"/><Relationship Id="rId80" Type="http://schemas.openxmlformats.org/officeDocument/2006/relationships/hyperlink" Target="mailto:rodrigo.silva@suez.com" TargetMode="External"/><Relationship Id="rId81" Type="http://schemas.openxmlformats.org/officeDocument/2006/relationships/hyperlink" Target="mailto:isaac.pinto@suez.com" TargetMode="External"/><Relationship Id="rId82" Type="http://schemas.openxmlformats.org/officeDocument/2006/relationships/hyperlink" Target="mailto:marcelo.soto@suez.com" TargetMode="External"/><Relationship Id="rId83" Type="http://schemas.openxmlformats.org/officeDocument/2006/relationships/hyperlink" Target="mailto:gerson.miranda@suez.com" TargetMode="External"/><Relationship Id="rId84" Type="http://schemas.openxmlformats.org/officeDocument/2006/relationships/hyperlink" Target="mailto:rafael.campos@suez.com" TargetMode="External"/><Relationship Id="rId85" Type="http://schemas.openxmlformats.org/officeDocument/2006/relationships/hyperlink" Target="mailto:gerson.miranda@suez.com" TargetMode="External"/><Relationship Id="rId86" Type="http://schemas.openxmlformats.org/officeDocument/2006/relationships/hyperlink" Target="mailto:carlos.santos@suez.com" TargetMode="External"/><Relationship Id="rId87" Type="http://schemas.openxmlformats.org/officeDocument/2006/relationships/hyperlink" Target="mailto:gerson.miranda@suez.com" TargetMode="External"/><Relationship Id="rId88" Type="http://schemas.openxmlformats.org/officeDocument/2006/relationships/hyperlink" Target="mailto:carlos.santos@suez.com" TargetMode="External"/><Relationship Id="rId89" Type="http://schemas.openxmlformats.org/officeDocument/2006/relationships/hyperlink" Target="mailto:rodrigo.silva@suez.com" TargetMode="External"/><Relationship Id="rId90" Type="http://schemas.openxmlformats.org/officeDocument/2006/relationships/hyperlink" Target="mailto:rodrigo.silva@suez.com" TargetMode="External"/><Relationship Id="rId91" Type="http://schemas.openxmlformats.org/officeDocument/2006/relationships/hyperlink" Target="mailto:rodrigo.silva@suez.com" TargetMode="External"/><Relationship Id="rId92" Type="http://schemas.openxmlformats.org/officeDocument/2006/relationships/hyperlink" Target="mailto:rodrigo.silva@suez.com" TargetMode="External"/><Relationship Id="rId93" Type="http://schemas.openxmlformats.org/officeDocument/2006/relationships/hyperlink" Target="mailto:rodrigo.silva@suez.com" TargetMode="External"/><Relationship Id="rId94" Type="http://schemas.openxmlformats.org/officeDocument/2006/relationships/hyperlink" Target="mailto:thiago.morais@suez.com" TargetMode="External"/><Relationship Id="rId95" Type="http://schemas.openxmlformats.org/officeDocument/2006/relationships/hyperlink" Target="mailto:carlos.santos@suez.com" TargetMode="External"/><Relationship Id="rId96" Type="http://schemas.openxmlformats.org/officeDocument/2006/relationships/hyperlink" Target="mailto:thiago.morais@suez.com" TargetMode="External"/><Relationship Id="rId97" Type="http://schemas.openxmlformats.org/officeDocument/2006/relationships/hyperlink" Target="mailto:carlos.santos@suez.com" TargetMode="External"/><Relationship Id="rId98" Type="http://schemas.openxmlformats.org/officeDocument/2006/relationships/hyperlink" Target="mailto:thiago.morais@suez.com" TargetMode="External"/><Relationship Id="rId99" Type="http://schemas.openxmlformats.org/officeDocument/2006/relationships/hyperlink" Target="mailto:carlos.santos@suez.com" TargetMode="External"/><Relationship Id="rId100" Type="http://schemas.openxmlformats.org/officeDocument/2006/relationships/hyperlink" Target="mailto:jobson-rodrigo.silva@suez.com" TargetMode="External"/><Relationship Id="rId101" Type="http://schemas.openxmlformats.org/officeDocument/2006/relationships/hyperlink" Target="mailto:rodrigo.silva@suez.com" TargetMode="External"/><Relationship Id="rId102" Type="http://schemas.openxmlformats.org/officeDocument/2006/relationships/hyperlink" Target="mailto:glaydiane.melo@suez.com" TargetMode="External"/><Relationship Id="rId103" Type="http://schemas.openxmlformats.org/officeDocument/2006/relationships/hyperlink" Target="mailto:rodrigo.silva@suez.com" TargetMode="External"/><Relationship Id="rId104" Type="http://schemas.openxmlformats.org/officeDocument/2006/relationships/hyperlink" Target="mailto:glaydiane.melo@suez.com" TargetMode="External"/><Relationship Id="rId105" Type="http://schemas.openxmlformats.org/officeDocument/2006/relationships/hyperlink" Target="mailto:rodrigo.silva@suez.com" TargetMode="External"/><Relationship Id="rId106" Type="http://schemas.openxmlformats.org/officeDocument/2006/relationships/hyperlink" Target="mailto:aliny.nunes@suez.com" TargetMode="External"/><Relationship Id="rId107" Type="http://schemas.openxmlformats.org/officeDocument/2006/relationships/hyperlink" Target="mailto:rodrigo.silva@suez.com" TargetMode="External"/><Relationship Id="rId108" Type="http://schemas.openxmlformats.org/officeDocument/2006/relationships/hyperlink" Target="mailto:aliny.nunes@suez.com" TargetMode="External"/><Relationship Id="rId109" Type="http://schemas.openxmlformats.org/officeDocument/2006/relationships/hyperlink" Target="mailto:william.leiteromano@suez.com" TargetMode="External"/><Relationship Id="rId110" Type="http://schemas.openxmlformats.org/officeDocument/2006/relationships/hyperlink" Target="mailto:glaydiane.melo@suez.com" TargetMode="External"/><Relationship Id="rId111" Type="http://schemas.openxmlformats.org/officeDocument/2006/relationships/hyperlink" Target="mailto:william.leiteromano@suez.com" TargetMode="External"/><Relationship Id="rId112" Type="http://schemas.openxmlformats.org/officeDocument/2006/relationships/hyperlink" Target="mailto:glaydiane.melo@suez.com" TargetMode="External"/><Relationship Id="rId113" Type="http://schemas.openxmlformats.org/officeDocument/2006/relationships/hyperlink" Target="mailto:william.leiteromano@suez.com" TargetMode="External"/><Relationship Id="rId114" Type="http://schemas.openxmlformats.org/officeDocument/2006/relationships/hyperlink" Target="mailto:matheus.ferreira@suez.com" TargetMode="External"/><Relationship Id="rId115" Type="http://schemas.openxmlformats.org/officeDocument/2006/relationships/hyperlink" Target="mailto:carlos.santos@suez.com" TargetMode="External"/><Relationship Id="rId116" Type="http://schemas.openxmlformats.org/officeDocument/2006/relationships/hyperlink" Target="mailto:matheus.ferreira@suez.com" TargetMode="External"/><Relationship Id="rId117" Type="http://schemas.openxmlformats.org/officeDocument/2006/relationships/hyperlink" Target="mailto:carlos.santos@suez.com" TargetMode="External"/><Relationship Id="rId118" Type="http://schemas.openxmlformats.org/officeDocument/2006/relationships/hyperlink" Target="mailto:rodrigo.silva@suez.com" TargetMode="External"/><Relationship Id="rId119" Type="http://schemas.openxmlformats.org/officeDocument/2006/relationships/hyperlink" Target="mailto:gabriel.lourenco@suez.com" TargetMode="External"/><Relationship Id="rId120" Type="http://schemas.openxmlformats.org/officeDocument/2006/relationships/hyperlink" Target="mailto:rodrigo.silva@suez.com" TargetMode="External"/><Relationship Id="rId121" Type="http://schemas.openxmlformats.org/officeDocument/2006/relationships/hyperlink" Target="mailto:rodrigo.silva@suez.com" TargetMode="External"/><Relationship Id="rId122" Type="http://schemas.openxmlformats.org/officeDocument/2006/relationships/hyperlink" Target="mailto:rodrigo.silva@suez.com" TargetMode="External"/><Relationship Id="rId123" Type="http://schemas.openxmlformats.org/officeDocument/2006/relationships/hyperlink" Target="mailto:gabriel.lourenco@suez.com" TargetMode="External"/><Relationship Id="rId124" Type="http://schemas.openxmlformats.org/officeDocument/2006/relationships/hyperlink" Target="mailto:rodrigo.silva@suez.com" TargetMode="External"/><Relationship Id="rId125" Type="http://schemas.openxmlformats.org/officeDocument/2006/relationships/hyperlink" Target="mailto:gabriel.lourenco@suez.com" TargetMode="External"/><Relationship Id="rId126" Type="http://schemas.openxmlformats.org/officeDocument/2006/relationships/hyperlink" Target="mailto:rodrigo.silva@suez.com" TargetMode="External"/><Relationship Id="rId127" Type="http://schemas.openxmlformats.org/officeDocument/2006/relationships/hyperlink" Target="mailto:rodrigo.silva@suez.com" TargetMode="External"/><Relationship Id="rId128" Type="http://schemas.openxmlformats.org/officeDocument/2006/relationships/hyperlink" Target="mailto:rodrigo.silva@suez.com" TargetMode="External"/><Relationship Id="rId129" Type="http://schemas.openxmlformats.org/officeDocument/2006/relationships/hyperlink" Target="mailto:jose.nascimento@suez.com" TargetMode="External"/><Relationship Id="rId130" Type="http://schemas.openxmlformats.org/officeDocument/2006/relationships/hyperlink" Target="mailto:rodrigo.silva@suez.com" TargetMode="External"/><Relationship Id="rId131" Type="http://schemas.openxmlformats.org/officeDocument/2006/relationships/hyperlink" Target="mailto:rodrigo.silva@suez.com" TargetMode="External"/><Relationship Id="rId132" Type="http://schemas.openxmlformats.org/officeDocument/2006/relationships/hyperlink" Target="mailto:jose.nascimento@suez.com" TargetMode="External"/><Relationship Id="rId133" Type="http://schemas.openxmlformats.org/officeDocument/2006/relationships/hyperlink" Target="mailto:rodrigo.silva@suez.com" TargetMode="External"/><Relationship Id="rId134" Type="http://schemas.openxmlformats.org/officeDocument/2006/relationships/hyperlink" Target="mailto:jose.nascimento@suez.com" TargetMode="External"/><Relationship Id="rId135" Type="http://schemas.openxmlformats.org/officeDocument/2006/relationships/hyperlink" Target="mailto:rodrigo.silva@suez.com" TargetMode="External"/><Relationship Id="rId136" Type="http://schemas.openxmlformats.org/officeDocument/2006/relationships/hyperlink" Target="mailto:rodrigo.silva@suez.com" TargetMode="External"/><Relationship Id="rId137" Type="http://schemas.openxmlformats.org/officeDocument/2006/relationships/hyperlink" Target="mailto:rodrigo.silva@suez.com" TargetMode="External"/><Relationship Id="rId138" Type="http://schemas.openxmlformats.org/officeDocument/2006/relationships/hyperlink" Target="mailto:felipe.viegas@suez.com" TargetMode="External"/><Relationship Id="rId139" Type="http://schemas.openxmlformats.org/officeDocument/2006/relationships/hyperlink" Target="mailto:felipe.viegas@suez.com" TargetMode="External"/><Relationship Id="rId140" Type="http://schemas.openxmlformats.org/officeDocument/2006/relationships/hyperlink" Target="mailto:felipe.viegas@suez.com" TargetMode="External"/><Relationship Id="rId141" Type="http://schemas.openxmlformats.org/officeDocument/2006/relationships/hyperlink" Target="mailto:felipe.viegas@suez.com" TargetMode="External"/><Relationship Id="rId142" Type="http://schemas.openxmlformats.org/officeDocument/2006/relationships/hyperlink" Target="mailto:thiago.tomazelli@suez.com" TargetMode="External"/><Relationship Id="rId143" Type="http://schemas.openxmlformats.org/officeDocument/2006/relationships/hyperlink" Target="mailto:felipe.viegas@suez.com" TargetMode="External"/><Relationship Id="rId144" Type="http://schemas.openxmlformats.org/officeDocument/2006/relationships/hyperlink" Target="mailto:felipe.viegas@suez.com" TargetMode="External"/><Relationship Id="rId145" Type="http://schemas.openxmlformats.org/officeDocument/2006/relationships/hyperlink" Target="mailto:felipe.viegas@suez.com" TargetMode="External"/><Relationship Id="rId146" Type="http://schemas.openxmlformats.org/officeDocument/2006/relationships/hyperlink" Target="mailto:luiz.herculani@suez.com" TargetMode="External"/><Relationship Id="rId147" Type="http://schemas.openxmlformats.org/officeDocument/2006/relationships/hyperlink" Target="mailto:luiz.herculani@suez.com" TargetMode="External"/><Relationship Id="rId148" Type="http://schemas.openxmlformats.org/officeDocument/2006/relationships/hyperlink" Target="mailto:luiz.herculani@suez.com" TargetMode="External"/><Relationship Id="rId149" Type="http://schemas.openxmlformats.org/officeDocument/2006/relationships/hyperlink" Target="mailto:luiz.herculani@suez.com" TargetMode="External"/><Relationship Id="rId150" Type="http://schemas.openxmlformats.org/officeDocument/2006/relationships/hyperlink" Target="mailto:marcelo.bovolenta@suez.com" TargetMode="External"/><Relationship Id="rId151" Type="http://schemas.openxmlformats.org/officeDocument/2006/relationships/hyperlink" Target="mailto:rafael.nascimento@suez.com" TargetMode="External"/><Relationship Id="rId152" Type="http://schemas.openxmlformats.org/officeDocument/2006/relationships/hyperlink" Target="mailto:anderson.oliveira@suez.com" TargetMode="External"/><Relationship Id="rId153" Type="http://schemas.openxmlformats.org/officeDocument/2006/relationships/hyperlink" Target="mailto:adriano.ribeiro@suez.com" TargetMode="External"/><Relationship Id="rId154" Type="http://schemas.openxmlformats.org/officeDocument/2006/relationships/hyperlink" Target="mailto:anderson.oliveira@suez.com" TargetMode="External"/><Relationship Id="rId155" Type="http://schemas.openxmlformats.org/officeDocument/2006/relationships/hyperlink" Target="mailto:adriano.ribeiro@suez.com" TargetMode="External"/><Relationship Id="rId156" Type="http://schemas.openxmlformats.org/officeDocument/2006/relationships/hyperlink" Target="mailto:anderson.oliveira@suez.com" TargetMode="External"/><Relationship Id="rId157" Type="http://schemas.openxmlformats.org/officeDocument/2006/relationships/hyperlink" Target="mailto:adriano.ribeiro@suez.com" TargetMode="External"/><Relationship Id="rId158" Type="http://schemas.openxmlformats.org/officeDocument/2006/relationships/hyperlink" Target="mailto:anderson.oliveira@suez.com" TargetMode="External"/><Relationship Id="rId159" Type="http://schemas.openxmlformats.org/officeDocument/2006/relationships/hyperlink" Target="mailto:adriano.ribeiro@suez.com" TargetMode="External"/><Relationship Id="rId160" Type="http://schemas.openxmlformats.org/officeDocument/2006/relationships/hyperlink" Target="mailto:anderson.oliveira@suez.com" TargetMode="External"/><Relationship Id="rId161" Type="http://schemas.openxmlformats.org/officeDocument/2006/relationships/hyperlink" Target="mailto:adriano.ribeiro@suez.com" TargetMode="External"/><Relationship Id="rId162" Type="http://schemas.openxmlformats.org/officeDocument/2006/relationships/hyperlink" Target="mailto:anderson.oliveira@suez.com" TargetMode="External"/><Relationship Id="rId163" Type="http://schemas.openxmlformats.org/officeDocument/2006/relationships/hyperlink" Target="mailto:adriano.ribeiro@suez.com" TargetMode="External"/><Relationship Id="rId164" Type="http://schemas.openxmlformats.org/officeDocument/2006/relationships/hyperlink" Target="mailto:joseane.macena@suez.com" TargetMode="External"/><Relationship Id="rId165" Type="http://schemas.openxmlformats.org/officeDocument/2006/relationships/hyperlink" Target="mailto:joseane.macena@suez.com" TargetMode="External"/><Relationship Id="rId166" Type="http://schemas.openxmlformats.org/officeDocument/2006/relationships/hyperlink" Target="mailto:severino.silva@suez.com" TargetMode="External"/><Relationship Id="rId167" Type="http://schemas.openxmlformats.org/officeDocument/2006/relationships/hyperlink" Target="mailto:severino.silva@suez.com" TargetMode="External"/><Relationship Id="rId168" Type="http://schemas.openxmlformats.org/officeDocument/2006/relationships/hyperlink" Target="mailto:severino.silva@suez.com" TargetMode="External"/><Relationship Id="rId169" Type="http://schemas.openxmlformats.org/officeDocument/2006/relationships/hyperlink" Target="mailto:giovana.tardelli@suez.com" TargetMode="External"/><Relationship Id="rId170" Type="http://schemas.openxmlformats.org/officeDocument/2006/relationships/hyperlink" Target="mailto:giovana.tardelli@suez.com" TargetMode="External"/><Relationship Id="rId171" Type="http://schemas.openxmlformats.org/officeDocument/2006/relationships/hyperlink" Target="mailto:marcelo.soto@suez.com" TargetMode="External"/><Relationship Id="rId172" Type="http://schemas.openxmlformats.org/officeDocument/2006/relationships/hyperlink" Target="mailto:giovana.tardelli@suez.com" TargetMode="External"/><Relationship Id="rId173" Type="http://schemas.openxmlformats.org/officeDocument/2006/relationships/hyperlink" Target="mailto:giovana.tardelli@suez.com" TargetMode="External"/><Relationship Id="rId174" Type="http://schemas.openxmlformats.org/officeDocument/2006/relationships/hyperlink" Target="mailto:giovana.tardelli@suez.com" TargetMode="External"/><Relationship Id="rId175" Type="http://schemas.openxmlformats.org/officeDocument/2006/relationships/hyperlink" Target="mailto:rafael.nascimento@suez.com" TargetMode="External"/><Relationship Id="rId176" Type="http://schemas.openxmlformats.org/officeDocument/2006/relationships/hyperlink" Target="mailto:giovana.tardelli@suez.com" TargetMode="External"/><Relationship Id="rId177" Type="http://schemas.openxmlformats.org/officeDocument/2006/relationships/hyperlink" Target="mailto:rafael.nascimento@suez.com" TargetMode="External"/><Relationship Id="rId178" Type="http://schemas.openxmlformats.org/officeDocument/2006/relationships/hyperlink" Target="mailto:rafael.nascimento@suez.com" TargetMode="External"/><Relationship Id="rId179" Type="http://schemas.openxmlformats.org/officeDocument/2006/relationships/hyperlink" Target="mailto:rafael.nascimento@suez.com" TargetMode="External"/><Relationship Id="rId180" Type="http://schemas.openxmlformats.org/officeDocument/2006/relationships/hyperlink" Target="mailto:rafael.nascimento@suez.com" TargetMode="External"/><Relationship Id="rId181" Type="http://schemas.openxmlformats.org/officeDocument/2006/relationships/hyperlink" Target="mailto:rafael.nascimento@suez.com" TargetMode="External"/><Relationship Id="rId182" Type="http://schemas.openxmlformats.org/officeDocument/2006/relationships/hyperlink" Target="mailto:rafael.nascimento@suez.com" TargetMode="External"/><Relationship Id="rId183" Type="http://schemas.openxmlformats.org/officeDocument/2006/relationships/hyperlink" Target="mailto:rafael.nascimento@suez.com" TargetMode="External"/><Relationship Id="rId184" Type="http://schemas.openxmlformats.org/officeDocument/2006/relationships/hyperlink" Target="mailto:rafael.nascimento@suez.com" TargetMode="External"/><Relationship Id="rId185" Type="http://schemas.openxmlformats.org/officeDocument/2006/relationships/hyperlink" Target="mailto:rafael.nascimento@suez.com" TargetMode="External"/><Relationship Id="rId186" Type="http://schemas.openxmlformats.org/officeDocument/2006/relationships/hyperlink" Target="mailto:rafael.nascimento@suez.com" TargetMode="External"/><Relationship Id="rId187" Type="http://schemas.openxmlformats.org/officeDocument/2006/relationships/hyperlink" Target="mailto:rafael.nascimento@suez.com" TargetMode="External"/><Relationship Id="rId188" Type="http://schemas.openxmlformats.org/officeDocument/2006/relationships/hyperlink" Target="mailto:rafael.nascimento@suez.com" TargetMode="External"/><Relationship Id="rId189" Type="http://schemas.openxmlformats.org/officeDocument/2006/relationships/hyperlink" Target="mailto:rafael.nascimento@suez.com" TargetMode="External"/><Relationship Id="rId190" Type="http://schemas.openxmlformats.org/officeDocument/2006/relationships/hyperlink" Target="mailto:rafael.nascimento@suez.com" TargetMode="External"/><Relationship Id="rId191" Type="http://schemas.openxmlformats.org/officeDocument/2006/relationships/hyperlink" Target="mailto:rafael.nascimento@suez.com" TargetMode="External"/><Relationship Id="rId192" Type="http://schemas.openxmlformats.org/officeDocument/2006/relationships/hyperlink" Target="mailto:rafael.nascimento@suez.com" TargetMode="External"/><Relationship Id="rId193" Type="http://schemas.openxmlformats.org/officeDocument/2006/relationships/hyperlink" Target="mailto:rafael.nascimento@suez.com" TargetMode="External"/><Relationship Id="rId194" Type="http://schemas.openxmlformats.org/officeDocument/2006/relationships/hyperlink" Target="mailto:rafael.nascimento@suez.com" TargetMode="External"/><Relationship Id="rId195" Type="http://schemas.openxmlformats.org/officeDocument/2006/relationships/hyperlink" Target="mailto:rafael.nascimento@suez.com" TargetMode="External"/><Relationship Id="rId196" Type="http://schemas.openxmlformats.org/officeDocument/2006/relationships/hyperlink" Target="mailto:rafael.pedroso@suez.com" TargetMode="External"/><Relationship Id="rId197" Type="http://schemas.openxmlformats.org/officeDocument/2006/relationships/hyperlink" Target="mailto:leandro.zunkowski@suez.com" TargetMode="External"/><Relationship Id="rId198" Type="http://schemas.openxmlformats.org/officeDocument/2006/relationships/hyperlink" Target="mailto:rafael.pedroso@suez.com" TargetMode="External"/><Relationship Id="rId199" Type="http://schemas.openxmlformats.org/officeDocument/2006/relationships/hyperlink" Target="mailto:leandro.zunkowski@suez.com" TargetMode="External"/><Relationship Id="rId200" Type="http://schemas.openxmlformats.org/officeDocument/2006/relationships/hyperlink" Target="mailto:rafael.pedroso@suez.com" TargetMode="External"/><Relationship Id="rId201" Type="http://schemas.openxmlformats.org/officeDocument/2006/relationships/hyperlink" Target="mailto:leandro.zunkowski@suez.com" TargetMode="External"/><Relationship Id="rId202" Type="http://schemas.openxmlformats.org/officeDocument/2006/relationships/hyperlink" Target="mailto:rafael.pedroso@suez.com" TargetMode="External"/><Relationship Id="rId203" Type="http://schemas.openxmlformats.org/officeDocument/2006/relationships/hyperlink" Target="mailto:leandro.zunkowski@suez.com" TargetMode="External"/><Relationship Id="rId204" Type="http://schemas.openxmlformats.org/officeDocument/2006/relationships/hyperlink" Target="mailto:jobson-rodrigo.silva@suez.com" TargetMode="External"/><Relationship Id="rId205" Type="http://schemas.openxmlformats.org/officeDocument/2006/relationships/hyperlink" Target="mailto:ronaldo.melo@suez.com" TargetMode="External"/><Relationship Id="rId206" Type="http://schemas.openxmlformats.org/officeDocument/2006/relationships/hyperlink" Target="mailto:jobson-rodrigo.silva@suez.com" TargetMode="External"/><Relationship Id="rId207" Type="http://schemas.openxmlformats.org/officeDocument/2006/relationships/hyperlink" Target="mailto:ronaldo.melo@suez.com" TargetMode="External"/><Relationship Id="rId208" Type="http://schemas.openxmlformats.org/officeDocument/2006/relationships/hyperlink" Target="mailto:jobson-rodrigo.silva@suez.com" TargetMode="External"/><Relationship Id="rId209" Type="http://schemas.openxmlformats.org/officeDocument/2006/relationships/hyperlink" Target="mailto:ronaldo.melo@suez.com" TargetMode="External"/><Relationship Id="rId210" Type="http://schemas.openxmlformats.org/officeDocument/2006/relationships/hyperlink" Target="mailto:jobson-rodrigo.silva@suez.com" TargetMode="External"/><Relationship Id="rId211" Type="http://schemas.openxmlformats.org/officeDocument/2006/relationships/hyperlink" Target="mailto:ronaldo.melo@suez.com" TargetMode="External"/><Relationship Id="rId212" Type="http://schemas.openxmlformats.org/officeDocument/2006/relationships/hyperlink" Target="mailto:jobson-rodrigo.silva@suez.com" TargetMode="External"/><Relationship Id="rId213" Type="http://schemas.openxmlformats.org/officeDocument/2006/relationships/hyperlink" Target="mailto:ronaldo.melo@suez.com" TargetMode="External"/><Relationship Id="rId214" Type="http://schemas.openxmlformats.org/officeDocument/2006/relationships/hyperlink" Target="mailto:jobson-rodrigo.silva@suez.com" TargetMode="External"/><Relationship Id="rId215" Type="http://schemas.openxmlformats.org/officeDocument/2006/relationships/hyperlink" Target="mailto:ronaldo.melo@suez.com" TargetMode="External"/><Relationship Id="rId216" Type="http://schemas.openxmlformats.org/officeDocument/2006/relationships/hyperlink" Target="mailto:leonardo.goncalves@suez.com" TargetMode="External"/><Relationship Id="rId217" Type="http://schemas.openxmlformats.org/officeDocument/2006/relationships/hyperlink" Target="mailto:leonardo.goncalves@suez.com" TargetMode="External"/><Relationship Id="rId218" Type="http://schemas.openxmlformats.org/officeDocument/2006/relationships/hyperlink" Target="mailto:leonardo.goncalves@suez.com" TargetMode="External"/><Relationship Id="rId219" Type="http://schemas.openxmlformats.org/officeDocument/2006/relationships/hyperlink" Target="mailto:leonardo.goncalves@suez.com" TargetMode="External"/><Relationship Id="rId220" Type="http://schemas.openxmlformats.org/officeDocument/2006/relationships/hyperlink" Target="mailto:leonardo.goncalves@suez.com" TargetMode="External"/><Relationship Id="rId221" Type="http://schemas.openxmlformats.org/officeDocument/2006/relationships/hyperlink" Target="mailto:leonardo.goncalves@suez.com" TargetMode="External"/><Relationship Id="rId222" Type="http://schemas.openxmlformats.org/officeDocument/2006/relationships/hyperlink" Target="mailto:leonardo.goncalves@suez.com" TargetMode="External"/><Relationship Id="rId223" Type="http://schemas.openxmlformats.org/officeDocument/2006/relationships/hyperlink" Target="mailto:leonardo.goncalves@suez.com" TargetMode="External"/><Relationship Id="rId224" Type="http://schemas.openxmlformats.org/officeDocument/2006/relationships/hyperlink" Target="mailto:leonardo.goncalves@suez.com" TargetMode="External"/><Relationship Id="rId225" Type="http://schemas.openxmlformats.org/officeDocument/2006/relationships/hyperlink" Target="mailto:leonardo.goncalves@suez.com" TargetMode="External"/><Relationship Id="rId226" Type="http://schemas.openxmlformats.org/officeDocument/2006/relationships/hyperlink" Target="mailto:leonardo.goncalves@suez.com" TargetMode="External"/><Relationship Id="rId227" Type="http://schemas.openxmlformats.org/officeDocument/2006/relationships/hyperlink" Target="mailto:leonardo.goncalves@suez.com" TargetMode="External"/><Relationship Id="rId228" Type="http://schemas.openxmlformats.org/officeDocument/2006/relationships/hyperlink" Target="mailto:eduardo.mello@suez.com" TargetMode="External"/><Relationship Id="rId229" Type="http://schemas.openxmlformats.org/officeDocument/2006/relationships/hyperlink" Target="mailto:eduardo.mello@suez.com" TargetMode="External"/><Relationship Id="rId230" Type="http://schemas.openxmlformats.org/officeDocument/2006/relationships/hyperlink" Target="mailto:eduardo.mello@suez.com" TargetMode="External"/><Relationship Id="rId231" Type="http://schemas.openxmlformats.org/officeDocument/2006/relationships/hyperlink" Target="mailto:eduardo.mello@suez.com" TargetMode="External"/><Relationship Id="rId232" Type="http://schemas.openxmlformats.org/officeDocument/2006/relationships/hyperlink" Target="mailto:eduardo.mello@suez.com" TargetMode="External"/><Relationship Id="rId233" Type="http://schemas.openxmlformats.org/officeDocument/2006/relationships/hyperlink" Target="mailto:eduardo.mello@suez.com" TargetMode="External"/><Relationship Id="rId234" Type="http://schemas.openxmlformats.org/officeDocument/2006/relationships/hyperlink" Target="mailto:eduardo.mello@suez.com" TargetMode="External"/><Relationship Id="rId235" Type="http://schemas.openxmlformats.org/officeDocument/2006/relationships/hyperlink" Target="mailto:eduardo.mello@suez.com" TargetMode="External"/><Relationship Id="rId236" Type="http://schemas.openxmlformats.org/officeDocument/2006/relationships/hyperlink" Target="mailto:eduardo.mello@suez.com" TargetMode="External"/><Relationship Id="rId237" Type="http://schemas.openxmlformats.org/officeDocument/2006/relationships/hyperlink" Target="mailto:ronaldo.melo@suez.com" TargetMode="External"/><Relationship Id="rId238" Type="http://schemas.openxmlformats.org/officeDocument/2006/relationships/hyperlink" Target="mailto:eduardo.mello@suez.com" TargetMode="External"/><Relationship Id="rId239" Type="http://schemas.openxmlformats.org/officeDocument/2006/relationships/hyperlink" Target="mailto:ronaldo.melo@suez.com" TargetMode="External"/><Relationship Id="rId240" Type="http://schemas.openxmlformats.org/officeDocument/2006/relationships/hyperlink" Target="mailto:eduardo.mello@suez.com" TargetMode="External"/><Relationship Id="rId241" Type="http://schemas.openxmlformats.org/officeDocument/2006/relationships/hyperlink" Target="mailto:ronaldo.melo@suez.com" TargetMode="External"/><Relationship Id="rId242" Type="http://schemas.openxmlformats.org/officeDocument/2006/relationships/hyperlink" Target="mailto:fabiano.argolo@suez.com" TargetMode="External"/><Relationship Id="rId243" Type="http://schemas.openxmlformats.org/officeDocument/2006/relationships/hyperlink" Target="mailto:miguel.frug@suez.com" TargetMode="External"/><Relationship Id="rId244" Type="http://schemas.openxmlformats.org/officeDocument/2006/relationships/hyperlink" Target="mailto:luis-guillermo.freites@suez.com" TargetMode="External"/><Relationship Id="rId245" Type="http://schemas.openxmlformats.org/officeDocument/2006/relationships/hyperlink" Target="mailto:luis-guillermo.freites@suez.com" TargetMode="External"/><Relationship Id="rId246" Type="http://schemas.openxmlformats.org/officeDocument/2006/relationships/hyperlink" Target="mailto:luis-guillermo.freites@suez.com" TargetMode="External"/><Relationship Id="rId247" Type="http://schemas.openxmlformats.org/officeDocument/2006/relationships/hyperlink" Target="mailto:luis-guillermo.freites@suez.com" TargetMode="External"/><Relationship Id="rId248" Type="http://schemas.openxmlformats.org/officeDocument/2006/relationships/hyperlink" Target="mailto:thais.nunes@suez.com" TargetMode="External"/><Relationship Id="rId249" Type="http://schemas.openxmlformats.org/officeDocument/2006/relationships/hyperlink" Target="mailto:paulo.corsete@suez.com" TargetMode="External"/><Relationship Id="rId250" Type="http://schemas.openxmlformats.org/officeDocument/2006/relationships/hyperlink" Target="mailto:paulo.corsete@suez.com" TargetMode="External"/><Relationship Id="rId251" Type="http://schemas.openxmlformats.org/officeDocument/2006/relationships/hyperlink" Target="mailto:paulo.corsete@suez.com" TargetMode="External"/><Relationship Id="rId252" Type="http://schemas.openxmlformats.org/officeDocument/2006/relationships/hyperlink" Target="mailto:paulo.corsete@suez.com" TargetMode="External"/><Relationship Id="rId253" Type="http://schemas.openxmlformats.org/officeDocument/2006/relationships/hyperlink" Target="mailto:paulo.corsete@suez.com" TargetMode="External"/><Relationship Id="rId254" Type="http://schemas.openxmlformats.org/officeDocument/2006/relationships/hyperlink" Target="mailto:fernanda.kaiser@suez.com" TargetMode="External"/><Relationship Id="rId255" Type="http://schemas.openxmlformats.org/officeDocument/2006/relationships/hyperlink" Target="mailto:gabriel.lourenco@suez.com" TargetMode="External"/><Relationship Id="rId256" Type="http://schemas.openxmlformats.org/officeDocument/2006/relationships/hyperlink" Target="mailto:fernanda.kaiser@suez.com" TargetMode="External"/><Relationship Id="rId257" Type="http://schemas.openxmlformats.org/officeDocument/2006/relationships/hyperlink" Target="mailto:fernanda.kaiser@suez.com" TargetMode="External"/><Relationship Id="rId258" Type="http://schemas.openxmlformats.org/officeDocument/2006/relationships/hyperlink" Target="mailto:fernanda.kaiser@suez.com" TargetMode="External"/><Relationship Id="rId259" Type="http://schemas.openxmlformats.org/officeDocument/2006/relationships/hyperlink" Target="mailto:fernanda.kaiser@suez.com" TargetMode="External"/><Relationship Id="rId260" Type="http://schemas.openxmlformats.org/officeDocument/2006/relationships/hyperlink" Target="mailto:fernanda.kaiser@suez.com" TargetMode="External"/><Relationship Id="rId261" Type="http://schemas.openxmlformats.org/officeDocument/2006/relationships/hyperlink" Target="mailto:fernanda.kaiser@suez.com" TargetMode="External"/><Relationship Id="rId262" Type="http://schemas.openxmlformats.org/officeDocument/2006/relationships/hyperlink" Target="mailto:deivid.elias@suez.com" TargetMode="External"/><Relationship Id="rId263" Type="http://schemas.openxmlformats.org/officeDocument/2006/relationships/hyperlink" Target="mailto:karla.perin@suez.com" TargetMode="External"/><Relationship Id="rId264" Type="http://schemas.openxmlformats.org/officeDocument/2006/relationships/hyperlink" Target="mailto:karla.perin@suez.com" TargetMode="External"/><Relationship Id="rId265" Type="http://schemas.openxmlformats.org/officeDocument/2006/relationships/hyperlink" Target="mailto:karla.perin@suez.com" TargetMode="External"/><Relationship Id="rId266" Type="http://schemas.openxmlformats.org/officeDocument/2006/relationships/hyperlink" Target="mailto:deivid.elias@suez.com" TargetMode="External"/><Relationship Id="rId267" Type="http://schemas.openxmlformats.org/officeDocument/2006/relationships/hyperlink" Target="mailto:karla.perin@suez.com" TargetMode="External"/><Relationship Id="rId268" Type="http://schemas.openxmlformats.org/officeDocument/2006/relationships/hyperlink" Target="mailto:deivid.elias@suez.com" TargetMode="External"/><Relationship Id="rId269" Type="http://schemas.openxmlformats.org/officeDocument/2006/relationships/hyperlink" Target="mailto:karla.perin@suez.com" TargetMode="External"/><Relationship Id="rId270" Type="http://schemas.openxmlformats.org/officeDocument/2006/relationships/hyperlink" Target="mailto:deivid.elias@suez.com" TargetMode="External"/><Relationship Id="rId271" Type="http://schemas.openxmlformats.org/officeDocument/2006/relationships/hyperlink" Target="mailto:karla.perin@suez.com" TargetMode="External"/><Relationship Id="rId272" Type="http://schemas.openxmlformats.org/officeDocument/2006/relationships/hyperlink" Target="mailto:luiz.silva@suez.com" TargetMode="External"/><Relationship Id="rId273" Type="http://schemas.openxmlformats.org/officeDocument/2006/relationships/hyperlink" Target="mailto:luiz.silva@suez.com" TargetMode="External"/><Relationship Id="rId274" Type="http://schemas.openxmlformats.org/officeDocument/2006/relationships/hyperlink" Target="mailto:matheus.bahr@suez.com" TargetMode="External"/><Relationship Id="rId275" Type="http://schemas.openxmlformats.org/officeDocument/2006/relationships/hyperlink" Target="mailto:rafael.nascimento@suez.com" TargetMode="External"/><Relationship Id="rId276" Type="http://schemas.openxmlformats.org/officeDocument/2006/relationships/hyperlink" Target="mailto:ronaldo.melo@suez.com" TargetMode="External"/><Relationship Id="rId277" Type="http://schemas.openxmlformats.org/officeDocument/2006/relationships/hyperlink" Target="mailto:ronaldo.melo@suez.com" TargetMode="External"/><Relationship Id="rId278" Type="http://schemas.openxmlformats.org/officeDocument/2006/relationships/hyperlink" Target="mailto:ronaldo.melo@suez.com" TargetMode="External"/><Relationship Id="rId279" Type="http://schemas.openxmlformats.org/officeDocument/2006/relationships/hyperlink" Target="mailto:matheus.bahr@suez.com" TargetMode="External"/><Relationship Id="rId280" Type="http://schemas.openxmlformats.org/officeDocument/2006/relationships/hyperlink" Target="mailto:ronaldo.melo@suez.com" TargetMode="External"/><Relationship Id="rId281" Type="http://schemas.openxmlformats.org/officeDocument/2006/relationships/hyperlink" Target="mailto:thiago.ferreiradasilva@suez.com" TargetMode="External"/><Relationship Id="rId282" Type="http://schemas.openxmlformats.org/officeDocument/2006/relationships/hyperlink" Target="mailto:ronaldo.melo@suez.com" TargetMode="External"/><Relationship Id="rId283" Type="http://schemas.openxmlformats.org/officeDocument/2006/relationships/hyperlink" Target="mailto:thiago.ferreiradasilva@suez.com" TargetMode="External"/><Relationship Id="rId284" Type="http://schemas.openxmlformats.org/officeDocument/2006/relationships/hyperlink" Target="mailto:ronaldo.melo@suez.com" TargetMode="External"/><Relationship Id="rId285" Type="http://schemas.openxmlformats.org/officeDocument/2006/relationships/hyperlink" Target="mailto:eduardo.zotto@suez.com" TargetMode="External"/><Relationship Id="rId286" Type="http://schemas.openxmlformats.org/officeDocument/2006/relationships/hyperlink" Target="mailto:ronaldo.melo@suez.com" TargetMode="External"/><Relationship Id="rId287" Type="http://schemas.openxmlformats.org/officeDocument/2006/relationships/hyperlink" Target="mailto:ronaldo.melo@suez.com" TargetMode="External"/><Relationship Id="rId288" Type="http://schemas.openxmlformats.org/officeDocument/2006/relationships/hyperlink" Target="mailto:vinicius.paula@suez.com" TargetMode="External"/><Relationship Id="rId289" Type="http://schemas.openxmlformats.org/officeDocument/2006/relationships/hyperlink" Target="mailto:rafaela.gomes@suez.com" TargetMode="External"/><Relationship Id="rId290" Type="http://schemas.openxmlformats.org/officeDocument/2006/relationships/hyperlink" Target="mailto:vinicius.paula@suez.com" TargetMode="External"/><Relationship Id="rId291" Type="http://schemas.openxmlformats.org/officeDocument/2006/relationships/hyperlink" Target="mailto:vinicius.paula@suez.com" TargetMode="External"/><Relationship Id="rId292" Type="http://schemas.openxmlformats.org/officeDocument/2006/relationships/hyperlink" Target="mailto:sonia.jesus@suez.com" TargetMode="External"/><Relationship Id="rId293" Type="http://schemas.openxmlformats.org/officeDocument/2006/relationships/hyperlink" Target="mailto:daniel.atala@suez.com" TargetMode="External"/><Relationship Id="rId294" Type="http://schemas.openxmlformats.org/officeDocument/2006/relationships/hyperlink" Target="mailto:ronaldo.melo@suez.com" TargetMode="External"/><Relationship Id="rId295" Type="http://schemas.openxmlformats.org/officeDocument/2006/relationships/hyperlink" Target="mailto:natalia.correa@suez.com" TargetMode="External"/><Relationship Id="rId296" Type="http://schemas.openxmlformats.org/officeDocument/2006/relationships/hyperlink" Target="mailto:rafael.campos@suez.com" TargetMode="External"/><Relationship Id="rId297" Type="http://schemas.openxmlformats.org/officeDocument/2006/relationships/hyperlink" Target="mailto:natalia.correa@suez.com" TargetMode="External"/><Relationship Id="rId298" Type="http://schemas.openxmlformats.org/officeDocument/2006/relationships/hyperlink" Target="mailto:rafael.campos@suez.com" TargetMode="External"/><Relationship Id="rId299" Type="http://schemas.openxmlformats.org/officeDocument/2006/relationships/hyperlink" Target="mailto:sonia.jesus@suez.com" TargetMode="External"/><Relationship Id="rId300" Type="http://schemas.openxmlformats.org/officeDocument/2006/relationships/hyperlink" Target="mailto:flaminio.neto@suez.com" TargetMode="External"/><Relationship Id="rId301" Type="http://schemas.openxmlformats.org/officeDocument/2006/relationships/hyperlink" Target="mailto:rafael.campos@suez.com" TargetMode="External"/><Relationship Id="rId302" Type="http://schemas.openxmlformats.org/officeDocument/2006/relationships/hyperlink" Target="mailto:flaminio.neto@suez.com" TargetMode="External"/><Relationship Id="rId303" Type="http://schemas.openxmlformats.org/officeDocument/2006/relationships/hyperlink" Target="mailto:flaminio.neto@suez.com" TargetMode="External"/><Relationship Id="rId304" Type="http://schemas.openxmlformats.org/officeDocument/2006/relationships/hyperlink" Target="mailto:rafael.campos@suez.com" TargetMode="External"/><Relationship Id="rId305" Type="http://schemas.openxmlformats.org/officeDocument/2006/relationships/hyperlink" Target="mailto:flaminio.neto@suez.com" TargetMode="External"/><Relationship Id="rId306" Type="http://schemas.openxmlformats.org/officeDocument/2006/relationships/hyperlink" Target="mailto:an.santos@suez.com" TargetMode="External"/><Relationship Id="rId307" Type="http://schemas.openxmlformats.org/officeDocument/2006/relationships/hyperlink" Target="mailto:natalia.correa@suez.com" TargetMode="External"/><Relationship Id="rId308" Type="http://schemas.openxmlformats.org/officeDocument/2006/relationships/hyperlink" Target="mailto:rafael.campos@suez.com" TargetMode="External"/><Relationship Id="rId309" Type="http://schemas.openxmlformats.org/officeDocument/2006/relationships/hyperlink" Target="mailto:raul.oliveira@suez.com" TargetMode="External"/><Relationship Id="rId310" Type="http://schemas.openxmlformats.org/officeDocument/2006/relationships/hyperlink" Target="mailto:raul.oliveira@suez.com" TargetMode="External"/><Relationship Id="rId311" Type="http://schemas.openxmlformats.org/officeDocument/2006/relationships/hyperlink" Target="mailto:an.santos@suez.com" TargetMode="External"/><Relationship Id="rId312" Type="http://schemas.openxmlformats.org/officeDocument/2006/relationships/hyperlink" Target="mailto:rafael.campos@suez.com" TargetMode="External"/><Relationship Id="rId313" Type="http://schemas.openxmlformats.org/officeDocument/2006/relationships/hyperlink" Target="mailto:braulio.herrera@suez.com" TargetMode="External"/><Relationship Id="rId314" Type="http://schemas.openxmlformats.org/officeDocument/2006/relationships/hyperlink" Target="mailto:braulio.herrera@suez.com" TargetMode="External"/><Relationship Id="rId315" Type="http://schemas.openxmlformats.org/officeDocument/2006/relationships/hyperlink" Target="mailto:an.santos@suez.com" TargetMode="External"/><Relationship Id="rId316" Type="http://schemas.openxmlformats.org/officeDocument/2006/relationships/hyperlink" Target="mailto:an.santos@suez.com" TargetMode="External"/><Relationship Id="rId317" Type="http://schemas.openxmlformats.org/officeDocument/2006/relationships/hyperlink" Target="mailto:braulio.herrera@suez.com" TargetMode="External"/><Relationship Id="rId318" Type="http://schemas.openxmlformats.org/officeDocument/2006/relationships/hyperlink" Target="mailto:braulio.herrera@suez.com" TargetMode="External"/><Relationship Id="rId319" Type="http://schemas.openxmlformats.org/officeDocument/2006/relationships/hyperlink" Target="mailto:an.santos@suez.com" TargetMode="External"/><Relationship Id="rId320" Type="http://schemas.openxmlformats.org/officeDocument/2006/relationships/hyperlink" Target="mailto:braulio.herrera@suez.com" TargetMode="External"/><Relationship Id="rId321" Type="http://schemas.openxmlformats.org/officeDocument/2006/relationships/hyperlink" Target="mailto:braulio.herrera@suez.com" TargetMode="External"/><Relationship Id="rId322" Type="http://schemas.openxmlformats.org/officeDocument/2006/relationships/hyperlink" Target="mailto:rafael.campos@suez.com" TargetMode="External"/><Relationship Id="rId323" Type="http://schemas.openxmlformats.org/officeDocument/2006/relationships/hyperlink" Target="mailto:an.santos@suez.com" TargetMode="External"/><Relationship Id="rId324" Type="http://schemas.openxmlformats.org/officeDocument/2006/relationships/hyperlink" Target="mailto:kleber.silva@suez.com" TargetMode="External"/><Relationship Id="rId325" Type="http://schemas.openxmlformats.org/officeDocument/2006/relationships/hyperlink" Target="mailto:kleber.silva@suez.com" TargetMode="External"/><Relationship Id="rId326" Type="http://schemas.openxmlformats.org/officeDocument/2006/relationships/hyperlink" Target="mailto:kleber.silva@suez.com" TargetMode="External"/><Relationship Id="rId327" Type="http://schemas.openxmlformats.org/officeDocument/2006/relationships/hyperlink" Target="mailto:kleber.silva@suez.com" TargetMode="External"/><Relationship Id="rId328" Type="http://schemas.openxmlformats.org/officeDocument/2006/relationships/hyperlink" Target="mailto:kleber.silva@suez.com" TargetMode="External"/><Relationship Id="rId329" Type="http://schemas.openxmlformats.org/officeDocument/2006/relationships/hyperlink" Target="mailto:kleber.silva@suez.com" TargetMode="External"/><Relationship Id="rId330" Type="http://schemas.openxmlformats.org/officeDocument/2006/relationships/hyperlink" Target="mailto:caio.tascano@suez.com" TargetMode="External"/><Relationship Id="rId331" Type="http://schemas.openxmlformats.org/officeDocument/2006/relationships/hyperlink" Target="mailto:an.santos@suez.com" TargetMode="External"/><Relationship Id="rId332" Type="http://schemas.openxmlformats.org/officeDocument/2006/relationships/hyperlink" Target="mailto:caio.tascano@suez.com" TargetMode="External"/><Relationship Id="rId333" Type="http://schemas.openxmlformats.org/officeDocument/2006/relationships/hyperlink" Target="mailto:rafael.campos@suez.com" TargetMode="External"/><Relationship Id="rId334" Type="http://schemas.openxmlformats.org/officeDocument/2006/relationships/hyperlink" Target="mailto:leonardo.goncalves@suez.com" TargetMode="External"/><Relationship Id="rId335" Type="http://schemas.openxmlformats.org/officeDocument/2006/relationships/hyperlink" Target="mailto:leonardo.goncalves@suez.com" TargetMode="External"/><Relationship Id="rId336" Type="http://schemas.openxmlformats.org/officeDocument/2006/relationships/hyperlink" Target="mailto:rafael.campos@suez.com" TargetMode="External"/><Relationship Id="rId337" Type="http://schemas.openxmlformats.org/officeDocument/2006/relationships/hyperlink" Target="mailto:rafael.campos@suez.com" TargetMode="External"/><Relationship Id="rId338" Type="http://schemas.openxmlformats.org/officeDocument/2006/relationships/hyperlink" Target="mailto:rafael.campos@suez.com" TargetMode="External"/><Relationship Id="rId339" Type="http://schemas.openxmlformats.org/officeDocument/2006/relationships/hyperlink" Target="mailto:rubens.giglioli@suez.com" TargetMode="External"/><Relationship Id="rId340" Type="http://schemas.openxmlformats.org/officeDocument/2006/relationships/hyperlink" Target="mailto:thiago.garcia@suez.com" TargetMode="External"/><Relationship Id="rId341" Type="http://schemas.openxmlformats.org/officeDocument/2006/relationships/hyperlink" Target="mailto:thiago.garcia@suez.com" TargetMode="External"/><Relationship Id="rId342" Type="http://schemas.openxmlformats.org/officeDocument/2006/relationships/hyperlink" Target="mailto:thiago.garcia@suez.com" TargetMode="External"/><Relationship Id="rId343" Type="http://schemas.openxmlformats.org/officeDocument/2006/relationships/hyperlink" Target="mailto:renato.chialastri@suez.com" TargetMode="External"/><Relationship Id="rId344" Type="http://schemas.openxmlformats.org/officeDocument/2006/relationships/hyperlink" Target="mailto:marcelo.bovolenta@suez.com" TargetMode="External"/><Relationship Id="rId345" Type="http://schemas.openxmlformats.org/officeDocument/2006/relationships/hyperlink" Target="mailto:renato.chialastri@suez.com" TargetMode="External"/><Relationship Id="rId346" Type="http://schemas.openxmlformats.org/officeDocument/2006/relationships/hyperlink" Target="mailto:marcelo.bovolenta@suez.com" TargetMode="External"/><Relationship Id="rId347" Type="http://schemas.openxmlformats.org/officeDocument/2006/relationships/hyperlink" Target="mailto:rafael.nascimento@suez.com" TargetMode="External"/><Relationship Id="rId348" Type="http://schemas.openxmlformats.org/officeDocument/2006/relationships/hyperlink" Target="mailto:marcelo.bovolenta@suez.com" TargetMode="External"/><Relationship Id="rId349" Type="http://schemas.openxmlformats.org/officeDocument/2006/relationships/hyperlink" Target="mailto:rafael.nascimento@suez.com" TargetMode="External"/><Relationship Id="rId350" Type="http://schemas.openxmlformats.org/officeDocument/2006/relationships/hyperlink" Target="mailto:marcelo.bovolenta@suez.com" TargetMode="External"/><Relationship Id="rId351" Type="http://schemas.openxmlformats.org/officeDocument/2006/relationships/hyperlink" Target="mailto:rafael.nascimento@suez.com" TargetMode="External"/><Relationship Id="rId352" Type="http://schemas.openxmlformats.org/officeDocument/2006/relationships/hyperlink" Target="mailto:marcelo.bovolenta@suez.com" TargetMode="External"/><Relationship Id="rId353" Type="http://schemas.openxmlformats.org/officeDocument/2006/relationships/hyperlink" Target="mailto:rafael.nascimento@suez.com" TargetMode="External"/><Relationship Id="rId354" Type="http://schemas.openxmlformats.org/officeDocument/2006/relationships/hyperlink" Target="mailto:ulisses.sibia@suez.com" TargetMode="External"/><Relationship Id="rId355" Type="http://schemas.openxmlformats.org/officeDocument/2006/relationships/hyperlink" Target="mailto:renato.chialastri@suez.com" TargetMode="External"/><Relationship Id="rId356" Type="http://schemas.openxmlformats.org/officeDocument/2006/relationships/hyperlink" Target="mailto:ulisses.sibia@suez.com" TargetMode="External"/><Relationship Id="rId357" Type="http://schemas.openxmlformats.org/officeDocument/2006/relationships/hyperlink" Target="mailto:everton.delturqui@suez.com" TargetMode="External"/><Relationship Id="rId358" Type="http://schemas.openxmlformats.org/officeDocument/2006/relationships/hyperlink" Target="mailto:everton.delturqui@suez.com" TargetMode="External"/><Relationship Id="rId359" Type="http://schemas.openxmlformats.org/officeDocument/2006/relationships/hyperlink" Target="mailto:everton.delturqui@suez.com" TargetMode="External"/><Relationship Id="rId360" Type="http://schemas.openxmlformats.org/officeDocument/2006/relationships/hyperlink" Target="mailto:everton.delturqui@suez.com" TargetMode="External"/><Relationship Id="rId361" Type="http://schemas.openxmlformats.org/officeDocument/2006/relationships/hyperlink" Target="mailto:rodrigo.amaro@suez.com" TargetMode="External"/><Relationship Id="rId362" Type="http://schemas.openxmlformats.org/officeDocument/2006/relationships/hyperlink" Target="mailto:everton.delturqui@suez.com" TargetMode="External"/><Relationship Id="rId363" Type="http://schemas.openxmlformats.org/officeDocument/2006/relationships/hyperlink" Target="mailto:lucas.munhoz@suez.com" TargetMode="External"/><Relationship Id="rId364" Type="http://schemas.openxmlformats.org/officeDocument/2006/relationships/hyperlink" Target="mailto:amadeu.peixoto@suez.com" TargetMode="External"/><Relationship Id="rId365" Type="http://schemas.openxmlformats.org/officeDocument/2006/relationships/hyperlink" Target="mailto:lucas.munhoz@suez.com" TargetMode="External"/><Relationship Id="rId366" Type="http://schemas.openxmlformats.org/officeDocument/2006/relationships/hyperlink" Target="mailto:amadeu.peixoto@suez.com" TargetMode="External"/><Relationship Id="rId367" Type="http://schemas.openxmlformats.org/officeDocument/2006/relationships/hyperlink" Target="mailto:lucas.munhoz@suez.com" TargetMode="External"/><Relationship Id="rId368" Type="http://schemas.openxmlformats.org/officeDocument/2006/relationships/hyperlink" Target="mailto:amadeu.peixoto@suez.com" TargetMode="External"/><Relationship Id="rId369" Type="http://schemas.openxmlformats.org/officeDocument/2006/relationships/hyperlink" Target="mailto:lucas.munhoz@suez.com" TargetMode="External"/><Relationship Id="rId370" Type="http://schemas.openxmlformats.org/officeDocument/2006/relationships/hyperlink" Target="mailto:amadeu.peixoto@suez.com" TargetMode="External"/><Relationship Id="rId371" Type="http://schemas.openxmlformats.org/officeDocument/2006/relationships/hyperlink" Target="mailto:renato.chialastri@suez.com" TargetMode="External"/><Relationship Id="rId372" Type="http://schemas.openxmlformats.org/officeDocument/2006/relationships/hyperlink" Target="mailto:amadeu.peixoto@suez.com" TargetMode="External"/><Relationship Id="rId373" Type="http://schemas.openxmlformats.org/officeDocument/2006/relationships/hyperlink" Target="mailto:bianca.dossantos@suez.com" TargetMode="External"/><Relationship Id="rId374" Type="http://schemas.openxmlformats.org/officeDocument/2006/relationships/hyperlink" Target="mailto:felipe.rokicki@suez.com" TargetMode="External"/><Relationship Id="rId375" Type="http://schemas.openxmlformats.org/officeDocument/2006/relationships/hyperlink" Target="mailto:fabio.morais@suez.com" TargetMode="External"/><Relationship Id="rId376" Type="http://schemas.openxmlformats.org/officeDocument/2006/relationships/hyperlink" Target="mailto:felipe.rokicki@suez.com" TargetMode="External"/><Relationship Id="rId377" Type="http://schemas.openxmlformats.org/officeDocument/2006/relationships/hyperlink" Target="mailto:fabio.morais@suez.com" TargetMode="External"/><Relationship Id="rId378" Type="http://schemas.openxmlformats.org/officeDocument/2006/relationships/hyperlink" Target="mailto:felipe.rokicki@suez.com" TargetMode="External"/><Relationship Id="rId379" Type="http://schemas.openxmlformats.org/officeDocument/2006/relationships/hyperlink" Target="mailto:fabio.morais@suez.com" TargetMode="External"/><Relationship Id="rId380" Type="http://schemas.openxmlformats.org/officeDocument/2006/relationships/hyperlink" Target="mailto:felipe.rokicki@suez.com" TargetMode="External"/><Relationship Id="rId381" Type="http://schemas.openxmlformats.org/officeDocument/2006/relationships/hyperlink" Target="mailto:fabio.morais@suez.com" TargetMode="External"/><Relationship Id="rId382" Type="http://schemas.openxmlformats.org/officeDocument/2006/relationships/hyperlink" Target="mailto:felipe.rokicki@suez.com" TargetMode="External"/><Relationship Id="rId383" Type="http://schemas.openxmlformats.org/officeDocument/2006/relationships/hyperlink" Target="mailto:fabio.morais@suez.com" TargetMode="External"/><Relationship Id="rId384" Type="http://schemas.openxmlformats.org/officeDocument/2006/relationships/hyperlink" Target="mailto:felipe.rokicki@suez.com" TargetMode="External"/><Relationship Id="rId385" Type="http://schemas.openxmlformats.org/officeDocument/2006/relationships/hyperlink" Target="mailto:fabio.morais@suez.com" TargetMode="External"/><Relationship Id="rId386" Type="http://schemas.openxmlformats.org/officeDocument/2006/relationships/hyperlink" Target="mailto:felipe.rokicki@suez.com" TargetMode="External"/><Relationship Id="rId387" Type="http://schemas.openxmlformats.org/officeDocument/2006/relationships/hyperlink" Target="mailto:amanda.mendes@suez.com" TargetMode="External"/><Relationship Id="rId388" Type="http://schemas.openxmlformats.org/officeDocument/2006/relationships/hyperlink" Target="mailto:rony.funes@suez.com" TargetMode="External"/><Relationship Id="rId389" Type="http://schemas.openxmlformats.org/officeDocument/2006/relationships/hyperlink" Target="mailto:thiago.ferreiradasilva@suez.com" TargetMode="External"/><Relationship Id="rId390" Type="http://schemas.openxmlformats.org/officeDocument/2006/relationships/hyperlink" Target="mailto:thiago.ferreiradasilva@suez.com" TargetMode="External"/><Relationship Id="rId391" Type="http://schemas.openxmlformats.org/officeDocument/2006/relationships/hyperlink" Target="mailto:thiago.ferreiradasilva@suez.com" TargetMode="External"/><Relationship Id="rId392" Type="http://schemas.openxmlformats.org/officeDocument/2006/relationships/hyperlink" Target="mailto:romildo.goncalves@suez.com" TargetMode="External"/><Relationship Id="rId393" Type="http://schemas.openxmlformats.org/officeDocument/2006/relationships/hyperlink" Target="mailto:amadeu.peixoto@suez.com" TargetMode="External"/><Relationship Id="rId394" Type="http://schemas.openxmlformats.org/officeDocument/2006/relationships/hyperlink" Target="mailto:lucas.munhoz@suez.com" TargetMode="External"/><Relationship Id="rId395" Type="http://schemas.openxmlformats.org/officeDocument/2006/relationships/hyperlink" Target="mailto:amadeu.peixoto@suez.com" TargetMode="External"/><Relationship Id="rId396" Type="http://schemas.openxmlformats.org/officeDocument/2006/relationships/hyperlink" Target="mailto:clovis.oliveira@suez.com" TargetMode="External"/><Relationship Id="rId397" Type="http://schemas.openxmlformats.org/officeDocument/2006/relationships/hyperlink" Target="mailto:davi.santos@suez.com" TargetMode="External"/><Relationship Id="rId398" Type="http://schemas.openxmlformats.org/officeDocument/2006/relationships/hyperlink" Target="mailto:hugo.cavalcante@suez.com" TargetMode="External"/><Relationship Id="rId399" Type="http://schemas.openxmlformats.org/officeDocument/2006/relationships/hyperlink" Target="mailto:davi.santos@suez.com" TargetMode="External"/><Relationship Id="rId400" Type="http://schemas.openxmlformats.org/officeDocument/2006/relationships/hyperlink" Target="mailto:clovis.oliveira@suez.com" TargetMode="External"/><Relationship Id="rId401" Type="http://schemas.openxmlformats.org/officeDocument/2006/relationships/hyperlink" Target="mailto:clovis.oliveira@suez.com" TargetMode="External"/><Relationship Id="rId402" Type="http://schemas.openxmlformats.org/officeDocument/2006/relationships/hyperlink" Target="mailto:clovis.oliveira@suez.com" TargetMode="External"/><Relationship Id="rId403" Type="http://schemas.openxmlformats.org/officeDocument/2006/relationships/hyperlink" Target="mailto:davi.santos@suez.com" TargetMode="External"/><Relationship Id="rId404" Type="http://schemas.openxmlformats.org/officeDocument/2006/relationships/hyperlink" Target="mailto:giovana.tardelli@suez.com" TargetMode="External"/><Relationship Id="rId405" Type="http://schemas.openxmlformats.org/officeDocument/2006/relationships/hyperlink" Target="mailto:ana.oliveira@suez.com" TargetMode="External"/><Relationship Id="rId406" Type="http://schemas.openxmlformats.org/officeDocument/2006/relationships/hyperlink" Target="mailto:ana.oliveira@suez.com" TargetMode="External"/><Relationship Id="rId407" Type="http://schemas.openxmlformats.org/officeDocument/2006/relationships/hyperlink" Target="mailto:giovana.tardelli@suez.com" TargetMode="External"/><Relationship Id="rId408" Type="http://schemas.openxmlformats.org/officeDocument/2006/relationships/hyperlink" Target="mailto:ana.oliveira@suez.com" TargetMode="External"/><Relationship Id="rId409" Type="http://schemas.openxmlformats.org/officeDocument/2006/relationships/hyperlink" Target="mailto:humberto.junior@suez.com" TargetMode="External"/><Relationship Id="rId410" Type="http://schemas.openxmlformats.org/officeDocument/2006/relationships/hyperlink" Target="mailto:gustavo.pereira@suez.com" TargetMode="External"/><Relationship Id="rId41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an.santos@suez.com" TargetMode="External"/><Relationship Id="rId2" Type="http://schemas.openxmlformats.org/officeDocument/2006/relationships/hyperlink" Target="mailto:rafael.nascimento@suez.com" TargetMode="External"/><Relationship Id="rId3" Type="http://schemas.openxmlformats.org/officeDocument/2006/relationships/hyperlink" Target="mailto:rafael.nascimento@suez.com" TargetMode="External"/><Relationship Id="rId4" Type="http://schemas.openxmlformats.org/officeDocument/2006/relationships/hyperlink" Target="mailto:natalia.correa@suez.com" TargetMode="External"/><Relationship Id="rId5" Type="http://schemas.openxmlformats.org/officeDocument/2006/relationships/hyperlink" Target="mailto:renato.chialastri@suez.com" TargetMode="External"/><Relationship Id="rId6" Type="http://schemas.openxmlformats.org/officeDocument/2006/relationships/hyperlink" Target="mailto:glauber.ruiz@suez.com" TargetMode="External"/><Relationship Id="rId7" Type="http://schemas.openxmlformats.org/officeDocument/2006/relationships/hyperlink" Target="mailto:leandro.zunkowski@suez.com" TargetMode="External"/><Relationship Id="rId8" Type="http://schemas.openxmlformats.org/officeDocument/2006/relationships/hyperlink" Target="mailto:amadeu.peixoto@suez.com" TargetMode="External"/><Relationship Id="rId9" Type="http://schemas.openxmlformats.org/officeDocument/2006/relationships/hyperlink" Target="mailto:larissa.silva@suez.com" TargetMode="External"/><Relationship Id="rId10" Type="http://schemas.openxmlformats.org/officeDocument/2006/relationships/hyperlink" Target="mailto:amadeu.peixoto@suez.com" TargetMode="External"/><Relationship Id="rId11" Type="http://schemas.openxmlformats.org/officeDocument/2006/relationships/hyperlink" Target="mailto:rafaela.gomes@suez.com" TargetMode="External"/><Relationship Id="rId12" Type="http://schemas.openxmlformats.org/officeDocument/2006/relationships/hyperlink" Target="mailto:amadeu.peixoto@suez.com" TargetMode="External"/><Relationship Id="rId13" Type="http://schemas.openxmlformats.org/officeDocument/2006/relationships/hyperlink" Target="mailto:matheus.bahr@suez.com" TargetMode="External"/><Relationship Id="rId14" Type="http://schemas.openxmlformats.org/officeDocument/2006/relationships/hyperlink" Target="mailto:rafael.nascimento@suez.com" TargetMode="External"/><Relationship Id="rId15" Type="http://schemas.openxmlformats.org/officeDocument/2006/relationships/hyperlink" Target="mailto:matheus.bahr@suez.com" TargetMode="External"/><Relationship Id="rId16" Type="http://schemas.openxmlformats.org/officeDocument/2006/relationships/hyperlink" Target="mailto:marcelo.soto@suez.com" TargetMode="External"/><Relationship Id="rId17" Type="http://schemas.openxmlformats.org/officeDocument/2006/relationships/hyperlink" Target="mailto:thiago.tomazelli@suez.com" TargetMode="External"/><Relationship Id="rId18" Type="http://schemas.openxmlformats.org/officeDocument/2006/relationships/hyperlink" Target="mailto:felipe.viegas@suez.com" TargetMode="External"/><Relationship Id="rId19" Type="http://schemas.openxmlformats.org/officeDocument/2006/relationships/hyperlink" Target="mailto:hugo.cavalcante@suez.com" TargetMode="External"/><Relationship Id="rId20" Type="http://schemas.openxmlformats.org/officeDocument/2006/relationships/hyperlink" Target="mailto:davi.santos@suez.com" TargetMode="External"/><Relationship Id="rId21" Type="http://schemas.openxmlformats.org/officeDocument/2006/relationships/hyperlink" Target="mailto:paulo.corsete@suez.com" TargetMode="External"/><Relationship Id="rId22" Type="http://schemas.openxmlformats.org/officeDocument/2006/relationships/hyperlink" Target="mailto:paulo.corsete@suez.com" TargetMode="External"/><Relationship Id="rId23" Type="http://schemas.openxmlformats.org/officeDocument/2006/relationships/hyperlink" Target="mailto:paulo.corsete@suez.com" TargetMode="External"/><Relationship Id="rId24" Type="http://schemas.openxmlformats.org/officeDocument/2006/relationships/hyperlink" Target="mailto:thais.nunes@suez.com" TargetMode="External"/><Relationship Id="rId25" Type="http://schemas.openxmlformats.org/officeDocument/2006/relationships/hyperlink" Target="mailto:paulo.corsete@suez.com" TargetMode="External"/><Relationship Id="rId26" Type="http://schemas.openxmlformats.org/officeDocument/2006/relationships/hyperlink" Target="mailto:paulo.corsete@suez.com" TargetMode="External"/><Relationship Id="rId27" Type="http://schemas.openxmlformats.org/officeDocument/2006/relationships/hyperlink" Target="mailto:paulo.corsete@suez.com" TargetMode="External"/><Relationship Id="rId28" Type="http://schemas.openxmlformats.org/officeDocument/2006/relationships/hyperlink" Target="mailto:rafaela.gomes@suez.com" TargetMode="External"/><Relationship Id="rId29" Type="http://schemas.openxmlformats.org/officeDocument/2006/relationships/hyperlink" Target="mailto:jose.nascimento@suez.com" TargetMode="External"/><Relationship Id="rId30" Type="http://schemas.openxmlformats.org/officeDocument/2006/relationships/hyperlink" Target="mailto:rodrigo.silva@suez.com" TargetMode="External"/><Relationship Id="rId31" Type="http://schemas.openxmlformats.org/officeDocument/2006/relationships/hyperlink" Target="mailto:jose.nascimento@suez.com" TargetMode="External"/><Relationship Id="rId32" Type="http://schemas.openxmlformats.org/officeDocument/2006/relationships/hyperlink" Target="mailto:rodrigo.silva@suez.com" TargetMode="External"/><Relationship Id="rId33" Type="http://schemas.openxmlformats.org/officeDocument/2006/relationships/hyperlink" Target="mailto:jose.nascimento@suez.com" TargetMode="External"/><Relationship Id="rId34" Type="http://schemas.openxmlformats.org/officeDocument/2006/relationships/hyperlink" Target="mailto:rodrigo.silva@suez.com" TargetMode="External"/><Relationship Id="rId35" Type="http://schemas.openxmlformats.org/officeDocument/2006/relationships/hyperlink" Target="mailto:rosangela.soares@suez.com" TargetMode="External"/><Relationship Id="rId36" Type="http://schemas.openxmlformats.org/officeDocument/2006/relationships/hyperlink" Target="mailto:adalberto.diniz@suez.com" TargetMode="External"/><Relationship Id="rId37" Type="http://schemas.openxmlformats.org/officeDocument/2006/relationships/hyperlink" Target="mailto:rosangela.soares@suez.com" TargetMode="External"/><Relationship Id="rId38" Type="http://schemas.openxmlformats.org/officeDocument/2006/relationships/hyperlink" Target="mailto:adalberto.diniz@suez.com" TargetMode="External"/><Relationship Id="rId39" Type="http://schemas.openxmlformats.org/officeDocument/2006/relationships/hyperlink" Target="mailto:adalberto.diniz@suez.com" TargetMode="External"/><Relationship Id="rId40" Type="http://schemas.openxmlformats.org/officeDocument/2006/relationships/hyperlink" Target="mailto:tatiana.almeida@suez.com" TargetMode="External"/><Relationship Id="rId41" Type="http://schemas.openxmlformats.org/officeDocument/2006/relationships/hyperlink" Target="mailto:marcelo.soto@suez.com" TargetMode="External"/><Relationship Id="rId42" Type="http://schemas.openxmlformats.org/officeDocument/2006/relationships/hyperlink" Target="mailto:tatiana.almeida@suez.com" TargetMode="External"/><Relationship Id="rId43" Type="http://schemas.openxmlformats.org/officeDocument/2006/relationships/hyperlink" Target="mailto:marcelo.soto@suez.com" TargetMode="External"/><Relationship Id="rId44" Type="http://schemas.openxmlformats.org/officeDocument/2006/relationships/hyperlink" Target="mailto:tatiana.almeida@suez.com" TargetMode="External"/><Relationship Id="rId45" Type="http://schemas.openxmlformats.org/officeDocument/2006/relationships/hyperlink" Target="mailto:marcelo.soto@suez.com" TargetMode="External"/><Relationship Id="rId46" Type="http://schemas.openxmlformats.org/officeDocument/2006/relationships/hyperlink" Target="mailto:matheus.ferreira@suez.com" TargetMode="External"/><Relationship Id="rId47" Type="http://schemas.openxmlformats.org/officeDocument/2006/relationships/hyperlink" Target="mailto:carlos.santos@suez.com" TargetMode="External"/><Relationship Id="rId48" Type="http://schemas.openxmlformats.org/officeDocument/2006/relationships/hyperlink" Target="mailto:renato.chialastri@suez.com" TargetMode="External"/><Relationship Id="rId49" Type="http://schemas.openxmlformats.org/officeDocument/2006/relationships/hyperlink" Target="mailto:rodrigo.amaro@suez.com" TargetMode="External"/><Relationship Id="rId50" Type="http://schemas.openxmlformats.org/officeDocument/2006/relationships/hyperlink" Target="mailto:renato.chialastri@suez.com" TargetMode="External"/><Relationship Id="rId51" Type="http://schemas.openxmlformats.org/officeDocument/2006/relationships/hyperlink" Target="mailto:flaminio.neto@suez.com" TargetMode="External"/><Relationship Id="rId52" Type="http://schemas.openxmlformats.org/officeDocument/2006/relationships/hyperlink" Target="mailto:renato.chialastri@suez.com" TargetMode="External"/><Relationship Id="rId53" Type="http://schemas.openxmlformats.org/officeDocument/2006/relationships/hyperlink" Target="mailto:a.ribeiro@suez.com" TargetMode="External"/><Relationship Id="rId54" Type="http://schemas.openxmlformats.org/officeDocument/2006/relationships/hyperlink" Target="mailto:renato.chialastri@suez.com" TargetMode="External"/><Relationship Id="rId55" Type="http://schemas.openxmlformats.org/officeDocument/2006/relationships/hyperlink" Target="mailto:renato.chialastri@suez.com" TargetMode="External"/><Relationship Id="rId56" Type="http://schemas.openxmlformats.org/officeDocument/2006/relationships/hyperlink" Target="mailto:amadeu.peixoto@suez.com" TargetMode="External"/><Relationship Id="rId57" Type="http://schemas.openxmlformats.org/officeDocument/2006/relationships/hyperlink" Target="mailto:renato.chialastri@suez.com" TargetMode="External"/><Relationship Id="rId58" Type="http://schemas.openxmlformats.org/officeDocument/2006/relationships/hyperlink" Target="mailto:amadeu.peixoto@suez.com" TargetMode="External"/><Relationship Id="rId59" Type="http://schemas.openxmlformats.org/officeDocument/2006/relationships/hyperlink" Target="mailto:renato.chialastri@suez.com" TargetMode="External"/><Relationship Id="rId60" Type="http://schemas.openxmlformats.org/officeDocument/2006/relationships/hyperlink" Target="mailto:amadeu.peixoto@suez.com" TargetMode="External"/><Relationship Id="rId6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renato.chialastri@suez.com" TargetMode="External"/><Relationship Id="rId2" Type="http://schemas.openxmlformats.org/officeDocument/2006/relationships/hyperlink" Target="mailto:vinicius.paula@suez.com" TargetMode="External"/><Relationship Id="rId3" Type="http://schemas.openxmlformats.org/officeDocument/2006/relationships/hyperlink" Target="mailto:bianca.dossantos@suez.com" TargetMode="External"/><Relationship Id="rId4" Type="http://schemas.openxmlformats.org/officeDocument/2006/relationships/hyperlink" Target="mailto:matheus.ambrosio@suez.com" TargetMode="External"/><Relationship Id="rId5" Type="http://schemas.openxmlformats.org/officeDocument/2006/relationships/hyperlink" Target="mailto:matheus.ambrosio@suez.com" TargetMode="External"/><Relationship Id="rId6" Type="http://schemas.openxmlformats.org/officeDocument/2006/relationships/hyperlink" Target="mailto:jobson-rodrigo.silva@suez.com" TargetMode="External"/><Relationship Id="rId7" Type="http://schemas.openxmlformats.org/officeDocument/2006/relationships/hyperlink" Target="mailto:rodrigo.silva@suez.com" TargetMode="External"/><Relationship Id="rId8" Type="http://schemas.openxmlformats.org/officeDocument/2006/relationships/hyperlink" Target="mailto:isaac.pinto@suez.com" TargetMode="External"/><Relationship Id="rId9" Type="http://schemas.openxmlformats.org/officeDocument/2006/relationships/hyperlink" Target="mailto:marcelo.soto@suez.com" TargetMode="External"/><Relationship Id="rId10" Type="http://schemas.openxmlformats.org/officeDocument/2006/relationships/hyperlink" Target="mailto:rodrigo.silva@suez.com" TargetMode="External"/><Relationship Id="rId11" Type="http://schemas.openxmlformats.org/officeDocument/2006/relationships/hyperlink" Target="mailto:rodrigo.silva@suez.com" TargetMode="External"/><Relationship Id="rId12" Type="http://schemas.openxmlformats.org/officeDocument/2006/relationships/hyperlink" Target="mailto:jobson-rodrigo.silva@suez.com" TargetMode="External"/><Relationship Id="rId13" Type="http://schemas.openxmlformats.org/officeDocument/2006/relationships/hyperlink" Target="mailto:rodrigo.silva@suez.com" TargetMode="External"/><Relationship Id="rId14" Type="http://schemas.openxmlformats.org/officeDocument/2006/relationships/hyperlink" Target="mailto:anderson.oliveira@suez.com" TargetMode="External"/><Relationship Id="rId15" Type="http://schemas.openxmlformats.org/officeDocument/2006/relationships/hyperlink" Target="mailto:adriano.ribeiro@suez.com" TargetMode="External"/><Relationship Id="rId16" Type="http://schemas.openxmlformats.org/officeDocument/2006/relationships/hyperlink" Target="mailto:luciene.irmao@suez.com" TargetMode="External"/><Relationship Id="rId17" Type="http://schemas.openxmlformats.org/officeDocument/2006/relationships/hyperlink" Target="mailto:edmilson.santos@suez.com" TargetMode="External"/><Relationship Id="rId18" Type="http://schemas.openxmlformats.org/officeDocument/2006/relationships/hyperlink" Target="mailto:luciene.irmao@suez.com" TargetMode="External"/><Relationship Id="rId19" Type="http://schemas.openxmlformats.org/officeDocument/2006/relationships/hyperlink" Target="mailto:edmilson.santos@suez.com" TargetMode="External"/><Relationship Id="rId20" Type="http://schemas.openxmlformats.org/officeDocument/2006/relationships/hyperlink" Target="mailto:luciene.irmao@suez.com" TargetMode="External"/><Relationship Id="rId21" Type="http://schemas.openxmlformats.org/officeDocument/2006/relationships/hyperlink" Target="mailto:edmilson.santos@suez.com" TargetMode="External"/><Relationship Id="rId22" Type="http://schemas.openxmlformats.org/officeDocument/2006/relationships/hyperlink" Target="mailto:luciene.irmao@suez.com" TargetMode="External"/><Relationship Id="rId23" Type="http://schemas.openxmlformats.org/officeDocument/2006/relationships/hyperlink" Target="mailto:edmilson.santos@suez.com" TargetMode="External"/><Relationship Id="rId24" Type="http://schemas.openxmlformats.org/officeDocument/2006/relationships/hyperlink" Target="mailto:luiz.herculani@suez.com" TargetMode="External"/><Relationship Id="rId25" Type="http://schemas.openxmlformats.org/officeDocument/2006/relationships/hyperlink" Target="mailto:eduardo.zotto@suez.com" TargetMode="External"/><Relationship Id="rId26" Type="http://schemas.openxmlformats.org/officeDocument/2006/relationships/hyperlink" Target="mailto:renato.chialastri@suez.com" TargetMode="External"/><Relationship Id="rId27" Type="http://schemas.openxmlformats.org/officeDocument/2006/relationships/hyperlink" Target="mailto:fernanda.kaiser@suez.com" TargetMode="External"/><Relationship Id="rId28" Type="http://schemas.openxmlformats.org/officeDocument/2006/relationships/hyperlink" Target="mailto:itana.souza@suez.com" TargetMode="External"/><Relationship Id="rId29" Type="http://schemas.openxmlformats.org/officeDocument/2006/relationships/hyperlink" Target="mailto:marcelo.soto@suez.com" TargetMode="External"/><Relationship Id="rId30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3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70" workbookViewId="0">
      <selection pane="topLeft" activeCell="S3" activeCellId="0" sqref="S3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2.71"/>
    <col collapsed="false" customWidth="true" hidden="false" outlineLevel="0" max="2" min="2" style="1" width="1.71"/>
    <col collapsed="false" customWidth="true" hidden="false" outlineLevel="0" max="3" min="3" style="1" width="32.71"/>
    <col collapsed="false" customWidth="true" hidden="false" outlineLevel="0" max="4" min="4" style="1" width="12.71"/>
    <col collapsed="false" customWidth="true" hidden="false" outlineLevel="0" max="5" min="5" style="1" width="15.43"/>
    <col collapsed="false" customWidth="true" hidden="false" outlineLevel="0" max="6" min="6" style="1" width="10.57"/>
    <col collapsed="false" customWidth="true" hidden="false" outlineLevel="0" max="7" min="7" style="1" width="8.57"/>
    <col collapsed="false" customWidth="true" hidden="false" outlineLevel="0" max="8" min="8" style="1" width="11"/>
    <col collapsed="false" customWidth="true" hidden="false" outlineLevel="0" max="9" min="9" style="1" width="10.85"/>
    <col collapsed="false" customWidth="true" hidden="false" outlineLevel="0" max="12" min="10" style="1" width="15.71"/>
    <col collapsed="false" customWidth="true" hidden="false" outlineLevel="0" max="13" min="13" style="1" width="13.71"/>
    <col collapsed="false" customWidth="true" hidden="false" outlineLevel="0" max="15" min="14" style="1" width="15.71"/>
    <col collapsed="false" customWidth="true" hidden="false" outlineLevel="0" max="16" min="16" style="1" width="14.14"/>
    <col collapsed="false" customWidth="true" hidden="false" outlineLevel="0" max="17" min="17" style="1" width="7.14"/>
    <col collapsed="false" customWidth="true" hidden="false" outlineLevel="0" max="18" min="18" style="1" width="1.71"/>
    <col collapsed="false" customWidth="true" hidden="false" outlineLevel="0" max="26" min="19" style="1" width="14.14"/>
    <col collapsed="false" customWidth="false" hidden="false" outlineLevel="0" max="1024" min="27" style="1" width="14.43"/>
  </cols>
  <sheetData>
    <row r="1" customFormat="false" ht="16.5" hidden="false" customHeight="false" outlineLevel="0" collapsed="false">
      <c r="A1" s="2"/>
      <c r="B1" s="2"/>
      <c r="C1" s="2"/>
      <c r="D1" s="3"/>
      <c r="E1" s="4"/>
      <c r="F1" s="5"/>
      <c r="G1" s="5"/>
      <c r="H1" s="5"/>
      <c r="I1" s="5"/>
      <c r="J1" s="5"/>
      <c r="K1" s="5"/>
      <c r="L1" s="2"/>
      <c r="M1" s="2"/>
      <c r="N1" s="2"/>
      <c r="O1" s="2"/>
      <c r="P1" s="2"/>
      <c r="Q1" s="6"/>
      <c r="R1" s="7"/>
      <c r="S1" s="7"/>
      <c r="T1" s="4"/>
      <c r="U1" s="4"/>
      <c r="V1" s="4"/>
      <c r="W1" s="4"/>
      <c r="X1" s="2"/>
      <c r="Y1" s="2"/>
      <c r="Z1" s="2"/>
    </row>
    <row r="2" customFormat="false" ht="18.75" hidden="false" customHeight="false" outlineLevel="0" collapsed="false">
      <c r="A2" s="8"/>
      <c r="B2" s="8"/>
      <c r="C2" s="9" t="s">
        <v>0</v>
      </c>
      <c r="D2" s="9"/>
      <c r="E2" s="10"/>
      <c r="F2" s="11"/>
      <c r="G2" s="12"/>
      <c r="H2" s="13"/>
      <c r="I2" s="14"/>
      <c r="J2" s="13"/>
      <c r="K2" s="11"/>
      <c r="L2" s="15"/>
      <c r="M2" s="15"/>
      <c r="N2" s="15"/>
      <c r="O2" s="15"/>
      <c r="P2" s="15"/>
      <c r="Q2" s="16"/>
      <c r="R2" s="17"/>
      <c r="S2" s="17"/>
      <c r="T2" s="18"/>
      <c r="U2" s="18"/>
      <c r="V2" s="18"/>
      <c r="W2" s="18"/>
      <c r="X2" s="8"/>
      <c r="Y2" s="8"/>
      <c r="Z2" s="8"/>
    </row>
    <row r="3" customFormat="false" ht="42" hidden="false" customHeight="false" outlineLevel="0" collapsed="false">
      <c r="A3" s="19"/>
      <c r="B3" s="19"/>
      <c r="C3" s="20" t="n">
        <f aca="false">COUNTA('Controle de equipamento'!Q2:Q2632)</f>
        <v>307</v>
      </c>
      <c r="D3" s="20"/>
      <c r="E3" s="21"/>
      <c r="F3" s="22"/>
      <c r="G3" s="22"/>
      <c r="H3" s="22"/>
      <c r="I3" s="22"/>
      <c r="J3" s="22"/>
      <c r="K3" s="22"/>
      <c r="L3" s="19"/>
      <c r="M3" s="19"/>
      <c r="N3" s="19"/>
      <c r="O3" s="19"/>
      <c r="P3" s="19"/>
      <c r="Q3" s="23"/>
      <c r="R3" s="7"/>
      <c r="S3" s="7"/>
      <c r="T3" s="24"/>
      <c r="U3" s="24"/>
      <c r="V3" s="24"/>
      <c r="W3" s="24"/>
      <c r="X3" s="19"/>
      <c r="Y3" s="19"/>
      <c r="Z3" s="19"/>
    </row>
    <row r="4" customFormat="false" ht="15.75" hidden="false" customHeight="false" outlineLevel="0" collapsed="false">
      <c r="A4" s="19"/>
      <c r="B4" s="19"/>
      <c r="C4" s="25"/>
      <c r="D4" s="21"/>
      <c r="E4" s="21"/>
      <c r="F4" s="22"/>
      <c r="G4" s="22"/>
      <c r="H4" s="22"/>
      <c r="I4" s="22"/>
      <c r="J4" s="22"/>
      <c r="K4" s="22"/>
      <c r="L4" s="19"/>
      <c r="M4" s="19"/>
      <c r="N4" s="19"/>
      <c r="O4" s="19"/>
      <c r="P4" s="19"/>
      <c r="Q4" s="23"/>
      <c r="R4" s="7"/>
      <c r="S4" s="7"/>
      <c r="T4" s="24"/>
      <c r="U4" s="24"/>
      <c r="V4" s="24"/>
      <c r="W4" s="24"/>
      <c r="X4" s="19"/>
      <c r="Y4" s="19"/>
      <c r="Z4" s="19"/>
    </row>
    <row r="5" customFormat="false" ht="18.75" hidden="false" customHeight="false" outlineLevel="0" collapsed="false">
      <c r="A5" s="8"/>
      <c r="B5" s="8"/>
      <c r="C5" s="26" t="s">
        <v>1</v>
      </c>
      <c r="D5" s="26"/>
      <c r="E5" s="18"/>
      <c r="F5" s="27"/>
      <c r="G5" s="27"/>
      <c r="H5" s="28"/>
      <c r="I5" s="28"/>
      <c r="J5" s="28"/>
      <c r="K5" s="28"/>
      <c r="L5" s="8"/>
      <c r="M5" s="8"/>
      <c r="N5" s="8"/>
      <c r="O5" s="8"/>
      <c r="P5" s="8"/>
      <c r="Q5" s="29"/>
      <c r="R5" s="17"/>
      <c r="S5" s="17"/>
      <c r="T5" s="18"/>
      <c r="U5" s="18"/>
      <c r="V5" s="18"/>
      <c r="W5" s="18"/>
      <c r="X5" s="8"/>
      <c r="Y5" s="8"/>
      <c r="Z5" s="8"/>
    </row>
    <row r="6" customFormat="false" ht="42" hidden="false" customHeight="false" outlineLevel="0" collapsed="false">
      <c r="A6" s="4" t="s">
        <v>1</v>
      </c>
      <c r="B6" s="24" t="n">
        <f aca="false">C6</f>
        <v>253</v>
      </c>
      <c r="C6" s="30" t="n">
        <f aca="false">COUNTIF('Controle de equipamento'!Q2:Q2632,"Calibrado")</f>
        <v>253</v>
      </c>
      <c r="D6" s="30"/>
      <c r="E6" s="21"/>
      <c r="F6" s="22"/>
      <c r="G6" s="22"/>
      <c r="H6" s="22"/>
      <c r="I6" s="22"/>
      <c r="J6" s="22"/>
      <c r="K6" s="22"/>
      <c r="L6" s="19"/>
      <c r="M6" s="19"/>
      <c r="N6" s="19"/>
      <c r="O6" s="19"/>
      <c r="P6" s="19"/>
      <c r="Q6" s="23"/>
      <c r="R6" s="7"/>
      <c r="S6" s="7"/>
      <c r="T6" s="24"/>
      <c r="U6" s="24"/>
      <c r="V6" s="24"/>
      <c r="W6" s="24"/>
      <c r="X6" s="19"/>
      <c r="Y6" s="19"/>
      <c r="Z6" s="19"/>
    </row>
    <row r="7" customFormat="false" ht="15.75" hidden="false" customHeight="false" outlineLevel="0" collapsed="false">
      <c r="A7" s="4" t="s">
        <v>2</v>
      </c>
      <c r="B7" s="24" t="n">
        <f aca="false">C9</f>
        <v>54</v>
      </c>
      <c r="C7" s="25"/>
      <c r="D7" s="21"/>
      <c r="E7" s="2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1"/>
      <c r="R7" s="7"/>
      <c r="S7" s="7"/>
      <c r="T7" s="24"/>
      <c r="U7" s="24"/>
      <c r="V7" s="24"/>
      <c r="W7" s="24"/>
      <c r="X7" s="19"/>
      <c r="Y7" s="19"/>
      <c r="Z7" s="19"/>
    </row>
    <row r="8" customFormat="false" ht="18.75" hidden="false" customHeight="false" outlineLevel="0" collapsed="false">
      <c r="A8" s="8"/>
      <c r="B8" s="8"/>
      <c r="C8" s="26" t="s">
        <v>2</v>
      </c>
      <c r="D8" s="26"/>
      <c r="E8" s="18"/>
      <c r="F8" s="32"/>
      <c r="G8" s="2"/>
      <c r="H8" s="2"/>
      <c r="J8" s="2"/>
      <c r="K8" s="2"/>
      <c r="L8" s="33"/>
      <c r="M8" s="2"/>
      <c r="N8" s="2"/>
      <c r="O8" s="2"/>
      <c r="P8" s="2"/>
      <c r="Q8" s="31"/>
      <c r="R8" s="17"/>
      <c r="S8" s="17"/>
      <c r="T8" s="18"/>
      <c r="U8" s="18"/>
      <c r="V8" s="18"/>
      <c r="W8" s="18"/>
      <c r="X8" s="8"/>
      <c r="Y8" s="8"/>
      <c r="Z8" s="8"/>
    </row>
    <row r="9" customFormat="false" ht="42" hidden="false" customHeight="false" outlineLevel="0" collapsed="false">
      <c r="A9" s="19"/>
      <c r="B9" s="19"/>
      <c r="C9" s="34" t="n">
        <f aca="false">COUNTIF('Controle de equipamento'!Q2:Q2632,"Vencido")</f>
        <v>54</v>
      </c>
      <c r="D9" s="34"/>
      <c r="E9" s="21"/>
      <c r="F9" s="19"/>
      <c r="G9" s="35"/>
      <c r="H9" s="36"/>
      <c r="I9" s="28"/>
      <c r="J9" s="28"/>
      <c r="K9" s="28"/>
      <c r="L9" s="8"/>
      <c r="M9" s="8"/>
      <c r="N9" s="8"/>
      <c r="O9" s="8"/>
      <c r="P9" s="8"/>
      <c r="Q9" s="29"/>
      <c r="R9" s="7"/>
      <c r="S9" s="7"/>
      <c r="T9" s="24"/>
      <c r="U9" s="24"/>
      <c r="V9" s="24"/>
      <c r="W9" s="24"/>
      <c r="X9" s="19"/>
      <c r="Y9" s="19"/>
      <c r="Z9" s="19"/>
    </row>
    <row r="10" customFormat="false" ht="15.75" hidden="false" customHeight="false" outlineLevel="0" collapsed="false">
      <c r="A10" s="19"/>
      <c r="B10" s="19"/>
      <c r="C10" s="25"/>
      <c r="D10" s="21"/>
      <c r="E10" s="21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19"/>
      <c r="Q10" s="23"/>
      <c r="R10" s="7"/>
      <c r="S10" s="7"/>
      <c r="T10" s="24"/>
      <c r="U10" s="24"/>
      <c r="V10" s="24"/>
      <c r="W10" s="24"/>
      <c r="X10" s="19"/>
      <c r="Y10" s="19"/>
      <c r="Z10" s="19"/>
    </row>
    <row r="11" customFormat="false" ht="18.75" hidden="false" customHeight="false" outlineLevel="0" collapsed="false">
      <c r="A11" s="8"/>
      <c r="B11" s="8"/>
      <c r="C11" s="26" t="s">
        <v>3</v>
      </c>
      <c r="D11" s="26"/>
      <c r="E11" s="18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19"/>
      <c r="Q11" s="23"/>
      <c r="R11" s="17"/>
      <c r="S11" s="17"/>
      <c r="T11" s="18"/>
      <c r="U11" s="18"/>
      <c r="V11" s="18"/>
      <c r="W11" s="18"/>
      <c r="X11" s="8"/>
      <c r="Y11" s="8"/>
      <c r="Z11" s="8"/>
    </row>
    <row r="12" customFormat="false" ht="42" hidden="false" customHeight="false" outlineLevel="0" collapsed="false">
      <c r="A12" s="19"/>
      <c r="B12" s="19"/>
      <c r="C12" s="38" t="n">
        <f aca="false">C6/C3</f>
        <v>0.824104234527687</v>
      </c>
      <c r="D12" s="38"/>
      <c r="E12" s="21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8"/>
      <c r="Q12" s="29"/>
      <c r="R12" s="7"/>
      <c r="S12" s="7"/>
      <c r="T12" s="24"/>
      <c r="U12" s="24"/>
      <c r="V12" s="24"/>
      <c r="W12" s="24"/>
      <c r="X12" s="19"/>
      <c r="Y12" s="19"/>
      <c r="Z12" s="19"/>
    </row>
    <row r="13" customFormat="false" ht="16.5" hidden="false" customHeight="false" outlineLevel="0" collapsed="false">
      <c r="A13" s="2"/>
      <c r="B13" s="2"/>
      <c r="C13" s="39"/>
      <c r="D13" s="40"/>
      <c r="E13" s="40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41"/>
      <c r="Q13" s="4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6.5" hidden="false" customHeight="true" outlineLevel="0" collapsed="false">
      <c r="A14" s="2"/>
      <c r="B14" s="2"/>
      <c r="C14" s="43"/>
      <c r="D14" s="43"/>
      <c r="E14" s="43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5"/>
      <c r="Q14" s="46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6.5" hidden="false" customHeight="false" outlineLevel="0" collapsed="false">
      <c r="A15" s="2"/>
      <c r="D15" s="24" t="n">
        <f aca="false">C6</f>
        <v>253</v>
      </c>
      <c r="E15" s="2"/>
      <c r="F15" s="22"/>
      <c r="G15" s="22"/>
      <c r="H15" s="22"/>
      <c r="I15" s="22"/>
      <c r="J15" s="22"/>
      <c r="K15" s="22"/>
      <c r="L15" s="19"/>
      <c r="M15" s="19"/>
      <c r="N15" s="19"/>
      <c r="O15" s="19"/>
      <c r="P15" s="19"/>
      <c r="Q15" s="6"/>
      <c r="R15" s="2"/>
      <c r="S15" s="2"/>
      <c r="T15" s="2"/>
      <c r="U15" s="2"/>
      <c r="V15" s="2"/>
      <c r="W15" s="2"/>
      <c r="X15" s="2"/>
      <c r="Y15" s="2"/>
      <c r="Z15" s="2"/>
    </row>
    <row r="16" s="48" customFormat="true" ht="19.5" hidden="false" customHeight="false" outlineLevel="0" collapsed="false">
      <c r="A16" s="47"/>
      <c r="C16" s="49"/>
      <c r="D16" s="50" t="s">
        <v>4</v>
      </c>
      <c r="E16" s="50" t="s">
        <v>5</v>
      </c>
      <c r="F16" s="50" t="s">
        <v>6</v>
      </c>
      <c r="G16" s="50" t="s">
        <v>7</v>
      </c>
      <c r="H16" s="50" t="s">
        <v>8</v>
      </c>
      <c r="I16" s="50" t="s">
        <v>9</v>
      </c>
      <c r="J16" s="50" t="s">
        <v>10</v>
      </c>
      <c r="K16" s="50" t="s">
        <v>11</v>
      </c>
      <c r="L16" s="50" t="s">
        <v>12</v>
      </c>
      <c r="M16" s="50" t="s">
        <v>13</v>
      </c>
      <c r="N16" s="50" t="s">
        <v>14</v>
      </c>
      <c r="O16" s="50" t="s">
        <v>15</v>
      </c>
      <c r="P16" s="50" t="s">
        <v>16</v>
      </c>
      <c r="Q16" s="51"/>
      <c r="R16" s="47"/>
      <c r="S16" s="47"/>
      <c r="T16" s="47"/>
      <c r="U16" s="47"/>
      <c r="V16" s="47"/>
      <c r="W16" s="47"/>
      <c r="X16" s="47"/>
      <c r="Y16" s="47"/>
      <c r="Z16" s="47"/>
    </row>
    <row r="17" customFormat="false" ht="42" hidden="false" customHeight="true" outlineLevel="0" collapsed="false">
      <c r="A17" s="2"/>
      <c r="B17" s="2"/>
      <c r="C17" s="52" t="s">
        <v>17</v>
      </c>
      <c r="D17" s="53" t="n">
        <f aca="false">COUNTIF('Obs Tecnicas'!$I$68:$I$379,D23)</f>
        <v>1</v>
      </c>
      <c r="E17" s="53" t="n">
        <f aca="false">COUNTIF('Obs Tecnicas'!$I$68:$I$379,E23)</f>
        <v>0</v>
      </c>
      <c r="F17" s="53" t="n">
        <f aca="false">COUNTIF('Obs Tecnicas'!$I$68:$I$379,F23)</f>
        <v>32</v>
      </c>
      <c r="G17" s="53" t="n">
        <f aca="false">COUNTIF('Obs Tecnicas'!$I$68:$I$379,G23)</f>
        <v>19</v>
      </c>
      <c r="H17" s="53" t="n">
        <f aca="false">COUNTIF('Obs Tecnicas'!$I$68:$I$379,H23)</f>
        <v>38</v>
      </c>
      <c r="I17" s="53" t="n">
        <f aca="false">COUNTIF('Obs Tecnicas'!$I$68:$I$379,I23)</f>
        <v>39</v>
      </c>
      <c r="J17" s="53" t="n">
        <f aca="false">COUNTIF('Obs Tecnicas'!$I$68:$I$379,J23)</f>
        <v>37</v>
      </c>
      <c r="K17" s="53" t="n">
        <f aca="false">COUNTIF('Obs Tecnicas'!$I$68:$I$379,K23)</f>
        <v>57</v>
      </c>
      <c r="L17" s="53" t="n">
        <f aca="false">COUNTIF('Obs Tecnicas'!$I$68:$I$379,L23)</f>
        <v>52</v>
      </c>
      <c r="M17" s="53" t="n">
        <f aca="false">COUNTIF('Obs Tecnicas'!$I$68:$I$379,M23)</f>
        <v>5</v>
      </c>
      <c r="N17" s="53" t="n">
        <f aca="false">COUNTIF('Obs Tecnicas'!$I$68:$I$379,N23)</f>
        <v>11</v>
      </c>
      <c r="O17" s="53" t="n">
        <f aca="false">COUNTIF('Obs Tecnicas'!$I$68:$I$379,O23)</f>
        <v>2</v>
      </c>
      <c r="P17" s="53" t="n">
        <f aca="false">SUM(D17:O17)</f>
        <v>293</v>
      </c>
      <c r="Q17" s="31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20.25" hidden="false" customHeight="false" outlineLevel="0" collapsed="false">
      <c r="A18" s="2"/>
      <c r="B18" s="2"/>
      <c r="C18" s="52" t="s">
        <v>18</v>
      </c>
      <c r="D18" s="53" t="n">
        <f aca="false">COUNTIF('Controle de equipamento'!$V$2:$V$225,D23)</f>
        <v>1</v>
      </c>
      <c r="E18" s="53" t="n">
        <f aca="false">COUNTIF('Controle de equipamento'!$V$2:$V$225,E23)</f>
        <v>0</v>
      </c>
      <c r="F18" s="53" t="n">
        <f aca="false">COUNTIF('Controle de equipamento'!$V$2:$V$225,F23)</f>
        <v>25</v>
      </c>
      <c r="G18" s="53" t="n">
        <f aca="false">COUNTIF('Controle de equipamento'!$V$2:$V$225,G23)</f>
        <v>6</v>
      </c>
      <c r="H18" s="53" t="n">
        <f aca="false">COUNTIF('Controle de equipamento'!$V$2:$V$225,H23)</f>
        <v>15</v>
      </c>
      <c r="I18" s="53" t="n">
        <f aca="false">COUNTIF('Controle de equipamento'!$V$2:$V$1955,I23)</f>
        <v>61</v>
      </c>
      <c r="J18" s="53" t="n">
        <f aca="false">COUNTIF('Controle de equipamento'!$V$2:$V$2460,J23)</f>
        <v>32</v>
      </c>
      <c r="K18" s="53" t="n">
        <f aca="false">COUNTIF('Controle de equipamento'!$V$2:$V$225,K23)</f>
        <v>48</v>
      </c>
      <c r="L18" s="53" t="n">
        <f aca="false">COUNTIF('Controle de equipamento'!$V$2:$V$225,L23)</f>
        <v>49</v>
      </c>
      <c r="M18" s="53" t="n">
        <f aca="false">COUNTIF('Controle de equipamento'!$V$2:$V$225,M23)</f>
        <v>5</v>
      </c>
      <c r="N18" s="53" t="n">
        <v>1</v>
      </c>
      <c r="O18" s="53" t="n">
        <f aca="false">COUNTIF('Controle de equipamento'!$V$2:$V$225,O23)</f>
        <v>1</v>
      </c>
      <c r="P18" s="53" t="n">
        <f aca="false">SUM(D18:O18)</f>
        <v>244</v>
      </c>
      <c r="Q18" s="31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20.25" hidden="false" customHeight="false" outlineLevel="0" collapsed="false">
      <c r="A19" s="2"/>
      <c r="B19" s="2"/>
      <c r="C19" s="52" t="s">
        <v>19</v>
      </c>
      <c r="D19" s="53" t="n">
        <f aca="false">COUNTIF('Equipamentos Desativados'!$V$2:$V$299,KPIs!D23)</f>
        <v>0</v>
      </c>
      <c r="E19" s="53" t="n">
        <f aca="false">COUNTIF('Equipamentos Desativados'!$V$2:$V$299,KPIs!E23)</f>
        <v>0</v>
      </c>
      <c r="F19" s="53" t="n">
        <f aca="false">COUNTIF('Equipamentos Desativados'!$V$2:$V$299,KPIs!F23)</f>
        <v>3</v>
      </c>
      <c r="G19" s="53" t="n">
        <f aca="false">COUNTIF('Equipamentos Desativados'!$V$2:$V$299,KPIs!G23)</f>
        <v>1</v>
      </c>
      <c r="H19" s="53" t="n">
        <f aca="false">COUNTIF('Equipamentos Desativados'!$V$2:$V$299,KPIs!H23)</f>
        <v>3</v>
      </c>
      <c r="I19" s="53" t="n">
        <f aca="false">COUNTIF('Equipamentos Desativados'!$V$2:$V$299,KPIs!I23)</f>
        <v>2</v>
      </c>
      <c r="J19" s="53" t="n">
        <f aca="false">COUNTIF('Equipamentos Desativados'!$V$2:$V$299,KPIs!J23)</f>
        <v>8</v>
      </c>
      <c r="K19" s="53" t="n">
        <f aca="false">COUNTIF('Equipamentos Desativados'!$V$2:$V$299,KPIs!K23)</f>
        <v>2</v>
      </c>
      <c r="L19" s="53" t="n">
        <f aca="false">COUNTIF('Equipamentos Desativados'!$V$2:$V$299,KPIs!L23)</f>
        <v>2</v>
      </c>
      <c r="M19" s="53" t="n">
        <f aca="false">COUNTIF('Equipamentos Desativados'!$V$2:$V$299,KPIs!M23)</f>
        <v>0</v>
      </c>
      <c r="N19" s="53" t="n">
        <f aca="false">COUNTIF('Equipamentos Desativados'!$V$2:$V$299,KPIs!N23)</f>
        <v>0</v>
      </c>
      <c r="O19" s="53" t="n">
        <f aca="false">COUNTIF('Equipamentos Desativados'!$V$2:$V$299,KPIs!O23)</f>
        <v>1</v>
      </c>
      <c r="P19" s="53" t="n">
        <f aca="false">SUM(D19:O19)</f>
        <v>22</v>
      </c>
      <c r="Q19" s="31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20.25" hidden="false" customHeight="false" outlineLevel="0" collapsed="false">
      <c r="A20" s="2"/>
      <c r="B20" s="2"/>
      <c r="C20" s="52" t="s">
        <v>20</v>
      </c>
      <c r="D20" s="53" t="n">
        <v>0</v>
      </c>
      <c r="E20" s="53" t="n">
        <v>0</v>
      </c>
      <c r="F20" s="53" t="n">
        <v>0</v>
      </c>
      <c r="G20" s="53" t="n">
        <v>0</v>
      </c>
      <c r="H20" s="53" t="n">
        <v>21</v>
      </c>
      <c r="I20" s="53" t="n">
        <v>1</v>
      </c>
      <c r="J20" s="53" t="n">
        <v>10</v>
      </c>
      <c r="K20" s="53" t="n">
        <v>7</v>
      </c>
      <c r="L20" s="53" t="n">
        <v>26</v>
      </c>
      <c r="M20" s="53" t="n">
        <v>3</v>
      </c>
      <c r="N20" s="53" t="n">
        <v>0</v>
      </c>
      <c r="O20" s="53" t="n">
        <v>0</v>
      </c>
      <c r="P20" s="53" t="n">
        <f aca="false">SUM(D20:O20)</f>
        <v>68</v>
      </c>
      <c r="Q20" s="31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20.25" hidden="false" customHeight="false" outlineLevel="0" collapsed="false">
      <c r="A21" s="2"/>
      <c r="B21" s="2"/>
      <c r="C21" s="52" t="s">
        <v>21</v>
      </c>
      <c r="D21" s="53" t="n">
        <v>17</v>
      </c>
      <c r="E21" s="53" t="n">
        <v>0</v>
      </c>
      <c r="F21" s="53" t="n">
        <v>0</v>
      </c>
      <c r="G21" s="53" t="n">
        <v>0</v>
      </c>
      <c r="H21" s="53" t="n">
        <v>0</v>
      </c>
      <c r="I21" s="53" t="n">
        <v>0</v>
      </c>
      <c r="J21" s="53" t="n">
        <v>2</v>
      </c>
      <c r="K21" s="53" t="n">
        <v>51</v>
      </c>
      <c r="L21" s="53" t="n">
        <v>11</v>
      </c>
      <c r="M21" s="53"/>
      <c r="N21" s="53" t="n">
        <v>22</v>
      </c>
      <c r="O21" s="53" t="n">
        <v>22</v>
      </c>
      <c r="P21" s="53" t="n">
        <f aca="false">SUM(D21:O21)</f>
        <v>125</v>
      </c>
      <c r="Q21" s="31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20.25" hidden="false" customHeight="false" outlineLevel="0" collapsed="false">
      <c r="A22" s="2"/>
      <c r="B22" s="2"/>
      <c r="C22" s="52" t="s">
        <v>22</v>
      </c>
      <c r="D22" s="53"/>
      <c r="E22" s="53" t="n">
        <v>17</v>
      </c>
      <c r="F22" s="53"/>
      <c r="G22" s="53"/>
      <c r="H22" s="53"/>
      <c r="I22" s="53" t="n">
        <v>0</v>
      </c>
      <c r="J22" s="53" t="n">
        <v>0</v>
      </c>
      <c r="K22" s="53" t="n">
        <v>0</v>
      </c>
      <c r="L22" s="53" t="n">
        <v>0</v>
      </c>
      <c r="M22" s="53" t="n">
        <v>0</v>
      </c>
      <c r="N22" s="53" t="n">
        <v>0</v>
      </c>
      <c r="O22" s="53" t="n">
        <v>3</v>
      </c>
      <c r="P22" s="53" t="n">
        <f aca="false">SUM(D22:O22)</f>
        <v>20</v>
      </c>
      <c r="Q22" s="31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6.5" hidden="false" customHeight="false" outlineLevel="0" collapsed="false">
      <c r="A23" s="2"/>
      <c r="B23" s="2"/>
      <c r="C23" s="54"/>
      <c r="D23" s="2" t="n">
        <v>1</v>
      </c>
      <c r="E23" s="2" t="n">
        <v>2</v>
      </c>
      <c r="F23" s="2" t="n">
        <v>3</v>
      </c>
      <c r="G23" s="2" t="n">
        <v>4</v>
      </c>
      <c r="H23" s="2" t="n">
        <v>5</v>
      </c>
      <c r="I23" s="2" t="n">
        <v>6</v>
      </c>
      <c r="J23" s="2" t="n">
        <v>7</v>
      </c>
      <c r="K23" s="2" t="n">
        <v>8</v>
      </c>
      <c r="L23" s="2" t="n">
        <v>9</v>
      </c>
      <c r="M23" s="2" t="n">
        <v>10</v>
      </c>
      <c r="N23" s="2" t="n">
        <v>11</v>
      </c>
      <c r="O23" s="2" t="n">
        <v>12</v>
      </c>
      <c r="P23" s="2"/>
      <c r="Q23" s="31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2"/>
      <c r="B24" s="2"/>
      <c r="C24" s="5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1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2"/>
      <c r="B25" s="2"/>
      <c r="C25" s="5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31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2"/>
      <c r="B26" s="2"/>
      <c r="C26" s="5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31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2"/>
      <c r="B27" s="2"/>
      <c r="C27" s="5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1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2"/>
      <c r="B28" s="2"/>
      <c r="C28" s="5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31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2"/>
      <c r="B29" s="2"/>
      <c r="C29" s="5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1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2"/>
      <c r="B30" s="2"/>
      <c r="C30" s="5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31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2"/>
      <c r="B31" s="2"/>
      <c r="C31" s="5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31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2"/>
      <c r="B32" s="2"/>
      <c r="C32" s="5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31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2"/>
      <c r="B33" s="2"/>
      <c r="C33" s="5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31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2"/>
      <c r="B34" s="2"/>
      <c r="C34" s="5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31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2"/>
      <c r="B35" s="2"/>
      <c r="C35" s="5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31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2"/>
      <c r="B36" s="2"/>
      <c r="C36" s="5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31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2"/>
      <c r="B37" s="2"/>
      <c r="C37" s="5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31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2"/>
      <c r="B38" s="2"/>
      <c r="C38" s="5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31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6.5" hidden="false" customHeight="false" outlineLevel="0" collapsed="false">
      <c r="A39" s="2"/>
      <c r="B39" s="2"/>
      <c r="C39" s="39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55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6.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2"/>
      <c r="B41" s="2"/>
      <c r="C41" s="56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8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2"/>
      <c r="B42" s="2"/>
      <c r="C42" s="5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31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2"/>
      <c r="B43" s="2"/>
      <c r="C43" s="5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31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2"/>
      <c r="B44" s="2"/>
      <c r="C44" s="5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31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2"/>
      <c r="B45" s="2"/>
      <c r="C45" s="5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31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2"/>
      <c r="B46" s="2"/>
      <c r="C46" s="5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31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2"/>
      <c r="B47" s="2"/>
      <c r="C47" s="5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31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2"/>
      <c r="B48" s="2"/>
      <c r="C48" s="5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31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2"/>
      <c r="B49" s="2"/>
      <c r="C49" s="5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31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2"/>
      <c r="B50" s="2"/>
      <c r="C50" s="5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31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2"/>
      <c r="B51" s="2"/>
      <c r="C51" s="5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31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2"/>
      <c r="B52" s="2"/>
      <c r="C52" s="5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31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2"/>
      <c r="B53" s="2"/>
      <c r="C53" s="5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31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2"/>
      <c r="B54" s="2"/>
      <c r="C54" s="5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31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2"/>
      <c r="B55" s="2"/>
      <c r="C55" s="5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31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2"/>
      <c r="B56" s="2"/>
      <c r="C56" s="5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31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2"/>
      <c r="B57" s="2"/>
      <c r="C57" s="5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31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2"/>
      <c r="B58" s="2"/>
      <c r="C58" s="5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31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6.5" hidden="false" customHeight="false" outlineLevel="0" collapsed="false">
      <c r="A59" s="2"/>
      <c r="B59" s="2"/>
      <c r="C59" s="39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55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5.75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5.75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5.75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10">
    <mergeCell ref="C2:D2"/>
    <mergeCell ref="C3:D3"/>
    <mergeCell ref="C5:D5"/>
    <mergeCell ref="F5:G5"/>
    <mergeCell ref="C6:D6"/>
    <mergeCell ref="C8:D8"/>
    <mergeCell ref="C9:D9"/>
    <mergeCell ref="F10:O13"/>
    <mergeCell ref="C11:D11"/>
    <mergeCell ref="C12:D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46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U5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.86"/>
    <col collapsed="false" customWidth="true" hidden="false" outlineLevel="0" max="3" min="3" style="59" width="9.14"/>
    <col collapsed="false" customWidth="true" hidden="false" outlineLevel="0" max="5" min="4" style="59" width="16.28"/>
    <col collapsed="false" customWidth="true" hidden="false" outlineLevel="0" max="12" min="6" style="59" width="9.14"/>
    <col collapsed="false" customWidth="true" hidden="false" outlineLevel="0" max="13" min="13" style="60" width="20.85"/>
    <col collapsed="false" customWidth="true" hidden="false" outlineLevel="0" max="14" min="14" style="61" width="9.14"/>
    <col collapsed="false" customWidth="true" hidden="false" outlineLevel="0" max="15" min="15" style="61" width="2.86"/>
    <col collapsed="false" customWidth="true" hidden="false" outlineLevel="0" max="17" min="16" style="61" width="9.14"/>
    <col collapsed="false" customWidth="true" hidden="false" outlineLevel="0" max="21" min="19" style="0" width="9.14"/>
  </cols>
  <sheetData>
    <row r="1" customFormat="false" ht="15.75" hidden="false" customHeight="false" outlineLevel="0" collapsed="false"/>
    <row r="2" customFormat="false" ht="15" hidden="false" customHeight="true" outlineLevel="0" collapsed="false">
      <c r="B2" s="62"/>
      <c r="C2" s="63"/>
      <c r="D2" s="63"/>
      <c r="E2" s="63"/>
      <c r="F2" s="63"/>
      <c r="G2" s="63"/>
      <c r="H2" s="63"/>
      <c r="I2" s="63"/>
      <c r="J2" s="63"/>
      <c r="K2" s="63"/>
      <c r="L2" s="63"/>
      <c r="M2" s="64"/>
      <c r="N2" s="64"/>
      <c r="O2" s="65"/>
    </row>
    <row r="3" customFormat="false" ht="15" hidden="false" customHeight="true" outlineLevel="0" collapsed="false">
      <c r="B3" s="66"/>
      <c r="N3" s="60"/>
      <c r="O3" s="67"/>
    </row>
    <row r="4" customFormat="false" ht="15.75" hidden="false" customHeight="true" outlineLevel="0" collapsed="false">
      <c r="B4" s="66"/>
      <c r="D4" s="68" t="s">
        <v>23</v>
      </c>
      <c r="E4" s="68"/>
      <c r="F4" s="63"/>
      <c r="G4" s="63"/>
      <c r="H4" s="63"/>
      <c r="I4" s="63"/>
      <c r="J4" s="63"/>
      <c r="K4" s="63"/>
      <c r="L4" s="63"/>
      <c r="M4" s="65"/>
      <c r="N4" s="60"/>
      <c r="O4" s="67"/>
      <c r="P4" s="69"/>
      <c r="Q4" s="69"/>
    </row>
    <row r="5" customFormat="false" ht="21.75" hidden="false" customHeight="false" outlineLevel="0" collapsed="false">
      <c r="B5" s="66"/>
      <c r="D5" s="68"/>
      <c r="E5" s="68"/>
      <c r="F5" s="70"/>
      <c r="G5" s="70"/>
      <c r="H5" s="70"/>
      <c r="I5" s="70"/>
      <c r="J5" s="70"/>
      <c r="K5" s="70"/>
      <c r="L5" s="70"/>
      <c r="M5" s="71" t="s">
        <v>24</v>
      </c>
      <c r="N5" s="72"/>
      <c r="O5" s="73"/>
      <c r="Q5" s="69"/>
    </row>
    <row r="6" customFormat="false" ht="15.75" hidden="false" customHeight="false" outlineLevel="0" collapsed="false">
      <c r="B6" s="66"/>
      <c r="D6" s="74" t="n">
        <f aca="false">COUNTA('Controle de equipamento'!J2:$J$1005)</f>
        <v>308</v>
      </c>
      <c r="E6" s="74"/>
      <c r="M6" s="75" t="n">
        <f aca="false">COUNTIF('Controle de equipamento'!$U:$U,M5)</f>
        <v>0</v>
      </c>
      <c r="N6" s="60"/>
      <c r="O6" s="67"/>
    </row>
    <row r="7" customFormat="false" ht="15" hidden="false" customHeight="true" outlineLevel="0" collapsed="false">
      <c r="B7" s="66"/>
      <c r="D7" s="74"/>
      <c r="E7" s="74"/>
      <c r="M7" s="76"/>
      <c r="N7" s="60"/>
      <c r="O7" s="67"/>
    </row>
    <row r="8" customFormat="false" ht="16.5" hidden="false" customHeight="false" outlineLevel="0" collapsed="false">
      <c r="B8" s="66"/>
      <c r="D8" s="77" t="s">
        <v>25</v>
      </c>
      <c r="E8" s="78" t="s">
        <v>26</v>
      </c>
      <c r="M8" s="71" t="s">
        <v>27</v>
      </c>
      <c r="N8" s="60"/>
      <c r="O8" s="67"/>
    </row>
    <row r="9" customFormat="false" ht="15" hidden="false" customHeight="true" outlineLevel="0" collapsed="false">
      <c r="B9" s="66"/>
      <c r="D9" s="77"/>
      <c r="E9" s="78"/>
      <c r="M9" s="75" t="n">
        <f aca="false">COUNTIF('Controle de equipamento'!$U:$U,M8)</f>
        <v>125</v>
      </c>
      <c r="N9" s="60"/>
      <c r="O9" s="67"/>
    </row>
    <row r="10" customFormat="false" ht="15" hidden="false" customHeight="true" outlineLevel="0" collapsed="false">
      <c r="B10" s="66"/>
      <c r="D10" s="79" t="n">
        <f aca="false">COUNTIF('Controle de equipamento'!$Q:$Q,"Calibrado")</f>
        <v>253</v>
      </c>
      <c r="E10" s="80" t="n">
        <f aca="false">COUNTIF('Controle de equipamento'!$Q:$Q,"Vencido")</f>
        <v>54</v>
      </c>
      <c r="K10" s="60"/>
      <c r="M10" s="81"/>
      <c r="N10" s="60"/>
      <c r="O10" s="82"/>
    </row>
    <row r="11" customFormat="false" ht="15" hidden="false" customHeight="true" outlineLevel="0" collapsed="false">
      <c r="B11" s="66"/>
      <c r="D11" s="79"/>
      <c r="E11" s="80"/>
      <c r="M11" s="71" t="s">
        <v>28</v>
      </c>
      <c r="N11" s="60"/>
      <c r="O11" s="73"/>
    </row>
    <row r="12" customFormat="false" ht="18" hidden="false" customHeight="true" outlineLevel="0" collapsed="false">
      <c r="B12" s="66"/>
      <c r="D12" s="66"/>
      <c r="H12" s="83" t="n">
        <f aca="false">D10/D6</f>
        <v>0.821428571428571</v>
      </c>
      <c r="I12" s="84" t="n">
        <f aca="false">1-H12</f>
        <v>0.178571428571429</v>
      </c>
      <c r="M12" s="75" t="n">
        <f aca="false">COUNTIF('Controle de equipamento'!$U:$U,M11)</f>
        <v>58</v>
      </c>
      <c r="N12" s="60"/>
      <c r="O12" s="73"/>
    </row>
    <row r="13" customFormat="false" ht="15.75" hidden="false" customHeight="true" outlineLevel="0" collapsed="false">
      <c r="B13" s="66"/>
      <c r="D13" s="85" t="s">
        <v>29</v>
      </c>
      <c r="E13" s="85"/>
      <c r="M13" s="76"/>
      <c r="N13" s="60"/>
      <c r="O13" s="73"/>
    </row>
    <row r="14" customFormat="false" ht="15" hidden="false" customHeight="true" outlineLevel="0" collapsed="false">
      <c r="B14" s="66"/>
      <c r="D14" s="85"/>
      <c r="E14" s="85"/>
      <c r="M14" s="71" t="s">
        <v>30</v>
      </c>
      <c r="N14" s="60"/>
      <c r="O14" s="73"/>
      <c r="P14" s="69"/>
      <c r="Q14" s="69"/>
    </row>
    <row r="15" customFormat="false" ht="15.75" hidden="false" customHeight="true" outlineLevel="0" collapsed="false">
      <c r="B15" s="66"/>
      <c r="D15" s="86" t="n">
        <f aca="false">COUNTA('Equipamentos Desativados'!I2:$I$23)</f>
        <v>22</v>
      </c>
      <c r="E15" s="86"/>
      <c r="M15" s="75" t="n">
        <f aca="false">COUNTIF('Controle de equipamento'!$U:$U,M14)</f>
        <v>8</v>
      </c>
      <c r="N15" s="72"/>
      <c r="O15" s="73"/>
    </row>
    <row r="16" customFormat="false" ht="15.75" hidden="false" customHeight="true" outlineLevel="0" collapsed="false">
      <c r="B16" s="66"/>
      <c r="D16" s="86"/>
      <c r="E16" s="86"/>
      <c r="F16" s="87"/>
      <c r="G16" s="87"/>
      <c r="H16" s="87"/>
      <c r="I16" s="87"/>
      <c r="J16" s="87"/>
      <c r="K16" s="87"/>
      <c r="L16" s="87"/>
      <c r="M16" s="88"/>
      <c r="N16" s="60"/>
      <c r="O16" s="67"/>
    </row>
    <row r="17" customFormat="false" ht="18" hidden="false" customHeight="false" outlineLevel="0" collapsed="false">
      <c r="B17" s="89"/>
      <c r="C17" s="90"/>
      <c r="D17" s="91"/>
      <c r="E17" s="91"/>
      <c r="F17" s="90"/>
      <c r="G17" s="90"/>
      <c r="H17" s="90"/>
      <c r="I17" s="90"/>
      <c r="J17" s="90"/>
      <c r="K17" s="90"/>
      <c r="L17" s="90"/>
      <c r="M17" s="92"/>
      <c r="N17" s="92"/>
      <c r="O17" s="93"/>
    </row>
    <row r="18" customFormat="false" ht="15.75" hidden="false" customHeight="false" outlineLevel="0" collapsed="false">
      <c r="B18" s="66"/>
      <c r="N18" s="60"/>
      <c r="O18" s="67"/>
      <c r="R18" s="94" t="s">
        <v>31</v>
      </c>
      <c r="S18" s="94"/>
      <c r="T18" s="95" t="s">
        <v>32</v>
      </c>
      <c r="U18" s="96" t="s">
        <v>33</v>
      </c>
    </row>
    <row r="19" customFormat="false" ht="15" hidden="false" customHeight="false" outlineLevel="0" collapsed="false">
      <c r="B19" s="66"/>
      <c r="D19" s="62"/>
      <c r="E19" s="63"/>
      <c r="F19" s="63"/>
      <c r="G19" s="63"/>
      <c r="H19" s="63"/>
      <c r="I19" s="63"/>
      <c r="J19" s="63"/>
      <c r="K19" s="63"/>
      <c r="L19" s="63"/>
      <c r="M19" s="65"/>
      <c r="N19" s="60"/>
      <c r="O19" s="67"/>
      <c r="R19" s="94" t="s">
        <v>34</v>
      </c>
      <c r="S19" s="97" t="n">
        <v>1</v>
      </c>
      <c r="T19" s="98" t="n">
        <f aca="false">COUNTIF('Controle de equipamento'!$W:$W,'KPI-s de Controle '!S19)</f>
        <v>1</v>
      </c>
      <c r="U19" s="99" t="n">
        <f aca="false">COUNTIFS('Controle de equipamento'!$V:$V,'KPI-s de Controle '!S19,'Controle de equipamento'!U:U,"REALIZADO")</f>
        <v>0</v>
      </c>
    </row>
    <row r="20" customFormat="false" ht="15" hidden="false" customHeight="false" outlineLevel="0" collapsed="false">
      <c r="B20" s="66"/>
      <c r="D20" s="66"/>
      <c r="M20" s="67"/>
      <c r="N20" s="60"/>
      <c r="O20" s="67"/>
      <c r="R20" s="94" t="s">
        <v>35</v>
      </c>
      <c r="S20" s="97" t="n">
        <v>2</v>
      </c>
      <c r="T20" s="98" t="n">
        <f aca="false">COUNTIF('Controle de equipamento'!$W:$W,'KPI-s de Controle '!S20)</f>
        <v>3</v>
      </c>
      <c r="U20" s="99" t="n">
        <f aca="false">COUNTIFS('Controle de equipamento'!$V:$V,'KPI-s de Controle '!S20,'Controle de equipamento'!U:U,"REALIZADO")</f>
        <v>0</v>
      </c>
    </row>
    <row r="21" customFormat="false" ht="15" hidden="false" customHeight="false" outlineLevel="0" collapsed="false">
      <c r="B21" s="66"/>
      <c r="D21" s="66"/>
      <c r="M21" s="67"/>
      <c r="N21" s="60"/>
      <c r="O21" s="67"/>
      <c r="R21" s="94" t="s">
        <v>36</v>
      </c>
      <c r="S21" s="97" t="n">
        <v>3</v>
      </c>
      <c r="T21" s="98" t="n">
        <f aca="false">COUNTIF('Controle de equipamento'!$W:$W,'KPI-s de Controle '!S21)</f>
        <v>25</v>
      </c>
      <c r="U21" s="99" t="n">
        <f aca="false">COUNTIFS('Controle de equipamento'!$V:$V,'KPI-s de Controle '!S21,'Controle de equipamento'!U:U,"REALIZADO")</f>
        <v>0</v>
      </c>
    </row>
    <row r="22" customFormat="false" ht="15" hidden="false" customHeight="false" outlineLevel="0" collapsed="false">
      <c r="B22" s="66"/>
      <c r="D22" s="66"/>
      <c r="M22" s="67"/>
      <c r="N22" s="60"/>
      <c r="O22" s="67"/>
      <c r="R22" s="94" t="s">
        <v>37</v>
      </c>
      <c r="S22" s="97" t="n">
        <v>4</v>
      </c>
      <c r="T22" s="98" t="n">
        <f aca="false">COUNTIF('Controle de equipamento'!$W:$W,'KPI-s de Controle '!S22)</f>
        <v>23</v>
      </c>
      <c r="U22" s="99" t="n">
        <f aca="false">COUNTIFS('Controle de equipamento'!$V:$V,'KPI-s de Controle '!S22,'Controle de equipamento'!U:U,"REALIZADO")</f>
        <v>0</v>
      </c>
    </row>
    <row r="23" customFormat="false" ht="15" hidden="false" customHeight="false" outlineLevel="0" collapsed="false">
      <c r="B23" s="66"/>
      <c r="D23" s="66"/>
      <c r="M23" s="67"/>
      <c r="N23" s="60"/>
      <c r="O23" s="67"/>
      <c r="R23" s="94" t="s">
        <v>38</v>
      </c>
      <c r="S23" s="97" t="n">
        <v>5</v>
      </c>
      <c r="T23" s="98" t="n">
        <f aca="false">COUNTIF('Controle de equipamento'!$W:$W,'KPI-s de Controle '!S23)</f>
        <v>42</v>
      </c>
      <c r="U23" s="99" t="n">
        <f aca="false">COUNTIFS('Controle de equipamento'!$V:$V,'KPI-s de Controle '!S23,'Controle de equipamento'!U:U,"REALIZADO")</f>
        <v>8</v>
      </c>
    </row>
    <row r="24" customFormat="false" ht="15" hidden="false" customHeight="false" outlineLevel="0" collapsed="false">
      <c r="B24" s="66"/>
      <c r="D24" s="66"/>
      <c r="M24" s="67"/>
      <c r="N24" s="60"/>
      <c r="O24" s="67"/>
      <c r="R24" s="94" t="s">
        <v>39</v>
      </c>
      <c r="S24" s="97" t="n">
        <v>6</v>
      </c>
      <c r="T24" s="98" t="n">
        <f aca="false">COUNTIF('Controle de equipamento'!$W:$W,'KPI-s de Controle '!S24)</f>
        <v>43</v>
      </c>
      <c r="U24" s="99" t="n">
        <f aca="false">COUNTIFS('Controle de equipamento'!$V:$V,'KPI-s de Controle '!S24,'Controle de equipamento'!U:U,"REALIZADO")</f>
        <v>40</v>
      </c>
    </row>
    <row r="25" customFormat="false" ht="15" hidden="false" customHeight="false" outlineLevel="0" collapsed="false">
      <c r="B25" s="66"/>
      <c r="D25" s="66"/>
      <c r="M25" s="67"/>
      <c r="N25" s="60"/>
      <c r="O25" s="67"/>
      <c r="R25" s="94" t="s">
        <v>40</v>
      </c>
      <c r="S25" s="97" t="n">
        <v>7</v>
      </c>
      <c r="T25" s="98" t="n">
        <f aca="false">COUNTIF('Controle de equipamento'!$W:$W,'KPI-s de Controle '!S25)</f>
        <v>36</v>
      </c>
      <c r="U25" s="99" t="n">
        <f aca="false">COUNTIFS('Controle de equipamento'!$V:$V,'KPI-s de Controle '!S25,'Controle de equipamento'!U:U,"REALIZADO")</f>
        <v>0</v>
      </c>
    </row>
    <row r="26" customFormat="false" ht="15" hidden="false" customHeight="false" outlineLevel="0" collapsed="false">
      <c r="B26" s="66"/>
      <c r="D26" s="66"/>
      <c r="M26" s="67"/>
      <c r="N26" s="60"/>
      <c r="O26" s="67"/>
      <c r="R26" s="94" t="s">
        <v>41</v>
      </c>
      <c r="S26" s="97" t="n">
        <v>8</v>
      </c>
      <c r="T26" s="98" t="n">
        <f aca="false">COUNTIF('Controle de equipamento'!$W:$W,'KPI-s de Controle '!S26)</f>
        <v>61</v>
      </c>
      <c r="U26" s="99" t="n">
        <f aca="false">COUNTIFS('Controle de equipamento'!$V:$V,'KPI-s de Controle '!S26,'Controle de equipamento'!U:U,"REALIZADO")</f>
        <v>0</v>
      </c>
    </row>
    <row r="27" customFormat="false" ht="15" hidden="false" customHeight="false" outlineLevel="0" collapsed="false">
      <c r="B27" s="66"/>
      <c r="D27" s="66"/>
      <c r="M27" s="67"/>
      <c r="N27" s="60"/>
      <c r="O27" s="67"/>
      <c r="R27" s="94" t="s">
        <v>42</v>
      </c>
      <c r="S27" s="97" t="n">
        <v>9</v>
      </c>
      <c r="T27" s="98" t="n">
        <f aca="false">COUNTIF('Controle de equipamento'!$W:$W,'KPI-s de Controle '!S27)</f>
        <v>49</v>
      </c>
      <c r="U27" s="99" t="n">
        <f aca="false">COUNTIFS('Controle de equipamento'!$V:$V,'KPI-s de Controle '!S27,'Controle de equipamento'!U:U,"REALIZADO")</f>
        <v>0</v>
      </c>
    </row>
    <row r="28" customFormat="false" ht="15" hidden="false" customHeight="false" outlineLevel="0" collapsed="false">
      <c r="B28" s="66"/>
      <c r="D28" s="66"/>
      <c r="M28" s="67"/>
      <c r="N28" s="60"/>
      <c r="O28" s="67"/>
      <c r="R28" s="94" t="s">
        <v>43</v>
      </c>
      <c r="S28" s="97" t="n">
        <v>10</v>
      </c>
      <c r="T28" s="98" t="n">
        <f aca="false">COUNTIF('Controle de equipamento'!$W:$W,'KPI-s de Controle '!S28)</f>
        <v>5</v>
      </c>
      <c r="U28" s="99" t="n">
        <f aca="false">COUNTIFS('Controle de equipamento'!$V:$V,'KPI-s de Controle '!S28,'Controle de equipamento'!U:U,"REALIZADO")</f>
        <v>0</v>
      </c>
    </row>
    <row r="29" customFormat="false" ht="15" hidden="false" customHeight="false" outlineLevel="0" collapsed="false">
      <c r="B29" s="66"/>
      <c r="D29" s="66"/>
      <c r="M29" s="67"/>
      <c r="N29" s="60"/>
      <c r="O29" s="67"/>
      <c r="R29" s="94" t="s">
        <v>44</v>
      </c>
      <c r="S29" s="97" t="n">
        <v>11</v>
      </c>
      <c r="T29" s="98" t="n">
        <f aca="false">COUNTIF('Controle de equipamento'!$W:$W,'KPI-s de Controle '!S29)</f>
        <v>12</v>
      </c>
      <c r="U29" s="99" t="n">
        <f aca="false">COUNTIFS('Controle de equipamento'!$V:$V,'KPI-s de Controle '!S29,'Controle de equipamento'!U:U,"REALIZADO")</f>
        <v>0</v>
      </c>
    </row>
    <row r="30" customFormat="false" ht="15" hidden="false" customHeight="false" outlineLevel="0" collapsed="false">
      <c r="B30" s="66"/>
      <c r="D30" s="66"/>
      <c r="M30" s="67"/>
      <c r="N30" s="60"/>
      <c r="O30" s="67"/>
      <c r="R30" s="94" t="s">
        <v>45</v>
      </c>
      <c r="S30" s="97" t="n">
        <v>12</v>
      </c>
      <c r="T30" s="98" t="n">
        <f aca="false">COUNTIF('Controle de equipamento'!$W:$W,'KPI-s de Controle '!S30)</f>
        <v>1</v>
      </c>
      <c r="U30" s="99" t="n">
        <f aca="false">COUNTIFS('Controle de equipamento'!$V:$V,'KPI-s de Controle '!S30,'Controle de equipamento'!U:U,"REALIZADO")</f>
        <v>0</v>
      </c>
    </row>
    <row r="31" customFormat="false" ht="15" hidden="false" customHeight="false" outlineLevel="0" collapsed="false">
      <c r="B31" s="66"/>
      <c r="D31" s="66"/>
      <c r="M31" s="67"/>
      <c r="N31" s="60"/>
      <c r="O31" s="67"/>
    </row>
    <row r="32" customFormat="false" ht="15" hidden="false" customHeight="false" outlineLevel="0" collapsed="false">
      <c r="B32" s="66"/>
      <c r="D32" s="66"/>
      <c r="M32" s="67"/>
      <c r="N32" s="60"/>
      <c r="O32" s="67"/>
    </row>
    <row r="33" customFormat="false" ht="15" hidden="false" customHeight="false" outlineLevel="0" collapsed="false">
      <c r="B33" s="66"/>
      <c r="D33" s="66"/>
      <c r="M33" s="67"/>
      <c r="N33" s="60"/>
      <c r="O33" s="67"/>
    </row>
    <row r="34" customFormat="false" ht="15" hidden="false" customHeight="false" outlineLevel="0" collapsed="false">
      <c r="B34" s="66"/>
      <c r="D34" s="66"/>
      <c r="M34" s="67"/>
      <c r="N34" s="60"/>
      <c r="O34" s="67"/>
    </row>
    <row r="35" customFormat="false" ht="15" hidden="false" customHeight="false" outlineLevel="0" collapsed="false">
      <c r="B35" s="66"/>
      <c r="D35" s="66"/>
      <c r="M35" s="67"/>
      <c r="N35" s="60"/>
      <c r="O35" s="67"/>
    </row>
    <row r="36" customFormat="false" ht="15.75" hidden="false" customHeight="false" outlineLevel="0" collapsed="false">
      <c r="B36" s="66"/>
      <c r="D36" s="100"/>
      <c r="E36" s="87"/>
      <c r="F36" s="87"/>
      <c r="G36" s="87"/>
      <c r="H36" s="87"/>
      <c r="I36" s="87"/>
      <c r="J36" s="87"/>
      <c r="K36" s="87"/>
      <c r="L36" s="87"/>
      <c r="M36" s="88"/>
      <c r="N36" s="60"/>
      <c r="O36" s="67"/>
    </row>
    <row r="37" customFormat="false" ht="15.75" hidden="false" customHeight="false" outlineLevel="0" collapsed="false">
      <c r="B37" s="66"/>
      <c r="N37" s="60"/>
      <c r="O37" s="67"/>
    </row>
    <row r="38" customFormat="false" ht="15" hidden="false" customHeight="false" outlineLevel="0" collapsed="false">
      <c r="B38" s="66"/>
      <c r="C38" s="62"/>
      <c r="D38" s="63"/>
      <c r="E38" s="63"/>
      <c r="F38" s="63"/>
      <c r="G38" s="63"/>
      <c r="H38" s="63"/>
      <c r="I38" s="63"/>
      <c r="J38" s="63"/>
      <c r="K38" s="63"/>
      <c r="L38" s="63"/>
      <c r="M38" s="64"/>
      <c r="N38" s="65"/>
      <c r="O38" s="67"/>
    </row>
    <row r="39" customFormat="false" ht="15" hidden="false" customHeight="false" outlineLevel="0" collapsed="false">
      <c r="B39" s="66"/>
      <c r="C39" s="66"/>
      <c r="N39" s="67"/>
      <c r="O39" s="67"/>
    </row>
    <row r="40" customFormat="false" ht="15" hidden="false" customHeight="false" outlineLevel="0" collapsed="false">
      <c r="B40" s="66"/>
      <c r="C40" s="66"/>
      <c r="N40" s="67"/>
      <c r="O40" s="67"/>
    </row>
    <row r="41" customFormat="false" ht="15" hidden="false" customHeight="false" outlineLevel="0" collapsed="false">
      <c r="B41" s="66"/>
      <c r="C41" s="66"/>
      <c r="N41" s="67"/>
      <c r="O41" s="67"/>
    </row>
    <row r="42" customFormat="false" ht="15" hidden="false" customHeight="false" outlineLevel="0" collapsed="false">
      <c r="B42" s="66"/>
      <c r="C42" s="66"/>
      <c r="N42" s="67"/>
      <c r="O42" s="67"/>
    </row>
    <row r="43" customFormat="false" ht="15" hidden="false" customHeight="false" outlineLevel="0" collapsed="false">
      <c r="B43" s="66"/>
      <c r="C43" s="66"/>
      <c r="N43" s="67"/>
      <c r="O43" s="67"/>
    </row>
    <row r="44" customFormat="false" ht="15" hidden="false" customHeight="false" outlineLevel="0" collapsed="false">
      <c r="B44" s="66"/>
      <c r="C44" s="66"/>
      <c r="N44" s="67"/>
      <c r="O44" s="67"/>
    </row>
    <row r="45" customFormat="false" ht="15" hidden="false" customHeight="false" outlineLevel="0" collapsed="false">
      <c r="B45" s="66"/>
      <c r="C45" s="66"/>
      <c r="N45" s="67"/>
      <c r="O45" s="67"/>
    </row>
    <row r="46" customFormat="false" ht="15" hidden="false" customHeight="false" outlineLevel="0" collapsed="false">
      <c r="B46" s="66"/>
      <c r="C46" s="66"/>
      <c r="N46" s="67"/>
      <c r="O46" s="67"/>
    </row>
    <row r="47" customFormat="false" ht="15" hidden="false" customHeight="false" outlineLevel="0" collapsed="false">
      <c r="B47" s="66"/>
      <c r="C47" s="66"/>
      <c r="N47" s="67"/>
      <c r="O47" s="67"/>
    </row>
    <row r="48" customFormat="false" ht="15" hidden="false" customHeight="false" outlineLevel="0" collapsed="false">
      <c r="B48" s="66"/>
      <c r="C48" s="66"/>
      <c r="N48" s="67"/>
      <c r="O48" s="67"/>
    </row>
    <row r="49" customFormat="false" ht="15" hidden="false" customHeight="false" outlineLevel="0" collapsed="false">
      <c r="B49" s="66"/>
      <c r="C49" s="66"/>
      <c r="N49" s="67"/>
      <c r="O49" s="67"/>
    </row>
    <row r="50" customFormat="false" ht="15" hidden="false" customHeight="false" outlineLevel="0" collapsed="false">
      <c r="B50" s="66"/>
      <c r="C50" s="66"/>
      <c r="N50" s="67"/>
      <c r="O50" s="67"/>
    </row>
    <row r="51" customFormat="false" ht="15" hidden="false" customHeight="false" outlineLevel="0" collapsed="false">
      <c r="B51" s="66"/>
      <c r="C51" s="66"/>
      <c r="N51" s="67"/>
      <c r="O51" s="67"/>
    </row>
    <row r="52" customFormat="false" ht="15" hidden="false" customHeight="false" outlineLevel="0" collapsed="false">
      <c r="B52" s="66"/>
      <c r="C52" s="66"/>
      <c r="N52" s="67"/>
      <c r="O52" s="67"/>
    </row>
    <row r="53" customFormat="false" ht="15" hidden="false" customHeight="false" outlineLevel="0" collapsed="false">
      <c r="B53" s="66"/>
      <c r="C53" s="66"/>
      <c r="N53" s="67"/>
      <c r="O53" s="67"/>
    </row>
    <row r="54" customFormat="false" ht="15" hidden="false" customHeight="false" outlineLevel="0" collapsed="false">
      <c r="B54" s="66"/>
      <c r="C54" s="66"/>
      <c r="N54" s="67"/>
      <c r="O54" s="67"/>
    </row>
    <row r="55" customFormat="false" ht="15" hidden="false" customHeight="false" outlineLevel="0" collapsed="false">
      <c r="B55" s="66"/>
      <c r="C55" s="66"/>
      <c r="N55" s="67"/>
      <c r="O55" s="67"/>
    </row>
    <row r="56" customFormat="false" ht="15" hidden="false" customHeight="false" outlineLevel="0" collapsed="false">
      <c r="B56" s="66"/>
      <c r="C56" s="66"/>
      <c r="N56" s="67"/>
      <c r="O56" s="67"/>
    </row>
    <row r="57" customFormat="false" ht="15" hidden="false" customHeight="false" outlineLevel="0" collapsed="false">
      <c r="B57" s="66"/>
      <c r="C57" s="66"/>
      <c r="N57" s="67"/>
      <c r="O57" s="67"/>
    </row>
    <row r="58" customFormat="false" ht="15.75" hidden="false" customHeight="false" outlineLevel="0" collapsed="false">
      <c r="B58" s="66"/>
      <c r="C58" s="100"/>
      <c r="D58" s="87"/>
      <c r="E58" s="87"/>
      <c r="F58" s="87"/>
      <c r="G58" s="87"/>
      <c r="H58" s="87"/>
      <c r="I58" s="87"/>
      <c r="J58" s="87"/>
      <c r="K58" s="87"/>
      <c r="L58" s="87"/>
      <c r="M58" s="101"/>
      <c r="N58" s="88"/>
      <c r="O58" s="67"/>
    </row>
    <row r="59" customFormat="false" ht="15.75" hidden="false" customHeight="false" outlineLevel="0" collapsed="false">
      <c r="B59" s="100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101"/>
      <c r="N59" s="101"/>
      <c r="O59" s="88"/>
    </row>
  </sheetData>
  <mergeCells count="8">
    <mergeCell ref="D4:E5"/>
    <mergeCell ref="D6:E7"/>
    <mergeCell ref="D8:D9"/>
    <mergeCell ref="E8:E9"/>
    <mergeCell ref="D10:D11"/>
    <mergeCell ref="E10:E11"/>
    <mergeCell ref="D13:E14"/>
    <mergeCell ref="D15:E16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31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M32" activeCellId="0" sqref="M32"/>
    </sheetView>
  </sheetViews>
  <sheetFormatPr defaultColWidth="5.859375" defaultRowHeight="15" zeroHeight="false" outlineLevelRow="0" outlineLevelCol="0"/>
  <cols>
    <col collapsed="false" customWidth="true" hidden="false" outlineLevel="0" max="1" min="1" style="102" width="10.28"/>
    <col collapsed="false" customWidth="true" hidden="false" outlineLevel="0" max="2" min="2" style="102" width="34.14"/>
    <col collapsed="false" customWidth="true" hidden="false" outlineLevel="0" max="3" min="3" style="102" width="35"/>
    <col collapsed="false" customWidth="true" hidden="false" outlineLevel="0" max="4" min="4" style="102" width="15.71"/>
    <col collapsed="false" customWidth="true" hidden="false" outlineLevel="0" max="5" min="5" style="102" width="31.86"/>
    <col collapsed="false" customWidth="true" hidden="false" outlineLevel="0" max="6" min="6" style="102" width="33.14"/>
    <col collapsed="false" customWidth="true" hidden="false" outlineLevel="0" max="7" min="7" style="102" width="22.28"/>
    <col collapsed="false" customWidth="true" hidden="false" outlineLevel="0" max="8" min="8" style="102" width="16.43"/>
    <col collapsed="false" customWidth="true" hidden="false" outlineLevel="0" max="9" min="9" style="102" width="22"/>
    <col collapsed="false" customWidth="true" hidden="false" outlineLevel="0" max="10" min="10" style="103" width="23"/>
    <col collapsed="false" customWidth="true" hidden="false" outlineLevel="0" max="11" min="11" style="102" width="17.57"/>
    <col collapsed="false" customWidth="true" hidden="false" outlineLevel="0" max="12" min="12" style="102" width="25.85"/>
    <col collapsed="false" customWidth="true" hidden="false" outlineLevel="0" max="13" min="13" style="48" width="36"/>
    <col collapsed="false" customWidth="true" hidden="false" outlineLevel="0" max="14" min="14" style="102" width="34.57"/>
    <col collapsed="false" customWidth="true" hidden="true" outlineLevel="0" max="15" min="15" style="1" width="14.57"/>
    <col collapsed="false" customWidth="true" hidden="false" outlineLevel="0" max="16" min="16" style="1" width="16.14"/>
    <col collapsed="false" customWidth="true" hidden="false" outlineLevel="0" max="17" min="17" style="1" width="11.14"/>
    <col collapsed="false" customWidth="true" hidden="false" outlineLevel="0" max="18" min="18" style="48" width="14.85"/>
    <col collapsed="false" customWidth="true" hidden="false" outlineLevel="0" max="19" min="19" style="1" width="13.14"/>
    <col collapsed="false" customWidth="true" hidden="false" outlineLevel="0" max="20" min="20" style="1" width="183.42"/>
    <col collapsed="false" customWidth="true" hidden="false" outlineLevel="0" max="21" min="21" style="1" width="22.57"/>
    <col collapsed="false" customWidth="true" hidden="true" outlineLevel="0" max="22" min="22" style="1" width="13.43"/>
    <col collapsed="false" customWidth="false" hidden="true" outlineLevel="0" max="23" min="23" style="1" width="5.85"/>
    <col collapsed="false" customWidth="true" hidden="false" outlineLevel="0" max="24" min="24" style="1" width="6.57"/>
    <col collapsed="false" customWidth="true" hidden="false" outlineLevel="0" max="25" min="25" style="1" width="8.57"/>
    <col collapsed="false" customWidth="true" hidden="false" outlineLevel="0" max="27" min="26" style="1" width="6.57"/>
    <col collapsed="false" customWidth="false" hidden="false" outlineLevel="0" max="33" min="28" style="1" width="5.85"/>
    <col collapsed="false" customWidth="true" hidden="false" outlineLevel="0" max="34" min="34" style="1" width="11.57"/>
    <col collapsed="false" customWidth="false" hidden="false" outlineLevel="0" max="1024" min="35" style="1" width="5.85"/>
  </cols>
  <sheetData>
    <row r="1" s="107" customFormat="true" ht="25.5" hidden="false" customHeight="true" outlineLevel="0" collapsed="false">
      <c r="A1" s="104" t="s">
        <v>46</v>
      </c>
      <c r="B1" s="104" t="s">
        <v>47</v>
      </c>
      <c r="C1" s="104" t="s">
        <v>48</v>
      </c>
      <c r="D1" s="104" t="s">
        <v>49</v>
      </c>
      <c r="E1" s="104" t="s">
        <v>50</v>
      </c>
      <c r="F1" s="104" t="s">
        <v>51</v>
      </c>
      <c r="G1" s="104" t="s">
        <v>52</v>
      </c>
      <c r="H1" s="105" t="s">
        <v>53</v>
      </c>
      <c r="I1" s="104" t="s">
        <v>54</v>
      </c>
      <c r="J1" s="106" t="s">
        <v>55</v>
      </c>
      <c r="K1" s="104" t="s">
        <v>56</v>
      </c>
      <c r="L1" s="104" t="s">
        <v>57</v>
      </c>
      <c r="M1" s="105" t="s">
        <v>58</v>
      </c>
      <c r="N1" s="105" t="s">
        <v>59</v>
      </c>
      <c r="O1" s="107" t="s">
        <v>60</v>
      </c>
      <c r="P1" s="108" t="s">
        <v>61</v>
      </c>
      <c r="Q1" s="108" t="s">
        <v>62</v>
      </c>
      <c r="R1" s="105" t="s">
        <v>63</v>
      </c>
      <c r="S1" s="105" t="s">
        <v>64</v>
      </c>
      <c r="T1" s="105" t="s">
        <v>65</v>
      </c>
      <c r="U1" s="105" t="s">
        <v>66</v>
      </c>
      <c r="V1" s="105" t="s">
        <v>66</v>
      </c>
      <c r="W1" s="105" t="s">
        <v>32</v>
      </c>
    </row>
    <row r="2" customFormat="false" ht="15" hidden="false" customHeight="true" outlineLevel="0" collapsed="false">
      <c r="A2" s="102" t="s">
        <v>67</v>
      </c>
      <c r="B2" s="102" t="s">
        <v>68</v>
      </c>
      <c r="C2" s="109" t="s">
        <v>69</v>
      </c>
      <c r="D2" s="102" t="s">
        <v>70</v>
      </c>
      <c r="E2" s="102" t="s">
        <v>71</v>
      </c>
      <c r="F2" s="109" t="s">
        <v>72</v>
      </c>
      <c r="G2" s="102" t="s">
        <v>73</v>
      </c>
      <c r="H2" s="102" t="s">
        <v>74</v>
      </c>
      <c r="I2" s="102" t="s">
        <v>75</v>
      </c>
      <c r="J2" s="110" t="n">
        <v>3652</v>
      </c>
      <c r="K2" s="102" t="s">
        <v>76</v>
      </c>
      <c r="L2" s="102" t="s">
        <v>75</v>
      </c>
      <c r="M2" s="102" t="s">
        <v>77</v>
      </c>
      <c r="N2" s="102" t="s">
        <v>78</v>
      </c>
      <c r="O2" s="111" t="n">
        <v>44078</v>
      </c>
      <c r="P2" s="112" t="n">
        <f aca="false">IFERROR(VLOOKUP(J2,'Obs Tecnicas'!$D:$I,5,0),O2)</f>
        <v>44447</v>
      </c>
      <c r="Q2" s="111" t="str">
        <f aca="true">IF(P2&lt;&gt;"",IF(P2+365&gt;TODAY(),"Calibrado","Vencido"),"")</f>
        <v>Calibrado</v>
      </c>
      <c r="R2" s="113" t="n">
        <f aca="false">IFERROR(VLOOKUP(J2,'Obs Tecnicas'!$D:$G,2,0),"")</f>
        <v>13669</v>
      </c>
      <c r="S2" s="102" t="str">
        <f aca="false">IFERROR(VLOOKUP(J2,'Obs Tecnicas'!$D:$G,3,0),"Hexis")</f>
        <v>ER ANALITICA</v>
      </c>
      <c r="T2" s="102" t="str">
        <f aca="false">IFERROR(VLOOKUP(J2,'Obs Tecnicas'!$D:$G,4,0),"")</f>
        <v> Equipamento com vida útil avançada</v>
      </c>
      <c r="U2" s="1" t="s">
        <v>27</v>
      </c>
      <c r="V2" s="114" t="n">
        <f aca="false">IF(P2&lt;&gt;"",MONTH(P2),"")</f>
        <v>9</v>
      </c>
      <c r="W2" s="114" t="n">
        <v>8</v>
      </c>
    </row>
    <row r="3" customFormat="false" ht="15" hidden="false" customHeight="true" outlineLevel="0" collapsed="false">
      <c r="A3" s="102" t="s">
        <v>67</v>
      </c>
      <c r="B3" s="102" t="s">
        <v>68</v>
      </c>
      <c r="C3" s="109" t="s">
        <v>69</v>
      </c>
      <c r="D3" s="102" t="s">
        <v>70</v>
      </c>
      <c r="E3" s="102" t="s">
        <v>71</v>
      </c>
      <c r="F3" s="109" t="s">
        <v>72</v>
      </c>
      <c r="G3" s="102" t="s">
        <v>73</v>
      </c>
      <c r="H3" s="102" t="s">
        <v>74</v>
      </c>
      <c r="I3" s="102" t="s">
        <v>79</v>
      </c>
      <c r="J3" s="110" t="s">
        <v>80</v>
      </c>
      <c r="K3" s="102" t="s">
        <v>81</v>
      </c>
      <c r="L3" s="102" t="s">
        <v>82</v>
      </c>
      <c r="M3" s="102" t="s">
        <v>77</v>
      </c>
      <c r="N3" s="102" t="s">
        <v>78</v>
      </c>
      <c r="O3" s="111" t="n">
        <v>44079</v>
      </c>
      <c r="P3" s="112" t="n">
        <f aca="false">IFERROR(VLOOKUP(J3,'Obs Tecnicas'!$D:$I,5,0),O3)</f>
        <v>44447</v>
      </c>
      <c r="Q3" s="111" t="str">
        <f aca="true">IF(P3&lt;&gt;"",IF(P3+365&gt;TODAY(),"Calibrado","Vencido"),"")</f>
        <v>Calibrado</v>
      </c>
      <c r="R3" s="113" t="n">
        <f aca="false">IFERROR(VLOOKUP(J3,'Obs Tecnicas'!$D:$G,2,0),"")</f>
        <v>13670</v>
      </c>
      <c r="S3" s="102" t="str">
        <f aca="false">IFERROR(VLOOKUP(J3,'Obs Tecnicas'!$D:$G,3,0),"Hexis")</f>
        <v>ER ANALITICA</v>
      </c>
      <c r="T3" s="102" t="str">
        <f aca="false">IFERROR(VLOOKUP(J3,'Obs Tecnicas'!$D:$G,4,0),"")</f>
        <v> Filtro óptico de 420nm manchado e contatos de pilhas oxidados</v>
      </c>
      <c r="U3" s="1" t="s">
        <v>27</v>
      </c>
      <c r="V3" s="114" t="n">
        <f aca="false">IF(P3&lt;&gt;"",MONTH(P3),"")</f>
        <v>9</v>
      </c>
      <c r="W3" s="114" t="n">
        <v>8</v>
      </c>
    </row>
    <row r="4" customFormat="false" ht="15" hidden="false" customHeight="true" outlineLevel="0" collapsed="false">
      <c r="A4" s="102" t="s">
        <v>67</v>
      </c>
      <c r="B4" s="102" t="s">
        <v>68</v>
      </c>
      <c r="C4" s="109" t="s">
        <v>69</v>
      </c>
      <c r="D4" s="102" t="s">
        <v>70</v>
      </c>
      <c r="E4" s="102" t="s">
        <v>71</v>
      </c>
      <c r="F4" s="109" t="s">
        <v>72</v>
      </c>
      <c r="G4" s="102" t="s">
        <v>73</v>
      </c>
      <c r="H4" s="102" t="s">
        <v>74</v>
      </c>
      <c r="I4" s="102" t="s">
        <v>83</v>
      </c>
      <c r="J4" s="110" t="n">
        <v>4210981</v>
      </c>
      <c r="K4" s="102" t="s">
        <v>84</v>
      </c>
      <c r="L4" s="115" t="s">
        <v>85</v>
      </c>
      <c r="M4" s="102" t="s">
        <v>77</v>
      </c>
      <c r="N4" s="102" t="s">
        <v>78</v>
      </c>
      <c r="O4" s="111" t="n">
        <v>44080</v>
      </c>
      <c r="P4" s="112" t="n">
        <f aca="false">IFERROR(VLOOKUP(J4,'Obs Tecnicas'!$D:$I,5,0),O4)</f>
        <v>44447</v>
      </c>
      <c r="Q4" s="111" t="str">
        <f aca="true">IF(P4&lt;&gt;"",IF(P4+365&gt;TODAY(),"Calibrado","Vencido"),"")</f>
        <v>Calibrado</v>
      </c>
      <c r="R4" s="113" t="n">
        <f aca="false">IFERROR(VLOOKUP(J4,'Obs Tecnicas'!$D:$G,2,0),"")</f>
        <v>13671</v>
      </c>
      <c r="S4" s="102" t="str">
        <f aca="false">IFERROR(VLOOKUP(J4,'Obs Tecnicas'!$D:$G,3,0),"Hexis")</f>
        <v>ER ANALITICA</v>
      </c>
      <c r="T4" s="102" t="n">
        <f aca="false">IFERROR(VLOOKUP(J4,'Obs Tecnicas'!$D:$G,4,0),"")</f>
        <v>0</v>
      </c>
      <c r="U4" s="1" t="s">
        <v>27</v>
      </c>
      <c r="V4" s="114" t="n">
        <f aca="false">IF(P4&lt;&gt;"",MONTH(P4),"")</f>
        <v>9</v>
      </c>
      <c r="W4" s="114" t="n">
        <v>8</v>
      </c>
    </row>
    <row r="5" customFormat="false" ht="15" hidden="false" customHeight="true" outlineLevel="0" collapsed="false">
      <c r="A5" s="102" t="s">
        <v>67</v>
      </c>
      <c r="B5" s="102" t="s">
        <v>68</v>
      </c>
      <c r="C5" s="109" t="s">
        <v>69</v>
      </c>
      <c r="D5" s="102" t="s">
        <v>70</v>
      </c>
      <c r="E5" s="102" t="s">
        <v>71</v>
      </c>
      <c r="F5" s="109" t="s">
        <v>72</v>
      </c>
      <c r="G5" s="102" t="s">
        <v>73</v>
      </c>
      <c r="H5" s="102" t="s">
        <v>74</v>
      </c>
      <c r="I5" s="102" t="s">
        <v>86</v>
      </c>
      <c r="J5" s="110" t="n">
        <v>49433</v>
      </c>
      <c r="K5" s="102" t="s">
        <v>87</v>
      </c>
      <c r="L5" s="102" t="s">
        <v>88</v>
      </c>
      <c r="M5" s="102" t="s">
        <v>77</v>
      </c>
      <c r="N5" s="102" t="s">
        <v>78</v>
      </c>
      <c r="O5" s="111" t="n">
        <v>44081</v>
      </c>
      <c r="P5" s="112" t="n">
        <f aca="false">IFERROR(VLOOKUP(J5,'Obs Tecnicas'!$D:$I,5,0),O5)</f>
        <v>44447</v>
      </c>
      <c r="Q5" s="111" t="str">
        <f aca="true">IF(P5&lt;&gt;"",IF(P5+365&gt;TODAY(),"Calibrado","Vencido"),"")</f>
        <v>Calibrado</v>
      </c>
      <c r="R5" s="113" t="n">
        <f aca="false">IFERROR(VLOOKUP(J5,'Obs Tecnicas'!$D:$G,2,0),"")</f>
        <v>13672</v>
      </c>
      <c r="S5" s="102" t="str">
        <f aca="false">IFERROR(VLOOKUP(J5,'Obs Tecnicas'!$D:$G,3,0),"Hexis")</f>
        <v>ER ANALITICA</v>
      </c>
      <c r="T5" s="102" t="n">
        <f aca="false">IFERROR(VLOOKUP(J5,'Obs Tecnicas'!$D:$G,4,0),"")</f>
        <v>0</v>
      </c>
      <c r="U5" s="1" t="s">
        <v>27</v>
      </c>
      <c r="V5" s="114" t="n">
        <f aca="false">IF(P5&lt;&gt;"",MONTH(P5),"")</f>
        <v>9</v>
      </c>
      <c r="W5" s="114" t="n">
        <v>8</v>
      </c>
    </row>
    <row r="6" customFormat="false" ht="15" hidden="false" customHeight="true" outlineLevel="0" collapsed="false">
      <c r="A6" s="102" t="s">
        <v>67</v>
      </c>
      <c r="B6" s="102" t="s">
        <v>68</v>
      </c>
      <c r="C6" s="109" t="s">
        <v>69</v>
      </c>
      <c r="D6" s="102" t="s">
        <v>70</v>
      </c>
      <c r="E6" s="102" t="s">
        <v>71</v>
      </c>
      <c r="F6" s="109" t="s">
        <v>72</v>
      </c>
      <c r="G6" s="102" t="s">
        <v>73</v>
      </c>
      <c r="H6" s="102" t="s">
        <v>74</v>
      </c>
      <c r="I6" s="102" t="s">
        <v>89</v>
      </c>
      <c r="J6" s="110" t="s">
        <v>90</v>
      </c>
      <c r="K6" s="102" t="s">
        <v>81</v>
      </c>
      <c r="L6" s="102" t="s">
        <v>91</v>
      </c>
      <c r="M6" s="102" t="s">
        <v>77</v>
      </c>
      <c r="N6" s="102" t="s">
        <v>78</v>
      </c>
      <c r="O6" s="111" t="n">
        <v>44082</v>
      </c>
      <c r="P6" s="112" t="n">
        <f aca="false">IFERROR(VLOOKUP(J6,'Obs Tecnicas'!$D:$I,5,0),O6)</f>
        <v>44557</v>
      </c>
      <c r="Q6" s="111" t="str">
        <f aca="true">IF(P6&lt;&gt;"",IF(P6+365&gt;TODAY(),"Calibrado","Vencido"),"")</f>
        <v>Calibrado</v>
      </c>
      <c r="R6" s="113" t="n">
        <f aca="false">IFERROR(VLOOKUP(J6,'Obs Tecnicas'!$D:$G,2,0),"")</f>
        <v>13809</v>
      </c>
      <c r="S6" s="102" t="str">
        <f aca="false">IFERROR(VLOOKUP(J6,'Obs Tecnicas'!$D:$G,3,0),"Hexis")</f>
        <v>ER ANALITICA</v>
      </c>
      <c r="T6" s="102" t="n">
        <f aca="false">IFERROR(VLOOKUP(J6,'Obs Tecnicas'!$D:$G,4,0),"")</f>
        <v>0</v>
      </c>
      <c r="U6" s="1" t="s">
        <v>27</v>
      </c>
      <c r="V6" s="114" t="n">
        <f aca="false">IF(P6&lt;&gt;"",MONTH(P6),"")</f>
        <v>12</v>
      </c>
      <c r="W6" s="114" t="n">
        <v>6</v>
      </c>
    </row>
    <row r="7" customFormat="false" ht="15" hidden="false" customHeight="true" outlineLevel="0" collapsed="false">
      <c r="A7" s="115" t="s">
        <v>67</v>
      </c>
      <c r="B7" s="115" t="s">
        <v>92</v>
      </c>
      <c r="C7" s="109" t="s">
        <v>93</v>
      </c>
      <c r="D7" s="102" t="s">
        <v>94</v>
      </c>
      <c r="E7" s="102" t="s">
        <v>95</v>
      </c>
      <c r="F7" s="109" t="s">
        <v>96</v>
      </c>
      <c r="G7" s="102" t="s">
        <v>97</v>
      </c>
      <c r="H7" s="102" t="s">
        <v>98</v>
      </c>
      <c r="I7" s="102" t="s">
        <v>83</v>
      </c>
      <c r="J7" s="110" t="n">
        <v>4222730</v>
      </c>
      <c r="K7" s="102" t="s">
        <v>84</v>
      </c>
      <c r="L7" s="115" t="s">
        <v>85</v>
      </c>
      <c r="M7" s="102" t="s">
        <v>99</v>
      </c>
      <c r="N7" s="102" t="s">
        <v>100</v>
      </c>
      <c r="O7" s="111" t="n">
        <v>44083</v>
      </c>
      <c r="P7" s="112" t="n">
        <f aca="false">IFERROR(VLOOKUP(J7,'Obs Tecnicas'!$D:$I,5,0),O7)</f>
        <v>44455</v>
      </c>
      <c r="Q7" s="111" t="str">
        <f aca="true">IF(P7&lt;&gt;"",IF(P7+365&gt;TODAY(),"Calibrado","Vencido"),"")</f>
        <v>Calibrado</v>
      </c>
      <c r="R7" s="113" t="n">
        <f aca="false">IFERROR(VLOOKUP(J7,'Obs Tecnicas'!$D:$G,2,0),"")</f>
        <v>13761</v>
      </c>
      <c r="S7" s="102" t="str">
        <f aca="false">IFERROR(VLOOKUP(J7,'Obs Tecnicas'!$D:$G,3,0),"Hexis")</f>
        <v>ER ANALITICA</v>
      </c>
      <c r="T7" s="102" t="n">
        <f aca="false">IFERROR(VLOOKUP(J7,'Obs Tecnicas'!$D:$G,4,0),"")</f>
        <v>0</v>
      </c>
      <c r="U7" s="1" t="s">
        <v>27</v>
      </c>
      <c r="V7" s="114" t="n">
        <f aca="false">IF(P7&lt;&gt;"",MONTH(P7),"")</f>
        <v>9</v>
      </c>
      <c r="W7" s="114" t="n">
        <v>6</v>
      </c>
    </row>
    <row r="8" customFormat="false" ht="15" hidden="false" customHeight="true" outlineLevel="0" collapsed="false">
      <c r="A8" s="102" t="s">
        <v>67</v>
      </c>
      <c r="B8" s="115" t="s">
        <v>92</v>
      </c>
      <c r="C8" s="109" t="s">
        <v>93</v>
      </c>
      <c r="D8" s="102" t="s">
        <v>94</v>
      </c>
      <c r="E8" s="102" t="s">
        <v>95</v>
      </c>
      <c r="F8" s="109" t="s">
        <v>96</v>
      </c>
      <c r="G8" s="102" t="s">
        <v>97</v>
      </c>
      <c r="H8" s="102" t="s">
        <v>98</v>
      </c>
      <c r="I8" s="102" t="s">
        <v>101</v>
      </c>
      <c r="J8" s="110" t="s">
        <v>102</v>
      </c>
      <c r="K8" s="102" t="s">
        <v>81</v>
      </c>
      <c r="L8" s="102" t="s">
        <v>103</v>
      </c>
      <c r="M8" s="102" t="s">
        <v>99</v>
      </c>
      <c r="N8" s="102" t="s">
        <v>100</v>
      </c>
      <c r="O8" s="111" t="n">
        <v>44084</v>
      </c>
      <c r="P8" s="112" t="n">
        <f aca="false">IFERROR(VLOOKUP(J8,'Obs Tecnicas'!$D:$I,5,0),O8)</f>
        <v>44455</v>
      </c>
      <c r="Q8" s="111" t="str">
        <f aca="true">IF(P8&lt;&gt;"",IF(P8+365&gt;TODAY(),"Calibrado","Vencido"),"")</f>
        <v>Calibrado</v>
      </c>
      <c r="R8" s="113" t="n">
        <f aca="false">IFERROR(VLOOKUP(J8,'Obs Tecnicas'!$D:$G,2,0),"")</f>
        <v>13764</v>
      </c>
      <c r="S8" s="102" t="str">
        <f aca="false">IFERROR(VLOOKUP(J8,'Obs Tecnicas'!$D:$G,3,0),"Hexis")</f>
        <v>ER ANALITICA</v>
      </c>
      <c r="T8" s="102" t="n">
        <f aca="false">IFERROR(VLOOKUP(J8,'Obs Tecnicas'!$D:$G,4,0),"")</f>
        <v>0</v>
      </c>
      <c r="U8" s="1" t="s">
        <v>27</v>
      </c>
      <c r="V8" s="114" t="n">
        <f aca="false">IF(P8&lt;&gt;"",MONTH(P8),"")</f>
        <v>9</v>
      </c>
      <c r="W8" s="114" t="n">
        <v>6</v>
      </c>
    </row>
    <row r="9" s="116" customFormat="true" ht="15" hidden="false" customHeight="true" outlineLevel="0" collapsed="false">
      <c r="A9" s="102" t="s">
        <v>67</v>
      </c>
      <c r="B9" s="115" t="s">
        <v>92</v>
      </c>
      <c r="C9" s="109" t="s">
        <v>93</v>
      </c>
      <c r="D9" s="102" t="s">
        <v>94</v>
      </c>
      <c r="E9" s="102" t="s">
        <v>95</v>
      </c>
      <c r="F9" s="109" t="s">
        <v>96</v>
      </c>
      <c r="G9" s="102" t="s">
        <v>97</v>
      </c>
      <c r="H9" s="102" t="s">
        <v>98</v>
      </c>
      <c r="I9" s="102" t="s">
        <v>86</v>
      </c>
      <c r="J9" s="110" t="s">
        <v>104</v>
      </c>
      <c r="K9" s="102" t="s">
        <v>105</v>
      </c>
      <c r="L9" s="102" t="s">
        <v>106</v>
      </c>
      <c r="M9" s="102" t="s">
        <v>99</v>
      </c>
      <c r="N9" s="102" t="s">
        <v>100</v>
      </c>
      <c r="O9" s="111"/>
      <c r="P9" s="112" t="n">
        <f aca="false">IFERROR(VLOOKUP(J9,'Obs Tecnicas'!$D:$I,5,0),O9)</f>
        <v>44455</v>
      </c>
      <c r="Q9" s="111" t="str">
        <f aca="true">IF(P9&lt;&gt;"",IF(P9+365&gt;TODAY(),"Calibrado","Vencido"),"")</f>
        <v>Calibrado</v>
      </c>
      <c r="R9" s="113" t="n">
        <f aca="false">IFERROR(VLOOKUP(J9,'Obs Tecnicas'!$D:$G,2,0),"")</f>
        <v>13762</v>
      </c>
      <c r="S9" s="102" t="str">
        <f aca="false">IFERROR(VLOOKUP(J9,'Obs Tecnicas'!$D:$G,3,0),"Hexis")</f>
        <v>ER ANALITICA</v>
      </c>
      <c r="T9" s="102" t="n">
        <f aca="false">IFERROR(VLOOKUP(J9,'Obs Tecnicas'!$D:$G,4,0),"")</f>
        <v>0</v>
      </c>
      <c r="U9" s="1" t="s">
        <v>27</v>
      </c>
      <c r="V9" s="114" t="n">
        <f aca="false">IF(P9&lt;&gt;"",MONTH(P9),"")</f>
        <v>9</v>
      </c>
      <c r="W9" s="114" t="n">
        <v>6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customFormat="false" ht="15" hidden="false" customHeight="true" outlineLevel="0" collapsed="false">
      <c r="A10" s="102" t="s">
        <v>67</v>
      </c>
      <c r="B10" s="115" t="s">
        <v>92</v>
      </c>
      <c r="C10" s="109" t="s">
        <v>93</v>
      </c>
      <c r="D10" s="102" t="s">
        <v>94</v>
      </c>
      <c r="E10" s="102" t="s">
        <v>95</v>
      </c>
      <c r="F10" s="109" t="s">
        <v>96</v>
      </c>
      <c r="G10" s="102" t="s">
        <v>97</v>
      </c>
      <c r="H10" s="102" t="s">
        <v>98</v>
      </c>
      <c r="I10" s="102" t="s">
        <v>86</v>
      </c>
      <c r="J10" s="110" t="s">
        <v>107</v>
      </c>
      <c r="K10" s="102" t="s">
        <v>105</v>
      </c>
      <c r="L10" s="102" t="s">
        <v>108</v>
      </c>
      <c r="M10" s="102" t="s">
        <v>99</v>
      </c>
      <c r="N10" s="102" t="s">
        <v>100</v>
      </c>
      <c r="O10" s="111"/>
      <c r="P10" s="112" t="n">
        <f aca="false">IFERROR(VLOOKUP(J10,'Obs Tecnicas'!$D:$I,5,0),O10)</f>
        <v>44455</v>
      </c>
      <c r="Q10" s="111" t="str">
        <f aca="true">IF(P10&lt;&gt;"",IF(P10+365&gt;TODAY(),"Calibrado","Vencido"),"")</f>
        <v>Calibrado</v>
      </c>
      <c r="R10" s="113" t="n">
        <f aca="false">IFERROR(VLOOKUP(J10,'Obs Tecnicas'!$D:$G,2,0),"")</f>
        <v>13763</v>
      </c>
      <c r="S10" s="102" t="str">
        <f aca="false">IFERROR(VLOOKUP(J10,'Obs Tecnicas'!$D:$G,3,0),"Hexis")</f>
        <v>ER ANALITICA</v>
      </c>
      <c r="T10" s="102" t="n">
        <f aca="false">IFERROR(VLOOKUP(J10,'Obs Tecnicas'!$D:$G,4,0),"")</f>
        <v>0</v>
      </c>
      <c r="U10" s="1" t="s">
        <v>27</v>
      </c>
      <c r="V10" s="114" t="n">
        <f aca="false">IF(P10&lt;&gt;"",MONTH(P10),"")</f>
        <v>9</v>
      </c>
      <c r="W10" s="114" t="n">
        <v>6</v>
      </c>
    </row>
    <row r="11" customFormat="false" ht="15" hidden="false" customHeight="true" outlineLevel="0" collapsed="false">
      <c r="A11" s="102" t="s">
        <v>67</v>
      </c>
      <c r="B11" s="102" t="s">
        <v>109</v>
      </c>
      <c r="C11" s="109" t="s">
        <v>110</v>
      </c>
      <c r="D11" s="102" t="s">
        <v>111</v>
      </c>
      <c r="E11" s="102" t="s">
        <v>112</v>
      </c>
      <c r="F11" s="109" t="s">
        <v>113</v>
      </c>
      <c r="G11" s="102" t="s">
        <v>73</v>
      </c>
      <c r="H11" s="102" t="s">
        <v>114</v>
      </c>
      <c r="I11" s="102" t="s">
        <v>115</v>
      </c>
      <c r="J11" s="110" t="s">
        <v>116</v>
      </c>
      <c r="K11" s="102" t="s">
        <v>117</v>
      </c>
      <c r="L11" s="102" t="s">
        <v>118</v>
      </c>
      <c r="M11" s="115" t="s">
        <v>119</v>
      </c>
      <c r="N11" s="102" t="s">
        <v>120</v>
      </c>
      <c r="O11" s="111" t="n">
        <v>44068</v>
      </c>
      <c r="P11" s="112" t="n">
        <f aca="false">IFERROR(VLOOKUP(J11,'Obs Tecnicas'!$D:$I,5,0),O11)</f>
        <v>44459</v>
      </c>
      <c r="Q11" s="111" t="str">
        <f aca="true">IF(P11&lt;&gt;"",IF(P11+365&gt;TODAY(),"Calibrado","Vencido"),"")</f>
        <v>Calibrado</v>
      </c>
      <c r="R11" s="113" t="n">
        <f aca="false">IFERROR(VLOOKUP(J11,'Obs Tecnicas'!$D:$G,2,0),"")</f>
        <v>13827</v>
      </c>
      <c r="S11" s="102" t="str">
        <f aca="false">IFERROR(VLOOKUP(J11,'Obs Tecnicas'!$D:$G,3,0),"Hexis")</f>
        <v>ER ANALITICA</v>
      </c>
      <c r="T11" s="102" t="n">
        <f aca="false">IFERROR(VLOOKUP(J11,'Obs Tecnicas'!$D:$G,4,0),"")</f>
        <v>0</v>
      </c>
      <c r="U11" s="1" t="s">
        <v>27</v>
      </c>
      <c r="V11" s="114" t="n">
        <f aca="false">IF(P11&lt;&gt;"",MONTH(P11),"")</f>
        <v>9</v>
      </c>
      <c r="W11" s="114" t="n">
        <v>4</v>
      </c>
    </row>
    <row r="12" customFormat="false" ht="15" hidden="false" customHeight="true" outlineLevel="0" collapsed="false">
      <c r="A12" s="102" t="s">
        <v>67</v>
      </c>
      <c r="B12" s="102" t="s">
        <v>109</v>
      </c>
      <c r="C12" s="109" t="s">
        <v>110</v>
      </c>
      <c r="D12" s="102" t="s">
        <v>111</v>
      </c>
      <c r="E12" s="102" t="s">
        <v>112</v>
      </c>
      <c r="F12" s="109" t="s">
        <v>113</v>
      </c>
      <c r="G12" s="102" t="s">
        <v>73</v>
      </c>
      <c r="H12" s="102" t="s">
        <v>114</v>
      </c>
      <c r="I12" s="102" t="s">
        <v>86</v>
      </c>
      <c r="J12" s="110" t="n">
        <v>49483</v>
      </c>
      <c r="K12" s="102" t="s">
        <v>87</v>
      </c>
      <c r="L12" s="102" t="s">
        <v>121</v>
      </c>
      <c r="M12" s="115" t="s">
        <v>119</v>
      </c>
      <c r="N12" s="102" t="s">
        <v>120</v>
      </c>
      <c r="O12" s="111" t="n">
        <v>44068</v>
      </c>
      <c r="P12" s="112" t="n">
        <f aca="false">IFERROR(VLOOKUP(J12,'Obs Tecnicas'!$D:$I,5,0),O12)</f>
        <v>44459</v>
      </c>
      <c r="Q12" s="111" t="str">
        <f aca="true">IF(P12&lt;&gt;"",IF(P12+365&gt;TODAY(),"Calibrado","Vencido"),"")</f>
        <v>Calibrado</v>
      </c>
      <c r="R12" s="113" t="n">
        <f aca="false">IFERROR(VLOOKUP(J12,'Obs Tecnicas'!$D:$G,2,0),"")</f>
        <v>13822</v>
      </c>
      <c r="S12" s="102" t="str">
        <f aca="false">IFERROR(VLOOKUP(J12,'Obs Tecnicas'!$D:$G,3,0),"Hexis")</f>
        <v>ER ANALITICA</v>
      </c>
      <c r="T12" s="102" t="n">
        <f aca="false">IFERROR(VLOOKUP(J12,'Obs Tecnicas'!$D:$G,4,0),"")</f>
        <v>0</v>
      </c>
      <c r="U12" s="1" t="s">
        <v>27</v>
      </c>
      <c r="V12" s="114" t="n">
        <f aca="false">IF(P12&lt;&gt;"",MONTH(P12),"")</f>
        <v>9</v>
      </c>
      <c r="W12" s="114" t="n">
        <v>4</v>
      </c>
    </row>
    <row r="13" customFormat="false" ht="15" hidden="false" customHeight="true" outlineLevel="0" collapsed="false">
      <c r="A13" s="102" t="s">
        <v>67</v>
      </c>
      <c r="B13" s="102" t="s">
        <v>109</v>
      </c>
      <c r="C13" s="109" t="s">
        <v>110</v>
      </c>
      <c r="D13" s="102" t="s">
        <v>111</v>
      </c>
      <c r="E13" s="102" t="s">
        <v>112</v>
      </c>
      <c r="F13" s="109" t="s">
        <v>113</v>
      </c>
      <c r="G13" s="102" t="s">
        <v>73</v>
      </c>
      <c r="H13" s="102" t="s">
        <v>114</v>
      </c>
      <c r="I13" s="102" t="s">
        <v>75</v>
      </c>
      <c r="J13" s="110" t="s">
        <v>122</v>
      </c>
      <c r="K13" s="102" t="s">
        <v>81</v>
      </c>
      <c r="L13" s="102" t="s">
        <v>123</v>
      </c>
      <c r="M13" s="115" t="s">
        <v>119</v>
      </c>
      <c r="N13" s="102" t="s">
        <v>120</v>
      </c>
      <c r="O13" s="111" t="n">
        <v>44068</v>
      </c>
      <c r="P13" s="112" t="n">
        <f aca="false">IFERROR(VLOOKUP(J13,'Obs Tecnicas'!$D:$I,5,0),O13)</f>
        <v>44459</v>
      </c>
      <c r="Q13" s="111" t="str">
        <f aca="true">IF(P13&lt;&gt;"",IF(P13+365&gt;TODAY(),"Calibrado","Vencido"),"")</f>
        <v>Calibrado</v>
      </c>
      <c r="R13" s="113" t="n">
        <f aca="false">IFERROR(VLOOKUP(J13,'Obs Tecnicas'!$D:$G,2,0),"")</f>
        <v>13832</v>
      </c>
      <c r="S13" s="102" t="str">
        <f aca="false">IFERROR(VLOOKUP(J13,'Obs Tecnicas'!$D:$G,3,0),"Hexis")</f>
        <v>ER ANALITICA</v>
      </c>
      <c r="T13" s="102" t="str">
        <f aca="false">IFERROR(VLOOKUP(J13,'Obs Tecnicas'!$D:$G,4,0),"")</f>
        <v> Equipamento sem a manta térmica centra</v>
      </c>
      <c r="U13" s="1" t="s">
        <v>27</v>
      </c>
      <c r="V13" s="114" t="n">
        <f aca="false">IF(P13&lt;&gt;"",MONTH(P13),"")</f>
        <v>9</v>
      </c>
      <c r="W13" s="114" t="n">
        <v>4</v>
      </c>
    </row>
    <row r="14" customFormat="false" ht="15" hidden="false" customHeight="true" outlineLevel="0" collapsed="false">
      <c r="A14" s="102" t="s">
        <v>67</v>
      </c>
      <c r="B14" s="102" t="s">
        <v>109</v>
      </c>
      <c r="C14" s="109" t="s">
        <v>110</v>
      </c>
      <c r="D14" s="102" t="s">
        <v>111</v>
      </c>
      <c r="E14" s="102" t="s">
        <v>112</v>
      </c>
      <c r="F14" s="109" t="s">
        <v>113</v>
      </c>
      <c r="G14" s="102" t="s">
        <v>73</v>
      </c>
      <c r="H14" s="102" t="s">
        <v>114</v>
      </c>
      <c r="I14" s="102" t="s">
        <v>89</v>
      </c>
      <c r="J14" s="110" t="s">
        <v>124</v>
      </c>
      <c r="K14" s="102" t="s">
        <v>81</v>
      </c>
      <c r="L14" s="102" t="s">
        <v>91</v>
      </c>
      <c r="M14" s="115" t="s">
        <v>119</v>
      </c>
      <c r="N14" s="102" t="s">
        <v>120</v>
      </c>
      <c r="O14" s="111" t="n">
        <v>44068</v>
      </c>
      <c r="P14" s="112" t="n">
        <f aca="false">IFERROR(VLOOKUP(J14,'Obs Tecnicas'!$D:$I,5,0),O14)</f>
        <v>44459</v>
      </c>
      <c r="Q14" s="111" t="str">
        <f aca="true">IF(P14&lt;&gt;"",IF(P14+365&gt;TODAY(),"Calibrado","Vencido"),"")</f>
        <v>Calibrado</v>
      </c>
      <c r="R14" s="113" t="n">
        <f aca="false">IFERROR(VLOOKUP(J14,'Obs Tecnicas'!$D:$G,2,0),"")</f>
        <v>13829</v>
      </c>
      <c r="S14" s="102" t="str">
        <f aca="false">IFERROR(VLOOKUP(J14,'Obs Tecnicas'!$D:$G,3,0),"Hexis")</f>
        <v>ER ANALITICA</v>
      </c>
      <c r="T14" s="102" t="n">
        <f aca="false">IFERROR(VLOOKUP(J14,'Obs Tecnicas'!$D:$G,4,0),"")</f>
        <v>0</v>
      </c>
      <c r="U14" s="1" t="s">
        <v>27</v>
      </c>
      <c r="V14" s="114" t="n">
        <f aca="false">IF(P14&lt;&gt;"",MONTH(P14),"")</f>
        <v>9</v>
      </c>
      <c r="W14" s="114" t="n">
        <v>5</v>
      </c>
    </row>
    <row r="15" customFormat="false" ht="15" hidden="false" customHeight="true" outlineLevel="0" collapsed="false">
      <c r="A15" s="102" t="s">
        <v>67</v>
      </c>
      <c r="B15" s="102" t="s">
        <v>109</v>
      </c>
      <c r="C15" s="109" t="s">
        <v>110</v>
      </c>
      <c r="D15" s="102" t="s">
        <v>111</v>
      </c>
      <c r="E15" s="102" t="s">
        <v>112</v>
      </c>
      <c r="F15" s="109" t="s">
        <v>113</v>
      </c>
      <c r="G15" s="102" t="s">
        <v>73</v>
      </c>
      <c r="H15" s="102" t="s">
        <v>114</v>
      </c>
      <c r="I15" s="102" t="s">
        <v>101</v>
      </c>
      <c r="J15" s="110" t="n">
        <v>1426206</v>
      </c>
      <c r="K15" s="102" t="s">
        <v>81</v>
      </c>
      <c r="L15" s="102" t="s">
        <v>103</v>
      </c>
      <c r="M15" s="115" t="s">
        <v>119</v>
      </c>
      <c r="N15" s="102" t="s">
        <v>120</v>
      </c>
      <c r="O15" s="111" t="n">
        <v>44068</v>
      </c>
      <c r="P15" s="112" t="n">
        <f aca="false">IFERROR(VLOOKUP(J15,'Obs Tecnicas'!$D:$I,5,0),O15)</f>
        <v>44459</v>
      </c>
      <c r="Q15" s="111" t="str">
        <f aca="true">IF(P15&lt;&gt;"",IF(P15+365&gt;TODAY(),"Calibrado","Vencido"),"")</f>
        <v>Calibrado</v>
      </c>
      <c r="R15" s="113" t="n">
        <f aca="false">IFERROR(VLOOKUP(J15,'Obs Tecnicas'!$D:$G,2,0),"")</f>
        <v>13831</v>
      </c>
      <c r="S15" s="102" t="str">
        <f aca="false">IFERROR(VLOOKUP(J15,'Obs Tecnicas'!$D:$G,3,0),"Hexis")</f>
        <v>ER ANALITICA</v>
      </c>
      <c r="T15" s="102" t="str">
        <f aca="false">IFERROR(VLOOKUP(J15,'Obs Tecnicas'!$D:$G,4,0),"")</f>
        <v> Filtro óptico azul encontra-se oxidado e bateria de lítio responsável pelo armazenamento de dados e configurações do usuário está sem carga.</v>
      </c>
      <c r="U15" s="1" t="s">
        <v>30</v>
      </c>
      <c r="V15" s="114" t="n">
        <f aca="false">IF(P15&lt;&gt;"",MONTH(P15),"")</f>
        <v>9</v>
      </c>
      <c r="W15" s="114" t="n">
        <v>5</v>
      </c>
    </row>
    <row r="16" customFormat="false" ht="15" hidden="false" customHeight="true" outlineLevel="0" collapsed="false">
      <c r="A16" s="102" t="s">
        <v>67</v>
      </c>
      <c r="B16" s="102" t="s">
        <v>125</v>
      </c>
      <c r="C16" s="109" t="s">
        <v>126</v>
      </c>
      <c r="D16" s="102" t="s">
        <v>127</v>
      </c>
      <c r="E16" s="102" t="s">
        <v>112</v>
      </c>
      <c r="F16" s="109" t="s">
        <v>113</v>
      </c>
      <c r="G16" s="117" t="s">
        <v>73</v>
      </c>
      <c r="H16" s="117" t="s">
        <v>114</v>
      </c>
      <c r="I16" s="117" t="s">
        <v>115</v>
      </c>
      <c r="J16" s="110" t="s">
        <v>128</v>
      </c>
      <c r="K16" s="102" t="s">
        <v>117</v>
      </c>
      <c r="L16" s="117" t="s">
        <v>129</v>
      </c>
      <c r="M16" s="117" t="s">
        <v>119</v>
      </c>
      <c r="N16" s="117" t="s">
        <v>130</v>
      </c>
      <c r="O16" s="111" t="n">
        <v>44069</v>
      </c>
      <c r="P16" s="112" t="n">
        <f aca="false">IFERROR(VLOOKUP(J16,'Obs Tecnicas'!$D:$I,5,0),O16)</f>
        <v>44459</v>
      </c>
      <c r="Q16" s="111" t="str">
        <f aca="true">IF(P16&lt;&gt;"",IF(P16+365&gt;TODAY(),"Calibrado","Vencido"),"")</f>
        <v>Calibrado</v>
      </c>
      <c r="R16" s="113" t="n">
        <f aca="false">IFERROR(VLOOKUP(J16,'Obs Tecnicas'!$D:$G,2,0),"")</f>
        <v>13833</v>
      </c>
      <c r="S16" s="102" t="str">
        <f aca="false">IFERROR(VLOOKUP(J16,'Obs Tecnicas'!$D:$G,3,0),"Hexis")</f>
        <v>ER ANALITICA</v>
      </c>
      <c r="T16" s="102" t="n">
        <f aca="false">IFERROR(VLOOKUP(J16,'Obs Tecnicas'!$D:$G,4,0),"")</f>
        <v>0</v>
      </c>
      <c r="U16" s="1" t="s">
        <v>27</v>
      </c>
      <c r="V16" s="114" t="n">
        <f aca="false">IF(P16&lt;&gt;"",MONTH(P16),"")</f>
        <v>9</v>
      </c>
      <c r="W16" s="114" t="n">
        <v>5</v>
      </c>
    </row>
    <row r="17" customFormat="false" ht="15" hidden="false" customHeight="true" outlineLevel="0" collapsed="false">
      <c r="A17" s="102" t="s">
        <v>67</v>
      </c>
      <c r="B17" s="102" t="s">
        <v>125</v>
      </c>
      <c r="C17" s="109" t="s">
        <v>126</v>
      </c>
      <c r="D17" s="102" t="s">
        <v>127</v>
      </c>
      <c r="E17" s="102" t="s">
        <v>112</v>
      </c>
      <c r="F17" s="109" t="s">
        <v>113</v>
      </c>
      <c r="G17" s="117" t="s">
        <v>73</v>
      </c>
      <c r="H17" s="117" t="s">
        <v>114</v>
      </c>
      <c r="I17" s="102" t="s">
        <v>83</v>
      </c>
      <c r="J17" s="110" t="s">
        <v>131</v>
      </c>
      <c r="K17" s="102" t="s">
        <v>84</v>
      </c>
      <c r="L17" s="117" t="s">
        <v>85</v>
      </c>
      <c r="M17" s="117" t="s">
        <v>119</v>
      </c>
      <c r="N17" s="117" t="s">
        <v>130</v>
      </c>
      <c r="O17" s="111" t="n">
        <v>44069</v>
      </c>
      <c r="P17" s="112" t="n">
        <f aca="false">IFERROR(VLOOKUP(J17,'Obs Tecnicas'!$D:$I,5,0),O17)</f>
        <v>44459</v>
      </c>
      <c r="Q17" s="111" t="str">
        <f aca="true">IF(P17&lt;&gt;"",IF(P17+365&gt;TODAY(),"Calibrado","Vencido"),"")</f>
        <v>Calibrado</v>
      </c>
      <c r="R17" s="113" t="n">
        <f aca="false">IFERROR(VLOOKUP(J17,'Obs Tecnicas'!$D:$G,2,0),"")</f>
        <v>13928</v>
      </c>
      <c r="S17" s="102" t="str">
        <f aca="false">IFERROR(VLOOKUP(J17,'Obs Tecnicas'!$D:$G,3,0),"Hexis")</f>
        <v>ER ANALITICA</v>
      </c>
      <c r="T17" s="102" t="n">
        <f aca="false">IFERROR(VLOOKUP(J17,'Obs Tecnicas'!$D:$G,4,0),"")</f>
        <v>0</v>
      </c>
      <c r="U17" s="1" t="s">
        <v>27</v>
      </c>
      <c r="V17" s="114" t="n">
        <f aca="false">IF(P17&lt;&gt;"",MONTH(P17),"")</f>
        <v>9</v>
      </c>
      <c r="W17" s="114" t="n">
        <v>5</v>
      </c>
    </row>
    <row r="18" customFormat="false" ht="15" hidden="false" customHeight="true" outlineLevel="0" collapsed="false">
      <c r="A18" s="102" t="s">
        <v>67</v>
      </c>
      <c r="B18" s="102" t="s">
        <v>125</v>
      </c>
      <c r="C18" s="109" t="s">
        <v>126</v>
      </c>
      <c r="D18" s="102" t="s">
        <v>127</v>
      </c>
      <c r="E18" s="102" t="s">
        <v>112</v>
      </c>
      <c r="F18" s="109" t="s">
        <v>113</v>
      </c>
      <c r="G18" s="102" t="s">
        <v>73</v>
      </c>
      <c r="H18" s="102" t="s">
        <v>114</v>
      </c>
      <c r="I18" s="102" t="s">
        <v>83</v>
      </c>
      <c r="J18" s="110" t="s">
        <v>132</v>
      </c>
      <c r="K18" s="102" t="s">
        <v>133</v>
      </c>
      <c r="L18" s="102" t="s">
        <v>134</v>
      </c>
      <c r="M18" s="115" t="s">
        <v>119</v>
      </c>
      <c r="N18" s="117" t="s">
        <v>130</v>
      </c>
      <c r="O18" s="111" t="n">
        <v>44069</v>
      </c>
      <c r="P18" s="112" t="n">
        <f aca="false">IFERROR(VLOOKUP(J18,'Obs Tecnicas'!$D:$I,5,0),O18)</f>
        <v>44459</v>
      </c>
      <c r="Q18" s="111" t="str">
        <f aca="true">IF(P18&lt;&gt;"",IF(P18+365&gt;TODAY(),"Calibrado","Vencido"),"")</f>
        <v>Calibrado</v>
      </c>
      <c r="R18" s="113" t="n">
        <f aca="false">IFERROR(VLOOKUP(J18,'Obs Tecnicas'!$D:$G,2,0),"")</f>
        <v>13837</v>
      </c>
      <c r="S18" s="102" t="str">
        <f aca="false">IFERROR(VLOOKUP(J18,'Obs Tecnicas'!$D:$G,3,0),"Hexis")</f>
        <v>ER ANALITICA</v>
      </c>
      <c r="T18" s="102" t="n">
        <f aca="false">IFERROR(VLOOKUP(J18,'Obs Tecnicas'!$D:$G,4,0),"")</f>
        <v>0</v>
      </c>
      <c r="U18" s="1" t="s">
        <v>27</v>
      </c>
      <c r="V18" s="114" t="n">
        <f aca="false">IF(P18&lt;&gt;"",MONTH(P18),"")</f>
        <v>9</v>
      </c>
      <c r="W18" s="114" t="n">
        <v>5</v>
      </c>
    </row>
    <row r="19" s="116" customFormat="true" ht="15" hidden="false" customHeight="true" outlineLevel="0" collapsed="false">
      <c r="A19" s="102" t="s">
        <v>67</v>
      </c>
      <c r="B19" s="102" t="s">
        <v>109</v>
      </c>
      <c r="C19" s="109" t="s">
        <v>110</v>
      </c>
      <c r="D19" s="102" t="s">
        <v>111</v>
      </c>
      <c r="E19" s="102" t="s">
        <v>112</v>
      </c>
      <c r="F19" s="109" t="s">
        <v>113</v>
      </c>
      <c r="G19" s="102" t="s">
        <v>73</v>
      </c>
      <c r="H19" s="102" t="s">
        <v>114</v>
      </c>
      <c r="I19" s="102" t="s">
        <v>83</v>
      </c>
      <c r="J19" s="110" t="s">
        <v>135</v>
      </c>
      <c r="K19" s="102" t="s">
        <v>133</v>
      </c>
      <c r="L19" s="102" t="s">
        <v>134</v>
      </c>
      <c r="M19" s="115" t="s">
        <v>119</v>
      </c>
      <c r="N19" s="102" t="s">
        <v>120</v>
      </c>
      <c r="O19" s="111" t="n">
        <v>44069</v>
      </c>
      <c r="P19" s="112" t="n">
        <f aca="false">IFERROR(VLOOKUP(J19,'Obs Tecnicas'!$D:$I,5,0),O19)</f>
        <v>44459</v>
      </c>
      <c r="Q19" s="111" t="str">
        <f aca="true">IF(P19&lt;&gt;"",IF(P19+365&gt;TODAY(),"Calibrado","Vencido"),"")</f>
        <v>Calibrado</v>
      </c>
      <c r="R19" s="113" t="n">
        <f aca="false">IFERROR(VLOOKUP(J19,'Obs Tecnicas'!$D:$G,2,0),"")</f>
        <v>13826</v>
      </c>
      <c r="S19" s="102" t="str">
        <f aca="false">IFERROR(VLOOKUP(J19,'Obs Tecnicas'!$D:$G,3,0),"Hexis")</f>
        <v>ER ANALITICA</v>
      </c>
      <c r="T19" s="102" t="n">
        <f aca="false">IFERROR(VLOOKUP(J19,'Obs Tecnicas'!$D:$G,4,0),"")</f>
        <v>0</v>
      </c>
      <c r="U19" s="1" t="s">
        <v>27</v>
      </c>
      <c r="V19" s="114" t="n">
        <f aca="false">IF(P19&lt;&gt;"",MONTH(P19),"")</f>
        <v>9</v>
      </c>
      <c r="W19" s="114" t="n">
        <v>5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customFormat="false" ht="15" hidden="false" customHeight="true" outlineLevel="0" collapsed="false">
      <c r="A20" s="102" t="s">
        <v>67</v>
      </c>
      <c r="B20" s="102" t="s">
        <v>109</v>
      </c>
      <c r="C20" s="109" t="s">
        <v>110</v>
      </c>
      <c r="D20" s="102" t="s">
        <v>111</v>
      </c>
      <c r="E20" s="102" t="s">
        <v>112</v>
      </c>
      <c r="F20" s="109" t="s">
        <v>113</v>
      </c>
      <c r="G20" s="117" t="s">
        <v>73</v>
      </c>
      <c r="H20" s="117" t="s">
        <v>114</v>
      </c>
      <c r="I20" s="117" t="s">
        <v>86</v>
      </c>
      <c r="J20" s="110" t="n">
        <v>893769</v>
      </c>
      <c r="K20" s="117" t="s">
        <v>136</v>
      </c>
      <c r="L20" s="117" t="s">
        <v>137</v>
      </c>
      <c r="M20" s="115" t="s">
        <v>119</v>
      </c>
      <c r="N20" s="102" t="s">
        <v>120</v>
      </c>
      <c r="O20" s="111" t="n">
        <v>44069</v>
      </c>
      <c r="P20" s="112" t="n">
        <f aca="false">IFERROR(VLOOKUP(J20,'Obs Tecnicas'!$D:$I,5,0),O20)</f>
        <v>44459</v>
      </c>
      <c r="Q20" s="111" t="str">
        <f aca="true">IF(P20&lt;&gt;"",IF(P20+365&gt;TODAY(),"Calibrado","Vencido"),"")</f>
        <v>Calibrado</v>
      </c>
      <c r="R20" s="113" t="n">
        <f aca="false">IFERROR(VLOOKUP(J20,'Obs Tecnicas'!$D:$G,2,0),"")</f>
        <v>13926</v>
      </c>
      <c r="S20" s="102" t="str">
        <f aca="false">IFERROR(VLOOKUP(J20,'Obs Tecnicas'!$D:$G,3,0),"Hexis")</f>
        <v>ER ANALITICA</v>
      </c>
      <c r="T20" s="102" t="n">
        <f aca="false">IFERROR(VLOOKUP(J20,'Obs Tecnicas'!$D:$G,4,0),"")</f>
        <v>0</v>
      </c>
      <c r="U20" s="1" t="s">
        <v>27</v>
      </c>
      <c r="V20" s="114" t="n">
        <f aca="false">IF(P20&lt;&gt;"",MONTH(P20),"")</f>
        <v>9</v>
      </c>
      <c r="W20" s="114" t="n">
        <v>11</v>
      </c>
    </row>
    <row r="21" customFormat="false" ht="15" hidden="false" customHeight="true" outlineLevel="0" collapsed="false">
      <c r="A21" s="102" t="s">
        <v>67</v>
      </c>
      <c r="B21" s="102" t="s">
        <v>125</v>
      </c>
      <c r="C21" s="109" t="s">
        <v>126</v>
      </c>
      <c r="D21" s="102" t="s">
        <v>127</v>
      </c>
      <c r="E21" s="102" t="s">
        <v>112</v>
      </c>
      <c r="F21" s="109" t="s">
        <v>113</v>
      </c>
      <c r="G21" s="102" t="s">
        <v>73</v>
      </c>
      <c r="H21" s="117" t="s">
        <v>114</v>
      </c>
      <c r="I21" s="117" t="s">
        <v>86</v>
      </c>
      <c r="J21" s="110" t="n">
        <v>51302520</v>
      </c>
      <c r="K21" s="102" t="s">
        <v>117</v>
      </c>
      <c r="L21" s="117" t="s">
        <v>138</v>
      </c>
      <c r="M21" s="117" t="s">
        <v>119</v>
      </c>
      <c r="N21" s="117" t="s">
        <v>130</v>
      </c>
      <c r="O21" s="111" t="n">
        <v>44069</v>
      </c>
      <c r="P21" s="112" t="n">
        <f aca="false">IFERROR(VLOOKUP(J21,'Obs Tecnicas'!$D:$I,5,0),O21)</f>
        <v>44459</v>
      </c>
      <c r="Q21" s="111" t="str">
        <f aca="true">IF(P21&lt;&gt;"",IF(P21+365&gt;TODAY(),"Calibrado","Vencido"),"")</f>
        <v>Calibrado</v>
      </c>
      <c r="R21" s="113" t="n">
        <f aca="false">IFERROR(VLOOKUP(J21,'Obs Tecnicas'!$D:$G,2,0),"")</f>
        <v>13838</v>
      </c>
      <c r="S21" s="102" t="str">
        <f aca="false">IFERROR(VLOOKUP(J21,'Obs Tecnicas'!$D:$G,3,0),"Hexis")</f>
        <v>ER ANALITICA</v>
      </c>
      <c r="T21" s="102" t="n">
        <f aca="false">IFERROR(VLOOKUP(J21,'Obs Tecnicas'!$D:$G,4,0),"")</f>
        <v>0</v>
      </c>
      <c r="U21" s="1" t="s">
        <v>27</v>
      </c>
      <c r="V21" s="114" t="n">
        <f aca="false">IF(P21&lt;&gt;"",MONTH(P21),"")</f>
        <v>9</v>
      </c>
      <c r="W21" s="114" t="n">
        <v>5</v>
      </c>
    </row>
    <row r="22" customFormat="false" ht="15" hidden="false" customHeight="true" outlineLevel="0" collapsed="false">
      <c r="A22" s="102" t="s">
        <v>67</v>
      </c>
      <c r="B22" s="102" t="s">
        <v>125</v>
      </c>
      <c r="C22" s="109" t="s">
        <v>126</v>
      </c>
      <c r="D22" s="102" t="s">
        <v>127</v>
      </c>
      <c r="E22" s="102" t="s">
        <v>112</v>
      </c>
      <c r="F22" s="109" t="s">
        <v>113</v>
      </c>
      <c r="G22" s="117" t="s">
        <v>73</v>
      </c>
      <c r="H22" s="117" t="s">
        <v>114</v>
      </c>
      <c r="I22" s="117" t="s">
        <v>86</v>
      </c>
      <c r="J22" s="110" t="s">
        <v>139</v>
      </c>
      <c r="K22" s="117" t="s">
        <v>140</v>
      </c>
      <c r="L22" s="117" t="s">
        <v>141</v>
      </c>
      <c r="M22" s="117" t="s">
        <v>119</v>
      </c>
      <c r="N22" s="117" t="s">
        <v>130</v>
      </c>
      <c r="O22" s="111" t="n">
        <v>44069</v>
      </c>
      <c r="P22" s="112" t="n">
        <f aca="false">IFERROR(VLOOKUP(J22,'Obs Tecnicas'!$D:$I,5,0),O22)</f>
        <v>44459</v>
      </c>
      <c r="Q22" s="111" t="str">
        <f aca="true">IF(P22&lt;&gt;"",IF(P22+365&gt;TODAY(),"Calibrado","Vencido"),"")</f>
        <v>Calibrado</v>
      </c>
      <c r="R22" s="113" t="n">
        <f aca="false">IFERROR(VLOOKUP(J22,'Obs Tecnicas'!$D:$G,2,0),"")</f>
        <v>13834</v>
      </c>
      <c r="S22" s="102" t="str">
        <f aca="false">IFERROR(VLOOKUP(J22,'Obs Tecnicas'!$D:$G,3,0),"Hexis")</f>
        <v>ER ANALITICA</v>
      </c>
      <c r="T22" s="102" t="n">
        <f aca="false">IFERROR(VLOOKUP(J22,'Obs Tecnicas'!$D:$G,4,0),"")</f>
        <v>0</v>
      </c>
      <c r="U22" s="1" t="s">
        <v>27</v>
      </c>
      <c r="V22" s="114" t="n">
        <f aca="false">IF(P22&lt;&gt;"",MONTH(P22),"")</f>
        <v>9</v>
      </c>
      <c r="W22" s="114" t="n">
        <v>5</v>
      </c>
    </row>
    <row r="23" customFormat="false" ht="15" hidden="false" customHeight="true" outlineLevel="0" collapsed="false">
      <c r="A23" s="102" t="s">
        <v>67</v>
      </c>
      <c r="B23" s="102" t="s">
        <v>109</v>
      </c>
      <c r="C23" s="109" t="s">
        <v>110</v>
      </c>
      <c r="D23" s="102" t="s">
        <v>111</v>
      </c>
      <c r="E23" s="102" t="s">
        <v>112</v>
      </c>
      <c r="F23" s="109" t="s">
        <v>113</v>
      </c>
      <c r="G23" s="102" t="s">
        <v>73</v>
      </c>
      <c r="H23" s="102" t="s">
        <v>114</v>
      </c>
      <c r="I23" s="102" t="s">
        <v>86</v>
      </c>
      <c r="J23" s="110" t="s">
        <v>142</v>
      </c>
      <c r="K23" s="102" t="s">
        <v>87</v>
      </c>
      <c r="L23" s="102" t="s">
        <v>143</v>
      </c>
      <c r="M23" s="115" t="s">
        <v>119</v>
      </c>
      <c r="N23" s="102" t="s">
        <v>120</v>
      </c>
      <c r="O23" s="111" t="n">
        <v>44069</v>
      </c>
      <c r="P23" s="112" t="n">
        <f aca="false">IFERROR(VLOOKUP(J23,'Obs Tecnicas'!$D:$I,5,0),O23)</f>
        <v>44459</v>
      </c>
      <c r="Q23" s="111" t="str">
        <f aca="true">IF(P23&lt;&gt;"",IF(P23+365&gt;TODAY(),"Calibrado","Vencido"),"")</f>
        <v>Calibrado</v>
      </c>
      <c r="R23" s="113" t="n">
        <f aca="false">IFERROR(VLOOKUP(J23,'Obs Tecnicas'!$D:$G,2,0),"")</f>
        <v>13828</v>
      </c>
      <c r="S23" s="102" t="str">
        <f aca="false">IFERROR(VLOOKUP(J23,'Obs Tecnicas'!$D:$G,3,0),"Hexis")</f>
        <v>ER ANALITICA</v>
      </c>
      <c r="T23" s="102" t="n">
        <f aca="false">IFERROR(VLOOKUP(J23,'Obs Tecnicas'!$D:$G,4,0),"")</f>
        <v>0</v>
      </c>
      <c r="U23" s="1" t="s">
        <v>27</v>
      </c>
      <c r="V23" s="114" t="n">
        <f aca="false">IF(P23&lt;&gt;"",MONTH(P23),"")</f>
        <v>9</v>
      </c>
      <c r="W23" s="114" t="n">
        <v>5</v>
      </c>
    </row>
    <row r="24" customFormat="false" ht="15" hidden="false" customHeight="true" outlineLevel="0" collapsed="false">
      <c r="A24" s="102" t="s">
        <v>67</v>
      </c>
      <c r="B24" s="102" t="s">
        <v>125</v>
      </c>
      <c r="C24" s="109" t="s">
        <v>126</v>
      </c>
      <c r="D24" s="102" t="s">
        <v>127</v>
      </c>
      <c r="E24" s="102" t="s">
        <v>112</v>
      </c>
      <c r="F24" s="109" t="s">
        <v>113</v>
      </c>
      <c r="G24" s="117" t="s">
        <v>144</v>
      </c>
      <c r="H24" s="117" t="s">
        <v>114</v>
      </c>
      <c r="I24" s="102" t="s">
        <v>89</v>
      </c>
      <c r="J24" s="110" t="s">
        <v>145</v>
      </c>
      <c r="K24" s="102" t="s">
        <v>81</v>
      </c>
      <c r="L24" s="117" t="s">
        <v>91</v>
      </c>
      <c r="M24" s="115" t="s">
        <v>119</v>
      </c>
      <c r="N24" s="117" t="s">
        <v>130</v>
      </c>
      <c r="O24" s="111" t="n">
        <v>44459</v>
      </c>
      <c r="P24" s="112" t="n">
        <f aca="false">IFERROR(VLOOKUP(J24,'Obs Tecnicas'!$D:$I,5,0),O24)</f>
        <v>44459</v>
      </c>
      <c r="Q24" s="111" t="str">
        <f aca="true">IF(P24&lt;&gt;"",IF(P24+365&gt;TODAY(),"Calibrado","Vencido"),"")</f>
        <v>Calibrado</v>
      </c>
      <c r="R24" s="113" t="n">
        <f aca="false">IFERROR(VLOOKUP(J24,'Obs Tecnicas'!$D:$G,2,0),"")</f>
        <v>13835</v>
      </c>
      <c r="S24" s="102" t="str">
        <f aca="false">IFERROR(VLOOKUP(J24,'Obs Tecnicas'!$D:$G,3,0),"Hexis")</f>
        <v>ER ANALITICA</v>
      </c>
      <c r="T24" s="102" t="str">
        <f aca="false">IFERROR(VLOOKUP(J24,'Obs Tecnicas'!$D:$G,4,0),"")</f>
        <v> Equipamento demora para inicializar.</v>
      </c>
      <c r="U24" s="1" t="s">
        <v>27</v>
      </c>
      <c r="V24" s="114" t="n">
        <f aca="false">IF(P24&lt;&gt;"",MONTH(P24),"")</f>
        <v>9</v>
      </c>
      <c r="W24" s="114" t="n">
        <v>5</v>
      </c>
    </row>
    <row r="25" customFormat="false" ht="15" hidden="false" customHeight="true" outlineLevel="0" collapsed="false">
      <c r="A25" s="102" t="s">
        <v>67</v>
      </c>
      <c r="B25" s="102" t="s">
        <v>125</v>
      </c>
      <c r="C25" s="109" t="s">
        <v>126</v>
      </c>
      <c r="D25" s="102" t="s">
        <v>127</v>
      </c>
      <c r="E25" s="102" t="s">
        <v>112</v>
      </c>
      <c r="F25" s="109" t="s">
        <v>113</v>
      </c>
      <c r="G25" s="102" t="s">
        <v>146</v>
      </c>
      <c r="H25" s="102" t="s">
        <v>114</v>
      </c>
      <c r="I25" s="102" t="s">
        <v>101</v>
      </c>
      <c r="J25" s="110" t="s">
        <v>147</v>
      </c>
      <c r="K25" s="102" t="s">
        <v>81</v>
      </c>
      <c r="L25" s="118" t="s">
        <v>148</v>
      </c>
      <c r="M25" s="115" t="s">
        <v>119</v>
      </c>
      <c r="N25" s="117" t="s">
        <v>130</v>
      </c>
      <c r="O25" s="111"/>
      <c r="P25" s="112" t="n">
        <f aca="false">IFERROR(VLOOKUP(J25,'Obs Tecnicas'!$D:$I,5,0),O25)</f>
        <v>44459</v>
      </c>
      <c r="Q25" s="111" t="str">
        <f aca="true">IF(P25&lt;&gt;"",IF(P25+365&gt;TODAY(),"Calibrado","Vencido"),"")</f>
        <v>Calibrado</v>
      </c>
      <c r="R25" s="113" t="n">
        <f aca="false">IFERROR(VLOOKUP(J25,'Obs Tecnicas'!$D:$G,2,0),"")</f>
        <v>13836</v>
      </c>
      <c r="S25" s="102" t="str">
        <f aca="false">IFERROR(VLOOKUP(J25,'Obs Tecnicas'!$D:$G,3,0),"Hexis")</f>
        <v>ER ANALITICA</v>
      </c>
      <c r="T25" s="102" t="str">
        <f aca="false">IFERROR(VLOOKUP(J25,'Obs Tecnicas'!$D:$G,4,0),"")</f>
        <v> Equipamento demora para inicializar.</v>
      </c>
      <c r="U25" s="1" t="s">
        <v>27</v>
      </c>
      <c r="V25" s="114" t="n">
        <f aca="false">IF(P25&lt;&gt;"",MONTH(P25),"")</f>
        <v>9</v>
      </c>
      <c r="W25" s="114" t="n">
        <v>5</v>
      </c>
    </row>
    <row r="26" customFormat="false" ht="15" hidden="false" customHeight="true" outlineLevel="0" collapsed="false">
      <c r="A26" s="102" t="s">
        <v>67</v>
      </c>
      <c r="B26" s="102" t="s">
        <v>125</v>
      </c>
      <c r="C26" s="109" t="s">
        <v>126</v>
      </c>
      <c r="D26" s="102" t="s">
        <v>127</v>
      </c>
      <c r="E26" s="102" t="s">
        <v>112</v>
      </c>
      <c r="F26" s="109" t="s">
        <v>113</v>
      </c>
      <c r="G26" s="102" t="s">
        <v>149</v>
      </c>
      <c r="H26" s="102" t="s">
        <v>114</v>
      </c>
      <c r="I26" s="102" t="s">
        <v>86</v>
      </c>
      <c r="J26" s="110" t="s">
        <v>150</v>
      </c>
      <c r="K26" s="117" t="s">
        <v>136</v>
      </c>
      <c r="L26" s="118" t="s">
        <v>151</v>
      </c>
      <c r="M26" s="115" t="s">
        <v>119</v>
      </c>
      <c r="N26" s="117" t="s">
        <v>130</v>
      </c>
      <c r="O26" s="111"/>
      <c r="P26" s="112" t="n">
        <f aca="false">IFERROR(VLOOKUP(J26,'Obs Tecnicas'!$D:$I,5,0),O26)</f>
        <v>44459</v>
      </c>
      <c r="Q26" s="111" t="str">
        <f aca="true">IF(P26&lt;&gt;"",IF(P26+365&gt;TODAY(),"Calibrado","Vencido"),"")</f>
        <v>Calibrado</v>
      </c>
      <c r="R26" s="113" t="n">
        <f aca="false">IFERROR(VLOOKUP(J26,'Obs Tecnicas'!$D:$G,2,0),"")</f>
        <v>13925</v>
      </c>
      <c r="S26" s="102" t="str">
        <f aca="false">IFERROR(VLOOKUP(J26,'Obs Tecnicas'!$D:$G,3,0),"Hexis")</f>
        <v>ER ANALITICA</v>
      </c>
      <c r="T26" s="102" t="n">
        <f aca="false">IFERROR(VLOOKUP(J26,'Obs Tecnicas'!$D:$G,4,0),"")</f>
        <v>0</v>
      </c>
      <c r="U26" s="1" t="s">
        <v>27</v>
      </c>
      <c r="V26" s="114" t="n">
        <f aca="false">IF(P26&lt;&gt;"",MONTH(P26),"")</f>
        <v>9</v>
      </c>
      <c r="W26" s="114" t="n">
        <v>2</v>
      </c>
    </row>
    <row r="27" customFormat="false" ht="15" hidden="false" customHeight="true" outlineLevel="0" collapsed="false">
      <c r="A27" s="102" t="s">
        <v>67</v>
      </c>
      <c r="B27" s="102" t="s">
        <v>109</v>
      </c>
      <c r="C27" s="109" t="s">
        <v>110</v>
      </c>
      <c r="D27" s="102" t="s">
        <v>111</v>
      </c>
      <c r="E27" s="102" t="s">
        <v>112</v>
      </c>
      <c r="F27" s="109" t="s">
        <v>113</v>
      </c>
      <c r="H27" s="102" t="s">
        <v>114</v>
      </c>
      <c r="I27" s="102" t="s">
        <v>79</v>
      </c>
      <c r="J27" s="110" t="s">
        <v>152</v>
      </c>
      <c r="K27" s="102" t="s">
        <v>81</v>
      </c>
      <c r="L27" s="118" t="s">
        <v>153</v>
      </c>
      <c r="M27" s="115" t="s">
        <v>119</v>
      </c>
      <c r="N27" s="102" t="s">
        <v>120</v>
      </c>
      <c r="O27" s="111"/>
      <c r="P27" s="112" t="n">
        <f aca="false">IFERROR(VLOOKUP(J27,'Obs Tecnicas'!$D:$I,5,0),O27)</f>
        <v>44459</v>
      </c>
      <c r="Q27" s="111" t="str">
        <f aca="true">IF(P27&lt;&gt;"",IF(P27+365&gt;TODAY(),"Calibrado","Vencido"),"")</f>
        <v>Calibrado</v>
      </c>
      <c r="R27" s="113" t="n">
        <f aca="false">IFERROR(VLOOKUP(J27,'Obs Tecnicas'!$D:$G,2,0),"")</f>
        <v>13906</v>
      </c>
      <c r="S27" s="102" t="str">
        <f aca="false">IFERROR(VLOOKUP(J27,'Obs Tecnicas'!$D:$G,3,0),"Hexis")</f>
        <v>ER ANALITICA</v>
      </c>
      <c r="T27" s="102" t="n">
        <f aca="false">IFERROR(VLOOKUP(J27,'Obs Tecnicas'!$D:$G,4,0),"")</f>
        <v>0</v>
      </c>
      <c r="U27" s="1" t="s">
        <v>27</v>
      </c>
      <c r="V27" s="114" t="n">
        <f aca="false">IF(P27&lt;&gt;"",MONTH(P27),"")</f>
        <v>9</v>
      </c>
      <c r="W27" s="114" t="n">
        <v>2</v>
      </c>
    </row>
    <row r="28" customFormat="false" ht="15" hidden="false" customHeight="true" outlineLevel="0" collapsed="false">
      <c r="A28" s="102" t="s">
        <v>67</v>
      </c>
      <c r="B28" s="102" t="s">
        <v>109</v>
      </c>
      <c r="C28" s="109" t="s">
        <v>110</v>
      </c>
      <c r="D28" s="102" t="s">
        <v>111</v>
      </c>
      <c r="E28" s="102" t="s">
        <v>112</v>
      </c>
      <c r="F28" s="109" t="s">
        <v>113</v>
      </c>
      <c r="G28" s="102" t="s">
        <v>73</v>
      </c>
      <c r="H28" s="102" t="s">
        <v>114</v>
      </c>
      <c r="I28" s="102" t="s">
        <v>79</v>
      </c>
      <c r="J28" s="110" t="s">
        <v>154</v>
      </c>
      <c r="K28" s="102" t="s">
        <v>81</v>
      </c>
      <c r="L28" s="118" t="s">
        <v>82</v>
      </c>
      <c r="M28" s="115" t="s">
        <v>119</v>
      </c>
      <c r="N28" s="102" t="s">
        <v>120</v>
      </c>
      <c r="O28" s="111"/>
      <c r="P28" s="112" t="n">
        <f aca="false">IFERROR(VLOOKUP(J28,'Obs Tecnicas'!$D:$I,5,0),O28)</f>
        <v>44459</v>
      </c>
      <c r="Q28" s="111" t="str">
        <f aca="true">IF(P28&lt;&gt;"",IF(P28+365&gt;TODAY(),"Calibrado","Vencido"),"")</f>
        <v>Calibrado</v>
      </c>
      <c r="R28" s="113" t="n">
        <f aca="false">IFERROR(VLOOKUP(J28,'Obs Tecnicas'!$D:$G,2,0),"")</f>
        <v>13830</v>
      </c>
      <c r="S28" s="102" t="str">
        <f aca="false">IFERROR(VLOOKUP(J28,'Obs Tecnicas'!$D:$G,3,0),"Hexis")</f>
        <v>ER ANALITICA</v>
      </c>
      <c r="T28" s="102" t="n">
        <f aca="false">IFERROR(VLOOKUP(J28,'Obs Tecnicas'!$D:$G,4,0),"")</f>
        <v>0</v>
      </c>
      <c r="U28" s="1" t="s">
        <v>27</v>
      </c>
      <c r="V28" s="114" t="n">
        <f aca="false">IF(P28&lt;&gt;"",MONTH(P28),"")</f>
        <v>9</v>
      </c>
      <c r="W28" s="114" t="n">
        <v>2</v>
      </c>
    </row>
    <row r="29" customFormat="false" ht="15" hidden="false" customHeight="true" outlineLevel="0" collapsed="false">
      <c r="A29" s="102" t="s">
        <v>67</v>
      </c>
      <c r="B29" s="102" t="s">
        <v>109</v>
      </c>
      <c r="C29" s="109" t="s">
        <v>110</v>
      </c>
      <c r="D29" s="102" t="s">
        <v>111</v>
      </c>
      <c r="E29" s="102" t="s">
        <v>112</v>
      </c>
      <c r="F29" s="109" t="s">
        <v>113</v>
      </c>
      <c r="G29" s="102" t="s">
        <v>73</v>
      </c>
      <c r="H29" s="102" t="s">
        <v>114</v>
      </c>
      <c r="I29" s="102" t="s">
        <v>89</v>
      </c>
      <c r="J29" s="110" t="s">
        <v>155</v>
      </c>
      <c r="K29" s="102" t="s">
        <v>81</v>
      </c>
      <c r="L29" s="118" t="s">
        <v>91</v>
      </c>
      <c r="M29" s="115" t="s">
        <v>119</v>
      </c>
      <c r="N29" s="102" t="s">
        <v>120</v>
      </c>
      <c r="O29" s="111"/>
      <c r="P29" s="112" t="n">
        <f aca="false">IFERROR(VLOOKUP(J29,'Obs Tecnicas'!$D:$I,5,0),O29)</f>
        <v>44459</v>
      </c>
      <c r="Q29" s="111" t="str">
        <f aca="true">IF(P29&lt;&gt;"",IF(P29+365&gt;TODAY(),"Calibrado","Vencido"),"")</f>
        <v>Calibrado</v>
      </c>
      <c r="R29" s="113" t="n">
        <f aca="false">IFERROR(VLOOKUP(J29,'Obs Tecnicas'!$D:$G,2,0),"")</f>
        <v>13823</v>
      </c>
      <c r="S29" s="102" t="str">
        <f aca="false">IFERROR(VLOOKUP(J29,'Obs Tecnicas'!$D:$G,3,0),"Hexis")</f>
        <v>ER ANALITICA</v>
      </c>
      <c r="T29" s="102" t="n">
        <f aca="false">IFERROR(VLOOKUP(J29,'Obs Tecnicas'!$D:$G,4,0),"")</f>
        <v>0</v>
      </c>
      <c r="U29" s="1" t="s">
        <v>27</v>
      </c>
      <c r="V29" s="114" t="n">
        <f aca="false">IF(P29&lt;&gt;"",MONTH(P29),"")</f>
        <v>9</v>
      </c>
      <c r="W29" s="114" t="n">
        <v>11</v>
      </c>
    </row>
    <row r="30" customFormat="false" ht="15" hidden="false" customHeight="true" outlineLevel="0" collapsed="false">
      <c r="A30" s="102" t="s">
        <v>67</v>
      </c>
      <c r="B30" s="102" t="s">
        <v>109</v>
      </c>
      <c r="C30" s="109" t="s">
        <v>110</v>
      </c>
      <c r="D30" s="102" t="s">
        <v>111</v>
      </c>
      <c r="E30" s="102" t="s">
        <v>112</v>
      </c>
      <c r="F30" s="109" t="s">
        <v>113</v>
      </c>
      <c r="G30" s="102" t="s">
        <v>73</v>
      </c>
      <c r="H30" s="102" t="s">
        <v>114</v>
      </c>
      <c r="I30" s="102" t="s">
        <v>83</v>
      </c>
      <c r="J30" s="110" t="n">
        <v>49441</v>
      </c>
      <c r="K30" s="102" t="s">
        <v>87</v>
      </c>
      <c r="L30" s="61" t="s">
        <v>156</v>
      </c>
      <c r="M30" s="115" t="s">
        <v>119</v>
      </c>
      <c r="N30" s="102" t="s">
        <v>120</v>
      </c>
      <c r="O30" s="111"/>
      <c r="P30" s="112" t="n">
        <f aca="false">IFERROR(VLOOKUP(J30,'Obs Tecnicas'!$D:$I,5,0),O30)</f>
        <v>44459</v>
      </c>
      <c r="Q30" s="111" t="str">
        <f aca="true">IF(P30&lt;&gt;"",IF(P30+365&gt;TODAY(),"Calibrado","Vencido"),"")</f>
        <v>Calibrado</v>
      </c>
      <c r="R30" s="113" t="n">
        <f aca="false">IFERROR(VLOOKUP(J30,'Obs Tecnicas'!$D:$G,2,0),"")</f>
        <v>13824</v>
      </c>
      <c r="S30" s="102" t="str">
        <f aca="false">IFERROR(VLOOKUP(J30,'Obs Tecnicas'!$D:$G,3,0),"Hexis")</f>
        <v>ER ANALITICA</v>
      </c>
      <c r="T30" s="102" t="n">
        <f aca="false">IFERROR(VLOOKUP(J30,'Obs Tecnicas'!$D:$G,4,0),"")</f>
        <v>0</v>
      </c>
      <c r="U30" s="1" t="s">
        <v>27</v>
      </c>
      <c r="V30" s="114" t="n">
        <f aca="false">IF(P30&lt;&gt;"",MONTH(P30),"")</f>
        <v>9</v>
      </c>
      <c r="W30" s="114" t="n">
        <v>11</v>
      </c>
    </row>
    <row r="31" customFormat="false" ht="15" hidden="false" customHeight="true" outlineLevel="0" collapsed="false">
      <c r="A31" s="102" t="s">
        <v>67</v>
      </c>
      <c r="B31" s="102" t="s">
        <v>109</v>
      </c>
      <c r="C31" s="109" t="s">
        <v>110</v>
      </c>
      <c r="D31" s="102" t="s">
        <v>111</v>
      </c>
      <c r="E31" s="102" t="s">
        <v>112</v>
      </c>
      <c r="F31" s="109" t="s">
        <v>113</v>
      </c>
      <c r="G31" s="102" t="s">
        <v>73</v>
      </c>
      <c r="H31" s="102" t="s">
        <v>114</v>
      </c>
      <c r="I31" s="102" t="s">
        <v>79</v>
      </c>
      <c r="J31" s="110" t="s">
        <v>157</v>
      </c>
      <c r="K31" s="102" t="s">
        <v>81</v>
      </c>
      <c r="L31" s="118" t="s">
        <v>82</v>
      </c>
      <c r="M31" s="115" t="s">
        <v>119</v>
      </c>
      <c r="N31" s="102" t="s">
        <v>120</v>
      </c>
      <c r="O31" s="111"/>
      <c r="P31" s="112" t="n">
        <f aca="false">IFERROR(VLOOKUP(J31,'Obs Tecnicas'!$D:$I,5,0),O31)</f>
        <v>44459</v>
      </c>
      <c r="Q31" s="111" t="str">
        <f aca="true">IF(P31&lt;&gt;"",IF(P31+365&gt;TODAY(),"Calibrado","Vencido"),"")</f>
        <v>Calibrado</v>
      </c>
      <c r="R31" s="113" t="n">
        <f aca="false">IFERROR(VLOOKUP(J31,'Obs Tecnicas'!$D:$G,2,0),"")</f>
        <v>13825</v>
      </c>
      <c r="S31" s="102" t="str">
        <f aca="false">IFERROR(VLOOKUP(J31,'Obs Tecnicas'!$D:$G,3,0),"Hexis")</f>
        <v>ER ANALITICA</v>
      </c>
      <c r="T31" s="102" t="n">
        <f aca="false">IFERROR(VLOOKUP(J31,'Obs Tecnicas'!$D:$G,4,0),"")</f>
        <v>0</v>
      </c>
      <c r="U31" s="1" t="s">
        <v>27</v>
      </c>
      <c r="V31" s="114" t="n">
        <f aca="false">IF(P31&lt;&gt;"",MONTH(P31),"")</f>
        <v>9</v>
      </c>
      <c r="W31" s="114" t="n">
        <v>11</v>
      </c>
    </row>
    <row r="32" customFormat="false" ht="15" hidden="false" customHeight="true" outlineLevel="0" collapsed="false">
      <c r="A32" s="102" t="s">
        <v>67</v>
      </c>
      <c r="B32" s="102" t="s">
        <v>158</v>
      </c>
      <c r="C32" s="109" t="s">
        <v>159</v>
      </c>
      <c r="D32" s="102" t="s">
        <v>160</v>
      </c>
      <c r="E32" s="102" t="s">
        <v>161</v>
      </c>
      <c r="F32" s="109" t="s">
        <v>162</v>
      </c>
      <c r="G32" s="102" t="s">
        <v>97</v>
      </c>
      <c r="H32" s="102" t="s">
        <v>114</v>
      </c>
      <c r="I32" s="102" t="s">
        <v>79</v>
      </c>
      <c r="J32" s="110" t="s">
        <v>163</v>
      </c>
      <c r="K32" s="102" t="s">
        <v>81</v>
      </c>
      <c r="L32" s="102" t="s">
        <v>82</v>
      </c>
      <c r="M32" s="102" t="s">
        <v>164</v>
      </c>
      <c r="N32" s="102" t="s">
        <v>165</v>
      </c>
      <c r="O32" s="111" t="n">
        <v>44194</v>
      </c>
      <c r="P32" s="112" t="n">
        <f aca="false">IFERROR(VLOOKUP(J32,'Obs Tecnicas'!$D:$I,5,0),O32)</f>
        <v>44462</v>
      </c>
      <c r="Q32" s="111" t="str">
        <f aca="true">IF(P32&lt;&gt;"",IF(P32+365&gt;TODAY(),"Calibrado","Vencido"),"")</f>
        <v>Calibrado</v>
      </c>
      <c r="R32" s="113" t="n">
        <f aca="false">IFERROR(VLOOKUP(J32,'Obs Tecnicas'!$D:$G,2,0),"")</f>
        <v>13839</v>
      </c>
      <c r="S32" s="102" t="str">
        <f aca="false">IFERROR(VLOOKUP(J32,'Obs Tecnicas'!$D:$G,3,0),"Hexis")</f>
        <v>ER ANALITICA</v>
      </c>
      <c r="T32" s="102" t="n">
        <f aca="false">IFERROR(VLOOKUP(J32,'Obs Tecnicas'!$D:$G,4,0),"")</f>
        <v>0</v>
      </c>
      <c r="U32" s="1" t="s">
        <v>27</v>
      </c>
      <c r="V32" s="114" t="n">
        <f aca="false">IF(P32&lt;&gt;"",MONTH(P32),"")</f>
        <v>9</v>
      </c>
      <c r="W32" s="114" t="n">
        <v>5</v>
      </c>
    </row>
    <row r="33" customFormat="false" ht="15" hidden="false" customHeight="true" outlineLevel="0" collapsed="false">
      <c r="A33" s="102" t="s">
        <v>67</v>
      </c>
      <c r="B33" s="102" t="s">
        <v>158</v>
      </c>
      <c r="C33" s="109" t="s">
        <v>159</v>
      </c>
      <c r="D33" s="102" t="s">
        <v>160</v>
      </c>
      <c r="E33" s="102" t="s">
        <v>161</v>
      </c>
      <c r="F33" s="109" t="s">
        <v>162</v>
      </c>
      <c r="G33" s="102" t="s">
        <v>97</v>
      </c>
      <c r="H33" s="102" t="s">
        <v>114</v>
      </c>
      <c r="I33" s="102" t="s">
        <v>83</v>
      </c>
      <c r="J33" s="110" t="n">
        <v>4212228</v>
      </c>
      <c r="K33" s="102" t="s">
        <v>84</v>
      </c>
      <c r="L33" s="115" t="s">
        <v>85</v>
      </c>
      <c r="M33" s="102" t="s">
        <v>164</v>
      </c>
      <c r="N33" s="102" t="s">
        <v>165</v>
      </c>
      <c r="O33" s="111" t="n">
        <v>44194</v>
      </c>
      <c r="P33" s="112" t="n">
        <f aca="false">IFERROR(VLOOKUP(J33,'Obs Tecnicas'!$D:$I,5,0),O33)</f>
        <v>44462</v>
      </c>
      <c r="Q33" s="111" t="str">
        <f aca="true">IF(P33&lt;&gt;"",IF(P33+365&gt;TODAY(),"Calibrado","Vencido"),"")</f>
        <v>Calibrado</v>
      </c>
      <c r="R33" s="113" t="n">
        <f aca="false">IFERROR(VLOOKUP(J33,'Obs Tecnicas'!$D:$G,2,0),"")</f>
        <v>13840</v>
      </c>
      <c r="S33" s="102" t="str">
        <f aca="false">IFERROR(VLOOKUP(J33,'Obs Tecnicas'!$D:$G,3,0),"Hexis")</f>
        <v>ER ANALITICA</v>
      </c>
      <c r="T33" s="102" t="n">
        <f aca="false">IFERROR(VLOOKUP(J33,'Obs Tecnicas'!$D:$G,4,0),"")</f>
        <v>0</v>
      </c>
      <c r="U33" s="1" t="s">
        <v>27</v>
      </c>
      <c r="V33" s="114" t="n">
        <f aca="false">IF(P33&lt;&gt;"",MONTH(P33),"")</f>
        <v>9</v>
      </c>
      <c r="W33" s="114" t="n">
        <v>5</v>
      </c>
    </row>
    <row r="34" customFormat="false" ht="15" hidden="false" customHeight="true" outlineLevel="0" collapsed="false">
      <c r="A34" s="102" t="s">
        <v>67</v>
      </c>
      <c r="B34" s="102" t="s">
        <v>158</v>
      </c>
      <c r="C34" s="109" t="s">
        <v>159</v>
      </c>
      <c r="D34" s="102" t="s">
        <v>160</v>
      </c>
      <c r="E34" s="102" t="s">
        <v>161</v>
      </c>
      <c r="F34" s="109" t="s">
        <v>162</v>
      </c>
      <c r="G34" s="102" t="s">
        <v>97</v>
      </c>
      <c r="H34" s="102" t="s">
        <v>114</v>
      </c>
      <c r="I34" s="102" t="s">
        <v>86</v>
      </c>
      <c r="J34" s="110" t="n">
        <v>799046</v>
      </c>
      <c r="K34" s="117" t="s">
        <v>136</v>
      </c>
      <c r="L34" s="102" t="s">
        <v>137</v>
      </c>
      <c r="M34" s="102" t="s">
        <v>164</v>
      </c>
      <c r="N34" s="102" t="s">
        <v>165</v>
      </c>
      <c r="O34" s="111" t="n">
        <v>44462</v>
      </c>
      <c r="P34" s="112" t="n">
        <f aca="false">IFERROR(VLOOKUP(J34,'Obs Tecnicas'!$D:$I,5,0),O34)</f>
        <v>44462</v>
      </c>
      <c r="Q34" s="111" t="str">
        <f aca="true">IF(P34&lt;&gt;"",IF(P34+365&gt;TODAY(),"Calibrado","Vencido"),"")</f>
        <v>Calibrado</v>
      </c>
      <c r="R34" s="113" t="n">
        <f aca="false">IFERROR(VLOOKUP(J34,'Obs Tecnicas'!$D:$G,2,0),"")</f>
        <v>13841</v>
      </c>
      <c r="S34" s="102" t="str">
        <f aca="false">IFERROR(VLOOKUP(J34,'Obs Tecnicas'!$D:$G,3,0),"Hexis")</f>
        <v>ER ANALITICA</v>
      </c>
      <c r="T34" s="102" t="n">
        <f aca="false">IFERROR(VLOOKUP(J34,'Obs Tecnicas'!$D:$G,4,0),"")</f>
        <v>0</v>
      </c>
      <c r="U34" s="1" t="s">
        <v>27</v>
      </c>
      <c r="V34" s="114" t="n">
        <f aca="false">IF(P34&lt;&gt;"",MONTH(P34),"")</f>
        <v>9</v>
      </c>
      <c r="W34" s="114" t="n">
        <v>5</v>
      </c>
    </row>
    <row r="35" customFormat="false" ht="15" hidden="false" customHeight="true" outlineLevel="0" collapsed="false">
      <c r="A35" s="102" t="s">
        <v>67</v>
      </c>
      <c r="B35" s="102" t="s">
        <v>166</v>
      </c>
      <c r="C35" s="109" t="s">
        <v>167</v>
      </c>
      <c r="D35" s="102" t="s">
        <v>168</v>
      </c>
      <c r="E35" s="102" t="s">
        <v>169</v>
      </c>
      <c r="F35" s="109" t="s">
        <v>170</v>
      </c>
      <c r="G35" s="102" t="s">
        <v>97</v>
      </c>
      <c r="H35" s="102" t="s">
        <v>171</v>
      </c>
      <c r="I35" s="102" t="s">
        <v>79</v>
      </c>
      <c r="J35" s="110" t="s">
        <v>172</v>
      </c>
      <c r="K35" s="102" t="s">
        <v>81</v>
      </c>
      <c r="L35" s="102" t="s">
        <v>82</v>
      </c>
      <c r="M35" s="102" t="s">
        <v>173</v>
      </c>
      <c r="N35" s="102" t="s">
        <v>174</v>
      </c>
      <c r="O35" s="111" t="n">
        <v>44049</v>
      </c>
      <c r="P35" s="112" t="n">
        <f aca="false">IFERROR(VLOOKUP(J35,'Obs Tecnicas'!$D:$I,5,0),O35)</f>
        <v>44425</v>
      </c>
      <c r="Q35" s="111" t="str">
        <f aca="true">IF(P35&lt;&gt;"",IF(P35+365&gt;TODAY(),"Calibrado","Vencido"),"")</f>
        <v>Calibrado</v>
      </c>
      <c r="R35" s="113" t="n">
        <f aca="false">IFERROR(VLOOKUP(J35,'Obs Tecnicas'!$D:$G,2,0),"")</f>
        <v>13480</v>
      </c>
      <c r="S35" s="102" t="str">
        <f aca="false">IFERROR(VLOOKUP(J35,'Obs Tecnicas'!$D:$G,3,0),"Hexis")</f>
        <v>ER ANALITICA</v>
      </c>
      <c r="T35" s="102" t="n">
        <f aca="false">IFERROR(VLOOKUP(J35,'Obs Tecnicas'!$D:$G,4,0),"")</f>
        <v>0</v>
      </c>
      <c r="U35" s="1" t="s">
        <v>28</v>
      </c>
      <c r="V35" s="114" t="n">
        <f aca="false">IF(P35&lt;&gt;"",MONTH(P35),"")</f>
        <v>8</v>
      </c>
      <c r="W35" s="114" t="n">
        <v>6</v>
      </c>
      <c r="Z35" s="116"/>
      <c r="AB35" s="116"/>
      <c r="AD35" s="116"/>
      <c r="AF35" s="116"/>
      <c r="AG35" s="116"/>
      <c r="AH35" s="116"/>
      <c r="AI35" s="116"/>
      <c r="AK35" s="116"/>
      <c r="AL35" s="116"/>
      <c r="AM35" s="116"/>
      <c r="AN35" s="116"/>
      <c r="AO35" s="116"/>
    </row>
    <row r="36" customFormat="false" ht="15" hidden="false" customHeight="true" outlineLevel="0" collapsed="false">
      <c r="A36" s="102" t="s">
        <v>67</v>
      </c>
      <c r="B36" s="102" t="s">
        <v>166</v>
      </c>
      <c r="C36" s="109" t="s">
        <v>167</v>
      </c>
      <c r="D36" s="102" t="s">
        <v>168</v>
      </c>
      <c r="E36" s="102" t="s">
        <v>169</v>
      </c>
      <c r="F36" s="109" t="s">
        <v>170</v>
      </c>
      <c r="G36" s="102" t="s">
        <v>97</v>
      </c>
      <c r="H36" s="102" t="s">
        <v>171</v>
      </c>
      <c r="I36" s="102" t="s">
        <v>83</v>
      </c>
      <c r="J36" s="110" t="s">
        <v>175</v>
      </c>
      <c r="K36" s="102" t="s">
        <v>87</v>
      </c>
      <c r="L36" s="102" t="s">
        <v>156</v>
      </c>
      <c r="M36" s="102" t="s">
        <v>173</v>
      </c>
      <c r="N36" s="102" t="s">
        <v>174</v>
      </c>
      <c r="O36" s="111" t="n">
        <v>44049</v>
      </c>
      <c r="P36" s="112" t="n">
        <f aca="false">IFERROR(VLOOKUP(J36,'Obs Tecnicas'!$D:$I,5,0),O36)</f>
        <v>44425</v>
      </c>
      <c r="Q36" s="111" t="str">
        <f aca="true">IF(P36&lt;&gt;"",IF(P36+365&gt;TODAY(),"Calibrado","Vencido"),"")</f>
        <v>Calibrado</v>
      </c>
      <c r="R36" s="113" t="n">
        <f aca="false">IFERROR(VLOOKUP(J36,'Obs Tecnicas'!$D:$G,2,0),"")</f>
        <v>13481</v>
      </c>
      <c r="S36" s="102" t="str">
        <f aca="false">IFERROR(VLOOKUP(J36,'Obs Tecnicas'!$D:$G,3,0),"Hexis")</f>
        <v>ER ANALITICA</v>
      </c>
      <c r="T36" s="102" t="str">
        <f aca="false">IFERROR(VLOOKUP(J36,'Obs Tecnicas'!$D:$G,4,0),"")</f>
        <v>Sonda de condutividade apresenta vida útil avançada.</v>
      </c>
      <c r="U36" s="1" t="s">
        <v>28</v>
      </c>
      <c r="V36" s="114" t="n">
        <f aca="false">IF(P36&lt;&gt;"",MONTH(P36),"")</f>
        <v>8</v>
      </c>
      <c r="W36" s="114" t="n">
        <v>6</v>
      </c>
    </row>
    <row r="37" customFormat="false" ht="15" hidden="false" customHeight="true" outlineLevel="0" collapsed="false">
      <c r="A37" s="102" t="s">
        <v>67</v>
      </c>
      <c r="B37" s="102" t="s">
        <v>166</v>
      </c>
      <c r="C37" s="109" t="s">
        <v>167</v>
      </c>
      <c r="D37" s="102" t="s">
        <v>168</v>
      </c>
      <c r="E37" s="102" t="s">
        <v>169</v>
      </c>
      <c r="F37" s="109" t="s">
        <v>170</v>
      </c>
      <c r="G37" s="102" t="s">
        <v>97</v>
      </c>
      <c r="H37" s="102" t="s">
        <v>171</v>
      </c>
      <c r="I37" s="102" t="s">
        <v>86</v>
      </c>
      <c r="J37" s="110" t="s">
        <v>176</v>
      </c>
      <c r="K37" s="102" t="s">
        <v>87</v>
      </c>
      <c r="L37" s="102" t="s">
        <v>121</v>
      </c>
      <c r="M37" s="102" t="s">
        <v>173</v>
      </c>
      <c r="N37" s="102" t="s">
        <v>174</v>
      </c>
      <c r="O37" s="111" t="n">
        <v>44049</v>
      </c>
      <c r="P37" s="112" t="n">
        <f aca="false">IFERROR(VLOOKUP(J37,'Obs Tecnicas'!$D:$I,5,0),O37)</f>
        <v>44425</v>
      </c>
      <c r="Q37" s="111" t="str">
        <f aca="true">IF(P37&lt;&gt;"",IF(P37+365&gt;TODAY(),"Calibrado","Vencido"),"")</f>
        <v>Calibrado</v>
      </c>
      <c r="R37" s="113" t="n">
        <f aca="false">IFERROR(VLOOKUP(J37,'Obs Tecnicas'!$D:$G,2,0),"")</f>
        <v>13482</v>
      </c>
      <c r="S37" s="102" t="str">
        <f aca="false">IFERROR(VLOOKUP(J37,'Obs Tecnicas'!$D:$G,3,0),"Hexis")</f>
        <v>ER ANALITICA</v>
      </c>
      <c r="T37" s="102" t="n">
        <f aca="false">IFERROR(VLOOKUP(J37,'Obs Tecnicas'!$D:$G,4,0),"")</f>
        <v>0</v>
      </c>
      <c r="U37" s="1" t="s">
        <v>28</v>
      </c>
      <c r="V37" s="114" t="n">
        <f aca="false">IF(P37&lt;&gt;"",MONTH(P37),"")</f>
        <v>8</v>
      </c>
      <c r="W37" s="114" t="n">
        <v>5</v>
      </c>
    </row>
    <row r="38" customFormat="false" ht="15" hidden="false" customHeight="true" outlineLevel="0" collapsed="false">
      <c r="A38" s="102" t="s">
        <v>67</v>
      </c>
      <c r="B38" s="102" t="s">
        <v>177</v>
      </c>
      <c r="C38" s="109" t="s">
        <v>178</v>
      </c>
      <c r="D38" s="102" t="s">
        <v>179</v>
      </c>
      <c r="E38" s="102" t="s">
        <v>112</v>
      </c>
      <c r="F38" s="109" t="s">
        <v>113</v>
      </c>
      <c r="G38" s="102" t="s">
        <v>73</v>
      </c>
      <c r="H38" s="102" t="s">
        <v>171</v>
      </c>
      <c r="I38" s="102" t="s">
        <v>83</v>
      </c>
      <c r="J38" s="110" t="s">
        <v>180</v>
      </c>
      <c r="K38" s="102" t="s">
        <v>87</v>
      </c>
      <c r="L38" s="102" t="s">
        <v>156</v>
      </c>
      <c r="M38" s="102" t="s">
        <v>181</v>
      </c>
      <c r="N38" s="102" t="s">
        <v>182</v>
      </c>
      <c r="O38" s="111" t="n">
        <v>44105</v>
      </c>
      <c r="P38" s="112" t="n">
        <f aca="false">IFERROR(VLOOKUP(J38,'Obs Tecnicas'!$D:$I,5,0),O38)</f>
        <v>44426</v>
      </c>
      <c r="Q38" s="111" t="str">
        <f aca="true">IF(P38&lt;&gt;"",IF(P38+365&gt;TODAY(),"Calibrado","Vencido"),"")</f>
        <v>Calibrado</v>
      </c>
      <c r="R38" s="113" t="n">
        <f aca="false">IFERROR(VLOOKUP(J38,'Obs Tecnicas'!$D:$G,2,0),"")</f>
        <v>13484</v>
      </c>
      <c r="S38" s="102" t="str">
        <f aca="false">IFERROR(VLOOKUP(J38,'Obs Tecnicas'!$D:$G,3,0),"Hexis")</f>
        <v>ER ANALITICA</v>
      </c>
      <c r="T38" s="102" t="str">
        <f aca="false">IFERROR(VLOOKUP(J38,'Obs Tecnicas'!$D:$G,4,0),"")</f>
        <v>Sonda de condutivídade com vida útil avançada.</v>
      </c>
      <c r="U38" s="1" t="s">
        <v>28</v>
      </c>
      <c r="V38" s="114" t="n">
        <f aca="false">IF(P38&lt;&gt;"",MONTH(P38),"")</f>
        <v>8</v>
      </c>
      <c r="W38" s="114" t="n">
        <v>6</v>
      </c>
    </row>
    <row r="39" customFormat="false" ht="15" hidden="false" customHeight="true" outlineLevel="0" collapsed="false">
      <c r="A39" s="102" t="s">
        <v>67</v>
      </c>
      <c r="B39" s="102" t="s">
        <v>177</v>
      </c>
      <c r="C39" s="109" t="s">
        <v>178</v>
      </c>
      <c r="D39" s="102" t="s">
        <v>179</v>
      </c>
      <c r="E39" s="102" t="s">
        <v>112</v>
      </c>
      <c r="F39" s="109" t="s">
        <v>113</v>
      </c>
      <c r="G39" s="102" t="s">
        <v>73</v>
      </c>
      <c r="H39" s="102" t="s">
        <v>171</v>
      </c>
      <c r="I39" s="102" t="s">
        <v>86</v>
      </c>
      <c r="J39" s="110" t="s">
        <v>183</v>
      </c>
      <c r="K39" s="102" t="s">
        <v>87</v>
      </c>
      <c r="L39" s="102" t="s">
        <v>121</v>
      </c>
      <c r="M39" s="102" t="s">
        <v>181</v>
      </c>
      <c r="N39" s="102" t="s">
        <v>182</v>
      </c>
      <c r="O39" s="111" t="n">
        <v>44105</v>
      </c>
      <c r="P39" s="112" t="n">
        <f aca="false">IFERROR(VLOOKUP(J39,'Obs Tecnicas'!$D:$I,5,0),O39)</f>
        <v>44426</v>
      </c>
      <c r="Q39" s="111" t="str">
        <f aca="true">IF(P39&lt;&gt;"",IF(P39+365&gt;TODAY(),"Calibrado","Vencido"),"")</f>
        <v>Calibrado</v>
      </c>
      <c r="R39" s="113" t="n">
        <f aca="false">IFERROR(VLOOKUP(J39,'Obs Tecnicas'!$D:$G,2,0),"")</f>
        <v>13487</v>
      </c>
      <c r="S39" s="102" t="str">
        <f aca="false">IFERROR(VLOOKUP(J39,'Obs Tecnicas'!$D:$G,3,0),"Hexis")</f>
        <v>ER ANALITICA</v>
      </c>
      <c r="T39" s="102" t="str">
        <f aca="false">IFERROR(VLOOKUP(J39,'Obs Tecnicas'!$D:$G,4,0),"")</f>
        <v>Eletrodo com vida útil avançada.</v>
      </c>
      <c r="U39" s="1" t="s">
        <v>28</v>
      </c>
      <c r="V39" s="114" t="n">
        <f aca="false">IF(P39&lt;&gt;"",MONTH(P39),"")</f>
        <v>8</v>
      </c>
      <c r="W39" s="114" t="n">
        <v>6</v>
      </c>
    </row>
    <row r="40" customFormat="false" ht="15" hidden="false" customHeight="true" outlineLevel="0" collapsed="false">
      <c r="A40" s="102" t="s">
        <v>67</v>
      </c>
      <c r="B40" s="102" t="s">
        <v>177</v>
      </c>
      <c r="C40" s="109" t="s">
        <v>178</v>
      </c>
      <c r="D40" s="102" t="s">
        <v>179</v>
      </c>
      <c r="E40" s="102" t="s">
        <v>112</v>
      </c>
      <c r="F40" s="109" t="s">
        <v>113</v>
      </c>
      <c r="G40" s="102" t="s">
        <v>73</v>
      </c>
      <c r="H40" s="102" t="s">
        <v>171</v>
      </c>
      <c r="I40" s="102" t="s">
        <v>101</v>
      </c>
      <c r="J40" s="110" t="s">
        <v>184</v>
      </c>
      <c r="K40" s="102" t="s">
        <v>81</v>
      </c>
      <c r="L40" s="119" t="s">
        <v>185</v>
      </c>
      <c r="M40" s="102" t="s">
        <v>181</v>
      </c>
      <c r="N40" s="102" t="s">
        <v>182</v>
      </c>
      <c r="O40" s="111" t="n">
        <v>44409</v>
      </c>
      <c r="P40" s="112" t="n">
        <f aca="false">IFERROR(VLOOKUP(J40,'Obs Tecnicas'!$D:$I,5,0),O40)</f>
        <v>44409</v>
      </c>
      <c r="Q40" s="111" t="str">
        <f aca="true">IF(P40&lt;&gt;"",IF(P40+365&gt;TODAY(),"Calibrado","Vencido"),"")</f>
        <v>Calibrado</v>
      </c>
      <c r="R40" s="113" t="str">
        <f aca="false">IFERROR(VLOOKUP(J40,'Obs Tecnicas'!$D:$G,2,0),"")</f>
        <v/>
      </c>
      <c r="S40" s="102" t="str">
        <f aca="false">IFERROR(VLOOKUP(J40,'Obs Tecnicas'!$D:$G,3,0),"Hexis")</f>
        <v>Hexis</v>
      </c>
      <c r="T40" s="102" t="str">
        <f aca="false">IFERROR(VLOOKUP(J40,'Obs Tecnicas'!$D:$G,4,0),"")</f>
        <v/>
      </c>
      <c r="U40" s="1" t="s">
        <v>28</v>
      </c>
      <c r="V40" s="114" t="n">
        <f aca="false">IF(P40&lt;&gt;"",MONTH(P40),"")</f>
        <v>8</v>
      </c>
      <c r="W40" s="114" t="n">
        <v>6</v>
      </c>
    </row>
    <row r="41" customFormat="false" ht="15" hidden="false" customHeight="true" outlineLevel="0" collapsed="false">
      <c r="A41" s="102" t="s">
        <v>67</v>
      </c>
      <c r="B41" s="102" t="s">
        <v>177</v>
      </c>
      <c r="C41" s="109" t="s">
        <v>178</v>
      </c>
      <c r="D41" s="102" t="s">
        <v>179</v>
      </c>
      <c r="E41" s="102" t="s">
        <v>112</v>
      </c>
      <c r="F41" s="109" t="s">
        <v>113</v>
      </c>
      <c r="G41" s="102" t="s">
        <v>73</v>
      </c>
      <c r="H41" s="102" t="s">
        <v>171</v>
      </c>
      <c r="I41" s="102" t="s">
        <v>89</v>
      </c>
      <c r="J41" s="110" t="s">
        <v>186</v>
      </c>
      <c r="K41" s="102" t="s">
        <v>87</v>
      </c>
      <c r="L41" s="102" t="s">
        <v>187</v>
      </c>
      <c r="M41" s="102" t="s">
        <v>188</v>
      </c>
      <c r="N41" s="102" t="s">
        <v>189</v>
      </c>
      <c r="O41" s="111" t="n">
        <v>44105</v>
      </c>
      <c r="P41" s="112" t="n">
        <f aca="false">IFERROR(VLOOKUP(J41,'Obs Tecnicas'!$D:$I,5,0),O41)</f>
        <v>44426</v>
      </c>
      <c r="Q41" s="111" t="str">
        <f aca="true">IF(P41&lt;&gt;"",IF(P41+365&gt;TODAY(),"Calibrado","Vencido"),"")</f>
        <v>Calibrado</v>
      </c>
      <c r="R41" s="113" t="n">
        <f aca="false">IFERROR(VLOOKUP(J41,'Obs Tecnicas'!$D:$G,2,0),"")</f>
        <v>13488</v>
      </c>
      <c r="S41" s="102" t="str">
        <f aca="false">IFERROR(VLOOKUP(J41,'Obs Tecnicas'!$D:$G,3,0),"Hexis")</f>
        <v>ER ANALITICA</v>
      </c>
      <c r="T41" s="102" t="str">
        <f aca="false">IFERROR(VLOOKUP(J41,'Obs Tecnicas'!$D:$G,4,0),"")</f>
        <v>Carcaça superior avariada</v>
      </c>
      <c r="U41" s="1" t="s">
        <v>28</v>
      </c>
      <c r="V41" s="114" t="n">
        <f aca="false">IF(P41&lt;&gt;"",MONTH(P41),"")</f>
        <v>8</v>
      </c>
      <c r="W41" s="114" t="n">
        <v>6</v>
      </c>
    </row>
    <row r="42" customFormat="false" ht="15" hidden="false" customHeight="true" outlineLevel="0" collapsed="false">
      <c r="A42" s="102" t="s">
        <v>67</v>
      </c>
      <c r="B42" s="102" t="s">
        <v>177</v>
      </c>
      <c r="C42" s="109" t="s">
        <v>178</v>
      </c>
      <c r="D42" s="102" t="s">
        <v>179</v>
      </c>
      <c r="E42" s="102" t="s">
        <v>112</v>
      </c>
      <c r="F42" s="109" t="s">
        <v>113</v>
      </c>
      <c r="G42" s="102" t="s">
        <v>73</v>
      </c>
      <c r="H42" s="102" t="s">
        <v>171</v>
      </c>
      <c r="I42" s="102" t="s">
        <v>89</v>
      </c>
      <c r="J42" s="110" t="s">
        <v>190</v>
      </c>
      <c r="K42" s="102" t="s">
        <v>81</v>
      </c>
      <c r="L42" s="119" t="s">
        <v>191</v>
      </c>
      <c r="M42" s="61" t="s">
        <v>188</v>
      </c>
      <c r="N42" s="102" t="s">
        <v>189</v>
      </c>
      <c r="O42" s="111" t="n">
        <v>44501</v>
      </c>
      <c r="P42" s="112" t="n">
        <f aca="false">IFERROR(VLOOKUP(J42,'Obs Tecnicas'!$D:$I,5,0),O42)</f>
        <v>44501</v>
      </c>
      <c r="Q42" s="111" t="str">
        <f aca="true">IF(P42&lt;&gt;"",IF(P42+365&gt;TODAY(),"Calibrado","Vencido"),"")</f>
        <v>Calibrado</v>
      </c>
      <c r="R42" s="113" t="str">
        <f aca="false">IFERROR(VLOOKUP(J42,'Obs Tecnicas'!$D:$G,2,0),"")</f>
        <v/>
      </c>
      <c r="S42" s="102" t="str">
        <f aca="false">IFERROR(VLOOKUP(J42,'Obs Tecnicas'!$D:$G,3,0),"Hexis")</f>
        <v>Hexis</v>
      </c>
      <c r="T42" s="102" t="str">
        <f aca="false">IFERROR(VLOOKUP(J42,'Obs Tecnicas'!$D:$G,4,0),"")</f>
        <v/>
      </c>
      <c r="U42" s="1" t="s">
        <v>28</v>
      </c>
      <c r="V42" s="114" t="n">
        <f aca="false">IF(P42&lt;&gt;"",MONTH(P42),"")</f>
        <v>11</v>
      </c>
      <c r="W42" s="114" t="n">
        <v>6</v>
      </c>
    </row>
    <row r="43" customFormat="false" ht="15" hidden="false" customHeight="true" outlineLevel="0" collapsed="false">
      <c r="A43" s="102" t="s">
        <v>67</v>
      </c>
      <c r="B43" s="102" t="s">
        <v>192</v>
      </c>
      <c r="C43" s="109" t="s">
        <v>193</v>
      </c>
      <c r="D43" s="102" t="s">
        <v>194</v>
      </c>
      <c r="E43" s="102" t="s">
        <v>112</v>
      </c>
      <c r="F43" s="109" t="s">
        <v>113</v>
      </c>
      <c r="G43" s="102" t="s">
        <v>73</v>
      </c>
      <c r="H43" s="102" t="s">
        <v>171</v>
      </c>
      <c r="I43" s="102" t="s">
        <v>115</v>
      </c>
      <c r="J43" s="110" t="s">
        <v>195</v>
      </c>
      <c r="K43" s="102" t="s">
        <v>196</v>
      </c>
      <c r="L43" s="102" t="s">
        <v>197</v>
      </c>
      <c r="M43" s="102" t="s">
        <v>188</v>
      </c>
      <c r="N43" s="102" t="s">
        <v>189</v>
      </c>
      <c r="O43" s="111" t="n">
        <v>44105</v>
      </c>
      <c r="P43" s="112" t="n">
        <f aca="false">IFERROR(VLOOKUP(J43,'Obs Tecnicas'!$D:$I,5,0),O43)</f>
        <v>44426</v>
      </c>
      <c r="Q43" s="111" t="str">
        <f aca="true">IF(P43&lt;&gt;"",IF(P43+365&gt;TODAY(),"Calibrado","Vencido"),"")</f>
        <v>Calibrado</v>
      </c>
      <c r="R43" s="113" t="n">
        <f aca="false">IFERROR(VLOOKUP(J43,'Obs Tecnicas'!$D:$G,2,0),"")</f>
        <v>13483</v>
      </c>
      <c r="S43" s="102" t="str">
        <f aca="false">IFERROR(VLOOKUP(J43,'Obs Tecnicas'!$D:$G,3,0),"Hexis")</f>
        <v>ER ANALITICA</v>
      </c>
      <c r="T43" s="102" t="n">
        <f aca="false">IFERROR(VLOOKUP(J43,'Obs Tecnicas'!$D:$G,4,0),"")</f>
        <v>0</v>
      </c>
      <c r="U43" s="1" t="s">
        <v>28</v>
      </c>
      <c r="V43" s="114" t="n">
        <f aca="false">IF(P43&lt;&gt;"",MONTH(P43),"")</f>
        <v>8</v>
      </c>
      <c r="W43" s="114" t="n">
        <v>8</v>
      </c>
    </row>
    <row r="44" customFormat="false" ht="15" hidden="false" customHeight="true" outlineLevel="0" collapsed="false">
      <c r="A44" s="102" t="s">
        <v>67</v>
      </c>
      <c r="B44" s="102" t="s">
        <v>192</v>
      </c>
      <c r="C44" s="109" t="s">
        <v>193</v>
      </c>
      <c r="D44" s="102" t="s">
        <v>194</v>
      </c>
      <c r="E44" s="102" t="s">
        <v>112</v>
      </c>
      <c r="F44" s="109" t="s">
        <v>113</v>
      </c>
      <c r="G44" s="102" t="s">
        <v>73</v>
      </c>
      <c r="H44" s="102" t="s">
        <v>171</v>
      </c>
      <c r="I44" s="102" t="s">
        <v>101</v>
      </c>
      <c r="J44" s="110" t="s">
        <v>198</v>
      </c>
      <c r="K44" s="102" t="s">
        <v>81</v>
      </c>
      <c r="L44" s="118" t="s">
        <v>148</v>
      </c>
      <c r="M44" s="102" t="s">
        <v>188</v>
      </c>
      <c r="N44" s="102" t="s">
        <v>189</v>
      </c>
      <c r="O44" s="111" t="n">
        <v>44105</v>
      </c>
      <c r="P44" s="112" t="n">
        <f aca="false">IFERROR(VLOOKUP(J44,'Obs Tecnicas'!$D:$I,5,0),O44)</f>
        <v>44426</v>
      </c>
      <c r="Q44" s="111" t="str">
        <f aca="true">IF(P44&lt;&gt;"",IF(P44+365&gt;TODAY(),"Calibrado","Vencido"),"")</f>
        <v>Calibrado</v>
      </c>
      <c r="R44" s="113" t="n">
        <f aca="false">IFERROR(VLOOKUP(J44,'Obs Tecnicas'!$D:$G,2,0),"")</f>
        <v>13485</v>
      </c>
      <c r="S44" s="102" t="str">
        <f aca="false">IFERROR(VLOOKUP(J44,'Obs Tecnicas'!$D:$G,3,0),"Hexis")</f>
        <v>ER ANALITICA</v>
      </c>
      <c r="T44" s="102" t="str">
        <f aca="false">IFERROR(VLOOKUP(J44,'Obs Tecnicas'!$D:$G,4,0),"")</f>
        <v> Filtro óptico azul manchado.</v>
      </c>
      <c r="U44" s="1" t="s">
        <v>28</v>
      </c>
      <c r="V44" s="114" t="n">
        <f aca="false">IF(P44&lt;&gt;"",MONTH(P44),"")</f>
        <v>8</v>
      </c>
      <c r="W44" s="114" t="n">
        <v>8</v>
      </c>
    </row>
    <row r="45" customFormat="false" ht="15" hidden="false" customHeight="true" outlineLevel="0" collapsed="false">
      <c r="A45" s="102" t="s">
        <v>67</v>
      </c>
      <c r="B45" s="102" t="s">
        <v>192</v>
      </c>
      <c r="C45" s="109" t="s">
        <v>193</v>
      </c>
      <c r="D45" s="102" t="s">
        <v>194</v>
      </c>
      <c r="E45" s="102" t="s">
        <v>112</v>
      </c>
      <c r="F45" s="109" t="s">
        <v>113</v>
      </c>
      <c r="G45" s="102" t="s">
        <v>73</v>
      </c>
      <c r="H45" s="102" t="s">
        <v>171</v>
      </c>
      <c r="I45" s="102" t="s">
        <v>86</v>
      </c>
      <c r="J45" s="110" t="s">
        <v>199</v>
      </c>
      <c r="K45" s="102" t="s">
        <v>87</v>
      </c>
      <c r="L45" s="119" t="s">
        <v>200</v>
      </c>
      <c r="M45" s="102" t="s">
        <v>188</v>
      </c>
      <c r="N45" s="102" t="s">
        <v>189</v>
      </c>
      <c r="O45" s="111" t="n">
        <v>44409</v>
      </c>
      <c r="P45" s="112" t="n">
        <f aca="false">IFERROR(VLOOKUP(J45,'Obs Tecnicas'!$D:$I,5,0),O45)</f>
        <v>44409</v>
      </c>
      <c r="Q45" s="111" t="str">
        <f aca="true">IF(P45&lt;&gt;"",IF(P45+365&gt;TODAY(),"Calibrado","Vencido"),"")</f>
        <v>Calibrado</v>
      </c>
      <c r="R45" s="113" t="str">
        <f aca="false">IFERROR(VLOOKUP(J45,'Obs Tecnicas'!$D:$G,2,0),"")</f>
        <v/>
      </c>
      <c r="S45" s="102" t="str">
        <f aca="false">IFERROR(VLOOKUP(J45,'Obs Tecnicas'!$D:$G,3,0),"Hexis")</f>
        <v>Hexis</v>
      </c>
      <c r="T45" s="102" t="str">
        <f aca="false">IFERROR(VLOOKUP(J45,'Obs Tecnicas'!$D:$G,4,0),"")</f>
        <v/>
      </c>
      <c r="U45" s="1" t="s">
        <v>28</v>
      </c>
      <c r="V45" s="114" t="n">
        <f aca="false">IF(P45&lt;&gt;"",MONTH(P45),"")</f>
        <v>8</v>
      </c>
      <c r="W45" s="114" t="n">
        <v>7</v>
      </c>
    </row>
    <row r="46" customFormat="false" ht="15" hidden="false" customHeight="true" outlineLevel="0" collapsed="false">
      <c r="A46" s="102" t="s">
        <v>67</v>
      </c>
      <c r="B46" s="102" t="s">
        <v>192</v>
      </c>
      <c r="C46" s="109" t="s">
        <v>193</v>
      </c>
      <c r="D46" s="102" t="s">
        <v>194</v>
      </c>
      <c r="E46" s="115" t="s">
        <v>112</v>
      </c>
      <c r="F46" s="109" t="s">
        <v>113</v>
      </c>
      <c r="G46" s="102" t="s">
        <v>73</v>
      </c>
      <c r="H46" s="102" t="s">
        <v>171</v>
      </c>
      <c r="I46" s="102" t="s">
        <v>83</v>
      </c>
      <c r="J46" s="110" t="s">
        <v>201</v>
      </c>
      <c r="K46" s="102" t="s">
        <v>87</v>
      </c>
      <c r="L46" s="119" t="s">
        <v>202</v>
      </c>
      <c r="M46" s="102" t="s">
        <v>188</v>
      </c>
      <c r="N46" s="102" t="s">
        <v>189</v>
      </c>
      <c r="O46" s="111" t="n">
        <v>44513</v>
      </c>
      <c r="P46" s="112" t="n">
        <f aca="false">IFERROR(VLOOKUP(J46,'Obs Tecnicas'!$D:$I,5,0),O46)</f>
        <v>44513</v>
      </c>
      <c r="Q46" s="111" t="str">
        <f aca="true">IF(P46&lt;&gt;"",IF(P46+365&gt;TODAY(),"Calibrado","Vencido"),"")</f>
        <v>Calibrado</v>
      </c>
      <c r="R46" s="113" t="str">
        <f aca="false">IFERROR(VLOOKUP(J46,'Obs Tecnicas'!$D:$G,2,0),"")</f>
        <v/>
      </c>
      <c r="S46" s="102" t="str">
        <f aca="false">IFERROR(VLOOKUP(J46,'Obs Tecnicas'!$D:$G,3,0),"Hexis")</f>
        <v>Hexis</v>
      </c>
      <c r="T46" s="102" t="str">
        <f aca="false">IFERROR(VLOOKUP(J46,'Obs Tecnicas'!$D:$G,4,0),"")</f>
        <v/>
      </c>
      <c r="U46" s="1" t="s">
        <v>28</v>
      </c>
      <c r="V46" s="114" t="n">
        <f aca="false">IF(P46&lt;&gt;"",MONTH(P46),"")</f>
        <v>11</v>
      </c>
      <c r="W46" s="114" t="n">
        <v>7</v>
      </c>
    </row>
    <row r="47" customFormat="false" ht="15" hidden="false" customHeight="true" outlineLevel="0" collapsed="false">
      <c r="A47" s="102" t="s">
        <v>67</v>
      </c>
      <c r="B47" s="102" t="s">
        <v>192</v>
      </c>
      <c r="C47" s="109" t="s">
        <v>193</v>
      </c>
      <c r="D47" s="102" t="s">
        <v>194</v>
      </c>
      <c r="E47" s="102" t="s">
        <v>112</v>
      </c>
      <c r="F47" s="109" t="s">
        <v>113</v>
      </c>
      <c r="G47" s="102" t="s">
        <v>73</v>
      </c>
      <c r="H47" s="102" t="s">
        <v>171</v>
      </c>
      <c r="I47" s="61" t="s">
        <v>75</v>
      </c>
      <c r="J47" s="110" t="s">
        <v>203</v>
      </c>
      <c r="K47" s="102" t="s">
        <v>81</v>
      </c>
      <c r="L47" s="102" t="s">
        <v>123</v>
      </c>
      <c r="M47" s="61" t="s">
        <v>188</v>
      </c>
      <c r="N47" s="102" t="s">
        <v>189</v>
      </c>
      <c r="O47" s="111" t="n">
        <v>44501</v>
      </c>
      <c r="P47" s="112" t="n">
        <f aca="false">IFERROR(VLOOKUP(J47,'Obs Tecnicas'!$D:$I,5,0),O47)</f>
        <v>44501</v>
      </c>
      <c r="Q47" s="111" t="str">
        <f aca="true">IF(P47&lt;&gt;"",IF(P47+365&gt;TODAY(),"Calibrado","Vencido"),"")</f>
        <v>Calibrado</v>
      </c>
      <c r="R47" s="113" t="str">
        <f aca="false">IFERROR(VLOOKUP(J47,'Obs Tecnicas'!$D:$G,2,0),"")</f>
        <v/>
      </c>
      <c r="S47" s="102" t="str">
        <f aca="false">IFERROR(VLOOKUP(J47,'Obs Tecnicas'!$D:$G,3,0),"Hexis")</f>
        <v>Hexis</v>
      </c>
      <c r="T47" s="102" t="str">
        <f aca="false">IFERROR(VLOOKUP(J47,'Obs Tecnicas'!$D:$G,4,0),"")</f>
        <v/>
      </c>
      <c r="U47" s="1" t="s">
        <v>28</v>
      </c>
      <c r="V47" s="114" t="n">
        <f aca="false">IF(P47&lt;&gt;"",MONTH(P47),"")</f>
        <v>11</v>
      </c>
      <c r="W47" s="114" t="n">
        <v>7</v>
      </c>
    </row>
    <row r="48" customFormat="false" ht="15" hidden="false" customHeight="true" outlineLevel="0" collapsed="false">
      <c r="A48" s="102" t="s">
        <v>67</v>
      </c>
      <c r="B48" s="102" t="s">
        <v>177</v>
      </c>
      <c r="C48" s="109" t="s">
        <v>178</v>
      </c>
      <c r="D48" s="102" t="s">
        <v>179</v>
      </c>
      <c r="E48" s="102" t="s">
        <v>112</v>
      </c>
      <c r="F48" s="109" t="s">
        <v>113</v>
      </c>
      <c r="G48" s="102" t="s">
        <v>73</v>
      </c>
      <c r="H48" s="102" t="s">
        <v>171</v>
      </c>
      <c r="I48" s="102" t="s">
        <v>101</v>
      </c>
      <c r="J48" s="110" t="s">
        <v>204</v>
      </c>
      <c r="K48" s="102" t="s">
        <v>81</v>
      </c>
      <c r="L48" s="102" t="s">
        <v>205</v>
      </c>
      <c r="M48" s="102" t="s">
        <v>206</v>
      </c>
      <c r="N48" s="102" t="s">
        <v>207</v>
      </c>
      <c r="O48" s="111" t="n">
        <v>44105</v>
      </c>
      <c r="P48" s="112" t="n">
        <f aca="false">IFERROR(VLOOKUP(J48,'Obs Tecnicas'!$D:$I,5,0),O48)</f>
        <v>44426</v>
      </c>
      <c r="Q48" s="111" t="str">
        <f aca="true">IF(P48&lt;&gt;"",IF(P48+365&gt;TODAY(),"Calibrado","Vencido"),"")</f>
        <v>Calibrado</v>
      </c>
      <c r="R48" s="113" t="n">
        <f aca="false">IFERROR(VLOOKUP(J48,'Obs Tecnicas'!$D:$G,2,0),"")</f>
        <v>13486</v>
      </c>
      <c r="S48" s="102" t="str">
        <f aca="false">IFERROR(VLOOKUP(J48,'Obs Tecnicas'!$D:$G,3,0),"Hexis")</f>
        <v>ER ANALITICA</v>
      </c>
      <c r="T48" s="102" t="str">
        <f aca="false">IFERROR(VLOOKUP(J48,'Obs Tecnicas'!$D:$G,4,0),"")</f>
        <v>Carcaça superior avariada</v>
      </c>
      <c r="U48" s="1" t="s">
        <v>28</v>
      </c>
      <c r="V48" s="114" t="n">
        <f aca="false">IF(P48&lt;&gt;"",MONTH(P48),"")</f>
        <v>8</v>
      </c>
      <c r="W48" s="114" t="n">
        <v>4</v>
      </c>
    </row>
    <row r="49" customFormat="false" ht="15" hidden="false" customHeight="true" outlineLevel="0" collapsed="false">
      <c r="A49" s="102" t="s">
        <v>67</v>
      </c>
      <c r="B49" s="102" t="s">
        <v>208</v>
      </c>
      <c r="C49" s="109" t="s">
        <v>209</v>
      </c>
      <c r="D49" s="102" t="s">
        <v>210</v>
      </c>
      <c r="E49" s="102" t="s">
        <v>211</v>
      </c>
      <c r="F49" s="109" t="s">
        <v>212</v>
      </c>
      <c r="G49" s="102" t="s">
        <v>73</v>
      </c>
      <c r="H49" s="102" t="s">
        <v>213</v>
      </c>
      <c r="I49" s="102" t="s">
        <v>83</v>
      </c>
      <c r="J49" s="110" t="s">
        <v>214</v>
      </c>
      <c r="K49" s="102" t="s">
        <v>133</v>
      </c>
      <c r="L49" s="102" t="s">
        <v>134</v>
      </c>
      <c r="M49" s="102" t="s">
        <v>215</v>
      </c>
      <c r="N49" s="102" t="s">
        <v>216</v>
      </c>
      <c r="O49" s="111" t="n">
        <v>44406</v>
      </c>
      <c r="P49" s="112" t="n">
        <f aca="false">IFERROR(VLOOKUP(J49,'Obs Tecnicas'!$D:$I,5,0),O49)</f>
        <v>44406</v>
      </c>
      <c r="Q49" s="111" t="str">
        <f aca="true">IF(P49&lt;&gt;"",IF(P49+365&gt;TODAY(),"Calibrado","Vencido"),"")</f>
        <v>Calibrado</v>
      </c>
      <c r="R49" s="113" t="n">
        <f aca="false">IFERROR(VLOOKUP(J49,'Obs Tecnicas'!$D:$G,2,0),"")</f>
        <v>13270</v>
      </c>
      <c r="S49" s="102" t="str">
        <f aca="false">IFERROR(VLOOKUP(J49,'Obs Tecnicas'!$D:$G,3,0),"Hexis")</f>
        <v>ER ANALITICA</v>
      </c>
      <c r="T49" s="102" t="n">
        <f aca="false">IFERROR(VLOOKUP(J49,'Obs Tecnicas'!$D:$G,4,0),"")</f>
        <v>0</v>
      </c>
      <c r="U49" s="1" t="s">
        <v>28</v>
      </c>
      <c r="V49" s="114" t="n">
        <f aca="false">IF(P49&lt;&gt;"",MONTH(P49),"")</f>
        <v>7</v>
      </c>
      <c r="W49" s="114" t="n">
        <v>4</v>
      </c>
    </row>
    <row r="50" customFormat="false" ht="15" hidden="false" customHeight="true" outlineLevel="0" collapsed="false">
      <c r="A50" s="102" t="s">
        <v>67</v>
      </c>
      <c r="B50" s="102" t="s">
        <v>208</v>
      </c>
      <c r="C50" s="109" t="s">
        <v>209</v>
      </c>
      <c r="D50" s="102" t="s">
        <v>210</v>
      </c>
      <c r="E50" s="102" t="s">
        <v>211</v>
      </c>
      <c r="F50" s="109" t="s">
        <v>212</v>
      </c>
      <c r="G50" s="102" t="s">
        <v>73</v>
      </c>
      <c r="H50" s="102" t="s">
        <v>213</v>
      </c>
      <c r="I50" s="102" t="s">
        <v>101</v>
      </c>
      <c r="J50" s="110" t="n">
        <v>1199043</v>
      </c>
      <c r="K50" s="102" t="s">
        <v>81</v>
      </c>
      <c r="L50" s="102" t="s">
        <v>103</v>
      </c>
      <c r="M50" s="102" t="s">
        <v>215</v>
      </c>
      <c r="N50" s="102" t="s">
        <v>216</v>
      </c>
      <c r="O50" s="111" t="n">
        <v>44013</v>
      </c>
      <c r="P50" s="112" t="n">
        <f aca="false">IFERROR(VLOOKUP(J50,'Obs Tecnicas'!$D:$I,5,0),O50)</f>
        <v>44406</v>
      </c>
      <c r="Q50" s="111" t="str">
        <f aca="true">IF(P50&lt;&gt;"",IF(P50+365&gt;TODAY(),"Calibrado","Vencido"),"")</f>
        <v>Calibrado</v>
      </c>
      <c r="R50" s="113" t="n">
        <f aca="false">IFERROR(VLOOKUP(J50,'Obs Tecnicas'!$D:$G,2,0),"")</f>
        <v>13271</v>
      </c>
      <c r="S50" s="102" t="str">
        <f aca="false">IFERROR(VLOOKUP(J50,'Obs Tecnicas'!$D:$G,3,0),"Hexis")</f>
        <v>ER ANALITICA</v>
      </c>
      <c r="T50" s="102" t="str">
        <f aca="false">IFERROR(VLOOKUP(J50,'Obs Tecnicas'!$D:$G,4,0),"")</f>
        <v>Filtro óptico azul encontra-se oxidado e compartimento de cubeta quebrado</v>
      </c>
      <c r="U50" s="1" t="s">
        <v>28</v>
      </c>
      <c r="V50" s="114" t="n">
        <f aca="false">IF(P50&lt;&gt;"",MONTH(P50),"")</f>
        <v>7</v>
      </c>
      <c r="W50" s="114" t="n">
        <v>4</v>
      </c>
    </row>
    <row r="51" customFormat="false" ht="15" hidden="false" customHeight="true" outlineLevel="0" collapsed="false">
      <c r="A51" s="102" t="s">
        <v>67</v>
      </c>
      <c r="B51" s="102" t="s">
        <v>208</v>
      </c>
      <c r="C51" s="109" t="s">
        <v>209</v>
      </c>
      <c r="D51" s="102" t="s">
        <v>210</v>
      </c>
      <c r="E51" s="102" t="s">
        <v>211</v>
      </c>
      <c r="F51" s="109" t="s">
        <v>212</v>
      </c>
      <c r="G51" s="102" t="s">
        <v>73</v>
      </c>
      <c r="H51" s="102" t="s">
        <v>213</v>
      </c>
      <c r="I51" s="102" t="s">
        <v>217</v>
      </c>
      <c r="J51" s="110" t="s">
        <v>218</v>
      </c>
      <c r="K51" s="102" t="s">
        <v>84</v>
      </c>
      <c r="L51" s="102" t="s">
        <v>219</v>
      </c>
      <c r="M51" s="102" t="s">
        <v>215</v>
      </c>
      <c r="N51" s="102" t="s">
        <v>216</v>
      </c>
      <c r="O51" s="111" t="n">
        <v>44406</v>
      </c>
      <c r="P51" s="112" t="n">
        <f aca="false">IFERROR(VLOOKUP(J51,'Obs Tecnicas'!$D:$I,5,0),O51)</f>
        <v>44406</v>
      </c>
      <c r="Q51" s="111" t="str">
        <f aca="true">IF(P51&lt;&gt;"",IF(P51+365&gt;TODAY(),"Calibrado","Vencido"),"")</f>
        <v>Calibrado</v>
      </c>
      <c r="R51" s="113" t="n">
        <f aca="false">IFERROR(VLOOKUP(J51,'Obs Tecnicas'!$D:$G,2,0),"")</f>
        <v>13272</v>
      </c>
      <c r="S51" s="102" t="str">
        <f aca="false">IFERROR(VLOOKUP(J51,'Obs Tecnicas'!$D:$G,3,0),"Hexis")</f>
        <v>ER ANALITICA</v>
      </c>
      <c r="T51" s="102" t="n">
        <f aca="false">IFERROR(VLOOKUP(J51,'Obs Tecnicas'!$D:$G,4,0),"")</f>
        <v>0</v>
      </c>
      <c r="U51" s="1" t="s">
        <v>28</v>
      </c>
      <c r="V51" s="114" t="n">
        <f aca="false">IF(P51&lt;&gt;"",MONTH(P51),"")</f>
        <v>7</v>
      </c>
      <c r="W51" s="114" t="n">
        <v>7</v>
      </c>
    </row>
    <row r="52" customFormat="false" ht="15" hidden="false" customHeight="true" outlineLevel="0" collapsed="false">
      <c r="A52" s="102" t="s">
        <v>67</v>
      </c>
      <c r="B52" s="102" t="s">
        <v>208</v>
      </c>
      <c r="C52" s="109" t="s">
        <v>209</v>
      </c>
      <c r="D52" s="102" t="s">
        <v>210</v>
      </c>
      <c r="E52" s="102" t="s">
        <v>211</v>
      </c>
      <c r="F52" s="109" t="s">
        <v>212</v>
      </c>
      <c r="G52" s="102" t="s">
        <v>73</v>
      </c>
      <c r="H52" s="102" t="s">
        <v>213</v>
      </c>
      <c r="I52" s="102" t="s">
        <v>217</v>
      </c>
      <c r="J52" s="110" t="s">
        <v>220</v>
      </c>
      <c r="K52" s="102" t="s">
        <v>84</v>
      </c>
      <c r="L52" s="102" t="s">
        <v>219</v>
      </c>
      <c r="M52" s="102" t="s">
        <v>215</v>
      </c>
      <c r="N52" s="102" t="s">
        <v>216</v>
      </c>
      <c r="O52" s="111" t="n">
        <v>44013</v>
      </c>
      <c r="P52" s="112" t="n">
        <f aca="false">IFERROR(VLOOKUP(J52,'Obs Tecnicas'!$D:$I,5,0),O52)</f>
        <v>44406</v>
      </c>
      <c r="Q52" s="111" t="str">
        <f aca="true">IF(P52&lt;&gt;"",IF(P52+365&gt;TODAY(),"Calibrado","Vencido"),"")</f>
        <v>Calibrado</v>
      </c>
      <c r="R52" s="113" t="n">
        <f aca="false">IFERROR(VLOOKUP(J52,'Obs Tecnicas'!$D:$G,2,0),"")</f>
        <v>13273</v>
      </c>
      <c r="S52" s="102" t="str">
        <f aca="false">IFERROR(VLOOKUP(J52,'Obs Tecnicas'!$D:$G,3,0),"Hexis")</f>
        <v>ER ANALITICA</v>
      </c>
      <c r="T52" s="102" t="n">
        <f aca="false">IFERROR(VLOOKUP(J52,'Obs Tecnicas'!$D:$G,4,0),"")</f>
        <v>0</v>
      </c>
      <c r="U52" s="1" t="s">
        <v>28</v>
      </c>
      <c r="V52" s="114" t="n">
        <f aca="false">IF(P52&lt;&gt;"",MONTH(P52),"")</f>
        <v>7</v>
      </c>
      <c r="W52" s="114" t="n">
        <v>7</v>
      </c>
    </row>
    <row r="53" customFormat="false" ht="15" hidden="false" customHeight="true" outlineLevel="0" collapsed="false">
      <c r="A53" s="102" t="s">
        <v>67</v>
      </c>
      <c r="B53" s="102" t="s">
        <v>208</v>
      </c>
      <c r="C53" s="109" t="s">
        <v>209</v>
      </c>
      <c r="D53" s="102" t="s">
        <v>210</v>
      </c>
      <c r="E53" s="102" t="s">
        <v>211</v>
      </c>
      <c r="F53" s="109" t="s">
        <v>212</v>
      </c>
      <c r="G53" s="102" t="s">
        <v>73</v>
      </c>
      <c r="H53" s="102" t="s">
        <v>213</v>
      </c>
      <c r="I53" s="102" t="s">
        <v>86</v>
      </c>
      <c r="J53" s="110" t="s">
        <v>221</v>
      </c>
      <c r="K53" s="102" t="s">
        <v>87</v>
      </c>
      <c r="L53" s="102" t="s">
        <v>222</v>
      </c>
      <c r="M53" s="102" t="s">
        <v>215</v>
      </c>
      <c r="N53" s="102" t="s">
        <v>216</v>
      </c>
      <c r="O53" s="111" t="n">
        <v>44406</v>
      </c>
      <c r="P53" s="112" t="n">
        <f aca="false">IFERROR(VLOOKUP(J53,'Obs Tecnicas'!$D:$I,5,0),O53)</f>
        <v>44406</v>
      </c>
      <c r="Q53" s="111" t="str">
        <f aca="true">IF(P53&lt;&gt;"",IF(P53+365&gt;TODAY(),"Calibrado","Vencido"),"")</f>
        <v>Calibrado</v>
      </c>
      <c r="R53" s="113" t="n">
        <f aca="false">IFERROR(VLOOKUP(J53,'Obs Tecnicas'!$D:$G,2,0),"")</f>
        <v>13274</v>
      </c>
      <c r="S53" s="102" t="str">
        <f aca="false">IFERROR(VLOOKUP(J53,'Obs Tecnicas'!$D:$G,3,0),"Hexis")</f>
        <v>ER ANALITICA</v>
      </c>
      <c r="T53" s="102" t="n">
        <f aca="false">IFERROR(VLOOKUP(J53,'Obs Tecnicas'!$D:$G,4,0),"")</f>
        <v>0</v>
      </c>
      <c r="U53" s="1" t="s">
        <v>28</v>
      </c>
      <c r="V53" s="114" t="n">
        <f aca="false">IF(P53&lt;&gt;"",MONTH(P53),"")</f>
        <v>7</v>
      </c>
      <c r="W53" s="114" t="n">
        <v>7</v>
      </c>
    </row>
    <row r="54" customFormat="false" ht="15" hidden="false" customHeight="true" outlineLevel="0" collapsed="false">
      <c r="A54" s="102" t="s">
        <v>67</v>
      </c>
      <c r="B54" s="102" t="s">
        <v>208</v>
      </c>
      <c r="C54" s="109" t="s">
        <v>209</v>
      </c>
      <c r="D54" s="102" t="s">
        <v>210</v>
      </c>
      <c r="E54" s="102" t="s">
        <v>211</v>
      </c>
      <c r="F54" s="109" t="s">
        <v>212</v>
      </c>
      <c r="G54" s="102" t="s">
        <v>73</v>
      </c>
      <c r="H54" s="102" t="s">
        <v>213</v>
      </c>
      <c r="I54" s="102" t="s">
        <v>89</v>
      </c>
      <c r="J54" s="110" t="s">
        <v>223</v>
      </c>
      <c r="K54" s="102" t="s">
        <v>224</v>
      </c>
      <c r="L54" s="102" t="s">
        <v>225</v>
      </c>
      <c r="M54" s="102" t="s">
        <v>215</v>
      </c>
      <c r="N54" s="102" t="s">
        <v>216</v>
      </c>
      <c r="O54" s="111" t="n">
        <v>44013</v>
      </c>
      <c r="P54" s="112" t="n">
        <f aca="false">IFERROR(VLOOKUP(J54,'Obs Tecnicas'!$D:$I,5,0),O54)</f>
        <v>44406</v>
      </c>
      <c r="Q54" s="111" t="str">
        <f aca="true">IF(P54&lt;&gt;"",IF(P54+365&gt;TODAY(),"Calibrado","Vencido"),"")</f>
        <v>Calibrado</v>
      </c>
      <c r="R54" s="113" t="n">
        <f aca="false">IFERROR(VLOOKUP(J54,'Obs Tecnicas'!$D:$G,2,0),"")</f>
        <v>13276</v>
      </c>
      <c r="S54" s="102" t="str">
        <f aca="false">IFERROR(VLOOKUP(J54,'Obs Tecnicas'!$D:$G,3,0),"Hexis")</f>
        <v>ER ANALITICA</v>
      </c>
      <c r="T54" s="102" t="str">
        <f aca="false">IFERROR(VLOOKUP(J54,'Obs Tecnicas'!$D:$G,4,0),"")</f>
        <v>Tampa corta luz danificada</v>
      </c>
      <c r="U54" s="1" t="s">
        <v>28</v>
      </c>
      <c r="V54" s="114" t="n">
        <f aca="false">IF(P54&lt;&gt;"",MONTH(P54),"")</f>
        <v>7</v>
      </c>
      <c r="W54" s="114" t="n">
        <v>7</v>
      </c>
    </row>
    <row r="55" customFormat="false" ht="15" hidden="false" customHeight="true" outlineLevel="0" collapsed="false">
      <c r="A55" s="102" t="s">
        <v>67</v>
      </c>
      <c r="B55" s="102" t="s">
        <v>208</v>
      </c>
      <c r="C55" s="109" t="s">
        <v>209</v>
      </c>
      <c r="D55" s="102" t="s">
        <v>210</v>
      </c>
      <c r="E55" s="102" t="s">
        <v>211</v>
      </c>
      <c r="F55" s="109" t="s">
        <v>212</v>
      </c>
      <c r="G55" s="102" t="s">
        <v>73</v>
      </c>
      <c r="H55" s="102" t="s">
        <v>213</v>
      </c>
      <c r="I55" s="102" t="s">
        <v>89</v>
      </c>
      <c r="J55" s="110" t="s">
        <v>226</v>
      </c>
      <c r="K55" s="102" t="s">
        <v>87</v>
      </c>
      <c r="L55" s="102" t="s">
        <v>227</v>
      </c>
      <c r="M55" s="102" t="s">
        <v>215</v>
      </c>
      <c r="N55" s="102" t="s">
        <v>216</v>
      </c>
      <c r="O55" s="111" t="n">
        <v>44406</v>
      </c>
      <c r="P55" s="112" t="n">
        <f aca="false">IFERROR(VLOOKUP(J55,'Obs Tecnicas'!$D:$I,5,0),O55)</f>
        <v>44406</v>
      </c>
      <c r="Q55" s="111" t="str">
        <f aca="true">IF(P55&lt;&gt;"",IF(P55+365&gt;TODAY(),"Calibrado","Vencido"),"")</f>
        <v>Calibrado</v>
      </c>
      <c r="R55" s="113" t="n">
        <f aca="false">IFERROR(VLOOKUP(J55,'Obs Tecnicas'!$D:$G,2,0),"")</f>
        <v>13277</v>
      </c>
      <c r="S55" s="102" t="str">
        <f aca="false">IFERROR(VLOOKUP(J55,'Obs Tecnicas'!$D:$G,3,0),"Hexis")</f>
        <v>ER ANALITICA</v>
      </c>
      <c r="T55" s="102" t="n">
        <f aca="false">IFERROR(VLOOKUP(J55,'Obs Tecnicas'!$D:$G,4,0),"")</f>
        <v>0</v>
      </c>
      <c r="U55" s="1" t="s">
        <v>28</v>
      </c>
      <c r="V55" s="114" t="n">
        <f aca="false">IF(P55&lt;&gt;"",MONTH(P55),"")</f>
        <v>7</v>
      </c>
      <c r="W55" s="114" t="n">
        <v>7</v>
      </c>
    </row>
    <row r="56" customFormat="false" ht="15" hidden="false" customHeight="true" outlineLevel="0" collapsed="false">
      <c r="A56" s="102" t="s">
        <v>67</v>
      </c>
      <c r="B56" s="102" t="s">
        <v>208</v>
      </c>
      <c r="C56" s="109" t="s">
        <v>209</v>
      </c>
      <c r="D56" s="102" t="s">
        <v>210</v>
      </c>
      <c r="E56" s="102" t="s">
        <v>211</v>
      </c>
      <c r="F56" s="109" t="s">
        <v>212</v>
      </c>
      <c r="G56" s="102" t="s">
        <v>73</v>
      </c>
      <c r="H56" s="102" t="s">
        <v>213</v>
      </c>
      <c r="I56" s="102" t="s">
        <v>115</v>
      </c>
      <c r="J56" s="110" t="s">
        <v>228</v>
      </c>
      <c r="K56" s="102" t="s">
        <v>229</v>
      </c>
      <c r="L56" s="102" t="s">
        <v>230</v>
      </c>
      <c r="M56" s="102" t="s">
        <v>215</v>
      </c>
      <c r="N56" s="102" t="s">
        <v>216</v>
      </c>
      <c r="O56" s="111" t="n">
        <v>44118</v>
      </c>
      <c r="P56" s="112" t="n">
        <f aca="false">IFERROR(VLOOKUP(J56,'Obs Tecnicas'!$D:$I,5,0),O56)</f>
        <v>44406</v>
      </c>
      <c r="Q56" s="111" t="str">
        <f aca="true">IF(P56&lt;&gt;"",IF(P56+365&gt;TODAY(),"Calibrado","Vencido"),"")</f>
        <v>Calibrado</v>
      </c>
      <c r="R56" s="113" t="n">
        <f aca="false">IFERROR(VLOOKUP(J56,'Obs Tecnicas'!$D:$G,2,0),"")</f>
        <v>13278</v>
      </c>
      <c r="S56" s="102" t="str">
        <f aca="false">IFERROR(VLOOKUP(J56,'Obs Tecnicas'!$D:$G,3,0),"Hexis")</f>
        <v>ER ANALITICA</v>
      </c>
      <c r="T56" s="102" t="str">
        <f aca="false">IFERROR(VLOOKUP(J56,'Obs Tecnicas'!$D:$G,4,0),"")</f>
        <v>Equipamento possui demasiada oxidação no seu compartimento de pilhas e placa eletrônica, fazendo com que o instrumento não inicialize. Recomendado o envio do equipamento à ER para verificação</v>
      </c>
      <c r="U56" s="1" t="s">
        <v>28</v>
      </c>
      <c r="V56" s="114" t="n">
        <f aca="false">IF(P56&lt;&gt;"",MONTH(P56),"")</f>
        <v>7</v>
      </c>
      <c r="W56" s="114" t="n">
        <v>7</v>
      </c>
    </row>
    <row r="57" customFormat="false" ht="15" hidden="false" customHeight="true" outlineLevel="0" collapsed="false">
      <c r="A57" s="102" t="s">
        <v>67</v>
      </c>
      <c r="B57" s="102" t="s">
        <v>208</v>
      </c>
      <c r="C57" s="109" t="s">
        <v>209</v>
      </c>
      <c r="D57" s="102" t="s">
        <v>231</v>
      </c>
      <c r="E57" s="102" t="s">
        <v>211</v>
      </c>
      <c r="F57" s="109" t="s">
        <v>212</v>
      </c>
      <c r="G57" s="102" t="s">
        <v>73</v>
      </c>
      <c r="H57" s="102" t="s">
        <v>213</v>
      </c>
      <c r="I57" s="102" t="s">
        <v>79</v>
      </c>
      <c r="J57" s="110" t="s">
        <v>232</v>
      </c>
      <c r="K57" s="102" t="s">
        <v>81</v>
      </c>
      <c r="L57" s="102" t="s">
        <v>82</v>
      </c>
      <c r="M57" s="102" t="s">
        <v>215</v>
      </c>
      <c r="N57" s="102" t="s">
        <v>216</v>
      </c>
      <c r="O57" s="111" t="n">
        <v>44013</v>
      </c>
      <c r="P57" s="112" t="n">
        <f aca="false">IFERROR(VLOOKUP(J57,'Obs Tecnicas'!$D:$I,5,0),O57)</f>
        <v>44406</v>
      </c>
      <c r="Q57" s="111" t="str">
        <f aca="true">IF(P57&lt;&gt;"",IF(P57+365&gt;TODAY(),"Calibrado","Vencido"),"")</f>
        <v>Calibrado</v>
      </c>
      <c r="R57" s="113" t="n">
        <f aca="false">IFERROR(VLOOKUP(J57,'Obs Tecnicas'!$D:$G,2,0),"")</f>
        <v>13279</v>
      </c>
      <c r="S57" s="102" t="str">
        <f aca="false">IFERROR(VLOOKUP(J57,'Obs Tecnicas'!$D:$G,3,0),"Hexis")</f>
        <v>ER ANALITICA</v>
      </c>
      <c r="T57" s="102" t="n">
        <f aca="false">IFERROR(VLOOKUP(J57,'Obs Tecnicas'!$D:$G,4,0),"")</f>
        <v>0</v>
      </c>
      <c r="U57" s="1" t="s">
        <v>28</v>
      </c>
      <c r="V57" s="114" t="n">
        <f aca="false">IF(P57&lt;&gt;"",MONTH(P57),"")</f>
        <v>7</v>
      </c>
      <c r="W57" s="114" t="n">
        <v>7</v>
      </c>
    </row>
    <row r="58" customFormat="false" ht="15" hidden="false" customHeight="true" outlineLevel="0" collapsed="false">
      <c r="A58" s="102" t="s">
        <v>67</v>
      </c>
      <c r="B58" s="102" t="s">
        <v>208</v>
      </c>
      <c r="C58" s="109" t="s">
        <v>209</v>
      </c>
      <c r="D58" s="102" t="s">
        <v>231</v>
      </c>
      <c r="E58" s="102" t="s">
        <v>211</v>
      </c>
      <c r="F58" s="109" t="s">
        <v>212</v>
      </c>
      <c r="G58" s="102" t="s">
        <v>73</v>
      </c>
      <c r="H58" s="102" t="s">
        <v>213</v>
      </c>
      <c r="I58" s="102" t="s">
        <v>101</v>
      </c>
      <c r="J58" s="110" t="s">
        <v>233</v>
      </c>
      <c r="K58" s="102" t="s">
        <v>81</v>
      </c>
      <c r="L58" s="118" t="s">
        <v>148</v>
      </c>
      <c r="M58" s="102" t="s">
        <v>215</v>
      </c>
      <c r="N58" s="102" t="s">
        <v>234</v>
      </c>
      <c r="O58" s="111" t="n">
        <v>44424</v>
      </c>
      <c r="P58" s="112" t="n">
        <f aca="false">IFERROR(VLOOKUP(J58,'Obs Tecnicas'!$D:$I,5,0),O58)</f>
        <v>44424</v>
      </c>
      <c r="Q58" s="111" t="str">
        <f aca="true">IF(P58&lt;&gt;"",IF(P58+365&gt;TODAY(),"Calibrado","Vencido"),"")</f>
        <v>Calibrado</v>
      </c>
      <c r="R58" s="113" t="n">
        <f aca="false">IFERROR(VLOOKUP(J58,'Obs Tecnicas'!$D:$G,2,0),"")</f>
        <v>13513</v>
      </c>
      <c r="S58" s="102" t="str">
        <f aca="false">IFERROR(VLOOKUP(J58,'Obs Tecnicas'!$D:$G,3,0),"Hexis")</f>
        <v>ER ANALITICA</v>
      </c>
      <c r="T58" s="102" t="str">
        <f aca="false">IFERROR(VLOOKUP(J58,'Obs Tecnicas'!$D:$G,4,0),"")</f>
        <v>Equipamentos incluidos.</v>
      </c>
      <c r="U58" s="1" t="s">
        <v>28</v>
      </c>
      <c r="V58" s="114" t="n">
        <f aca="false">IF(P58&lt;&gt;"",MONTH(P58),"")</f>
        <v>8</v>
      </c>
      <c r="W58" s="114" t="n">
        <v>9</v>
      </c>
    </row>
    <row r="59" customFormat="false" ht="15" hidden="false" customHeight="true" outlineLevel="0" collapsed="false">
      <c r="A59" s="102" t="s">
        <v>67</v>
      </c>
      <c r="B59" s="102" t="s">
        <v>235</v>
      </c>
      <c r="C59" s="109" t="s">
        <v>236</v>
      </c>
      <c r="D59" s="102" t="s">
        <v>237</v>
      </c>
      <c r="E59" s="102" t="s">
        <v>112</v>
      </c>
      <c r="F59" s="109" t="s">
        <v>113</v>
      </c>
      <c r="G59" s="102" t="s">
        <v>73</v>
      </c>
      <c r="H59" s="102" t="s">
        <v>238</v>
      </c>
      <c r="I59" s="102" t="s">
        <v>79</v>
      </c>
      <c r="J59" s="110" t="s">
        <v>239</v>
      </c>
      <c r="K59" s="102" t="s">
        <v>81</v>
      </c>
      <c r="L59" s="119" t="s">
        <v>185</v>
      </c>
      <c r="M59" s="48" t="s">
        <v>240</v>
      </c>
      <c r="O59" s="111"/>
      <c r="P59" s="112" t="n">
        <f aca="false">IFERROR(VLOOKUP(J59,'Obs Tecnicas'!$D:$I,5,0),O59)</f>
        <v>44645</v>
      </c>
      <c r="Q59" s="111" t="str">
        <f aca="true">IF(P59&lt;&gt;"",IF(P59+365&gt;TODAY(),"Calibrado","Vencido"),"")</f>
        <v>Calibrado</v>
      </c>
      <c r="R59" s="113" t="n">
        <f aca="false">IFERROR(VLOOKUP(J59,'Obs Tecnicas'!$D:$G,2,0),"")</f>
        <v>15948</v>
      </c>
      <c r="S59" s="102" t="str">
        <f aca="false">IFERROR(VLOOKUP(J59,'Obs Tecnicas'!$D:$G,3,0),"Hexis")</f>
        <v>ER ANALITICA</v>
      </c>
      <c r="T59" s="102" t="n">
        <f aca="false">IFERROR(VLOOKUP(J59,'Obs Tecnicas'!$D:$G,4,0),"")</f>
        <v>0</v>
      </c>
      <c r="V59" s="114" t="n">
        <f aca="false">IF(P59&lt;&gt;"",MONTH(P59),"")</f>
        <v>3</v>
      </c>
      <c r="W59" s="114" t="n">
        <v>5</v>
      </c>
    </row>
    <row r="60" customFormat="false" ht="15" hidden="false" customHeight="true" outlineLevel="0" collapsed="false">
      <c r="A60" s="102" t="s">
        <v>67</v>
      </c>
      <c r="B60" s="102" t="s">
        <v>241</v>
      </c>
      <c r="C60" s="109" t="s">
        <v>242</v>
      </c>
      <c r="D60" s="102" t="s">
        <v>243</v>
      </c>
      <c r="E60" s="102" t="s">
        <v>244</v>
      </c>
      <c r="F60" s="109" t="s">
        <v>245</v>
      </c>
      <c r="G60" s="102" t="s">
        <v>97</v>
      </c>
      <c r="H60" s="102" t="s">
        <v>246</v>
      </c>
      <c r="I60" s="102" t="s">
        <v>101</v>
      </c>
      <c r="J60" s="110" t="s">
        <v>247</v>
      </c>
      <c r="K60" s="102" t="s">
        <v>81</v>
      </c>
      <c r="L60" s="102" t="s">
        <v>82</v>
      </c>
      <c r="M60" s="102" t="s">
        <v>248</v>
      </c>
      <c r="N60" s="102" t="s">
        <v>78</v>
      </c>
      <c r="O60" s="111" t="n">
        <v>44264</v>
      </c>
      <c r="P60" s="112" t="n">
        <f aca="false">IFERROR(VLOOKUP(J60,'Obs Tecnicas'!$D:$I,5,0),O60)</f>
        <v>44623</v>
      </c>
      <c r="Q60" s="111" t="str">
        <f aca="true">IF(P60&lt;&gt;"",IF(P60+365&gt;TODAY(),"Calibrado","Vencido"),"")</f>
        <v>Calibrado</v>
      </c>
      <c r="R60" s="113" t="n">
        <f aca="false">IFERROR(VLOOKUP(J60,'Obs Tecnicas'!$D:$G,2,0),"")</f>
        <v>15644</v>
      </c>
      <c r="S60" s="102" t="str">
        <f aca="false">IFERROR(VLOOKUP(J60,'Obs Tecnicas'!$D:$G,3,0),"Hexis")</f>
        <v>ER ANALITICA</v>
      </c>
      <c r="T60" s="102" t="str">
        <f aca="false">IFERROR(VLOOKUP(J60,'Obs Tecnicas'!$D:$G,4,0),"")</f>
        <v>Filtro de 560nm manchado.</v>
      </c>
      <c r="V60" s="114" t="n">
        <f aca="false">IF(P60&lt;&gt;"",MONTH(P60),"")</f>
        <v>3</v>
      </c>
      <c r="W60" s="114" t="n">
        <v>4</v>
      </c>
    </row>
    <row r="61" customFormat="false" ht="15" hidden="false" customHeight="true" outlineLevel="0" collapsed="false">
      <c r="A61" s="102" t="s">
        <v>67</v>
      </c>
      <c r="B61" s="102" t="s">
        <v>241</v>
      </c>
      <c r="C61" s="109" t="s">
        <v>242</v>
      </c>
      <c r="D61" s="102" t="s">
        <v>243</v>
      </c>
      <c r="E61" s="102" t="s">
        <v>244</v>
      </c>
      <c r="F61" s="109" t="s">
        <v>245</v>
      </c>
      <c r="G61" s="102" t="s">
        <v>97</v>
      </c>
      <c r="H61" s="102" t="s">
        <v>246</v>
      </c>
      <c r="I61" s="102" t="s">
        <v>79</v>
      </c>
      <c r="J61" s="110" t="s">
        <v>249</v>
      </c>
      <c r="K61" s="102" t="s">
        <v>81</v>
      </c>
      <c r="L61" s="119" t="s">
        <v>185</v>
      </c>
      <c r="M61" s="102" t="s">
        <v>248</v>
      </c>
      <c r="N61" s="102" t="s">
        <v>78</v>
      </c>
      <c r="O61" s="111" t="n">
        <v>44306</v>
      </c>
      <c r="P61" s="112" t="n">
        <f aca="false">IFERROR(VLOOKUP(J61,'Obs Tecnicas'!$D:$I,5,0),O61)</f>
        <v>44623</v>
      </c>
      <c r="Q61" s="111" t="str">
        <f aca="true">IF(P61&lt;&gt;"",IF(P61+365&gt;TODAY(),"Calibrado","Vencido"),"")</f>
        <v>Calibrado</v>
      </c>
      <c r="R61" s="113" t="n">
        <f aca="false">IFERROR(VLOOKUP(J61,'Obs Tecnicas'!$D:$G,2,0),"")</f>
        <v>15645</v>
      </c>
      <c r="S61" s="102" t="str">
        <f aca="false">IFERROR(VLOOKUP(J61,'Obs Tecnicas'!$D:$G,3,0),"Hexis")</f>
        <v>ER ANALITICA</v>
      </c>
      <c r="T61" s="102" t="n">
        <f aca="false">IFERROR(VLOOKUP(J61,'Obs Tecnicas'!$D:$G,4,0),"")</f>
        <v>0</v>
      </c>
      <c r="V61" s="114" t="n">
        <f aca="false">IF(P61&lt;&gt;"",MONTH(P61),"")</f>
        <v>3</v>
      </c>
      <c r="W61" s="114" t="n">
        <v>4</v>
      </c>
    </row>
    <row r="62" customFormat="false" ht="15" hidden="false" customHeight="true" outlineLevel="0" collapsed="false">
      <c r="A62" s="102" t="s">
        <v>67</v>
      </c>
      <c r="B62" s="102" t="s">
        <v>241</v>
      </c>
      <c r="C62" s="109" t="s">
        <v>242</v>
      </c>
      <c r="D62" s="102" t="s">
        <v>243</v>
      </c>
      <c r="E62" s="102" t="s">
        <v>244</v>
      </c>
      <c r="F62" s="109" t="s">
        <v>245</v>
      </c>
      <c r="G62" s="102" t="s">
        <v>97</v>
      </c>
      <c r="H62" s="102" t="s">
        <v>246</v>
      </c>
      <c r="I62" s="102" t="s">
        <v>217</v>
      </c>
      <c r="J62" s="110" t="n">
        <v>6273835</v>
      </c>
      <c r="K62" s="102" t="s">
        <v>84</v>
      </c>
      <c r="L62" s="119" t="s">
        <v>219</v>
      </c>
      <c r="M62" s="102" t="s">
        <v>248</v>
      </c>
      <c r="N62" s="102" t="s">
        <v>78</v>
      </c>
      <c r="O62" s="111" t="n">
        <v>44623</v>
      </c>
      <c r="P62" s="112" t="n">
        <f aca="false">IFERROR(VLOOKUP(J62,'Obs Tecnicas'!$D:$I,5,0),O62)</f>
        <v>44623</v>
      </c>
      <c r="Q62" s="111" t="str">
        <f aca="true">IF(P62&lt;&gt;"",IF(P62+365&gt;TODAY(),"Calibrado","Vencido"),"")</f>
        <v>Calibrado</v>
      </c>
      <c r="R62" s="113" t="n">
        <f aca="false">IFERROR(VLOOKUP(J62,'Obs Tecnicas'!$D:$G,2,0),"")</f>
        <v>15642</v>
      </c>
      <c r="S62" s="102" t="str">
        <f aca="false">IFERROR(VLOOKUP(J62,'Obs Tecnicas'!$D:$G,3,0),"Hexis")</f>
        <v>ER ANALITICA</v>
      </c>
      <c r="T62" s="102" t="n">
        <f aca="false">IFERROR(VLOOKUP(J62,'Obs Tecnicas'!$D:$G,4,0),"")</f>
        <v>0</v>
      </c>
      <c r="V62" s="114" t="n">
        <f aca="false">IF(P62&lt;&gt;"",MONTH(P62),"")</f>
        <v>3</v>
      </c>
      <c r="W62" s="114" t="n">
        <v>4</v>
      </c>
    </row>
    <row r="63" customFormat="false" ht="15" hidden="false" customHeight="true" outlineLevel="0" collapsed="false">
      <c r="A63" s="102" t="s">
        <v>67</v>
      </c>
      <c r="B63" s="102" t="s">
        <v>250</v>
      </c>
      <c r="C63" s="109" t="s">
        <v>251</v>
      </c>
      <c r="D63" s="102" t="s">
        <v>252</v>
      </c>
      <c r="E63" s="102" t="s">
        <v>211</v>
      </c>
      <c r="F63" s="109" t="s">
        <v>212</v>
      </c>
      <c r="G63" s="102" t="s">
        <v>73</v>
      </c>
      <c r="H63" s="102" t="s">
        <v>246</v>
      </c>
      <c r="I63" s="102" t="s">
        <v>89</v>
      </c>
      <c r="J63" s="110" t="s">
        <v>253</v>
      </c>
      <c r="K63" s="102" t="s">
        <v>81</v>
      </c>
      <c r="L63" s="102" t="s">
        <v>91</v>
      </c>
      <c r="M63" s="102" t="s">
        <v>254</v>
      </c>
      <c r="N63" s="102" t="s">
        <v>182</v>
      </c>
      <c r="O63" s="111" t="n">
        <v>44033</v>
      </c>
      <c r="P63" s="112" t="n">
        <f aca="false">IFERROR(VLOOKUP(J63,'Obs Tecnicas'!$D:$I,5,0),O63)</f>
        <v>44433</v>
      </c>
      <c r="Q63" s="111" t="str">
        <f aca="true">IF(P63&lt;&gt;"",IF(P63+365&gt;TODAY(),"Calibrado","Vencido"),"")</f>
        <v>Calibrado</v>
      </c>
      <c r="R63" s="113" t="n">
        <f aca="false">IFERROR(VLOOKUP(J63,'Obs Tecnicas'!$D:$G,2,0),"")</f>
        <v>13660</v>
      </c>
      <c r="S63" s="102" t="str">
        <f aca="false">IFERROR(VLOOKUP(J63,'Obs Tecnicas'!$D:$G,3,0),"Hexis")</f>
        <v>ER ANALITICA</v>
      </c>
      <c r="T63" s="102" t="n">
        <f aca="false">IFERROR(VLOOKUP(J63,'Obs Tecnicas'!$D:$G,4,0),"")</f>
        <v>0</v>
      </c>
      <c r="U63" s="1" t="s">
        <v>27</v>
      </c>
      <c r="V63" s="114" t="n">
        <f aca="false">IF(P63&lt;&gt;"",MONTH(P63),"")</f>
        <v>8</v>
      </c>
      <c r="W63" s="114" t="n">
        <v>7</v>
      </c>
    </row>
    <row r="64" customFormat="false" ht="15" hidden="false" customHeight="true" outlineLevel="0" collapsed="false">
      <c r="A64" s="102" t="s">
        <v>67</v>
      </c>
      <c r="B64" s="102" t="s">
        <v>250</v>
      </c>
      <c r="C64" s="109" t="s">
        <v>251</v>
      </c>
      <c r="D64" s="102" t="s">
        <v>252</v>
      </c>
      <c r="E64" s="102" t="s">
        <v>211</v>
      </c>
      <c r="F64" s="109" t="s">
        <v>212</v>
      </c>
      <c r="G64" s="102" t="s">
        <v>73</v>
      </c>
      <c r="H64" s="102" t="s">
        <v>246</v>
      </c>
      <c r="I64" s="102" t="s">
        <v>79</v>
      </c>
      <c r="J64" s="110" t="s">
        <v>255</v>
      </c>
      <c r="K64" s="102" t="s">
        <v>81</v>
      </c>
      <c r="L64" s="119" t="s">
        <v>185</v>
      </c>
      <c r="M64" s="102" t="s">
        <v>254</v>
      </c>
      <c r="N64" s="102" t="s">
        <v>182</v>
      </c>
      <c r="O64" s="111" t="n">
        <v>44035</v>
      </c>
      <c r="P64" s="112" t="n">
        <f aca="false">IFERROR(VLOOKUP(J64,'Obs Tecnicas'!$D:$I,5,0),O64)</f>
        <v>44433</v>
      </c>
      <c r="Q64" s="111" t="str">
        <f aca="true">IF(P64&lt;&gt;"",IF(P64+365&gt;TODAY(),"Calibrado","Vencido"),"")</f>
        <v>Calibrado</v>
      </c>
      <c r="R64" s="113" t="n">
        <f aca="false">IFERROR(VLOOKUP(J64,'Obs Tecnicas'!$D:$G,2,0),"")</f>
        <v>13651</v>
      </c>
      <c r="S64" s="102" t="str">
        <f aca="false">IFERROR(VLOOKUP(J64,'Obs Tecnicas'!$D:$G,3,0),"Hexis")</f>
        <v>ER ANALITICA</v>
      </c>
      <c r="T64" s="102" t="n">
        <f aca="false">IFERROR(VLOOKUP(J64,'Obs Tecnicas'!$D:$G,4,0),"")</f>
        <v>0</v>
      </c>
      <c r="U64" s="1" t="s">
        <v>27</v>
      </c>
      <c r="V64" s="114" t="n">
        <f aca="false">IF(P64&lt;&gt;"",MONTH(P64),"")</f>
        <v>8</v>
      </c>
      <c r="W64" s="114" t="n">
        <v>7</v>
      </c>
    </row>
    <row r="65" customFormat="false" ht="15" hidden="false" customHeight="true" outlineLevel="0" collapsed="false">
      <c r="A65" s="102" t="s">
        <v>67</v>
      </c>
      <c r="B65" s="102" t="s">
        <v>250</v>
      </c>
      <c r="C65" s="109" t="s">
        <v>251</v>
      </c>
      <c r="D65" s="102" t="s">
        <v>252</v>
      </c>
      <c r="E65" s="102" t="s">
        <v>211</v>
      </c>
      <c r="F65" s="109" t="s">
        <v>212</v>
      </c>
      <c r="G65" s="102" t="s">
        <v>73</v>
      </c>
      <c r="H65" s="102" t="s">
        <v>246</v>
      </c>
      <c r="I65" s="102" t="s">
        <v>217</v>
      </c>
      <c r="J65" s="110" t="s">
        <v>256</v>
      </c>
      <c r="K65" s="102" t="s">
        <v>84</v>
      </c>
      <c r="L65" s="61" t="s">
        <v>257</v>
      </c>
      <c r="M65" s="102" t="s">
        <v>254</v>
      </c>
      <c r="N65" s="102" t="s">
        <v>182</v>
      </c>
      <c r="O65" s="111"/>
      <c r="P65" s="112" t="n">
        <f aca="false">IFERROR(VLOOKUP(J65,'Obs Tecnicas'!$D:$I,5,0),O65)</f>
        <v>44433</v>
      </c>
      <c r="Q65" s="111" t="str">
        <f aca="true">IF(P65&lt;&gt;"",IF(P65+365&gt;TODAY(),"Calibrado","Vencido"),"")</f>
        <v>Calibrado</v>
      </c>
      <c r="R65" s="113" t="n">
        <f aca="false">IFERROR(VLOOKUP(J65,'Obs Tecnicas'!$D:$G,2,0),"")</f>
        <v>13652</v>
      </c>
      <c r="S65" s="102" t="str">
        <f aca="false">IFERROR(VLOOKUP(J65,'Obs Tecnicas'!$D:$G,3,0),"Hexis")</f>
        <v>ER ANALITICA</v>
      </c>
      <c r="T65" s="102" t="n">
        <f aca="false">IFERROR(VLOOKUP(J65,'Obs Tecnicas'!$D:$G,4,0),"")</f>
        <v>0</v>
      </c>
      <c r="U65" s="1" t="s">
        <v>27</v>
      </c>
      <c r="V65" s="114" t="n">
        <f aca="false">IF(P65&lt;&gt;"",MONTH(P65),"")</f>
        <v>8</v>
      </c>
      <c r="W65" s="114" t="n">
        <v>7</v>
      </c>
    </row>
    <row r="66" customFormat="false" ht="15" hidden="false" customHeight="true" outlineLevel="0" collapsed="false">
      <c r="A66" s="102" t="s">
        <v>67</v>
      </c>
      <c r="B66" s="102" t="s">
        <v>250</v>
      </c>
      <c r="C66" s="109" t="s">
        <v>251</v>
      </c>
      <c r="D66" s="102" t="s">
        <v>252</v>
      </c>
      <c r="E66" s="102" t="s">
        <v>211</v>
      </c>
      <c r="F66" s="109" t="s">
        <v>212</v>
      </c>
      <c r="G66" s="102" t="s">
        <v>73</v>
      </c>
      <c r="H66" s="102" t="s">
        <v>246</v>
      </c>
      <c r="I66" s="102" t="s">
        <v>217</v>
      </c>
      <c r="J66" s="110" t="s">
        <v>258</v>
      </c>
      <c r="K66" s="102" t="s">
        <v>84</v>
      </c>
      <c r="L66" s="61" t="s">
        <v>257</v>
      </c>
      <c r="M66" s="102" t="s">
        <v>254</v>
      </c>
      <c r="N66" s="102" t="s">
        <v>182</v>
      </c>
      <c r="O66" s="111"/>
      <c r="P66" s="112" t="n">
        <f aca="false">IFERROR(VLOOKUP(J66,'Obs Tecnicas'!$D:$I,5,0),O66)</f>
        <v>44433</v>
      </c>
      <c r="Q66" s="111" t="str">
        <f aca="true">IF(P66&lt;&gt;"",IF(P66+365&gt;TODAY(),"Calibrado","Vencido"),"")</f>
        <v>Calibrado</v>
      </c>
      <c r="R66" s="113" t="n">
        <f aca="false">IFERROR(VLOOKUP(J66,'Obs Tecnicas'!$D:$G,2,0),"")</f>
        <v>13661</v>
      </c>
      <c r="S66" s="102" t="str">
        <f aca="false">IFERROR(VLOOKUP(J66,'Obs Tecnicas'!$D:$G,3,0),"Hexis")</f>
        <v>ER ANALITICA</v>
      </c>
      <c r="T66" s="102" t="n">
        <f aca="false">IFERROR(VLOOKUP(J66,'Obs Tecnicas'!$D:$G,4,0),"")</f>
        <v>0</v>
      </c>
      <c r="U66" s="1" t="s">
        <v>27</v>
      </c>
      <c r="V66" s="114" t="n">
        <f aca="false">IF(P66&lt;&gt;"",MONTH(P66),"")</f>
        <v>8</v>
      </c>
      <c r="W66" s="114" t="n">
        <v>5</v>
      </c>
      <c r="Z66" s="120"/>
      <c r="AB66" s="120"/>
      <c r="AD66" s="120"/>
      <c r="AF66" s="120"/>
      <c r="AG66" s="120"/>
      <c r="AH66" s="120"/>
      <c r="AI66" s="120"/>
      <c r="AK66" s="120"/>
      <c r="AL66" s="120"/>
      <c r="AM66" s="120"/>
      <c r="AN66" s="120"/>
      <c r="AO66" s="120"/>
    </row>
    <row r="67" customFormat="false" ht="15" hidden="false" customHeight="true" outlineLevel="0" collapsed="false">
      <c r="A67" s="102" t="s">
        <v>67</v>
      </c>
      <c r="B67" s="102" t="s">
        <v>250</v>
      </c>
      <c r="C67" s="109" t="s">
        <v>251</v>
      </c>
      <c r="D67" s="102" t="s">
        <v>252</v>
      </c>
      <c r="E67" s="102" t="s">
        <v>211</v>
      </c>
      <c r="F67" s="109" t="s">
        <v>212</v>
      </c>
      <c r="G67" s="102" t="s">
        <v>73</v>
      </c>
      <c r="H67" s="102" t="s">
        <v>246</v>
      </c>
      <c r="I67" s="102" t="s">
        <v>217</v>
      </c>
      <c r="J67" s="110" t="s">
        <v>259</v>
      </c>
      <c r="K67" s="102" t="s">
        <v>81</v>
      </c>
      <c r="L67" s="61" t="s">
        <v>260</v>
      </c>
      <c r="M67" s="102" t="s">
        <v>254</v>
      </c>
      <c r="N67" s="102" t="s">
        <v>182</v>
      </c>
      <c r="O67" s="111"/>
      <c r="P67" s="112" t="n">
        <f aca="false">IFERROR(VLOOKUP(J67,'Obs Tecnicas'!$D:$I,5,0),O67)</f>
        <v>44433</v>
      </c>
      <c r="Q67" s="111" t="str">
        <f aca="true">IF(P67&lt;&gt;"",IF(P67+365&gt;TODAY(),"Calibrado","Vencido"),"")</f>
        <v>Calibrado</v>
      </c>
      <c r="R67" s="113" t="n">
        <f aca="false">IFERROR(VLOOKUP(J67,'Obs Tecnicas'!$D:$G,2,0),"")</f>
        <v>13668</v>
      </c>
      <c r="S67" s="102" t="str">
        <f aca="false">IFERROR(VLOOKUP(J67,'Obs Tecnicas'!$D:$G,3,0),"Hexis")</f>
        <v>ER ANALITICA</v>
      </c>
      <c r="T67" s="102" t="str">
        <f aca="false">IFERROR(VLOOKUP(J67,'Obs Tecnicas'!$D:$G,4,0),"")</f>
        <v>Eletrôdo de pH apresenta estado de vida útil avançada, realizada calibração apenas no parâmetro de condutividade</v>
      </c>
      <c r="U67" s="1" t="s">
        <v>27</v>
      </c>
      <c r="V67" s="114" t="n">
        <f aca="false">IF(P67&lt;&gt;"",MONTH(P67),"")</f>
        <v>8</v>
      </c>
      <c r="W67" s="114" t="n">
        <v>5</v>
      </c>
    </row>
    <row r="68" customFormat="false" ht="15" hidden="false" customHeight="true" outlineLevel="0" collapsed="false">
      <c r="A68" s="102" t="s">
        <v>67</v>
      </c>
      <c r="B68" s="102" t="s">
        <v>261</v>
      </c>
      <c r="C68" s="109" t="s">
        <v>262</v>
      </c>
      <c r="D68" s="102" t="s">
        <v>263</v>
      </c>
      <c r="E68" s="102" t="s">
        <v>244</v>
      </c>
      <c r="F68" s="109" t="s">
        <v>245</v>
      </c>
      <c r="G68" s="102" t="s">
        <v>97</v>
      </c>
      <c r="H68" s="102" t="s">
        <v>246</v>
      </c>
      <c r="I68" s="102" t="s">
        <v>83</v>
      </c>
      <c r="J68" s="110" t="s">
        <v>264</v>
      </c>
      <c r="K68" s="102" t="s">
        <v>265</v>
      </c>
      <c r="L68" s="102" t="s">
        <v>266</v>
      </c>
      <c r="M68" s="102" t="s">
        <v>267</v>
      </c>
      <c r="N68" s="102" t="s">
        <v>268</v>
      </c>
      <c r="O68" s="111" t="n">
        <v>44259</v>
      </c>
      <c r="P68" s="112" t="n">
        <f aca="false">IFERROR(VLOOKUP(J68,'Obs Tecnicas'!$D:$I,5,0),O68)</f>
        <v>44623</v>
      </c>
      <c r="Q68" s="111" t="str">
        <f aca="true">IF(P68&lt;&gt;"",IF(P68+365&gt;TODAY(),"Calibrado","Vencido"),"")</f>
        <v>Calibrado</v>
      </c>
      <c r="R68" s="113" t="n">
        <f aca="false">IFERROR(VLOOKUP(J68,'Obs Tecnicas'!$D:$G,2,0),"")</f>
        <v>15641</v>
      </c>
      <c r="S68" s="102" t="str">
        <f aca="false">IFERROR(VLOOKUP(J68,'Obs Tecnicas'!$D:$G,3,0),"Hexis")</f>
        <v>ER ANALITICA</v>
      </c>
      <c r="T68" s="102" t="n">
        <f aca="false">IFERROR(VLOOKUP(J68,'Obs Tecnicas'!$D:$G,4,0),"")</f>
        <v>0</v>
      </c>
      <c r="V68" s="114" t="n">
        <f aca="false">IF(P68&lt;&gt;"",MONTH(P68),"")</f>
        <v>3</v>
      </c>
      <c r="W68" s="114" t="n">
        <v>8</v>
      </c>
    </row>
    <row r="69" customFormat="false" ht="15" hidden="false" customHeight="true" outlineLevel="0" collapsed="false">
      <c r="A69" s="102" t="s">
        <v>67</v>
      </c>
      <c r="B69" s="102" t="s">
        <v>261</v>
      </c>
      <c r="C69" s="109" t="s">
        <v>262</v>
      </c>
      <c r="D69" s="102" t="s">
        <v>263</v>
      </c>
      <c r="E69" s="102" t="s">
        <v>244</v>
      </c>
      <c r="F69" s="109" t="s">
        <v>245</v>
      </c>
      <c r="G69" s="102" t="s">
        <v>97</v>
      </c>
      <c r="H69" s="102" t="s">
        <v>246</v>
      </c>
      <c r="I69" s="102" t="s">
        <v>86</v>
      </c>
      <c r="J69" s="110" t="s">
        <v>269</v>
      </c>
      <c r="K69" s="102" t="s">
        <v>265</v>
      </c>
      <c r="L69" s="102" t="s">
        <v>270</v>
      </c>
      <c r="M69" s="102" t="s">
        <v>267</v>
      </c>
      <c r="N69" s="102" t="s">
        <v>268</v>
      </c>
      <c r="O69" s="111" t="n">
        <v>44259</v>
      </c>
      <c r="P69" s="112" t="n">
        <f aca="false">IFERROR(VLOOKUP(J69,'Obs Tecnicas'!$D:$I,5,0),O69)</f>
        <v>44623</v>
      </c>
      <c r="Q69" s="111" t="str">
        <f aca="true">IF(P69&lt;&gt;"",IF(P69+365&gt;TODAY(),"Calibrado","Vencido"),"")</f>
        <v>Calibrado</v>
      </c>
      <c r="R69" s="113" t="n">
        <f aca="false">IFERROR(VLOOKUP(J69,'Obs Tecnicas'!$D:$G,2,0),"")</f>
        <v>15643</v>
      </c>
      <c r="S69" s="102" t="str">
        <f aca="false">IFERROR(VLOOKUP(J69,'Obs Tecnicas'!$D:$G,3,0),"Hexis")</f>
        <v>ER ANALITICA</v>
      </c>
      <c r="T69" s="102" t="str">
        <f aca="false">IFERROR(VLOOKUP(J69,'Obs Tecnicas'!$D:$G,4,0),"")</f>
        <v>Eletrodo apresenta vida útil avançada.</v>
      </c>
      <c r="V69" s="114" t="n">
        <f aca="false">IF(P69&lt;&gt;"",MONTH(P69),"")</f>
        <v>3</v>
      </c>
      <c r="W69" s="114" t="n">
        <v>8</v>
      </c>
    </row>
    <row r="70" customFormat="false" ht="15" hidden="false" customHeight="true" outlineLevel="0" collapsed="false">
      <c r="A70" s="102" t="s">
        <v>67</v>
      </c>
      <c r="B70" s="102" t="s">
        <v>261</v>
      </c>
      <c r="C70" s="109" t="s">
        <v>262</v>
      </c>
      <c r="D70" s="102" t="s">
        <v>263</v>
      </c>
      <c r="E70" s="102" t="s">
        <v>244</v>
      </c>
      <c r="F70" s="109" t="s">
        <v>245</v>
      </c>
      <c r="G70" s="102" t="s">
        <v>97</v>
      </c>
      <c r="H70" s="102" t="s">
        <v>246</v>
      </c>
      <c r="I70" s="102" t="s">
        <v>101</v>
      </c>
      <c r="J70" s="110" t="n">
        <v>142870001022</v>
      </c>
      <c r="K70" s="102" t="s">
        <v>81</v>
      </c>
      <c r="L70" s="119" t="s">
        <v>185</v>
      </c>
      <c r="M70" s="102" t="s">
        <v>267</v>
      </c>
      <c r="N70" s="102" t="s">
        <v>268</v>
      </c>
      <c r="O70" s="111" t="n">
        <v>44264</v>
      </c>
      <c r="P70" s="112" t="n">
        <f aca="false">IFERROR(VLOOKUP(J70,'Obs Tecnicas'!$D:$I,5,0),O70)</f>
        <v>44623</v>
      </c>
      <c r="Q70" s="111" t="str">
        <f aca="true">IF(P70&lt;&gt;"",IF(P70+365&gt;TODAY(),"Calibrado","Vencido"),"")</f>
        <v>Calibrado</v>
      </c>
      <c r="R70" s="113" t="n">
        <f aca="false">IFERROR(VLOOKUP(J70,'Obs Tecnicas'!$D:$G,2,0),"")</f>
        <v>15646</v>
      </c>
      <c r="S70" s="102" t="str">
        <f aca="false">IFERROR(VLOOKUP(J70,'Obs Tecnicas'!$D:$G,3,0),"Hexis")</f>
        <v>ER ANALITICA</v>
      </c>
      <c r="T70" s="102" t="n">
        <f aca="false">IFERROR(VLOOKUP(J70,'Obs Tecnicas'!$D:$G,4,0),"")</f>
        <v>0</v>
      </c>
      <c r="V70" s="114" t="n">
        <f aca="false">IF(P70&lt;&gt;"",MONTH(P70),"")</f>
        <v>3</v>
      </c>
      <c r="W70" s="114" t="n">
        <v>8</v>
      </c>
    </row>
    <row r="71" customFormat="false" ht="15" hidden="false" customHeight="true" outlineLevel="0" collapsed="false">
      <c r="A71" s="102" t="s">
        <v>67</v>
      </c>
      <c r="B71" s="102" t="s">
        <v>271</v>
      </c>
      <c r="C71" s="109" t="s">
        <v>272</v>
      </c>
      <c r="D71" s="102" t="s">
        <v>273</v>
      </c>
      <c r="E71" s="102" t="s">
        <v>211</v>
      </c>
      <c r="F71" s="109" t="s">
        <v>212</v>
      </c>
      <c r="G71" s="117" t="s">
        <v>73</v>
      </c>
      <c r="H71" s="117" t="s">
        <v>246</v>
      </c>
      <c r="I71" s="117" t="s">
        <v>86</v>
      </c>
      <c r="J71" s="110" t="n">
        <v>341053</v>
      </c>
      <c r="K71" s="102" t="s">
        <v>81</v>
      </c>
      <c r="L71" s="121" t="s">
        <v>274</v>
      </c>
      <c r="M71" s="121" t="s">
        <v>275</v>
      </c>
      <c r="N71" s="102" t="s">
        <v>276</v>
      </c>
      <c r="O71" s="111" t="n">
        <v>44229</v>
      </c>
      <c r="P71" s="112" t="n">
        <f aca="false">IFERROR(VLOOKUP(J71,'Obs Tecnicas'!$D:$I,5,0),O71)</f>
        <v>44432</v>
      </c>
      <c r="Q71" s="111" t="str">
        <f aca="true">IF(P71&lt;&gt;"",IF(P71+365&gt;TODAY(),"Calibrado","Vencido"),"")</f>
        <v>Calibrado</v>
      </c>
      <c r="R71" s="113" t="n">
        <f aca="false">IFERROR(VLOOKUP(J71,'Obs Tecnicas'!$D:$G,2,0),"")</f>
        <v>13507</v>
      </c>
      <c r="S71" s="102" t="str">
        <f aca="false">IFERROR(VLOOKUP(J71,'Obs Tecnicas'!$D:$G,3,0),"Hexis")</f>
        <v>ER ANALITICA</v>
      </c>
      <c r="T71" s="102" t="n">
        <f aca="false">IFERROR(VLOOKUP(J71,'Obs Tecnicas'!$D:$G,4,0),"")</f>
        <v>0</v>
      </c>
      <c r="U71" s="1" t="s">
        <v>27</v>
      </c>
      <c r="V71" s="114" t="n">
        <f aca="false">IF(P71&lt;&gt;"",MONTH(P71),"")</f>
        <v>8</v>
      </c>
      <c r="W71" s="114" t="n">
        <v>4</v>
      </c>
    </row>
    <row r="72" customFormat="false" ht="15" hidden="false" customHeight="true" outlineLevel="0" collapsed="false">
      <c r="A72" s="102" t="s">
        <v>67</v>
      </c>
      <c r="B72" s="102" t="s">
        <v>277</v>
      </c>
      <c r="C72" s="109" t="s">
        <v>278</v>
      </c>
      <c r="D72" s="102" t="s">
        <v>279</v>
      </c>
      <c r="E72" s="102" t="s">
        <v>211</v>
      </c>
      <c r="F72" s="109" t="s">
        <v>212</v>
      </c>
      <c r="G72" s="102" t="s">
        <v>73</v>
      </c>
      <c r="H72" s="102" t="s">
        <v>246</v>
      </c>
      <c r="I72" s="102" t="s">
        <v>79</v>
      </c>
      <c r="J72" s="110" t="s">
        <v>280</v>
      </c>
      <c r="K72" s="102" t="s">
        <v>81</v>
      </c>
      <c r="L72" s="102" t="s">
        <v>82</v>
      </c>
      <c r="M72" s="121" t="s">
        <v>275</v>
      </c>
      <c r="N72" s="102" t="s">
        <v>281</v>
      </c>
      <c r="O72" s="111" t="n">
        <v>44034</v>
      </c>
      <c r="P72" s="112" t="n">
        <f aca="false">IFERROR(VLOOKUP(J72,'Obs Tecnicas'!$D:$I,5,0),O72)</f>
        <v>44432</v>
      </c>
      <c r="Q72" s="111" t="str">
        <f aca="true">IF(P72&lt;&gt;"",IF(P72+365&gt;TODAY(),"Calibrado","Vencido"),"")</f>
        <v>Calibrado</v>
      </c>
      <c r="R72" s="113" t="n">
        <f aca="false">IFERROR(VLOOKUP(J72,'Obs Tecnicas'!$D:$G,2,0),"")</f>
        <v>13504</v>
      </c>
      <c r="S72" s="102" t="str">
        <f aca="false">IFERROR(VLOOKUP(J72,'Obs Tecnicas'!$D:$G,3,0),"Hexis")</f>
        <v>ER ANALITICA</v>
      </c>
      <c r="T72" s="102" t="str">
        <f aca="false">IFERROR(VLOOKUP(J72,'Obs Tecnicas'!$D:$G,4,0),"")</f>
        <v> Recomendada troca do filtro óptico de 420nm devido inicio de desgaste.</v>
      </c>
      <c r="U72" s="1" t="s">
        <v>27</v>
      </c>
      <c r="V72" s="114" t="n">
        <f aca="false">IF(P72&lt;&gt;"",MONTH(P72),"")</f>
        <v>8</v>
      </c>
      <c r="W72" s="114" t="n">
        <v>8</v>
      </c>
    </row>
    <row r="73" customFormat="false" ht="15" hidden="false" customHeight="true" outlineLevel="0" collapsed="false">
      <c r="A73" s="102" t="s">
        <v>67</v>
      </c>
      <c r="B73" s="102" t="s">
        <v>277</v>
      </c>
      <c r="C73" s="109" t="s">
        <v>278</v>
      </c>
      <c r="D73" s="102" t="s">
        <v>279</v>
      </c>
      <c r="E73" s="102" t="s">
        <v>211</v>
      </c>
      <c r="F73" s="109" t="s">
        <v>212</v>
      </c>
      <c r="G73" s="102" t="s">
        <v>73</v>
      </c>
      <c r="H73" s="102" t="s">
        <v>246</v>
      </c>
      <c r="I73" s="102" t="s">
        <v>83</v>
      </c>
      <c r="J73" s="110" t="s">
        <v>282</v>
      </c>
      <c r="K73" s="102" t="s">
        <v>84</v>
      </c>
      <c r="L73" s="115" t="s">
        <v>85</v>
      </c>
      <c r="M73" s="121" t="s">
        <v>275</v>
      </c>
      <c r="N73" s="102" t="s">
        <v>281</v>
      </c>
      <c r="O73" s="111" t="n">
        <v>44034</v>
      </c>
      <c r="P73" s="112" t="n">
        <f aca="false">IFERROR(VLOOKUP(J73,'Obs Tecnicas'!$D:$I,5,0),O73)</f>
        <v>44432</v>
      </c>
      <c r="Q73" s="111" t="str">
        <f aca="true">IF(P73&lt;&gt;"",IF(P73+365&gt;TODAY(),"Calibrado","Vencido"),"")</f>
        <v>Calibrado</v>
      </c>
      <c r="R73" s="113" t="n">
        <f aca="false">IFERROR(VLOOKUP(J73,'Obs Tecnicas'!$D:$G,2,0),"")</f>
        <v>13510</v>
      </c>
      <c r="S73" s="102" t="str">
        <f aca="false">IFERROR(VLOOKUP(J73,'Obs Tecnicas'!$D:$G,3,0),"Hexis")</f>
        <v>ER ANALITICA</v>
      </c>
      <c r="T73" s="102" t="n">
        <f aca="false">IFERROR(VLOOKUP(J73,'Obs Tecnicas'!$D:$G,4,0),"")</f>
        <v>0</v>
      </c>
      <c r="U73" s="1" t="s">
        <v>27</v>
      </c>
      <c r="V73" s="114" t="n">
        <f aca="false">IF(P73&lt;&gt;"",MONTH(P73),"")</f>
        <v>8</v>
      </c>
      <c r="W73" s="114" t="n">
        <v>8</v>
      </c>
    </row>
    <row r="74" customFormat="false" ht="15" hidden="false" customHeight="true" outlineLevel="0" collapsed="false">
      <c r="A74" s="102" t="s">
        <v>67</v>
      </c>
      <c r="B74" s="102" t="s">
        <v>277</v>
      </c>
      <c r="C74" s="109" t="s">
        <v>278</v>
      </c>
      <c r="D74" s="102" t="s">
        <v>279</v>
      </c>
      <c r="E74" s="102" t="s">
        <v>211</v>
      </c>
      <c r="F74" s="109" t="s">
        <v>212</v>
      </c>
      <c r="G74" s="102" t="s">
        <v>73</v>
      </c>
      <c r="H74" s="102" t="s">
        <v>246</v>
      </c>
      <c r="I74" s="102" t="s">
        <v>89</v>
      </c>
      <c r="J74" s="110" t="n">
        <v>1646</v>
      </c>
      <c r="K74" s="102" t="s">
        <v>224</v>
      </c>
      <c r="L74" s="102" t="s">
        <v>225</v>
      </c>
      <c r="M74" s="121" t="s">
        <v>275</v>
      </c>
      <c r="N74" s="102" t="s">
        <v>281</v>
      </c>
      <c r="O74" s="111" t="n">
        <v>44034</v>
      </c>
      <c r="P74" s="112" t="n">
        <f aca="false">IFERROR(VLOOKUP(J74,'Obs Tecnicas'!$D:$I,5,0),O74)</f>
        <v>44432</v>
      </c>
      <c r="Q74" s="111" t="str">
        <f aca="true">IF(P74&lt;&gt;"",IF(P74+365&gt;TODAY(),"Calibrado","Vencido"),"")</f>
        <v>Calibrado</v>
      </c>
      <c r="R74" s="113" t="n">
        <f aca="false">IFERROR(VLOOKUP(J74,'Obs Tecnicas'!$D:$G,2,0),"")</f>
        <v>13508</v>
      </c>
      <c r="S74" s="102" t="str">
        <f aca="false">IFERROR(VLOOKUP(J74,'Obs Tecnicas'!$D:$G,3,0),"Hexis")</f>
        <v>ER ANALITICA</v>
      </c>
      <c r="T74" s="102" t="n">
        <f aca="false">IFERROR(VLOOKUP(J74,'Obs Tecnicas'!$D:$G,4,0),"")</f>
        <v>0</v>
      </c>
      <c r="U74" s="1" t="s">
        <v>27</v>
      </c>
      <c r="V74" s="114" t="n">
        <f aca="false">IF(P74&lt;&gt;"",MONTH(P74),"")</f>
        <v>8</v>
      </c>
      <c r="W74" s="114" t="n">
        <v>8</v>
      </c>
    </row>
    <row r="75" customFormat="false" ht="15" hidden="false" customHeight="true" outlineLevel="0" collapsed="false">
      <c r="A75" s="102" t="s">
        <v>67</v>
      </c>
      <c r="B75" s="102" t="s">
        <v>283</v>
      </c>
      <c r="C75" s="109" t="s">
        <v>284</v>
      </c>
      <c r="D75" s="102" t="s">
        <v>285</v>
      </c>
      <c r="E75" s="102" t="s">
        <v>283</v>
      </c>
      <c r="F75" s="109" t="s">
        <v>284</v>
      </c>
      <c r="G75" s="102" t="s">
        <v>73</v>
      </c>
      <c r="H75" s="102" t="s">
        <v>246</v>
      </c>
      <c r="I75" s="102" t="s">
        <v>79</v>
      </c>
      <c r="J75" s="110" t="s">
        <v>286</v>
      </c>
      <c r="K75" s="102" t="s">
        <v>81</v>
      </c>
      <c r="L75" s="102" t="s">
        <v>82</v>
      </c>
      <c r="M75" s="121" t="s">
        <v>275</v>
      </c>
      <c r="N75" s="102" t="s">
        <v>281</v>
      </c>
      <c r="O75" s="111" t="n">
        <v>44033</v>
      </c>
      <c r="P75" s="112" t="n">
        <f aca="false">IFERROR(VLOOKUP(J75,'Obs Tecnicas'!$D:$I,5,0),O75)</f>
        <v>44432</v>
      </c>
      <c r="Q75" s="111" t="str">
        <f aca="true">IF(P75&lt;&gt;"",IF(P75+365&gt;TODAY(),"Calibrado","Vencido"),"")</f>
        <v>Calibrado</v>
      </c>
      <c r="R75" s="113" t="n">
        <f aca="false">IFERROR(VLOOKUP(J75,'Obs Tecnicas'!$D:$G,2,0),"")</f>
        <v>13509</v>
      </c>
      <c r="S75" s="102" t="str">
        <f aca="false">IFERROR(VLOOKUP(J75,'Obs Tecnicas'!$D:$G,3,0),"Hexis")</f>
        <v>ER ANALITICA</v>
      </c>
      <c r="T75" s="102" t="n">
        <f aca="false">IFERROR(VLOOKUP(J75,'Obs Tecnicas'!$D:$G,4,0),"")</f>
        <v>0</v>
      </c>
      <c r="U75" s="1" t="s">
        <v>27</v>
      </c>
      <c r="V75" s="114" t="n">
        <f aca="false">IF(P75&lt;&gt;"",MONTH(P75),"")</f>
        <v>8</v>
      </c>
      <c r="W75" s="114" t="n">
        <v>7</v>
      </c>
    </row>
    <row r="76" customFormat="false" ht="15" hidden="false" customHeight="true" outlineLevel="0" collapsed="false">
      <c r="A76" s="102" t="s">
        <v>67</v>
      </c>
      <c r="B76" s="102" t="s">
        <v>283</v>
      </c>
      <c r="C76" s="109" t="s">
        <v>284</v>
      </c>
      <c r="D76" s="102" t="s">
        <v>285</v>
      </c>
      <c r="E76" s="102" t="s">
        <v>283</v>
      </c>
      <c r="F76" s="109" t="s">
        <v>284</v>
      </c>
      <c r="G76" s="102" t="s">
        <v>73</v>
      </c>
      <c r="H76" s="102" t="s">
        <v>246</v>
      </c>
      <c r="I76" s="102" t="s">
        <v>83</v>
      </c>
      <c r="J76" s="110" t="s">
        <v>287</v>
      </c>
      <c r="K76" s="102" t="s">
        <v>288</v>
      </c>
      <c r="L76" s="102" t="s">
        <v>289</v>
      </c>
      <c r="M76" s="121" t="s">
        <v>275</v>
      </c>
      <c r="N76" s="102" t="s">
        <v>281</v>
      </c>
      <c r="O76" s="111" t="n">
        <v>44033</v>
      </c>
      <c r="P76" s="112" t="n">
        <f aca="false">IFERROR(VLOOKUP(J76,'Obs Tecnicas'!$D:$I,5,0),O76)</f>
        <v>44432</v>
      </c>
      <c r="Q76" s="111" t="str">
        <f aca="true">IF(P76&lt;&gt;"",IF(P76+365&gt;TODAY(),"Calibrado","Vencido"),"")</f>
        <v>Calibrado</v>
      </c>
      <c r="R76" s="113" t="n">
        <f aca="false">IFERROR(VLOOKUP(J76,'Obs Tecnicas'!$D:$G,2,0),"")</f>
        <v>13505</v>
      </c>
      <c r="S76" s="102" t="str">
        <f aca="false">IFERROR(VLOOKUP(J76,'Obs Tecnicas'!$D:$G,3,0),"Hexis")</f>
        <v>ER ANALITICA</v>
      </c>
      <c r="T76" s="102" t="n">
        <f aca="false">IFERROR(VLOOKUP(J76,'Obs Tecnicas'!$D:$G,4,0),"")</f>
        <v>0</v>
      </c>
      <c r="U76" s="1" t="s">
        <v>27</v>
      </c>
      <c r="V76" s="114" t="n">
        <f aca="false">IF(P76&lt;&gt;"",MONTH(P76),"")</f>
        <v>8</v>
      </c>
      <c r="W76" s="114" t="n">
        <v>12</v>
      </c>
    </row>
    <row r="77" customFormat="false" ht="15" hidden="false" customHeight="true" outlineLevel="0" collapsed="false">
      <c r="A77" s="102" t="s">
        <v>67</v>
      </c>
      <c r="B77" s="102" t="s">
        <v>283</v>
      </c>
      <c r="C77" s="109" t="s">
        <v>284</v>
      </c>
      <c r="D77" s="102" t="s">
        <v>285</v>
      </c>
      <c r="E77" s="102" t="s">
        <v>283</v>
      </c>
      <c r="F77" s="109" t="s">
        <v>284</v>
      </c>
      <c r="G77" s="102" t="s">
        <v>73</v>
      </c>
      <c r="H77" s="102" t="s">
        <v>246</v>
      </c>
      <c r="I77" s="102" t="s">
        <v>86</v>
      </c>
      <c r="J77" s="110" t="n">
        <v>63259</v>
      </c>
      <c r="K77" s="102" t="s">
        <v>87</v>
      </c>
      <c r="L77" s="102" t="s">
        <v>290</v>
      </c>
      <c r="M77" s="121" t="s">
        <v>275</v>
      </c>
      <c r="N77" s="102" t="s">
        <v>281</v>
      </c>
      <c r="O77" s="111" t="n">
        <v>44432</v>
      </c>
      <c r="P77" s="112" t="n">
        <f aca="false">IFERROR(VLOOKUP(J77,'Obs Tecnicas'!$D:$I,5,0),O77)</f>
        <v>44432</v>
      </c>
      <c r="Q77" s="111" t="str">
        <f aca="true">IF(P77&lt;&gt;"",IF(P77+365&gt;TODAY(),"Calibrado","Vencido"),"")</f>
        <v>Calibrado</v>
      </c>
      <c r="R77" s="113" t="n">
        <f aca="false">IFERROR(VLOOKUP(J77,'Obs Tecnicas'!$D:$G,2,0),"")</f>
        <v>13506</v>
      </c>
      <c r="S77" s="102" t="str">
        <f aca="false">IFERROR(VLOOKUP(J77,'Obs Tecnicas'!$D:$G,3,0),"Hexis")</f>
        <v>ER ANALITICA</v>
      </c>
      <c r="T77" s="102" t="n">
        <f aca="false">IFERROR(VLOOKUP(J77,'Obs Tecnicas'!$D:$G,4,0),"")</f>
        <v>0</v>
      </c>
      <c r="U77" s="1" t="s">
        <v>27</v>
      </c>
      <c r="V77" s="114" t="n">
        <f aca="false">IF(P77&lt;&gt;"",MONTH(P77),"")</f>
        <v>8</v>
      </c>
      <c r="W77" s="114" t="n">
        <v>7</v>
      </c>
    </row>
    <row r="78" customFormat="false" ht="15" hidden="false" customHeight="true" outlineLevel="0" collapsed="false">
      <c r="A78" s="122" t="s">
        <v>67</v>
      </c>
      <c r="B78" s="122" t="s">
        <v>291</v>
      </c>
      <c r="C78" s="123" t="s">
        <v>292</v>
      </c>
      <c r="D78" s="122" t="s">
        <v>293</v>
      </c>
      <c r="E78" s="102" t="s">
        <v>244</v>
      </c>
      <c r="F78" s="123" t="s">
        <v>245</v>
      </c>
      <c r="G78" s="122" t="s">
        <v>97</v>
      </c>
      <c r="H78" s="122" t="s">
        <v>246</v>
      </c>
      <c r="I78" s="102" t="s">
        <v>79</v>
      </c>
      <c r="J78" s="110" t="s">
        <v>294</v>
      </c>
      <c r="K78" s="102" t="s">
        <v>81</v>
      </c>
      <c r="L78" s="119" t="s">
        <v>185</v>
      </c>
      <c r="M78" s="122" t="s">
        <v>295</v>
      </c>
      <c r="N78" s="122" t="s">
        <v>296</v>
      </c>
      <c r="O78" s="111" t="n">
        <v>44173</v>
      </c>
      <c r="P78" s="112" t="n">
        <f aca="false">IFERROR(VLOOKUP(J78,'Obs Tecnicas'!$D:$I,5,0),O78)</f>
        <v>44578</v>
      </c>
      <c r="Q78" s="111" t="str">
        <f aca="true">IF(P78&lt;&gt;"",IF(P78+365&gt;TODAY(),"Calibrado","Vencido"),"")</f>
        <v>Calibrado</v>
      </c>
      <c r="R78" s="113" t="n">
        <f aca="false">IFERROR(VLOOKUP(J78,'Obs Tecnicas'!$D:$G,2,0),"")</f>
        <v>15235</v>
      </c>
      <c r="S78" s="102" t="str">
        <f aca="false">IFERROR(VLOOKUP(J78,'Obs Tecnicas'!$D:$G,3,0),"Hexis")</f>
        <v>ER ANALITICA</v>
      </c>
      <c r="T78" s="102" t="n">
        <f aca="false">IFERROR(VLOOKUP(J78,'Obs Tecnicas'!$D:$G,4,0),"")</f>
        <v>0</v>
      </c>
      <c r="V78" s="114" t="n">
        <f aca="false">IF(P78&lt;&gt;"",MONTH(P78),"")</f>
        <v>1</v>
      </c>
      <c r="W78" s="114" t="n">
        <v>3</v>
      </c>
    </row>
    <row r="79" s="48" customFormat="true" ht="15" hidden="false" customHeight="false" outlineLevel="0" collapsed="false">
      <c r="A79" s="48" t="s">
        <v>67</v>
      </c>
      <c r="B79" s="122" t="s">
        <v>291</v>
      </c>
      <c r="C79" s="123" t="s">
        <v>292</v>
      </c>
      <c r="D79" s="122" t="s">
        <v>293</v>
      </c>
      <c r="E79" s="102" t="s">
        <v>244</v>
      </c>
      <c r="F79" s="123" t="s">
        <v>245</v>
      </c>
      <c r="G79" s="122" t="s">
        <v>97</v>
      </c>
      <c r="H79" s="48" t="s">
        <v>246</v>
      </c>
      <c r="I79" s="102" t="s">
        <v>217</v>
      </c>
      <c r="J79" s="124" t="n">
        <v>6271336</v>
      </c>
      <c r="K79" s="48" t="s">
        <v>84</v>
      </c>
      <c r="L79" s="48" t="s">
        <v>219</v>
      </c>
      <c r="M79" s="122" t="s">
        <v>295</v>
      </c>
      <c r="N79" s="122" t="s">
        <v>296</v>
      </c>
      <c r="O79" s="125" t="n">
        <v>44259</v>
      </c>
      <c r="P79" s="112" t="n">
        <f aca="false">IFERROR(VLOOKUP(J79,'Obs Tecnicas'!$D:$I,5,0),O79)</f>
        <v>44678</v>
      </c>
      <c r="Q79" s="111" t="str">
        <f aca="true">IF(P79&lt;&gt;"",IF(P79+365&gt;TODAY(),"Calibrado","Vencido"),"")</f>
        <v>Calibrado</v>
      </c>
      <c r="R79" s="113" t="n">
        <f aca="false">IFERROR(VLOOKUP(J79,'Obs Tecnicas'!$D:$G,2,0),"")</f>
        <v>16240</v>
      </c>
      <c r="S79" s="102" t="str">
        <f aca="false">IFERROR(VLOOKUP(J79,'Obs Tecnicas'!$D:$G,3,0),"Hexis")</f>
        <v>ER ANALITICA</v>
      </c>
      <c r="T79" s="48" t="n">
        <f aca="false">IFERROR(VLOOKUP(J79,'Obs Tecnicas'!$D$68:$G$403,4,0),"")</f>
        <v>0</v>
      </c>
      <c r="V79" s="48" t="n">
        <f aca="false">IF(P79&lt;&gt;"",MONTH(P79),"")</f>
        <v>4</v>
      </c>
    </row>
    <row r="80" customFormat="false" ht="15" hidden="false" customHeight="true" outlineLevel="0" collapsed="false">
      <c r="A80" s="102" t="s">
        <v>67</v>
      </c>
      <c r="B80" s="115" t="s">
        <v>297</v>
      </c>
      <c r="C80" s="109" t="s">
        <v>298</v>
      </c>
      <c r="D80" s="102" t="s">
        <v>299</v>
      </c>
      <c r="E80" s="102" t="s">
        <v>211</v>
      </c>
      <c r="F80" s="109" t="s">
        <v>212</v>
      </c>
      <c r="G80" s="102" t="s">
        <v>73</v>
      </c>
      <c r="H80" s="102" t="s">
        <v>246</v>
      </c>
      <c r="I80" s="102" t="s">
        <v>89</v>
      </c>
      <c r="J80" s="110" t="s">
        <v>300</v>
      </c>
      <c r="K80" s="102" t="s">
        <v>81</v>
      </c>
      <c r="L80" s="102" t="s">
        <v>91</v>
      </c>
      <c r="M80" s="102" t="s">
        <v>301</v>
      </c>
      <c r="O80" s="111" t="n">
        <v>43739</v>
      </c>
      <c r="P80" s="112" t="n">
        <f aca="false">IFERROR(VLOOKUP(J80,'Obs Tecnicas'!$D:$I,5,0),O80)</f>
        <v>43739</v>
      </c>
      <c r="Q80" s="111" t="str">
        <f aca="true">IF(P80&lt;&gt;"",IF(P80+365&gt;TODAY(),"Calibrado","Vencido"),"")</f>
        <v>Vencido</v>
      </c>
      <c r="R80" s="113" t="str">
        <f aca="false">IFERROR(VLOOKUP(J80,'Obs Tecnicas'!$D:$G,2,0),"")</f>
        <v/>
      </c>
      <c r="S80" s="102" t="str">
        <f aca="false">IFERROR(VLOOKUP(J80,'Obs Tecnicas'!$D:$G,3,0),"Hexis")</f>
        <v>Hexis</v>
      </c>
      <c r="T80" s="102" t="str">
        <f aca="false">IFERROR(VLOOKUP(J80,'Obs Tecnicas'!$D:$G,4,0),"")</f>
        <v/>
      </c>
      <c r="U80" s="1" t="s">
        <v>30</v>
      </c>
      <c r="V80" s="114" t="n">
        <f aca="false">IF(P80&lt;&gt;"",MONTH(P80),"")</f>
        <v>10</v>
      </c>
      <c r="W80" s="114" t="n">
        <v>10</v>
      </c>
    </row>
    <row r="81" customFormat="false" ht="15" hidden="false" customHeight="true" outlineLevel="0" collapsed="false">
      <c r="A81" s="102" t="s">
        <v>67</v>
      </c>
      <c r="B81" s="102" t="s">
        <v>297</v>
      </c>
      <c r="C81" s="109" t="s">
        <v>298</v>
      </c>
      <c r="D81" s="102" t="s">
        <v>299</v>
      </c>
      <c r="E81" s="102" t="s">
        <v>211</v>
      </c>
      <c r="F81" s="109" t="s">
        <v>212</v>
      </c>
      <c r="G81" s="102" t="s">
        <v>73</v>
      </c>
      <c r="H81" s="102" t="s">
        <v>246</v>
      </c>
      <c r="I81" s="102" t="s">
        <v>83</v>
      </c>
      <c r="J81" s="110" t="s">
        <v>302</v>
      </c>
      <c r="K81" s="102" t="s">
        <v>87</v>
      </c>
      <c r="L81" s="102" t="s">
        <v>303</v>
      </c>
      <c r="M81" s="102" t="s">
        <v>301</v>
      </c>
      <c r="N81" s="102" t="s">
        <v>182</v>
      </c>
      <c r="O81" s="111" t="n">
        <v>44034</v>
      </c>
      <c r="P81" s="112" t="n">
        <f aca="false">IFERROR(VLOOKUP(J81,'Obs Tecnicas'!$D:$I,5,0),O81)</f>
        <v>44469</v>
      </c>
      <c r="Q81" s="111" t="str">
        <f aca="true">IF(P81&lt;&gt;"",IF(P81+365&gt;TODAY(),"Calibrado","Vencido"),"")</f>
        <v>Calibrado</v>
      </c>
      <c r="R81" s="113" t="n">
        <f aca="false">IFERROR(VLOOKUP(J81,'Obs Tecnicas'!$D:$G,2,0),"")</f>
        <v>13874</v>
      </c>
      <c r="S81" s="102" t="str">
        <f aca="false">IFERROR(VLOOKUP(J81,'Obs Tecnicas'!$D:$G,3,0),"Hexis")</f>
        <v>ER ANALITICA</v>
      </c>
      <c r="T81" s="102" t="n">
        <f aca="false">IFERROR(VLOOKUP(J81,'Obs Tecnicas'!$D:$G,4,0),"")</f>
        <v>0</v>
      </c>
      <c r="U81" s="1" t="s">
        <v>27</v>
      </c>
      <c r="V81" s="114" t="n">
        <f aca="false">IF(P81&lt;&gt;"",MONTH(P81),"")</f>
        <v>9</v>
      </c>
      <c r="W81" s="114" t="n">
        <v>4</v>
      </c>
    </row>
    <row r="82" customFormat="false" ht="15" hidden="false" customHeight="true" outlineLevel="0" collapsed="false">
      <c r="A82" s="102" t="s">
        <v>67</v>
      </c>
      <c r="B82" s="115" t="s">
        <v>297</v>
      </c>
      <c r="C82" s="109" t="s">
        <v>298</v>
      </c>
      <c r="D82" s="102" t="s">
        <v>299</v>
      </c>
      <c r="E82" s="102" t="s">
        <v>211</v>
      </c>
      <c r="F82" s="109" t="s">
        <v>212</v>
      </c>
      <c r="G82" s="102" t="s">
        <v>73</v>
      </c>
      <c r="H82" s="102" t="s">
        <v>246</v>
      </c>
      <c r="I82" s="102" t="s">
        <v>83</v>
      </c>
      <c r="J82" s="110" t="s">
        <v>304</v>
      </c>
      <c r="K82" s="102" t="s">
        <v>84</v>
      </c>
      <c r="L82" s="115" t="s">
        <v>85</v>
      </c>
      <c r="M82" s="102" t="s">
        <v>301</v>
      </c>
      <c r="N82" s="102" t="s">
        <v>182</v>
      </c>
      <c r="O82" s="111" t="n">
        <v>44034</v>
      </c>
      <c r="P82" s="112" t="n">
        <f aca="false">IFERROR(VLOOKUP(J82,'Obs Tecnicas'!$D:$I,5,0),O82)</f>
        <v>44469</v>
      </c>
      <c r="Q82" s="111" t="str">
        <f aca="true">IF(P82&lt;&gt;"",IF(P82+365&gt;TODAY(),"Calibrado","Vencido"),"")</f>
        <v>Calibrado</v>
      </c>
      <c r="R82" s="113" t="n">
        <f aca="false">IFERROR(VLOOKUP(J82,'Obs Tecnicas'!$D:$G,2,0),"")</f>
        <v>13875</v>
      </c>
      <c r="S82" s="102" t="str">
        <f aca="false">IFERROR(VLOOKUP(J82,'Obs Tecnicas'!$D:$G,3,0),"Hexis")</f>
        <v>ER ANALITICA</v>
      </c>
      <c r="T82" s="102" t="n">
        <f aca="false">IFERROR(VLOOKUP(J82,'Obs Tecnicas'!$D:$G,4,0),"")</f>
        <v>0</v>
      </c>
      <c r="U82" s="1" t="s">
        <v>27</v>
      </c>
      <c r="V82" s="114" t="n">
        <f aca="false">IF(P82&lt;&gt;"",MONTH(P82),"")</f>
        <v>9</v>
      </c>
      <c r="W82" s="114" t="n">
        <v>4</v>
      </c>
    </row>
    <row r="83" customFormat="false" ht="15" hidden="false" customHeight="true" outlineLevel="0" collapsed="false">
      <c r="A83" s="102" t="s">
        <v>67</v>
      </c>
      <c r="B83" s="102" t="s">
        <v>297</v>
      </c>
      <c r="C83" s="109" t="s">
        <v>298</v>
      </c>
      <c r="D83" s="102" t="s">
        <v>299</v>
      </c>
      <c r="E83" s="102" t="s">
        <v>211</v>
      </c>
      <c r="F83" s="109" t="s">
        <v>212</v>
      </c>
      <c r="G83" s="102" t="s">
        <v>73</v>
      </c>
      <c r="H83" s="102" t="s">
        <v>246</v>
      </c>
      <c r="I83" s="102" t="s">
        <v>101</v>
      </c>
      <c r="J83" s="110" t="s">
        <v>305</v>
      </c>
      <c r="K83" s="102" t="s">
        <v>81</v>
      </c>
      <c r="L83" s="102" t="s">
        <v>205</v>
      </c>
      <c r="M83" s="102" t="s">
        <v>301</v>
      </c>
      <c r="N83" s="102" t="s">
        <v>182</v>
      </c>
      <c r="O83" s="111" t="n">
        <v>44034</v>
      </c>
      <c r="P83" s="112" t="n">
        <f aca="false">IFERROR(VLOOKUP(J83,'Obs Tecnicas'!$D:$I,5,0),O83)</f>
        <v>44469</v>
      </c>
      <c r="Q83" s="111" t="str">
        <f aca="true">IF(P83&lt;&gt;"",IF(P83+365&gt;TODAY(),"Calibrado","Vencido"),"")</f>
        <v>Calibrado</v>
      </c>
      <c r="R83" s="113" t="n">
        <f aca="false">IFERROR(VLOOKUP(J83,'Obs Tecnicas'!$D:$G,2,0),"")</f>
        <v>13878</v>
      </c>
      <c r="S83" s="102" t="str">
        <f aca="false">IFERROR(VLOOKUP(J83,'Obs Tecnicas'!$D:$G,3,0),"Hexis")</f>
        <v>ER ANALITICA</v>
      </c>
      <c r="T83" s="102" t="n">
        <f aca="false">IFERROR(VLOOKUP(J83,'Obs Tecnicas'!$D:$G,4,0),"")</f>
        <v>0</v>
      </c>
      <c r="U83" s="1" t="s">
        <v>27</v>
      </c>
      <c r="V83" s="114" t="n">
        <f aca="false">IF(P83&lt;&gt;"",MONTH(P83),"")</f>
        <v>9</v>
      </c>
      <c r="W83" s="114" t="n">
        <v>8</v>
      </c>
    </row>
    <row r="84" customFormat="false" ht="15" hidden="false" customHeight="true" outlineLevel="0" collapsed="false">
      <c r="A84" s="102" t="s">
        <v>67</v>
      </c>
      <c r="B84" s="115" t="s">
        <v>297</v>
      </c>
      <c r="C84" s="109" t="s">
        <v>298</v>
      </c>
      <c r="D84" s="102" t="s">
        <v>299</v>
      </c>
      <c r="E84" s="102" t="s">
        <v>211</v>
      </c>
      <c r="F84" s="109" t="s">
        <v>212</v>
      </c>
      <c r="G84" s="102" t="s">
        <v>73</v>
      </c>
      <c r="H84" s="102" t="s">
        <v>246</v>
      </c>
      <c r="I84" s="102" t="s">
        <v>217</v>
      </c>
      <c r="J84" s="110" t="s">
        <v>306</v>
      </c>
      <c r="K84" s="102" t="s">
        <v>81</v>
      </c>
      <c r="L84" s="102" t="s">
        <v>307</v>
      </c>
      <c r="M84" s="102" t="s">
        <v>301</v>
      </c>
      <c r="N84" s="102" t="s">
        <v>182</v>
      </c>
      <c r="O84" s="111" t="n">
        <v>44034</v>
      </c>
      <c r="P84" s="112" t="n">
        <f aca="false">IFERROR(VLOOKUP(J84,'Obs Tecnicas'!$D:$I,5,0),O84)</f>
        <v>44469</v>
      </c>
      <c r="Q84" s="111" t="str">
        <f aca="true">IF(P84&lt;&gt;"",IF(P84+365&gt;TODAY(),"Calibrado","Vencido"),"")</f>
        <v>Calibrado</v>
      </c>
      <c r="R84" s="113" t="n">
        <f aca="false">IFERROR(VLOOKUP(J84,'Obs Tecnicas'!$D:$G,2,0),"")</f>
        <v>13879</v>
      </c>
      <c r="S84" s="102" t="str">
        <f aca="false">IFERROR(VLOOKUP(J84,'Obs Tecnicas'!$D:$G,3,0),"Hexis")</f>
        <v>ER ANALITICA</v>
      </c>
      <c r="T84" s="102" t="n">
        <f aca="false">IFERROR(VLOOKUP(J84,'Obs Tecnicas'!$D:$G,4,0),"")</f>
        <v>0</v>
      </c>
      <c r="U84" s="1" t="s">
        <v>27</v>
      </c>
      <c r="V84" s="114" t="n">
        <f aca="false">IF(P84&lt;&gt;"",MONTH(P84),"")</f>
        <v>9</v>
      </c>
      <c r="W84" s="114" t="n">
        <v>8</v>
      </c>
    </row>
    <row r="85" customFormat="false" ht="15" hidden="false" customHeight="true" outlineLevel="0" collapsed="false">
      <c r="A85" s="102" t="s">
        <v>67</v>
      </c>
      <c r="B85" s="102" t="s">
        <v>297</v>
      </c>
      <c r="C85" s="109" t="s">
        <v>298</v>
      </c>
      <c r="D85" s="102" t="s">
        <v>299</v>
      </c>
      <c r="E85" s="102" t="s">
        <v>211</v>
      </c>
      <c r="F85" s="109" t="s">
        <v>212</v>
      </c>
      <c r="G85" s="102" t="s">
        <v>73</v>
      </c>
      <c r="H85" s="102" t="s">
        <v>246</v>
      </c>
      <c r="I85" s="102" t="s">
        <v>86</v>
      </c>
      <c r="J85" s="110" t="n">
        <v>688630</v>
      </c>
      <c r="K85" s="117" t="s">
        <v>136</v>
      </c>
      <c r="L85" s="102" t="s">
        <v>137</v>
      </c>
      <c r="M85" s="102" t="s">
        <v>301</v>
      </c>
      <c r="N85" s="102" t="s">
        <v>182</v>
      </c>
      <c r="O85" s="111" t="n">
        <v>44034</v>
      </c>
      <c r="P85" s="112" t="n">
        <f aca="false">IFERROR(VLOOKUP(J85,'Obs Tecnicas'!$D:$I,5,0),O85)</f>
        <v>44711</v>
      </c>
      <c r="Q85" s="111" t="str">
        <f aca="true">IF(P85&lt;&gt;"",IF(P85+365&gt;TODAY(),"Calibrado","Vencido"),"")</f>
        <v>Calibrado</v>
      </c>
      <c r="R85" s="113" t="n">
        <f aca="false">IFERROR(VLOOKUP(J85,'Obs Tecnicas'!$D:$G,2,0),"")</f>
        <v>14573</v>
      </c>
      <c r="S85" s="102" t="str">
        <f aca="false">IFERROR(VLOOKUP(J85,'Obs Tecnicas'!$D:$G,3,0),"Hexis")</f>
        <v>ER ANALITICA</v>
      </c>
      <c r="T85" s="102" t="n">
        <f aca="false">IFERROR(VLOOKUP(J85,'Obs Tecnicas'!$D:$G,4,0),"")</f>
        <v>0</v>
      </c>
      <c r="U85" s="1" t="s">
        <v>27</v>
      </c>
      <c r="V85" s="114" t="n">
        <f aca="false">IF(P85&lt;&gt;"",MONTH(P85),"")</f>
        <v>5</v>
      </c>
      <c r="W85" s="114" t="n">
        <v>8</v>
      </c>
    </row>
    <row r="86" customFormat="false" ht="15" hidden="false" customHeight="true" outlineLevel="0" collapsed="false">
      <c r="A86" s="102" t="s">
        <v>67</v>
      </c>
      <c r="B86" s="102" t="s">
        <v>297</v>
      </c>
      <c r="C86" s="109" t="s">
        <v>298</v>
      </c>
      <c r="D86" s="102" t="s">
        <v>299</v>
      </c>
      <c r="E86" s="102" t="s">
        <v>211</v>
      </c>
      <c r="F86" s="109" t="s">
        <v>212</v>
      </c>
      <c r="G86" s="102" t="s">
        <v>73</v>
      </c>
      <c r="H86" s="102" t="s">
        <v>246</v>
      </c>
      <c r="I86" s="102" t="s">
        <v>115</v>
      </c>
      <c r="J86" s="110" t="s">
        <v>308</v>
      </c>
      <c r="K86" s="102" t="s">
        <v>309</v>
      </c>
      <c r="L86" s="102" t="s">
        <v>310</v>
      </c>
      <c r="M86" s="102" t="s">
        <v>301</v>
      </c>
      <c r="N86" s="102" t="s">
        <v>182</v>
      </c>
      <c r="O86" s="111" t="n">
        <v>44035</v>
      </c>
      <c r="P86" s="112" t="n">
        <f aca="false">IFERROR(VLOOKUP(J86,'Obs Tecnicas'!$D:$I,5,0),O86)</f>
        <v>44497</v>
      </c>
      <c r="Q86" s="111" t="str">
        <f aca="true">IF(P86&lt;&gt;"",IF(P86+365&gt;TODAY(),"Calibrado","Vencido"),"")</f>
        <v>Calibrado</v>
      </c>
      <c r="R86" s="113" t="n">
        <f aca="false">IFERROR(VLOOKUP(J86,'Obs Tecnicas'!$D:$G,2,0),"")</f>
        <v>14169</v>
      </c>
      <c r="S86" s="102" t="str">
        <f aca="false">IFERROR(VLOOKUP(J86,'Obs Tecnicas'!$D:$G,3,0),"Hexis")</f>
        <v>ER ANALITICA</v>
      </c>
      <c r="T86" s="102" t="n">
        <f aca="false">IFERROR(VLOOKUP(J86,'Obs Tecnicas'!$D:$G,4,0),"")</f>
        <v>0</v>
      </c>
      <c r="U86" s="1" t="s">
        <v>27</v>
      </c>
      <c r="V86" s="114" t="n">
        <f aca="false">IF(P86&lt;&gt;"",MONTH(P86),"")</f>
        <v>10</v>
      </c>
      <c r="W86" s="114" t="n">
        <v>8</v>
      </c>
    </row>
    <row r="87" customFormat="false" ht="15" hidden="false" customHeight="true" outlineLevel="0" collapsed="false">
      <c r="A87" s="102" t="s">
        <v>67</v>
      </c>
      <c r="B87" s="102" t="s">
        <v>297</v>
      </c>
      <c r="C87" s="109" t="s">
        <v>298</v>
      </c>
      <c r="D87" s="102" t="s">
        <v>299</v>
      </c>
      <c r="E87" s="102" t="s">
        <v>211</v>
      </c>
      <c r="F87" s="109" t="s">
        <v>212</v>
      </c>
      <c r="G87" s="102" t="s">
        <v>73</v>
      </c>
      <c r="H87" s="102" t="s">
        <v>246</v>
      </c>
      <c r="I87" s="102" t="s">
        <v>89</v>
      </c>
      <c r="J87" s="110" t="s">
        <v>311</v>
      </c>
      <c r="K87" s="102" t="s">
        <v>81</v>
      </c>
      <c r="L87" s="102" t="s">
        <v>91</v>
      </c>
      <c r="M87" s="102" t="s">
        <v>301</v>
      </c>
      <c r="N87" s="102" t="s">
        <v>182</v>
      </c>
      <c r="O87" s="111" t="n">
        <v>44035</v>
      </c>
      <c r="P87" s="112" t="n">
        <f aca="false">IFERROR(VLOOKUP(J87,'Obs Tecnicas'!$D:$I,5,0),O87)</f>
        <v>44497</v>
      </c>
      <c r="Q87" s="111" t="str">
        <f aca="true">IF(P87&lt;&gt;"",IF(P87+365&gt;TODAY(),"Calibrado","Vencido"),"")</f>
        <v>Calibrado</v>
      </c>
      <c r="R87" s="113" t="n">
        <f aca="false">IFERROR(VLOOKUP(J87,'Obs Tecnicas'!$D:$G,2,0),"")</f>
        <v>14171</v>
      </c>
      <c r="S87" s="102" t="str">
        <f aca="false">IFERROR(VLOOKUP(J87,'Obs Tecnicas'!$D:$G,3,0),"Hexis")</f>
        <v>ER ANALITICA</v>
      </c>
      <c r="T87" s="102" t="n">
        <f aca="false">IFERROR(VLOOKUP(J87,'Obs Tecnicas'!$D:$G,4,0),"")</f>
        <v>0</v>
      </c>
      <c r="U87" s="1" t="s">
        <v>27</v>
      </c>
      <c r="V87" s="114" t="n">
        <f aca="false">IF(P87&lt;&gt;"",MONTH(P87),"")</f>
        <v>10</v>
      </c>
      <c r="W87" s="114" t="n">
        <v>8</v>
      </c>
    </row>
    <row r="88" customFormat="false" ht="15" hidden="false" customHeight="true" outlineLevel="0" collapsed="false">
      <c r="A88" s="102" t="s">
        <v>67</v>
      </c>
      <c r="B88" s="102" t="s">
        <v>312</v>
      </c>
      <c r="C88" s="109" t="s">
        <v>313</v>
      </c>
      <c r="D88" s="102" t="s">
        <v>314</v>
      </c>
      <c r="E88" s="102" t="s">
        <v>211</v>
      </c>
      <c r="F88" s="109" t="s">
        <v>212</v>
      </c>
      <c r="G88" s="102" t="s">
        <v>73</v>
      </c>
      <c r="H88" s="102" t="s">
        <v>246</v>
      </c>
      <c r="I88" s="102" t="s">
        <v>89</v>
      </c>
      <c r="J88" s="110" t="s">
        <v>315</v>
      </c>
      <c r="K88" s="102" t="s">
        <v>224</v>
      </c>
      <c r="L88" s="118" t="s">
        <v>225</v>
      </c>
      <c r="M88" s="102" t="s">
        <v>301</v>
      </c>
      <c r="N88" s="102" t="s">
        <v>182</v>
      </c>
      <c r="O88" s="111" t="n">
        <v>44469</v>
      </c>
      <c r="P88" s="112" t="n">
        <f aca="false">IFERROR(VLOOKUP(J88,'Obs Tecnicas'!$D:$I,5,0),O88)</f>
        <v>44469</v>
      </c>
      <c r="Q88" s="111" t="str">
        <f aca="true">IF(P88&lt;&gt;"",IF(P88+365&gt;TODAY(),"Calibrado","Vencido"),"")</f>
        <v>Calibrado</v>
      </c>
      <c r="R88" s="113" t="n">
        <f aca="false">IFERROR(VLOOKUP(J88,'Obs Tecnicas'!$D:$G,2,0),"")</f>
        <v>13962</v>
      </c>
      <c r="S88" s="102" t="str">
        <f aca="false">IFERROR(VLOOKUP(J88,'Obs Tecnicas'!$D:$G,3,0),"Hexis")</f>
        <v>ER ANALITICA</v>
      </c>
      <c r="T88" s="102" t="n">
        <f aca="false">IFERROR(VLOOKUP(J88,'Obs Tecnicas'!$D:$G,4,0),"")</f>
        <v>0</v>
      </c>
      <c r="U88" s="1" t="s">
        <v>27</v>
      </c>
      <c r="V88" s="114" t="n">
        <f aca="false">IF(P88&lt;&gt;"",MONTH(P88),"")</f>
        <v>9</v>
      </c>
      <c r="W88" s="114" t="n">
        <v>8</v>
      </c>
    </row>
    <row r="89" customFormat="false" ht="15" hidden="false" customHeight="true" outlineLevel="0" collapsed="false">
      <c r="A89" s="102" t="s">
        <v>67</v>
      </c>
      <c r="B89" s="102" t="s">
        <v>312</v>
      </c>
      <c r="C89" s="109" t="s">
        <v>313</v>
      </c>
      <c r="D89" s="102" t="s">
        <v>314</v>
      </c>
      <c r="E89" s="102" t="s">
        <v>211</v>
      </c>
      <c r="F89" s="109" t="s">
        <v>212</v>
      </c>
      <c r="G89" s="102" t="s">
        <v>73</v>
      </c>
      <c r="H89" s="102" t="s">
        <v>246</v>
      </c>
      <c r="I89" s="102" t="s">
        <v>83</v>
      </c>
      <c r="J89" s="110" t="s">
        <v>316</v>
      </c>
      <c r="K89" s="102" t="s">
        <v>84</v>
      </c>
      <c r="L89" s="118" t="s">
        <v>85</v>
      </c>
      <c r="M89" s="102" t="s">
        <v>301</v>
      </c>
      <c r="N89" s="102" t="s">
        <v>182</v>
      </c>
      <c r="O89" s="111" t="n">
        <v>44469</v>
      </c>
      <c r="P89" s="112" t="n">
        <f aca="false">IFERROR(VLOOKUP(J89,'Obs Tecnicas'!$D:$I,5,0),O89)</f>
        <v>44469</v>
      </c>
      <c r="Q89" s="111" t="str">
        <f aca="true">IF(P89&lt;&gt;"",IF(P89+365&gt;TODAY(),"Calibrado","Vencido"),"")</f>
        <v>Calibrado</v>
      </c>
      <c r="R89" s="113" t="n">
        <f aca="false">IFERROR(VLOOKUP(J89,'Obs Tecnicas'!$D:$G,2,0),"")</f>
        <v>13963</v>
      </c>
      <c r="S89" s="102" t="str">
        <f aca="false">IFERROR(VLOOKUP(J89,'Obs Tecnicas'!$D:$G,3,0),"Hexis")</f>
        <v>ER ANALITICA</v>
      </c>
      <c r="T89" s="102" t="n">
        <f aca="false">IFERROR(VLOOKUP(J89,'Obs Tecnicas'!$D:$G,4,0),"")</f>
        <v>0</v>
      </c>
      <c r="U89" s="1" t="s">
        <v>27</v>
      </c>
      <c r="V89" s="114" t="n">
        <f aca="false">IF(P89&lt;&gt;"",MONTH(P89),"")</f>
        <v>9</v>
      </c>
      <c r="W89" s="114" t="n">
        <v>8</v>
      </c>
    </row>
    <row r="90" customFormat="false" ht="15" hidden="false" customHeight="true" outlineLevel="0" collapsed="false">
      <c r="A90" s="102" t="s">
        <v>67</v>
      </c>
      <c r="B90" s="102" t="s">
        <v>312</v>
      </c>
      <c r="C90" s="109" t="s">
        <v>313</v>
      </c>
      <c r="D90" s="102" t="s">
        <v>314</v>
      </c>
      <c r="E90" s="102" t="s">
        <v>211</v>
      </c>
      <c r="F90" s="109" t="s">
        <v>212</v>
      </c>
      <c r="G90" s="102" t="s">
        <v>73</v>
      </c>
      <c r="H90" s="102" t="s">
        <v>246</v>
      </c>
      <c r="I90" s="102" t="s">
        <v>83</v>
      </c>
      <c r="J90" s="110" t="s">
        <v>317</v>
      </c>
      <c r="K90" s="102" t="s">
        <v>84</v>
      </c>
      <c r="L90" s="118" t="s">
        <v>318</v>
      </c>
      <c r="M90" s="102" t="s">
        <v>301</v>
      </c>
      <c r="N90" s="102" t="s">
        <v>182</v>
      </c>
      <c r="O90" s="111" t="n">
        <v>44469</v>
      </c>
      <c r="P90" s="112" t="n">
        <f aca="false">IFERROR(VLOOKUP(J90,'Obs Tecnicas'!$D:$I,5,0),O90)</f>
        <v>44469</v>
      </c>
      <c r="Q90" s="111" t="str">
        <f aca="true">IF(P90&lt;&gt;"",IF(P90+365&gt;TODAY(),"Calibrado","Vencido"),"")</f>
        <v>Calibrado</v>
      </c>
      <c r="R90" s="113" t="n">
        <f aca="false">IFERROR(VLOOKUP(J90,'Obs Tecnicas'!$D:$G,2,0),"")</f>
        <v>13964</v>
      </c>
      <c r="S90" s="102" t="str">
        <f aca="false">IFERROR(VLOOKUP(J90,'Obs Tecnicas'!$D:$G,3,0),"Hexis")</f>
        <v>ER ANALITICA</v>
      </c>
      <c r="T90" s="102" t="n">
        <f aca="false">IFERROR(VLOOKUP(J90,'Obs Tecnicas'!$D:$G,4,0),"")</f>
        <v>0</v>
      </c>
      <c r="U90" s="1" t="s">
        <v>27</v>
      </c>
      <c r="V90" s="114" t="n">
        <f aca="false">IF(P90&lt;&gt;"",MONTH(P90),"")</f>
        <v>9</v>
      </c>
      <c r="W90" s="114" t="n">
        <v>8</v>
      </c>
    </row>
    <row r="91" customFormat="false" ht="15" hidden="false" customHeight="true" outlineLevel="0" collapsed="false">
      <c r="A91" s="102" t="s">
        <v>67</v>
      </c>
      <c r="B91" s="102" t="s">
        <v>312</v>
      </c>
      <c r="C91" s="109" t="s">
        <v>313</v>
      </c>
      <c r="D91" s="102" t="s">
        <v>314</v>
      </c>
      <c r="E91" s="102" t="s">
        <v>211</v>
      </c>
      <c r="F91" s="109" t="s">
        <v>212</v>
      </c>
      <c r="G91" s="102" t="s">
        <v>73</v>
      </c>
      <c r="H91" s="102" t="s">
        <v>246</v>
      </c>
      <c r="I91" s="102" t="s">
        <v>83</v>
      </c>
      <c r="J91" s="110" t="s">
        <v>319</v>
      </c>
      <c r="K91" s="102" t="s">
        <v>84</v>
      </c>
      <c r="L91" s="118" t="s">
        <v>318</v>
      </c>
      <c r="M91" s="102" t="s">
        <v>301</v>
      </c>
      <c r="N91" s="102" t="s">
        <v>182</v>
      </c>
      <c r="O91" s="111" t="n">
        <v>44469</v>
      </c>
      <c r="P91" s="112" t="n">
        <f aca="false">IFERROR(VLOOKUP(J91,'Obs Tecnicas'!$D:$I,5,0),O91)</f>
        <v>44469</v>
      </c>
      <c r="Q91" s="111" t="str">
        <f aca="true">IF(P91&lt;&gt;"",IF(P91+365&gt;TODAY(),"Calibrado","Vencido"),"")</f>
        <v>Calibrado</v>
      </c>
      <c r="R91" s="113" t="n">
        <f aca="false">IFERROR(VLOOKUP(J91,'Obs Tecnicas'!$D:$G,2,0),"")</f>
        <v>13965</v>
      </c>
      <c r="S91" s="102" t="str">
        <f aca="false">IFERROR(VLOOKUP(J91,'Obs Tecnicas'!$D:$G,3,0),"Hexis")</f>
        <v>ER ANALITICA</v>
      </c>
      <c r="T91" s="102" t="n">
        <f aca="false">IFERROR(VLOOKUP(J91,'Obs Tecnicas'!$D:$G,4,0),"")</f>
        <v>0</v>
      </c>
      <c r="U91" s="1" t="s">
        <v>27</v>
      </c>
      <c r="V91" s="114" t="n">
        <f aca="false">IF(P91&lt;&gt;"",MONTH(P91),"")</f>
        <v>9</v>
      </c>
      <c r="W91" s="114" t="n">
        <v>8</v>
      </c>
    </row>
    <row r="92" customFormat="false" ht="15" hidden="false" customHeight="true" outlineLevel="0" collapsed="false">
      <c r="A92" s="102" t="s">
        <v>67</v>
      </c>
      <c r="B92" s="102" t="s">
        <v>297</v>
      </c>
      <c r="C92" s="109" t="s">
        <v>298</v>
      </c>
      <c r="D92" s="102" t="s">
        <v>299</v>
      </c>
      <c r="E92" s="102" t="s">
        <v>211</v>
      </c>
      <c r="F92" s="109" t="s">
        <v>212</v>
      </c>
      <c r="G92" s="102" t="s">
        <v>73</v>
      </c>
      <c r="H92" s="102" t="s">
        <v>246</v>
      </c>
      <c r="I92" s="102" t="s">
        <v>86</v>
      </c>
      <c r="J92" s="110" t="s">
        <v>320</v>
      </c>
      <c r="K92" s="102" t="s">
        <v>321</v>
      </c>
      <c r="L92" s="118"/>
      <c r="M92" s="102" t="s">
        <v>301</v>
      </c>
      <c r="N92" s="102" t="s">
        <v>182</v>
      </c>
      <c r="O92" s="111" t="n">
        <v>44497</v>
      </c>
      <c r="P92" s="112" t="n">
        <f aca="false">IFERROR(VLOOKUP(J92,'Obs Tecnicas'!$D:$I,5,0),O92)</f>
        <v>44497</v>
      </c>
      <c r="Q92" s="111" t="str">
        <f aca="true">IF(P92&lt;&gt;"",IF(P92+365&gt;TODAY(),"Calibrado","Vencido"),"")</f>
        <v>Calibrado</v>
      </c>
      <c r="R92" s="113" t="n">
        <f aca="false">IFERROR(VLOOKUP(J92,'Obs Tecnicas'!$D:$G,2,0),"")</f>
        <v>13971</v>
      </c>
      <c r="S92" s="102" t="str">
        <f aca="false">IFERROR(VLOOKUP(J92,'Obs Tecnicas'!$D:$G,3,0),"Hexis")</f>
        <v>ER ANALITICA</v>
      </c>
      <c r="T92" s="102" t="n">
        <f aca="false">IFERROR(VLOOKUP(J92,'Obs Tecnicas'!$D:$G,4,0),"")</f>
        <v>0</v>
      </c>
      <c r="U92" s="1" t="s">
        <v>27</v>
      </c>
      <c r="V92" s="114" t="n">
        <f aca="false">IF(P92&lt;&gt;"",MONTH(P92),"")</f>
        <v>10</v>
      </c>
      <c r="W92" s="114" t="n">
        <v>8</v>
      </c>
    </row>
    <row r="93" customFormat="false" ht="15" hidden="false" customHeight="true" outlineLevel="0" collapsed="false">
      <c r="A93" s="102" t="s">
        <v>67</v>
      </c>
      <c r="B93" s="102" t="s">
        <v>297</v>
      </c>
      <c r="C93" s="109" t="s">
        <v>298</v>
      </c>
      <c r="D93" s="102" t="s">
        <v>299</v>
      </c>
      <c r="E93" s="102" t="s">
        <v>211</v>
      </c>
      <c r="F93" s="109" t="s">
        <v>212</v>
      </c>
      <c r="G93" s="102" t="s">
        <v>73</v>
      </c>
      <c r="H93" s="102" t="s">
        <v>246</v>
      </c>
      <c r="I93" s="102" t="s">
        <v>86</v>
      </c>
      <c r="J93" s="110" t="s">
        <v>322</v>
      </c>
      <c r="K93" s="102" t="s">
        <v>321</v>
      </c>
      <c r="L93" s="118"/>
      <c r="M93" s="102" t="s">
        <v>301</v>
      </c>
      <c r="N93" s="102" t="s">
        <v>182</v>
      </c>
      <c r="O93" s="111" t="n">
        <v>44497</v>
      </c>
      <c r="P93" s="112" t="n">
        <f aca="false">IFERROR(VLOOKUP(J93,'Obs Tecnicas'!$D:$I,5,0),O93)</f>
        <v>44497</v>
      </c>
      <c r="Q93" s="111" t="str">
        <f aca="true">IF(P93&lt;&gt;"",IF(P93+365&gt;TODAY(),"Calibrado","Vencido"),"")</f>
        <v>Calibrado</v>
      </c>
      <c r="R93" s="113" t="n">
        <f aca="false">IFERROR(VLOOKUP(J93,'Obs Tecnicas'!$D:$G,2,0),"")</f>
        <v>14168</v>
      </c>
      <c r="S93" s="102" t="str">
        <f aca="false">IFERROR(VLOOKUP(J93,'Obs Tecnicas'!$D:$G,3,0),"Hexis")</f>
        <v>ER ANALITICA</v>
      </c>
      <c r="T93" s="102" t="n">
        <f aca="false">IFERROR(VLOOKUP(J93,'Obs Tecnicas'!$D:$G,4,0),"")</f>
        <v>0</v>
      </c>
      <c r="U93" s="1" t="s">
        <v>27</v>
      </c>
      <c r="V93" s="114" t="n">
        <f aca="false">IF(P93&lt;&gt;"",MONTH(P93),"")</f>
        <v>10</v>
      </c>
      <c r="W93" s="114" t="n">
        <v>8</v>
      </c>
      <c r="Z93" s="126"/>
      <c r="AB93" s="126"/>
      <c r="AD93" s="126"/>
      <c r="AF93" s="126"/>
      <c r="AG93" s="126"/>
      <c r="AH93" s="126"/>
      <c r="AI93" s="126"/>
      <c r="AK93" s="126"/>
      <c r="AL93" s="126"/>
      <c r="AM93" s="126"/>
      <c r="AN93" s="126"/>
      <c r="AO93" s="126"/>
    </row>
    <row r="94" customFormat="false" ht="15" hidden="false" customHeight="true" outlineLevel="0" collapsed="false">
      <c r="A94" s="102" t="s">
        <v>67</v>
      </c>
      <c r="B94" s="102" t="s">
        <v>323</v>
      </c>
      <c r="C94" s="109" t="s">
        <v>324</v>
      </c>
      <c r="D94" s="102" t="s">
        <v>325</v>
      </c>
      <c r="E94" s="102" t="s">
        <v>323</v>
      </c>
      <c r="F94" s="109" t="s">
        <v>324</v>
      </c>
      <c r="G94" s="102" t="s">
        <v>326</v>
      </c>
      <c r="H94" s="102" t="s">
        <v>246</v>
      </c>
      <c r="I94" s="102" t="s">
        <v>79</v>
      </c>
      <c r="J94" s="110" t="s">
        <v>327</v>
      </c>
      <c r="K94" s="102" t="s">
        <v>81</v>
      </c>
      <c r="L94" s="102" t="s">
        <v>82</v>
      </c>
      <c r="M94" s="102" t="s">
        <v>328</v>
      </c>
      <c r="N94" s="102" t="s">
        <v>329</v>
      </c>
      <c r="O94" s="111" t="n">
        <v>44040</v>
      </c>
      <c r="P94" s="112" t="n">
        <f aca="false">IFERROR(VLOOKUP(J94,'Obs Tecnicas'!$D:$I,5,0),O94)</f>
        <v>44404</v>
      </c>
      <c r="Q94" s="111" t="str">
        <f aca="true">IF(P94&lt;&gt;"",IF(P94+365&gt;TODAY(),"Calibrado","Vencido"),"")</f>
        <v>Calibrado</v>
      </c>
      <c r="R94" s="113" t="n">
        <f aca="false">IFERROR(VLOOKUP(J94,'Obs Tecnicas'!$D:$G,2,0),"")</f>
        <v>13244</v>
      </c>
      <c r="S94" s="102" t="str">
        <f aca="false">IFERROR(VLOOKUP(J94,'Obs Tecnicas'!$D:$G,3,0),"Hexis")</f>
        <v>ER ANALITICA</v>
      </c>
      <c r="T94" s="102" t="str">
        <f aca="false">IFERROR(VLOOKUP(J94,'Obs Tecnicas'!$D:$G,4,0),"")</f>
        <v>Compartimento de pilhas oxidado, recomendado a troca na próxima manutenção.</v>
      </c>
      <c r="U94" s="1" t="s">
        <v>28</v>
      </c>
      <c r="V94" s="114" t="n">
        <f aca="false">IF(P94&lt;&gt;"",MONTH(P94),"")</f>
        <v>7</v>
      </c>
      <c r="W94" s="114" t="n">
        <v>10</v>
      </c>
    </row>
    <row r="95" customFormat="false" ht="15" hidden="false" customHeight="true" outlineLevel="0" collapsed="false">
      <c r="A95" s="102" t="s">
        <v>67</v>
      </c>
      <c r="B95" s="102" t="s">
        <v>323</v>
      </c>
      <c r="C95" s="109" t="s">
        <v>324</v>
      </c>
      <c r="D95" s="102" t="s">
        <v>330</v>
      </c>
      <c r="E95" s="102" t="s">
        <v>323</v>
      </c>
      <c r="F95" s="109" t="s">
        <v>324</v>
      </c>
      <c r="G95" s="102" t="s">
        <v>326</v>
      </c>
      <c r="H95" s="102" t="s">
        <v>246</v>
      </c>
      <c r="I95" s="102" t="s">
        <v>101</v>
      </c>
      <c r="J95" s="110" t="s">
        <v>331</v>
      </c>
      <c r="K95" s="102" t="s">
        <v>81</v>
      </c>
      <c r="L95" s="102" t="s">
        <v>103</v>
      </c>
      <c r="M95" s="102" t="s">
        <v>328</v>
      </c>
      <c r="N95" s="102" t="s">
        <v>329</v>
      </c>
      <c r="O95" s="111" t="n">
        <v>44040</v>
      </c>
      <c r="P95" s="112" t="n">
        <f aca="false">IFERROR(VLOOKUP(J95,'Obs Tecnicas'!$D:$I,5,0),O95)</f>
        <v>44404</v>
      </c>
      <c r="Q95" s="111" t="str">
        <f aca="true">IF(P95&lt;&gt;"",IF(P95+365&gt;TODAY(),"Calibrado","Vencido"),"")</f>
        <v>Calibrado</v>
      </c>
      <c r="R95" s="113" t="n">
        <f aca="false">IFERROR(VLOOKUP(J95,'Obs Tecnicas'!$D:$G,2,0),"")</f>
        <v>13247</v>
      </c>
      <c r="S95" s="102" t="str">
        <f aca="false">IFERROR(VLOOKUP(J95,'Obs Tecnicas'!$D:$G,3,0),"Hexis")</f>
        <v>ER ANALITICA</v>
      </c>
      <c r="T95" s="102" t="str">
        <f aca="false">IFERROR(VLOOKUP(J95,'Obs Tecnicas'!$D:$G,4,0),"")</f>
        <v>Bateria de lítio responsavel pelo armazenamento de dados e configurações de usuário enconra-se sem carga e o filtro óptico azul está oxidado.</v>
      </c>
      <c r="U95" s="1" t="s">
        <v>28</v>
      </c>
      <c r="V95" s="114" t="n">
        <f aca="false">IF(P95&lt;&gt;"",MONTH(P95),"")</f>
        <v>7</v>
      </c>
      <c r="W95" s="114" t="n">
        <v>10</v>
      </c>
    </row>
    <row r="96" s="120" customFormat="true" ht="15" hidden="false" customHeight="true" outlineLevel="0" collapsed="false">
      <c r="A96" s="102" t="s">
        <v>67</v>
      </c>
      <c r="B96" s="102" t="s">
        <v>332</v>
      </c>
      <c r="C96" s="109" t="s">
        <v>333</v>
      </c>
      <c r="D96" s="102" t="s">
        <v>325</v>
      </c>
      <c r="E96" s="102" t="s">
        <v>323</v>
      </c>
      <c r="F96" s="109" t="s">
        <v>324</v>
      </c>
      <c r="G96" s="117" t="s">
        <v>326</v>
      </c>
      <c r="H96" s="117" t="s">
        <v>246</v>
      </c>
      <c r="I96" s="102" t="s">
        <v>217</v>
      </c>
      <c r="J96" s="110" t="s">
        <v>334</v>
      </c>
      <c r="K96" s="102" t="s">
        <v>84</v>
      </c>
      <c r="L96" s="117" t="s">
        <v>219</v>
      </c>
      <c r="M96" s="102" t="s">
        <v>328</v>
      </c>
      <c r="N96" s="102" t="s">
        <v>329</v>
      </c>
      <c r="O96" s="111" t="n">
        <v>44040</v>
      </c>
      <c r="P96" s="112" t="n">
        <f aca="false">IFERROR(VLOOKUP(J96,'Obs Tecnicas'!$D:$I,5,0),O96)</f>
        <v>44404</v>
      </c>
      <c r="Q96" s="111" t="str">
        <f aca="true">IF(P96&lt;&gt;"",IF(P96+365&gt;TODAY(),"Calibrado","Vencido"),"")</f>
        <v>Calibrado</v>
      </c>
      <c r="R96" s="113" t="n">
        <f aca="false">IFERROR(VLOOKUP(J96,'Obs Tecnicas'!$D:$G,2,0),"")</f>
        <v>13246</v>
      </c>
      <c r="S96" s="102" t="str">
        <f aca="false">IFERROR(VLOOKUP(J96,'Obs Tecnicas'!$D:$G,3,0),"Hexis")</f>
        <v>ER ANALITICA</v>
      </c>
      <c r="T96" s="102" t="n">
        <f aca="false">IFERROR(VLOOKUP(J96,'Obs Tecnicas'!$D:$G,4,0),"")</f>
        <v>0</v>
      </c>
      <c r="U96" s="1" t="s">
        <v>28</v>
      </c>
      <c r="V96" s="114" t="n">
        <f aca="false">IF(P96&lt;&gt;"",MONTH(P96),"")</f>
        <v>7</v>
      </c>
      <c r="W96" s="114" t="n">
        <v>10</v>
      </c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customFormat="false" ht="15" hidden="false" customHeight="true" outlineLevel="0" collapsed="false">
      <c r="A97" s="102" t="s">
        <v>67</v>
      </c>
      <c r="B97" s="102" t="s">
        <v>323</v>
      </c>
      <c r="C97" s="109" t="s">
        <v>324</v>
      </c>
      <c r="D97" s="102" t="s">
        <v>325</v>
      </c>
      <c r="E97" s="102" t="s">
        <v>323</v>
      </c>
      <c r="F97" s="109" t="s">
        <v>324</v>
      </c>
      <c r="G97" s="102" t="s">
        <v>326</v>
      </c>
      <c r="H97" s="102" t="s">
        <v>246</v>
      </c>
      <c r="I97" s="102" t="s">
        <v>86</v>
      </c>
      <c r="J97" s="110" t="s">
        <v>335</v>
      </c>
      <c r="K97" s="102" t="s">
        <v>81</v>
      </c>
      <c r="L97" s="102" t="s">
        <v>307</v>
      </c>
      <c r="M97" s="102" t="s">
        <v>328</v>
      </c>
      <c r="N97" s="102" t="s">
        <v>329</v>
      </c>
      <c r="O97" s="111" t="n">
        <v>44040</v>
      </c>
      <c r="P97" s="112" t="n">
        <f aca="false">IFERROR(VLOOKUP(J97,'Obs Tecnicas'!$D:$I,5,0),O97)</f>
        <v>44404</v>
      </c>
      <c r="Q97" s="111" t="str">
        <f aca="true">IF(P97&lt;&gt;"",IF(P97+365&gt;TODAY(),"Calibrado","Vencido"),"")</f>
        <v>Calibrado</v>
      </c>
      <c r="R97" s="113" t="n">
        <f aca="false">IFERROR(VLOOKUP(J97,'Obs Tecnicas'!$D:$G,2,0),"")</f>
        <v>13245</v>
      </c>
      <c r="S97" s="102" t="str">
        <f aca="false">IFERROR(VLOOKUP(J97,'Obs Tecnicas'!$D:$G,3,0),"Hexis")</f>
        <v>ER ANALITICA</v>
      </c>
      <c r="T97" s="102" t="n">
        <f aca="false">IFERROR(VLOOKUP(J97,'Obs Tecnicas'!$D:$G,4,0),"")</f>
        <v>0</v>
      </c>
      <c r="U97" s="1" t="s">
        <v>28</v>
      </c>
      <c r="V97" s="114" t="n">
        <f aca="false">IF(P97&lt;&gt;"",MONTH(P97),"")</f>
        <v>7</v>
      </c>
      <c r="W97" s="114" t="n">
        <v>11</v>
      </c>
    </row>
    <row r="98" customFormat="false" ht="15" hidden="false" customHeight="true" outlineLevel="0" collapsed="false">
      <c r="A98" s="102" t="s">
        <v>67</v>
      </c>
      <c r="B98" s="102" t="s">
        <v>336</v>
      </c>
      <c r="C98" s="127" t="s">
        <v>337</v>
      </c>
      <c r="D98" s="102" t="s">
        <v>338</v>
      </c>
      <c r="E98" s="102" t="s">
        <v>339</v>
      </c>
      <c r="F98" s="109" t="s">
        <v>340</v>
      </c>
      <c r="G98" s="117"/>
      <c r="H98" s="117" t="s">
        <v>341</v>
      </c>
      <c r="I98" s="102" t="s">
        <v>217</v>
      </c>
      <c r="J98" s="110" t="n">
        <v>6263666</v>
      </c>
      <c r="K98" s="102" t="s">
        <v>84</v>
      </c>
      <c r="L98" s="117" t="s">
        <v>219</v>
      </c>
      <c r="M98" s="48" t="s">
        <v>342</v>
      </c>
      <c r="N98" s="102" t="s">
        <v>343</v>
      </c>
      <c r="O98" s="111" t="n">
        <v>44343</v>
      </c>
      <c r="P98" s="112" t="n">
        <f aca="false">IFERROR(VLOOKUP(J98,'Obs Tecnicas'!$D:$I,5,0),O98)</f>
        <v>44706</v>
      </c>
      <c r="Q98" s="111" t="str">
        <f aca="true">IF(P98&lt;&gt;"",IF(P98+365&gt;TODAY(),"Calibrado","Vencido"),"")</f>
        <v>Calibrado</v>
      </c>
      <c r="R98" s="113" t="n">
        <f aca="false">IFERROR(VLOOKUP(J98,'Obs Tecnicas'!$D:$G,2,0),"")</f>
        <v>16556</v>
      </c>
      <c r="S98" s="102" t="str">
        <f aca="false">IFERROR(VLOOKUP(J98,'Obs Tecnicas'!$D:$G,3,0),"Hexis")</f>
        <v>ER ANALITICA</v>
      </c>
      <c r="T98" s="102" t="n">
        <f aca="false">IFERROR(VLOOKUP(J98,'Obs Tecnicas'!$D:$G,4,0),"")</f>
        <v>0</v>
      </c>
      <c r="U98" s="1" t="s">
        <v>344</v>
      </c>
      <c r="V98" s="114" t="n">
        <f aca="false">IF(P98&lt;&gt;"",MONTH(P98),"")</f>
        <v>5</v>
      </c>
      <c r="W98" s="114" t="n">
        <v>4</v>
      </c>
    </row>
    <row r="99" customFormat="false" ht="15" hidden="false" customHeight="true" outlineLevel="0" collapsed="false">
      <c r="A99" s="102" t="s">
        <v>67</v>
      </c>
      <c r="B99" s="102" t="s">
        <v>336</v>
      </c>
      <c r="C99" s="127" t="s">
        <v>337</v>
      </c>
      <c r="D99" s="102" t="s">
        <v>338</v>
      </c>
      <c r="E99" s="102" t="s">
        <v>339</v>
      </c>
      <c r="F99" s="109" t="s">
        <v>340</v>
      </c>
      <c r="H99" s="102" t="s">
        <v>341</v>
      </c>
      <c r="I99" s="102" t="s">
        <v>83</v>
      </c>
      <c r="J99" s="110" t="n">
        <v>4220746</v>
      </c>
      <c r="K99" s="102" t="s">
        <v>84</v>
      </c>
      <c r="L99" s="102" t="s">
        <v>345</v>
      </c>
      <c r="M99" s="48" t="s">
        <v>342</v>
      </c>
      <c r="N99" s="102" t="s">
        <v>343</v>
      </c>
      <c r="O99" s="111" t="n">
        <v>44343</v>
      </c>
      <c r="P99" s="112" t="n">
        <f aca="false">IFERROR(VLOOKUP(J99,'Obs Tecnicas'!$D:$I,5,0),O99)</f>
        <v>44706</v>
      </c>
      <c r="Q99" s="111" t="str">
        <f aca="true">IF(P99&lt;&gt;"",IF(P99+365&gt;TODAY(),"Calibrado","Vencido"),"")</f>
        <v>Calibrado</v>
      </c>
      <c r="R99" s="113" t="n">
        <f aca="false">IFERROR(VLOOKUP(J99,'Obs Tecnicas'!$D:$G,2,0),"")</f>
        <v>16557</v>
      </c>
      <c r="S99" s="102" t="str">
        <f aca="false">IFERROR(VLOOKUP(J99,'Obs Tecnicas'!$D:$G,3,0),"Hexis")</f>
        <v>ER ANALITICA</v>
      </c>
      <c r="T99" s="102" t="n">
        <f aca="false">IFERROR(VLOOKUP(J99,'Obs Tecnicas'!$D:$G,4,0),"")</f>
        <v>0</v>
      </c>
      <c r="U99" s="1" t="s">
        <v>344</v>
      </c>
      <c r="V99" s="114" t="n">
        <f aca="false">IF(P99&lt;&gt;"",MONTH(P99),"")</f>
        <v>5</v>
      </c>
      <c r="W99" s="114" t="n">
        <v>4</v>
      </c>
    </row>
    <row r="100" customFormat="false" ht="15" hidden="false" customHeight="true" outlineLevel="0" collapsed="false">
      <c r="A100" s="102" t="s">
        <v>67</v>
      </c>
      <c r="B100" s="102" t="s">
        <v>336</v>
      </c>
      <c r="C100" s="127" t="s">
        <v>337</v>
      </c>
      <c r="D100" s="102" t="s">
        <v>338</v>
      </c>
      <c r="E100" s="102" t="s">
        <v>339</v>
      </c>
      <c r="F100" s="109" t="s">
        <v>340</v>
      </c>
      <c r="G100" s="102" t="s">
        <v>346</v>
      </c>
      <c r="H100" s="102" t="s">
        <v>341</v>
      </c>
      <c r="I100" s="102" t="s">
        <v>86</v>
      </c>
      <c r="J100" s="110" t="s">
        <v>347</v>
      </c>
      <c r="K100" s="117" t="s">
        <v>136</v>
      </c>
      <c r="L100" s="102" t="s">
        <v>137</v>
      </c>
      <c r="M100" s="48" t="s">
        <v>348</v>
      </c>
      <c r="N100" s="102" t="s">
        <v>343</v>
      </c>
      <c r="O100" s="111" t="n">
        <v>44343</v>
      </c>
      <c r="P100" s="112" t="n">
        <f aca="false">IFERROR(VLOOKUP(J100,'Obs Tecnicas'!$D:$I,5,0),O100)</f>
        <v>44523</v>
      </c>
      <c r="Q100" s="111" t="str">
        <f aca="true">IF(P100&lt;&gt;"",IF(P100+365&gt;TODAY(),"Calibrado","Vencido"),"")</f>
        <v>Calibrado</v>
      </c>
      <c r="R100" s="113" t="n">
        <f aca="false">IFERROR(VLOOKUP(J100,'Obs Tecnicas'!$D:$G,2,0),"")</f>
        <v>14620</v>
      </c>
      <c r="S100" s="102" t="str">
        <f aca="false">IFERROR(VLOOKUP(J100,'Obs Tecnicas'!$D:$G,3,0),"Hexis")</f>
        <v>ER ANALITICA</v>
      </c>
      <c r="T100" s="102" t="str">
        <f aca="false">IFERROR(VLOOKUP(J100,'Obs Tecnicas'!$D:$G,4,0),"")</f>
        <v>Liberado com restrição, eletrodo de pH em final da vida útil (lentidão).</v>
      </c>
      <c r="V100" s="114" t="n">
        <f aca="false">IF(P100&lt;&gt;"",MONTH(P100),"")</f>
        <v>11</v>
      </c>
      <c r="W100" s="114" t="n">
        <v>5</v>
      </c>
    </row>
    <row r="101" customFormat="false" ht="15" hidden="false" customHeight="true" outlineLevel="0" collapsed="false">
      <c r="A101" s="102" t="s">
        <v>67</v>
      </c>
      <c r="B101" s="102" t="s">
        <v>336</v>
      </c>
      <c r="C101" s="127" t="s">
        <v>337</v>
      </c>
      <c r="D101" s="102" t="s">
        <v>338</v>
      </c>
      <c r="E101" s="102" t="s">
        <v>339</v>
      </c>
      <c r="F101" s="109" t="s">
        <v>340</v>
      </c>
      <c r="G101" s="102" t="s">
        <v>346</v>
      </c>
      <c r="H101" s="102" t="s">
        <v>341</v>
      </c>
      <c r="I101" s="102" t="s">
        <v>86</v>
      </c>
      <c r="J101" s="110" t="s">
        <v>349</v>
      </c>
      <c r="K101" s="102" t="s">
        <v>81</v>
      </c>
      <c r="L101" s="102" t="s">
        <v>350</v>
      </c>
      <c r="M101" s="48" t="s">
        <v>348</v>
      </c>
      <c r="N101" s="102" t="s">
        <v>343</v>
      </c>
      <c r="O101" s="111" t="n">
        <v>44343</v>
      </c>
      <c r="P101" s="112" t="n">
        <f aca="false">IFERROR(VLOOKUP(J101,'Obs Tecnicas'!$D:$I,5,0),O101)</f>
        <v>44343</v>
      </c>
      <c r="Q101" s="111" t="str">
        <f aca="true">IF(P101&lt;&gt;"",IF(P101+365&gt;TODAY(),"Calibrado","Vencido"),"")</f>
        <v>Vencido</v>
      </c>
      <c r="R101" s="113" t="str">
        <f aca="false">IFERROR(VLOOKUP(J101,'Obs Tecnicas'!$D:$G,2,0),"")</f>
        <v/>
      </c>
      <c r="S101" s="102" t="str">
        <f aca="false">IFERROR(VLOOKUP(J101,'Obs Tecnicas'!$D:$G,3,0),"Hexis")</f>
        <v>Hexis</v>
      </c>
      <c r="T101" s="102" t="str">
        <f aca="false">IFERROR(VLOOKUP(J101,'Obs Tecnicas'!$D:$G,4,0),"")</f>
        <v/>
      </c>
      <c r="U101" s="1" t="s">
        <v>351</v>
      </c>
      <c r="V101" s="114" t="n">
        <f aca="false">IF(P101&lt;&gt;"",MONTH(P101),"")</f>
        <v>5</v>
      </c>
      <c r="W101" s="114" t="n">
        <v>5</v>
      </c>
    </row>
    <row r="102" customFormat="false" ht="15" hidden="false" customHeight="true" outlineLevel="0" collapsed="false">
      <c r="A102" s="102" t="s">
        <v>67</v>
      </c>
      <c r="B102" s="102" t="s">
        <v>352</v>
      </c>
      <c r="C102" s="109" t="s">
        <v>353</v>
      </c>
      <c r="D102" s="102" t="s">
        <v>354</v>
      </c>
      <c r="E102" s="102" t="s">
        <v>339</v>
      </c>
      <c r="F102" s="109" t="s">
        <v>340</v>
      </c>
      <c r="G102" s="102" t="s">
        <v>346</v>
      </c>
      <c r="H102" s="102" t="s">
        <v>355</v>
      </c>
      <c r="I102" s="102" t="s">
        <v>101</v>
      </c>
      <c r="J102" s="110" t="s">
        <v>356</v>
      </c>
      <c r="K102" s="102" t="s">
        <v>81</v>
      </c>
      <c r="L102" s="102" t="s">
        <v>103</v>
      </c>
      <c r="M102" s="48" t="s">
        <v>357</v>
      </c>
      <c r="N102" s="102" t="s">
        <v>358</v>
      </c>
      <c r="O102" s="111" t="n">
        <v>44398</v>
      </c>
      <c r="P102" s="112" t="n">
        <f aca="false">IFERROR(VLOOKUP(J102,'Obs Tecnicas'!$D:$I,5,0),O102)</f>
        <v>44398</v>
      </c>
      <c r="Q102" s="111" t="str">
        <f aca="true">IF(P102&lt;&gt;"",IF(P102+365&gt;TODAY(),"Calibrado","Vencido"),"")</f>
        <v>Calibrado</v>
      </c>
      <c r="R102" s="113" t="n">
        <f aca="false">IFERROR(VLOOKUP(J102,'Obs Tecnicas'!$D:$G,2,0),"")</f>
        <v>13217</v>
      </c>
      <c r="S102" s="102" t="str">
        <f aca="false">IFERROR(VLOOKUP(J102,'Obs Tecnicas'!$D:$G,3,0),"Hexis")</f>
        <v>ER ANALITICA</v>
      </c>
      <c r="T102" s="102" t="n">
        <f aca="false">IFERROR(VLOOKUP(J102,'Obs Tecnicas'!$D:$G,4,0),"")</f>
        <v>0</v>
      </c>
      <c r="U102" s="1" t="s">
        <v>27</v>
      </c>
      <c r="V102" s="114" t="n">
        <f aca="false">IF(P102&lt;&gt;"",MONTH(P102),"")</f>
        <v>7</v>
      </c>
      <c r="W102" s="114" t="n">
        <v>10</v>
      </c>
    </row>
    <row r="103" customFormat="false" ht="15" hidden="false" customHeight="true" outlineLevel="0" collapsed="false">
      <c r="A103" s="102" t="s">
        <v>67</v>
      </c>
      <c r="B103" s="102" t="s">
        <v>352</v>
      </c>
      <c r="C103" s="109" t="s">
        <v>353</v>
      </c>
      <c r="D103" s="102" t="s">
        <v>359</v>
      </c>
      <c r="E103" s="102" t="s">
        <v>339</v>
      </c>
      <c r="F103" s="109" t="s">
        <v>340</v>
      </c>
      <c r="G103" s="102" t="s">
        <v>346</v>
      </c>
      <c r="H103" s="102" t="s">
        <v>355</v>
      </c>
      <c r="I103" s="102" t="s">
        <v>360</v>
      </c>
      <c r="J103" s="110" t="s">
        <v>361</v>
      </c>
      <c r="K103" s="102" t="s">
        <v>81</v>
      </c>
      <c r="L103" s="102" t="s">
        <v>82</v>
      </c>
      <c r="M103" s="48" t="s">
        <v>357</v>
      </c>
      <c r="N103" s="102" t="s">
        <v>358</v>
      </c>
      <c r="O103" s="111" t="n">
        <v>44398</v>
      </c>
      <c r="P103" s="112" t="n">
        <f aca="false">IFERROR(VLOOKUP(J103,'Obs Tecnicas'!$D:$I,5,0),O103)</f>
        <v>44398</v>
      </c>
      <c r="Q103" s="111" t="str">
        <f aca="true">IF(P103&lt;&gt;"",IF(P103+365&gt;TODAY(),"Calibrado","Vencido"),"")</f>
        <v>Calibrado</v>
      </c>
      <c r="R103" s="113" t="n">
        <f aca="false">IFERROR(VLOOKUP(J103,'Obs Tecnicas'!$D:$G,2,0),"")</f>
        <v>13218</v>
      </c>
      <c r="S103" s="102" t="str">
        <f aca="false">IFERROR(VLOOKUP(J103,'Obs Tecnicas'!$D:$G,3,0),"Hexis")</f>
        <v>ER ANALITICA</v>
      </c>
      <c r="T103" s="102" t="n">
        <f aca="false">IFERROR(VLOOKUP(J103,'Obs Tecnicas'!$D:$G,4,0),"")</f>
        <v>0</v>
      </c>
      <c r="U103" s="1" t="s">
        <v>27</v>
      </c>
      <c r="V103" s="114" t="n">
        <f aca="false">IF(P103&lt;&gt;"",MONTH(P103),"")</f>
        <v>7</v>
      </c>
      <c r="W103" s="114" t="n">
        <v>9</v>
      </c>
    </row>
    <row r="104" customFormat="false" ht="15" hidden="false" customHeight="true" outlineLevel="0" collapsed="false">
      <c r="A104" s="102" t="s">
        <v>67</v>
      </c>
      <c r="B104" s="102" t="s">
        <v>352</v>
      </c>
      <c r="C104" s="109" t="s">
        <v>353</v>
      </c>
      <c r="D104" s="102" t="s">
        <v>362</v>
      </c>
      <c r="E104" s="102" t="s">
        <v>339</v>
      </c>
      <c r="F104" s="109" t="s">
        <v>340</v>
      </c>
      <c r="G104" s="102" t="s">
        <v>346</v>
      </c>
      <c r="H104" s="102" t="s">
        <v>355</v>
      </c>
      <c r="I104" s="102" t="s">
        <v>217</v>
      </c>
      <c r="J104" s="110" t="s">
        <v>363</v>
      </c>
      <c r="K104" s="102" t="s">
        <v>84</v>
      </c>
      <c r="L104" s="102" t="s">
        <v>364</v>
      </c>
      <c r="M104" s="48" t="s">
        <v>357</v>
      </c>
      <c r="N104" s="102" t="s">
        <v>358</v>
      </c>
      <c r="O104" s="111" t="n">
        <v>44398</v>
      </c>
      <c r="P104" s="112" t="n">
        <f aca="false">IFERROR(VLOOKUP(J104,'Obs Tecnicas'!$D:$I,5,0),O104)</f>
        <v>44398</v>
      </c>
      <c r="Q104" s="111" t="str">
        <f aca="true">IF(P104&lt;&gt;"",IF(P104+365&gt;TODAY(),"Calibrado","Vencido"),"")</f>
        <v>Calibrado</v>
      </c>
      <c r="R104" s="113" t="n">
        <f aca="false">IFERROR(VLOOKUP(J104,'Obs Tecnicas'!$D:$G,2,0),"")</f>
        <v>13219</v>
      </c>
      <c r="S104" s="102" t="str">
        <f aca="false">IFERROR(VLOOKUP(J104,'Obs Tecnicas'!$D:$G,3,0),"Hexis")</f>
        <v>ER ANALITICA</v>
      </c>
      <c r="T104" s="102" t="n">
        <f aca="false">IFERROR(VLOOKUP(J104,'Obs Tecnicas'!$D:$G,4,0),"")</f>
        <v>0</v>
      </c>
      <c r="U104" s="1" t="s">
        <v>27</v>
      </c>
      <c r="V104" s="114" t="n">
        <f aca="false">IF(P104&lt;&gt;"",MONTH(P104),"")</f>
        <v>7</v>
      </c>
      <c r="W104" s="114" t="n">
        <v>9</v>
      </c>
    </row>
    <row r="105" s="128" customFormat="true" ht="15" hidden="false" customHeight="true" outlineLevel="0" collapsed="false">
      <c r="A105" s="102" t="s">
        <v>67</v>
      </c>
      <c r="B105" s="102" t="s">
        <v>352</v>
      </c>
      <c r="C105" s="109" t="s">
        <v>353</v>
      </c>
      <c r="D105" s="102" t="s">
        <v>365</v>
      </c>
      <c r="E105" s="102" t="s">
        <v>339</v>
      </c>
      <c r="F105" s="109" t="s">
        <v>340</v>
      </c>
      <c r="G105" s="102" t="s">
        <v>346</v>
      </c>
      <c r="H105" s="102" t="s">
        <v>355</v>
      </c>
      <c r="I105" s="102" t="s">
        <v>217</v>
      </c>
      <c r="J105" s="110" t="s">
        <v>366</v>
      </c>
      <c r="K105" s="102" t="s">
        <v>84</v>
      </c>
      <c r="L105" s="102" t="s">
        <v>367</v>
      </c>
      <c r="M105" s="48" t="s">
        <v>357</v>
      </c>
      <c r="N105" s="102" t="s">
        <v>358</v>
      </c>
      <c r="O105" s="111" t="n">
        <v>44398</v>
      </c>
      <c r="P105" s="112" t="n">
        <f aca="false">IFERROR(VLOOKUP(J105,'Obs Tecnicas'!$D:$I,5,0),O105)</f>
        <v>44398</v>
      </c>
      <c r="Q105" s="111" t="str">
        <f aca="true">IF(P105&lt;&gt;"",IF(P105+365&gt;TODAY(),"Calibrado","Vencido"),"")</f>
        <v>Calibrado</v>
      </c>
      <c r="R105" s="113" t="n">
        <f aca="false">IFERROR(VLOOKUP(J105,'Obs Tecnicas'!$D:$G,2,0),"")</f>
        <v>13220</v>
      </c>
      <c r="S105" s="102" t="str">
        <f aca="false">IFERROR(VLOOKUP(J105,'Obs Tecnicas'!$D:$G,3,0),"Hexis")</f>
        <v>ER ANALITICA</v>
      </c>
      <c r="T105" s="102" t="n">
        <f aca="false">IFERROR(VLOOKUP(J105,'Obs Tecnicas'!$D:$G,4,0),"")</f>
        <v>0</v>
      </c>
      <c r="U105" s="1" t="s">
        <v>27</v>
      </c>
      <c r="V105" s="114" t="n">
        <f aca="false">IF(P105&lt;&gt;"",MONTH(P105),"")</f>
        <v>7</v>
      </c>
      <c r="W105" s="114" t="n">
        <v>9</v>
      </c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="128" customFormat="true" ht="15" hidden="false" customHeight="true" outlineLevel="0" collapsed="false">
      <c r="A106" s="102" t="s">
        <v>67</v>
      </c>
      <c r="B106" s="102" t="s">
        <v>368</v>
      </c>
      <c r="C106" s="109" t="s">
        <v>369</v>
      </c>
      <c r="D106" s="102" t="s">
        <v>370</v>
      </c>
      <c r="E106" s="102" t="s">
        <v>371</v>
      </c>
      <c r="F106" s="109" t="s">
        <v>372</v>
      </c>
      <c r="G106" s="102"/>
      <c r="H106" s="102" t="s">
        <v>373</v>
      </c>
      <c r="I106" s="102" t="s">
        <v>86</v>
      </c>
      <c r="J106" s="110" t="n">
        <v>200710001808</v>
      </c>
      <c r="K106" s="102" t="s">
        <v>81</v>
      </c>
      <c r="L106" s="102" t="s">
        <v>374</v>
      </c>
      <c r="M106" s="48" t="s">
        <v>375</v>
      </c>
      <c r="N106" s="102" t="s">
        <v>376</v>
      </c>
      <c r="O106" s="111" t="n">
        <v>44330</v>
      </c>
      <c r="P106" s="112" t="n">
        <f aca="false">IFERROR(VLOOKUP(J106,'Obs Tecnicas'!$D:$I,5,0),O106)</f>
        <v>44697</v>
      </c>
      <c r="Q106" s="111" t="str">
        <f aca="true">IF(P106&lt;&gt;"",IF(P106+365&gt;TODAY(),"Calibrado","Vencido"),"")</f>
        <v>Calibrado</v>
      </c>
      <c r="R106" s="113" t="n">
        <f aca="false">IFERROR(VLOOKUP(J106,'Obs Tecnicas'!$D:$G,2,0),"")</f>
        <v>16436</v>
      </c>
      <c r="S106" s="102" t="str">
        <f aca="false">IFERROR(VLOOKUP(J106,'Obs Tecnicas'!$D:$G,3,0),"Hexis")</f>
        <v>ER ANALITICA</v>
      </c>
      <c r="T106" s="102" t="n">
        <f aca="false">IFERROR(VLOOKUP(J106,'Obs Tecnicas'!$D:$G,4,0),"")</f>
        <v>0</v>
      </c>
      <c r="U106" s="1" t="s">
        <v>344</v>
      </c>
      <c r="V106" s="114" t="n">
        <f aca="false">IF(P106&lt;&gt;"",MONTH(P106),"")</f>
        <v>5</v>
      </c>
      <c r="W106" s="114" t="n">
        <v>9</v>
      </c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="116" customFormat="true" ht="15" hidden="false" customHeight="true" outlineLevel="0" collapsed="false">
      <c r="A107" s="102" t="s">
        <v>67</v>
      </c>
      <c r="B107" s="102" t="s">
        <v>368</v>
      </c>
      <c r="C107" s="109" t="s">
        <v>369</v>
      </c>
      <c r="D107" s="102" t="s">
        <v>370</v>
      </c>
      <c r="E107" s="102" t="s">
        <v>371</v>
      </c>
      <c r="F107" s="109" t="s">
        <v>372</v>
      </c>
      <c r="G107" s="102"/>
      <c r="H107" s="102" t="s">
        <v>373</v>
      </c>
      <c r="I107" s="102" t="s">
        <v>86</v>
      </c>
      <c r="J107" s="110" t="s">
        <v>377</v>
      </c>
      <c r="K107" s="102" t="s">
        <v>81</v>
      </c>
      <c r="L107" s="102" t="s">
        <v>374</v>
      </c>
      <c r="M107" s="48" t="s">
        <v>375</v>
      </c>
      <c r="N107" s="102" t="s">
        <v>376</v>
      </c>
      <c r="O107" s="111" t="n">
        <v>44330</v>
      </c>
      <c r="P107" s="112" t="n">
        <f aca="false">IFERROR(VLOOKUP(J107,'Obs Tecnicas'!$D:$I,5,0),O107)</f>
        <v>44697</v>
      </c>
      <c r="Q107" s="111" t="str">
        <f aca="true">IF(P107&lt;&gt;"",IF(P107+365&gt;TODAY(),"Calibrado","Vencido"),"")</f>
        <v>Calibrado</v>
      </c>
      <c r="R107" s="113" t="n">
        <f aca="false">IFERROR(VLOOKUP(J107,'Obs Tecnicas'!$D:$G,2,0),"")</f>
        <v>16435</v>
      </c>
      <c r="S107" s="102" t="str">
        <f aca="false">IFERROR(VLOOKUP(J107,'Obs Tecnicas'!$D:$G,3,0),"Hexis")</f>
        <v>ER ANALITICA</v>
      </c>
      <c r="T107" s="102" t="n">
        <f aca="false">IFERROR(VLOOKUP(J107,'Obs Tecnicas'!$D:$G,4,0),"")</f>
        <v>0</v>
      </c>
      <c r="U107" s="1" t="s">
        <v>344</v>
      </c>
      <c r="V107" s="114" t="n">
        <f aca="false">IF(P107&lt;&gt;"",MONTH(P107),"")</f>
        <v>5</v>
      </c>
      <c r="W107" s="114" t="n">
        <v>6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customFormat="false" ht="15" hidden="false" customHeight="true" outlineLevel="0" collapsed="false">
      <c r="A108" s="102" t="s">
        <v>67</v>
      </c>
      <c r="B108" s="102" t="s">
        <v>368</v>
      </c>
      <c r="C108" s="109" t="s">
        <v>369</v>
      </c>
      <c r="D108" s="102" t="s">
        <v>370</v>
      </c>
      <c r="E108" s="102" t="s">
        <v>371</v>
      </c>
      <c r="F108" s="109" t="s">
        <v>372</v>
      </c>
      <c r="H108" s="102" t="s">
        <v>373</v>
      </c>
      <c r="I108" s="102" t="s">
        <v>83</v>
      </c>
      <c r="J108" s="110" t="n">
        <v>68923</v>
      </c>
      <c r="K108" s="102" t="s">
        <v>87</v>
      </c>
      <c r="L108" s="102" t="s">
        <v>378</v>
      </c>
      <c r="M108" s="48" t="s">
        <v>375</v>
      </c>
      <c r="N108" s="102" t="s">
        <v>376</v>
      </c>
      <c r="O108" s="111" t="n">
        <v>44313</v>
      </c>
      <c r="P108" s="112" t="n">
        <f aca="false">IFERROR(VLOOKUP(J108,'Obs Tecnicas'!$D:$I,5,0),O108)</f>
        <v>44697</v>
      </c>
      <c r="Q108" s="111" t="str">
        <f aca="true">IF(P108&lt;&gt;"",IF(P108+365&gt;TODAY(),"Calibrado","Vencido"),"")</f>
        <v>Calibrado</v>
      </c>
      <c r="R108" s="113" t="n">
        <f aca="false">IFERROR(VLOOKUP(J108,'Obs Tecnicas'!$D:$G,2,0),"")</f>
        <v>16437</v>
      </c>
      <c r="S108" s="102" t="str">
        <f aca="false">IFERROR(VLOOKUP(J108,'Obs Tecnicas'!$D:$G,3,0),"Hexis")</f>
        <v>ER ANALITICA</v>
      </c>
      <c r="T108" s="102" t="n">
        <f aca="false">IFERROR(VLOOKUP(J108,'Obs Tecnicas'!$D:$G,4,0),"")</f>
        <v>0</v>
      </c>
      <c r="U108" s="1" t="s">
        <v>344</v>
      </c>
      <c r="V108" s="114" t="n">
        <f aca="false">IF(P108&lt;&gt;"",MONTH(P108),"")</f>
        <v>5</v>
      </c>
      <c r="W108" s="114" t="n">
        <v>6</v>
      </c>
    </row>
    <row r="109" customFormat="false" ht="15" hidden="false" customHeight="true" outlineLevel="0" collapsed="false">
      <c r="A109" s="102" t="s">
        <v>67</v>
      </c>
      <c r="B109" s="102" t="s">
        <v>368</v>
      </c>
      <c r="C109" s="109" t="s">
        <v>369</v>
      </c>
      <c r="D109" s="102" t="s">
        <v>370</v>
      </c>
      <c r="E109" s="102" t="s">
        <v>371</v>
      </c>
      <c r="F109" s="109" t="s">
        <v>372</v>
      </c>
      <c r="H109" s="102" t="s">
        <v>373</v>
      </c>
      <c r="I109" s="102" t="s">
        <v>86</v>
      </c>
      <c r="J109" s="110" t="n">
        <v>68768</v>
      </c>
      <c r="K109" s="102" t="s">
        <v>87</v>
      </c>
      <c r="L109" s="102" t="s">
        <v>222</v>
      </c>
      <c r="M109" s="48" t="s">
        <v>375</v>
      </c>
      <c r="N109" s="102" t="s">
        <v>376</v>
      </c>
      <c r="O109" s="111" t="n">
        <v>44313</v>
      </c>
      <c r="P109" s="112" t="n">
        <f aca="false">IFERROR(VLOOKUP(J109,'Obs Tecnicas'!$D:$I,5,0),O109)</f>
        <v>44697</v>
      </c>
      <c r="Q109" s="111" t="str">
        <f aca="true">IF(P109&lt;&gt;"",IF(P109+365&gt;TODAY(),"Calibrado","Vencido"),"")</f>
        <v>Calibrado</v>
      </c>
      <c r="R109" s="113" t="n">
        <f aca="false">IFERROR(VLOOKUP(J109,'Obs Tecnicas'!$D:$G,2,0),"")</f>
        <v>16438</v>
      </c>
      <c r="S109" s="102" t="str">
        <f aca="false">IFERROR(VLOOKUP(J109,'Obs Tecnicas'!$D:$G,3,0),"Hexis")</f>
        <v>ER ANALITICA</v>
      </c>
      <c r="T109" s="102" t="n">
        <f aca="false">IFERROR(VLOOKUP(J109,'Obs Tecnicas'!$D:$G,4,0),"")</f>
        <v>0</v>
      </c>
      <c r="U109" s="1" t="s">
        <v>344</v>
      </c>
      <c r="V109" s="114" t="n">
        <f aca="false">IF(P109&lt;&gt;"",MONTH(P109),"")</f>
        <v>5</v>
      </c>
      <c r="W109" s="114" t="n">
        <v>4</v>
      </c>
    </row>
    <row r="110" customFormat="false" ht="15" hidden="false" customHeight="true" outlineLevel="0" collapsed="false">
      <c r="A110" s="102" t="s">
        <v>67</v>
      </c>
      <c r="B110" s="102" t="s">
        <v>368</v>
      </c>
      <c r="C110" s="109" t="s">
        <v>369</v>
      </c>
      <c r="D110" s="102" t="s">
        <v>370</v>
      </c>
      <c r="E110" s="102" t="s">
        <v>371</v>
      </c>
      <c r="F110" s="109" t="s">
        <v>372</v>
      </c>
      <c r="H110" s="102" t="s">
        <v>373</v>
      </c>
      <c r="I110" s="102" t="s">
        <v>86</v>
      </c>
      <c r="J110" s="110" t="n">
        <v>210710001430</v>
      </c>
      <c r="K110" s="102" t="s">
        <v>81</v>
      </c>
      <c r="L110" s="102" t="s">
        <v>374</v>
      </c>
      <c r="M110" s="48" t="s">
        <v>375</v>
      </c>
      <c r="N110" s="102" t="s">
        <v>376</v>
      </c>
      <c r="O110" s="111"/>
      <c r="P110" s="112" t="n">
        <f aca="false">IFERROR(VLOOKUP(J110,'Obs Tecnicas'!$D:$I,5,0),O110)</f>
        <v>44697</v>
      </c>
      <c r="Q110" s="111" t="str">
        <f aca="true">IF(P110&lt;&gt;"",IF(P110+365&gt;TODAY(),"Calibrado","Vencido"),"")</f>
        <v>Calibrado</v>
      </c>
      <c r="R110" s="113" t="n">
        <f aca="false">IFERROR(VLOOKUP(J110,'Obs Tecnicas'!$D:$G,2,0),"")</f>
        <v>16441</v>
      </c>
      <c r="S110" s="102" t="str">
        <f aca="false">IFERROR(VLOOKUP(J110,'Obs Tecnicas'!$D:$G,3,0),"Hexis")</f>
        <v>ER ANALITICA</v>
      </c>
      <c r="T110" s="102" t="n">
        <f aca="false">IFERROR(VLOOKUP(J110,'Obs Tecnicas'!$D:$G,4,0),"")</f>
        <v>0</v>
      </c>
      <c r="U110" s="1" t="s">
        <v>344</v>
      </c>
      <c r="V110" s="114" t="n">
        <f aca="false">IF(P110&lt;&gt;"",MONTH(P110),"")</f>
        <v>5</v>
      </c>
      <c r="W110" s="114" t="n">
        <v>4</v>
      </c>
    </row>
    <row r="111" s="116" customFormat="true" ht="15" hidden="false" customHeight="true" outlineLevel="0" collapsed="false">
      <c r="A111" s="102" t="s">
        <v>67</v>
      </c>
      <c r="B111" s="102" t="s">
        <v>368</v>
      </c>
      <c r="C111" s="109" t="s">
        <v>369</v>
      </c>
      <c r="D111" s="102" t="s">
        <v>370</v>
      </c>
      <c r="E111" s="102" t="s">
        <v>371</v>
      </c>
      <c r="F111" s="109" t="s">
        <v>372</v>
      </c>
      <c r="G111" s="102"/>
      <c r="H111" s="102" t="s">
        <v>373</v>
      </c>
      <c r="I111" s="102" t="s">
        <v>101</v>
      </c>
      <c r="J111" s="110" t="n">
        <v>1483372</v>
      </c>
      <c r="K111" s="102" t="s">
        <v>81</v>
      </c>
      <c r="L111" s="118" t="s">
        <v>148</v>
      </c>
      <c r="M111" s="48" t="s">
        <v>375</v>
      </c>
      <c r="N111" s="102" t="s">
        <v>376</v>
      </c>
      <c r="O111" s="111" t="n">
        <v>44313</v>
      </c>
      <c r="P111" s="112" t="n">
        <f aca="false">IFERROR(VLOOKUP(J111,'Obs Tecnicas'!$D:$I,5,0),O111)</f>
        <v>44697</v>
      </c>
      <c r="Q111" s="111" t="str">
        <f aca="true">IF(P111&lt;&gt;"",IF(P111+365&gt;TODAY(),"Calibrado","Vencido"),"")</f>
        <v>Calibrado</v>
      </c>
      <c r="R111" s="113" t="n">
        <f aca="false">IFERROR(VLOOKUP(J111,'Obs Tecnicas'!$D:$G,2,0),"")</f>
        <v>16440</v>
      </c>
      <c r="S111" s="102" t="str">
        <f aca="false">IFERROR(VLOOKUP(J111,'Obs Tecnicas'!$D:$G,3,0),"Hexis")</f>
        <v>ER ANALITICA</v>
      </c>
      <c r="T111" s="102" t="str">
        <f aca="false">IFERROR(VLOOKUP(J111,'Obs Tecnicas'!$D:$G,4,0),"")</f>
        <v>Intrumento liberado com restrição, apresenta avarias no display e no detector principal compartimento de cubeta.</v>
      </c>
      <c r="U111" s="1" t="s">
        <v>344</v>
      </c>
      <c r="V111" s="114" t="n">
        <f aca="false">IF(P111&lt;&gt;"",MONTH(P111),"")</f>
        <v>5</v>
      </c>
      <c r="W111" s="114" t="n">
        <v>4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="116" customFormat="true" ht="15" hidden="false" customHeight="true" outlineLevel="0" collapsed="false">
      <c r="A112" s="102" t="s">
        <v>67</v>
      </c>
      <c r="B112" s="102" t="s">
        <v>379</v>
      </c>
      <c r="C112" s="109" t="s">
        <v>380</v>
      </c>
      <c r="D112" s="102" t="s">
        <v>381</v>
      </c>
      <c r="E112" s="102"/>
      <c r="F112" s="109"/>
      <c r="G112" s="102"/>
      <c r="H112" s="102" t="s">
        <v>382</v>
      </c>
      <c r="I112" s="102" t="s">
        <v>79</v>
      </c>
      <c r="J112" s="110" t="n">
        <v>121290693270</v>
      </c>
      <c r="K112" s="102" t="s">
        <v>81</v>
      </c>
      <c r="L112" s="118" t="s">
        <v>82</v>
      </c>
      <c r="M112" s="48" t="s">
        <v>383</v>
      </c>
      <c r="N112" s="102" t="s">
        <v>384</v>
      </c>
      <c r="O112" s="111"/>
      <c r="P112" s="112" t="n">
        <f aca="false">IFERROR(VLOOKUP(J112,'Obs Tecnicas'!$D:$I,5,0),O112)</f>
        <v>0</v>
      </c>
      <c r="Q112" s="111" t="str">
        <f aca="true">IF(P112&lt;&gt;"",IF(P112+365&gt;TODAY(),"Calibrado","Vencido"),"")</f>
        <v>Vencido</v>
      </c>
      <c r="R112" s="113" t="str">
        <f aca="false">IFERROR(VLOOKUP(J112,'Obs Tecnicas'!$D:$G,2,0),"")</f>
        <v/>
      </c>
      <c r="S112" s="102" t="str">
        <f aca="false">IFERROR(VLOOKUP(J112,'Obs Tecnicas'!$D:$G,3,0),"Hexis")</f>
        <v>Hexis</v>
      </c>
      <c r="T112" s="102" t="str">
        <f aca="false">IFERROR(VLOOKUP(J112,'Obs Tecnicas'!$D:$G,4,0),"")</f>
        <v/>
      </c>
      <c r="U112" s="1" t="s">
        <v>27</v>
      </c>
      <c r="V112" s="114"/>
      <c r="W112" s="114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="116" customFormat="true" ht="15" hidden="false" customHeight="true" outlineLevel="0" collapsed="false">
      <c r="A113" s="102" t="s">
        <v>67</v>
      </c>
      <c r="B113" s="102" t="s">
        <v>379</v>
      </c>
      <c r="C113" s="109" t="s">
        <v>380</v>
      </c>
      <c r="D113" s="102" t="s">
        <v>381</v>
      </c>
      <c r="E113" s="102"/>
      <c r="F113" s="109"/>
      <c r="G113" s="102"/>
      <c r="H113" s="102" t="s">
        <v>382</v>
      </c>
      <c r="I113" s="102" t="s">
        <v>101</v>
      </c>
      <c r="J113" s="110" t="n">
        <v>1281250</v>
      </c>
      <c r="K113" s="102" t="s">
        <v>81</v>
      </c>
      <c r="L113" s="118" t="s">
        <v>103</v>
      </c>
      <c r="M113" s="48" t="s">
        <v>383</v>
      </c>
      <c r="N113" s="102" t="s">
        <v>384</v>
      </c>
      <c r="O113" s="111"/>
      <c r="P113" s="112" t="n">
        <f aca="false">IFERROR(VLOOKUP(J113,'Obs Tecnicas'!$D:$I,5,0),O113)</f>
        <v>44368</v>
      </c>
      <c r="Q113" s="111" t="str">
        <f aca="true">IF(P113&lt;&gt;"",IF(P113+365&gt;TODAY(),"Calibrado","Vencido"),"")</f>
        <v>Vencido</v>
      </c>
      <c r="R113" s="113" t="n">
        <f aca="false">IFERROR(VLOOKUP(J113,'Obs Tecnicas'!$D:$G,2,0),"")</f>
        <v>12299</v>
      </c>
      <c r="S113" s="102" t="str">
        <f aca="false">IFERROR(VLOOKUP(J113,'Obs Tecnicas'!$D:$G,3,0),"Hexis")</f>
        <v>ER ANALITICA</v>
      </c>
      <c r="T113" s="102" t="n">
        <f aca="false">IFERROR(VLOOKUP(J113,'Obs Tecnicas'!$D:$G,4,0),"")</f>
        <v>0</v>
      </c>
      <c r="U113" s="1" t="s">
        <v>27</v>
      </c>
      <c r="V113" s="114"/>
      <c r="W113" s="114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="116" customFormat="true" ht="15" hidden="false" customHeight="true" outlineLevel="0" collapsed="false">
      <c r="A114" s="102" t="s">
        <v>67</v>
      </c>
      <c r="B114" s="102" t="s">
        <v>385</v>
      </c>
      <c r="C114" s="109" t="s">
        <v>386</v>
      </c>
      <c r="D114" s="102" t="s">
        <v>387</v>
      </c>
      <c r="E114" s="102"/>
      <c r="F114" s="109"/>
      <c r="G114" s="102"/>
      <c r="H114" s="102" t="s">
        <v>382</v>
      </c>
      <c r="I114" s="102" t="s">
        <v>79</v>
      </c>
      <c r="J114" s="110" t="n">
        <v>203166601031</v>
      </c>
      <c r="K114" s="102" t="s">
        <v>81</v>
      </c>
      <c r="L114" s="118" t="s">
        <v>185</v>
      </c>
      <c r="M114" s="48" t="s">
        <v>383</v>
      </c>
      <c r="N114" s="102" t="s">
        <v>384</v>
      </c>
      <c r="O114" s="111"/>
      <c r="P114" s="112" t="n">
        <f aca="false">IFERROR(VLOOKUP(J114,'Obs Tecnicas'!$D:$I,5,0),O114)</f>
        <v>0</v>
      </c>
      <c r="Q114" s="111" t="str">
        <f aca="true">IF(P114&lt;&gt;"",IF(P114+365&gt;TODAY(),"Calibrado","Vencido"),"")</f>
        <v>Vencido</v>
      </c>
      <c r="R114" s="113" t="str">
        <f aca="false">IFERROR(VLOOKUP(J114,'Obs Tecnicas'!$D:$G,2,0),"")</f>
        <v/>
      </c>
      <c r="S114" s="102" t="str">
        <f aca="false">IFERROR(VLOOKUP(J114,'Obs Tecnicas'!$D:$G,3,0),"Hexis")</f>
        <v>Hexis</v>
      </c>
      <c r="T114" s="102" t="str">
        <f aca="false">IFERROR(VLOOKUP(J114,'Obs Tecnicas'!$D:$G,4,0),"")</f>
        <v/>
      </c>
      <c r="U114" s="1" t="s">
        <v>27</v>
      </c>
      <c r="V114" s="114"/>
      <c r="W114" s="114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="116" customFormat="true" ht="15" hidden="false" customHeight="true" outlineLevel="0" collapsed="false">
      <c r="A115" s="102" t="s">
        <v>67</v>
      </c>
      <c r="B115" s="102" t="s">
        <v>385</v>
      </c>
      <c r="C115" s="109" t="s">
        <v>386</v>
      </c>
      <c r="D115" s="102" t="s">
        <v>387</v>
      </c>
      <c r="E115" s="102"/>
      <c r="F115" s="109"/>
      <c r="G115" s="102"/>
      <c r="H115" s="102" t="s">
        <v>382</v>
      </c>
      <c r="I115" s="102" t="s">
        <v>86</v>
      </c>
      <c r="J115" s="110" t="n">
        <v>2905645</v>
      </c>
      <c r="K115" s="102" t="s">
        <v>136</v>
      </c>
      <c r="L115" s="118" t="s">
        <v>137</v>
      </c>
      <c r="M115" s="48" t="s">
        <v>383</v>
      </c>
      <c r="N115" s="102" t="s">
        <v>384</v>
      </c>
      <c r="O115" s="111"/>
      <c r="P115" s="112" t="n">
        <f aca="false">IFERROR(VLOOKUP(J115,'Obs Tecnicas'!$D:$I,5,0),O115)</f>
        <v>0</v>
      </c>
      <c r="Q115" s="111" t="str">
        <f aca="true">IF(P115&lt;&gt;"",IF(P115+365&gt;TODAY(),"Calibrado","Vencido"),"")</f>
        <v>Vencido</v>
      </c>
      <c r="R115" s="113" t="str">
        <f aca="false">IFERROR(VLOOKUP(J115,'Obs Tecnicas'!$D:$G,2,0),"")</f>
        <v/>
      </c>
      <c r="S115" s="102" t="str">
        <f aca="false">IFERROR(VLOOKUP(J115,'Obs Tecnicas'!$D:$G,3,0),"Hexis")</f>
        <v>Hexis</v>
      </c>
      <c r="T115" s="102" t="str">
        <f aca="false">IFERROR(VLOOKUP(J115,'Obs Tecnicas'!$D:$G,4,0),"")</f>
        <v/>
      </c>
      <c r="U115" s="1" t="s">
        <v>27</v>
      </c>
      <c r="V115" s="114"/>
      <c r="W115" s="114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="116" customFormat="true" ht="15" hidden="false" customHeight="true" outlineLevel="0" collapsed="false">
      <c r="A116" s="102" t="s">
        <v>67</v>
      </c>
      <c r="B116" s="102" t="s">
        <v>385</v>
      </c>
      <c r="C116" s="109" t="s">
        <v>386</v>
      </c>
      <c r="D116" s="102" t="s">
        <v>387</v>
      </c>
      <c r="E116" s="102"/>
      <c r="F116" s="109"/>
      <c r="G116" s="102"/>
      <c r="H116" s="102" t="s">
        <v>382</v>
      </c>
      <c r="I116" s="102" t="s">
        <v>217</v>
      </c>
      <c r="J116" s="110" t="n">
        <v>4239785</v>
      </c>
      <c r="K116" s="102" t="s">
        <v>84</v>
      </c>
      <c r="L116" s="118" t="s">
        <v>364</v>
      </c>
      <c r="M116" s="48" t="s">
        <v>383</v>
      </c>
      <c r="N116" s="102" t="s">
        <v>384</v>
      </c>
      <c r="O116" s="111"/>
      <c r="P116" s="112" t="n">
        <f aca="false">IFERROR(VLOOKUP(J116,'Obs Tecnicas'!$D:$I,5,0),O116)</f>
        <v>0</v>
      </c>
      <c r="Q116" s="111" t="str">
        <f aca="true">IF(P116&lt;&gt;"",IF(P116+365&gt;TODAY(),"Calibrado","Vencido"),"")</f>
        <v>Vencido</v>
      </c>
      <c r="R116" s="113" t="str">
        <f aca="false">IFERROR(VLOOKUP(J116,'Obs Tecnicas'!$D:$G,2,0),"")</f>
        <v/>
      </c>
      <c r="S116" s="102" t="str">
        <f aca="false">IFERROR(VLOOKUP(J116,'Obs Tecnicas'!$D:$G,3,0),"Hexis")</f>
        <v>Hexis</v>
      </c>
      <c r="T116" s="102" t="str">
        <f aca="false">IFERROR(VLOOKUP(J116,'Obs Tecnicas'!$D:$G,4,0),"")</f>
        <v/>
      </c>
      <c r="U116" s="1" t="s">
        <v>27</v>
      </c>
      <c r="V116" s="114"/>
      <c r="W116" s="114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="116" customFormat="true" ht="15" hidden="false" customHeight="true" outlineLevel="0" collapsed="false">
      <c r="A117" s="102" t="s">
        <v>67</v>
      </c>
      <c r="B117" s="102" t="s">
        <v>388</v>
      </c>
      <c r="C117" s="109" t="s">
        <v>389</v>
      </c>
      <c r="D117" s="102" t="s">
        <v>390</v>
      </c>
      <c r="E117" s="102" t="s">
        <v>112</v>
      </c>
      <c r="F117" s="109" t="s">
        <v>113</v>
      </c>
      <c r="G117" s="102" t="s">
        <v>73</v>
      </c>
      <c r="H117" s="102" t="s">
        <v>391</v>
      </c>
      <c r="I117" s="102" t="s">
        <v>79</v>
      </c>
      <c r="J117" s="110" t="s">
        <v>392</v>
      </c>
      <c r="K117" s="102" t="s">
        <v>81</v>
      </c>
      <c r="L117" s="102" t="s">
        <v>82</v>
      </c>
      <c r="M117" s="102" t="s">
        <v>393</v>
      </c>
      <c r="N117" s="102"/>
      <c r="O117" s="111" t="n">
        <v>44371</v>
      </c>
      <c r="P117" s="112" t="n">
        <f aca="false">IFERROR(VLOOKUP(J117,'Obs Tecnicas'!$D:$I,5,0),O117)</f>
        <v>44371</v>
      </c>
      <c r="Q117" s="111" t="str">
        <f aca="true">IF(P117&lt;&gt;"",IF(P117+365&gt;TODAY(),"Calibrado","Vencido"),"")</f>
        <v>Vencido</v>
      </c>
      <c r="R117" s="113" t="str">
        <f aca="false">IFERROR(VLOOKUP(J117,'Obs Tecnicas'!$D:$G,2,0),"")</f>
        <v/>
      </c>
      <c r="S117" s="102" t="str">
        <f aca="false">IFERROR(VLOOKUP(J117,'Obs Tecnicas'!$D:$G,3,0),"Hexis")</f>
        <v>Hexis</v>
      </c>
      <c r="T117" s="102" t="str">
        <f aca="false">IFERROR(VLOOKUP(J117,'Obs Tecnicas'!$D:$G,4,0),"")</f>
        <v/>
      </c>
      <c r="U117" s="1" t="s">
        <v>27</v>
      </c>
      <c r="V117" s="114" t="n">
        <f aca="false">IF(P117&lt;&gt;"",MONTH(P117),"")</f>
        <v>6</v>
      </c>
      <c r="W117" s="114" t="n">
        <v>8</v>
      </c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customFormat="false" ht="15" hidden="false" customHeight="true" outlineLevel="0" collapsed="false">
      <c r="A118" s="102" t="s">
        <v>67</v>
      </c>
      <c r="B118" s="102" t="s">
        <v>388</v>
      </c>
      <c r="C118" s="109" t="s">
        <v>389</v>
      </c>
      <c r="D118" s="102" t="s">
        <v>390</v>
      </c>
      <c r="E118" s="102" t="s">
        <v>112</v>
      </c>
      <c r="F118" s="109" t="s">
        <v>113</v>
      </c>
      <c r="G118" s="102" t="s">
        <v>73</v>
      </c>
      <c r="H118" s="102" t="s">
        <v>391</v>
      </c>
      <c r="I118" s="102" t="s">
        <v>83</v>
      </c>
      <c r="J118" s="110" t="s">
        <v>394</v>
      </c>
      <c r="K118" s="102" t="s">
        <v>84</v>
      </c>
      <c r="L118" s="115" t="s">
        <v>85</v>
      </c>
      <c r="M118" s="102" t="s">
        <v>393</v>
      </c>
      <c r="O118" s="111" t="n">
        <v>44371</v>
      </c>
      <c r="P118" s="112" t="n">
        <f aca="false">IFERROR(VLOOKUP(J118,'Obs Tecnicas'!$D:$I,5,0),O118)</f>
        <v>44371</v>
      </c>
      <c r="Q118" s="111" t="str">
        <f aca="true">IF(P118&lt;&gt;"",IF(P118+365&gt;TODAY(),"Calibrado","Vencido"),"")</f>
        <v>Vencido</v>
      </c>
      <c r="R118" s="113" t="str">
        <f aca="false">IFERROR(VLOOKUP(J118,'Obs Tecnicas'!$D:$G,2,0),"")</f>
        <v/>
      </c>
      <c r="S118" s="102" t="str">
        <f aca="false">IFERROR(VLOOKUP(J118,'Obs Tecnicas'!$D:$G,3,0),"Hexis")</f>
        <v>Hexis</v>
      </c>
      <c r="T118" s="102" t="str">
        <f aca="false">IFERROR(VLOOKUP(J118,'Obs Tecnicas'!$D:$G,4,0),"")</f>
        <v/>
      </c>
      <c r="U118" s="1" t="s">
        <v>27</v>
      </c>
      <c r="V118" s="114" t="n">
        <f aca="false">IF(P118&lt;&gt;"",MONTH(P118),"")</f>
        <v>6</v>
      </c>
      <c r="W118" s="114" t="n">
        <v>8</v>
      </c>
    </row>
    <row r="119" customFormat="false" ht="15" hidden="false" customHeight="true" outlineLevel="0" collapsed="false">
      <c r="A119" s="102" t="s">
        <v>67</v>
      </c>
      <c r="B119" s="102" t="s">
        <v>388</v>
      </c>
      <c r="C119" s="109" t="s">
        <v>389</v>
      </c>
      <c r="D119" s="102" t="s">
        <v>390</v>
      </c>
      <c r="E119" s="102" t="s">
        <v>112</v>
      </c>
      <c r="F119" s="109" t="s">
        <v>113</v>
      </c>
      <c r="G119" s="102" t="s">
        <v>73</v>
      </c>
      <c r="H119" s="102" t="s">
        <v>391</v>
      </c>
      <c r="I119" s="102" t="s">
        <v>83</v>
      </c>
      <c r="J119" s="110" t="s">
        <v>395</v>
      </c>
      <c r="K119" s="102" t="s">
        <v>84</v>
      </c>
      <c r="L119" s="115" t="s">
        <v>85</v>
      </c>
      <c r="M119" s="102" t="s">
        <v>393</v>
      </c>
      <c r="O119" s="111" t="n">
        <v>44371</v>
      </c>
      <c r="P119" s="112" t="n">
        <f aca="false">IFERROR(VLOOKUP(J119,'Obs Tecnicas'!$D:$I,5,0),O119)</f>
        <v>44371</v>
      </c>
      <c r="Q119" s="111" t="str">
        <f aca="true">IF(P119&lt;&gt;"",IF(P119+365&gt;TODAY(),"Calibrado","Vencido"),"")</f>
        <v>Vencido</v>
      </c>
      <c r="R119" s="113" t="str">
        <f aca="false">IFERROR(VLOOKUP(J119,'Obs Tecnicas'!$D:$G,2,0),"")</f>
        <v/>
      </c>
      <c r="S119" s="102" t="str">
        <f aca="false">IFERROR(VLOOKUP(J119,'Obs Tecnicas'!$D:$G,3,0),"Hexis")</f>
        <v>Hexis</v>
      </c>
      <c r="T119" s="102" t="str">
        <f aca="false">IFERROR(VLOOKUP(J119,'Obs Tecnicas'!$D:$G,4,0),"")</f>
        <v/>
      </c>
      <c r="U119" s="1" t="s">
        <v>27</v>
      </c>
      <c r="V119" s="114" t="n">
        <f aca="false">IF(P119&lt;&gt;"",MONTH(P119),"")</f>
        <v>6</v>
      </c>
      <c r="W119" s="114" t="n">
        <v>8</v>
      </c>
    </row>
    <row r="120" customFormat="false" ht="15" hidden="false" customHeight="true" outlineLevel="0" collapsed="false">
      <c r="A120" s="102" t="s">
        <v>67</v>
      </c>
      <c r="B120" s="102" t="s">
        <v>388</v>
      </c>
      <c r="C120" s="109" t="s">
        <v>389</v>
      </c>
      <c r="D120" s="102" t="s">
        <v>390</v>
      </c>
      <c r="E120" s="102" t="s">
        <v>112</v>
      </c>
      <c r="F120" s="109" t="s">
        <v>113</v>
      </c>
      <c r="G120" s="102" t="s">
        <v>73</v>
      </c>
      <c r="H120" s="102" t="s">
        <v>391</v>
      </c>
      <c r="I120" s="102" t="s">
        <v>101</v>
      </c>
      <c r="J120" s="110" t="s">
        <v>396</v>
      </c>
      <c r="K120" s="102" t="s">
        <v>81</v>
      </c>
      <c r="L120" s="102" t="s">
        <v>205</v>
      </c>
      <c r="M120" s="102" t="s">
        <v>393</v>
      </c>
      <c r="O120" s="111" t="n">
        <v>44371</v>
      </c>
      <c r="P120" s="112" t="n">
        <f aca="false">IFERROR(VLOOKUP(J120,'Obs Tecnicas'!$D:$I,5,0),O120)</f>
        <v>44371</v>
      </c>
      <c r="Q120" s="111" t="str">
        <f aca="true">IF(P120&lt;&gt;"",IF(P120+365&gt;TODAY(),"Calibrado","Vencido"),"")</f>
        <v>Vencido</v>
      </c>
      <c r="R120" s="113" t="str">
        <f aca="false">IFERROR(VLOOKUP(J120,'Obs Tecnicas'!$D:$G,2,0),"")</f>
        <v/>
      </c>
      <c r="S120" s="102" t="str">
        <f aca="false">IFERROR(VLOOKUP(J120,'Obs Tecnicas'!$D:$G,3,0),"Hexis")</f>
        <v>Hexis</v>
      </c>
      <c r="T120" s="102" t="str">
        <f aca="false">IFERROR(VLOOKUP(J120,'Obs Tecnicas'!$D:$G,4,0),"")</f>
        <v/>
      </c>
      <c r="U120" s="1" t="s">
        <v>27</v>
      </c>
      <c r="V120" s="114" t="n">
        <f aca="false">IF(P120&lt;&gt;"",MONTH(P120),"")</f>
        <v>6</v>
      </c>
      <c r="W120" s="114" t="n">
        <v>8</v>
      </c>
    </row>
    <row r="121" customFormat="false" ht="15" hidden="false" customHeight="true" outlineLevel="0" collapsed="false">
      <c r="A121" s="102" t="s">
        <v>67</v>
      </c>
      <c r="B121" s="102" t="s">
        <v>388</v>
      </c>
      <c r="C121" s="109" t="s">
        <v>389</v>
      </c>
      <c r="D121" s="102" t="s">
        <v>390</v>
      </c>
      <c r="E121" s="102" t="s">
        <v>112</v>
      </c>
      <c r="F121" s="109" t="s">
        <v>113</v>
      </c>
      <c r="G121" s="102" t="s">
        <v>73</v>
      </c>
      <c r="H121" s="102" t="s">
        <v>391</v>
      </c>
      <c r="I121" s="102" t="s">
        <v>86</v>
      </c>
      <c r="J121" s="110" t="s">
        <v>397</v>
      </c>
      <c r="K121" s="117" t="s">
        <v>136</v>
      </c>
      <c r="L121" s="102" t="s">
        <v>137</v>
      </c>
      <c r="M121" s="102" t="s">
        <v>393</v>
      </c>
      <c r="O121" s="111" t="n">
        <v>44371</v>
      </c>
      <c r="P121" s="112" t="n">
        <f aca="false">IFERROR(VLOOKUP(J121,'Obs Tecnicas'!$D:$I,5,0),O121)</f>
        <v>44371</v>
      </c>
      <c r="Q121" s="111" t="str">
        <f aca="true">IF(P121&lt;&gt;"",IF(P121+365&gt;TODAY(),"Calibrado","Vencido"),"")</f>
        <v>Vencido</v>
      </c>
      <c r="R121" s="113" t="str">
        <f aca="false">IFERROR(VLOOKUP(J121,'Obs Tecnicas'!$D:$G,2,0),"")</f>
        <v/>
      </c>
      <c r="S121" s="102" t="str">
        <f aca="false">IFERROR(VLOOKUP(J121,'Obs Tecnicas'!$D:$G,3,0),"Hexis")</f>
        <v>Hexis</v>
      </c>
      <c r="T121" s="102" t="str">
        <f aca="false">IFERROR(VLOOKUP(J121,'Obs Tecnicas'!$D:$G,4,0),"")</f>
        <v/>
      </c>
      <c r="U121" s="1" t="s">
        <v>27</v>
      </c>
      <c r="V121" s="114" t="n">
        <f aca="false">IF(P121&lt;&gt;"",MONTH(P121),"")</f>
        <v>6</v>
      </c>
      <c r="W121" s="114" t="n">
        <v>8</v>
      </c>
    </row>
    <row r="122" customFormat="false" ht="15" hidden="false" customHeight="true" outlineLevel="0" collapsed="false">
      <c r="A122" s="102" t="s">
        <v>67</v>
      </c>
      <c r="B122" s="102" t="s">
        <v>388</v>
      </c>
      <c r="C122" s="109" t="s">
        <v>389</v>
      </c>
      <c r="D122" s="102" t="s">
        <v>390</v>
      </c>
      <c r="E122" s="102" t="s">
        <v>112</v>
      </c>
      <c r="F122" s="109" t="s">
        <v>113</v>
      </c>
      <c r="G122" s="102" t="s">
        <v>73</v>
      </c>
      <c r="H122" s="102" t="s">
        <v>391</v>
      </c>
      <c r="I122" s="102" t="s">
        <v>86</v>
      </c>
      <c r="J122" s="110" t="s">
        <v>398</v>
      </c>
      <c r="K122" s="117" t="s">
        <v>136</v>
      </c>
      <c r="L122" s="102" t="s">
        <v>137</v>
      </c>
      <c r="M122" s="102" t="s">
        <v>393</v>
      </c>
      <c r="N122" s="129"/>
      <c r="O122" s="111" t="n">
        <v>44371</v>
      </c>
      <c r="P122" s="112" t="n">
        <f aca="false">IFERROR(VLOOKUP(J122,'Obs Tecnicas'!$D:$I,5,0),O122)</f>
        <v>44371</v>
      </c>
      <c r="Q122" s="111" t="str">
        <f aca="true">IF(P122&lt;&gt;"",IF(P122+365&gt;TODAY(),"Calibrado","Vencido"),"")</f>
        <v>Vencido</v>
      </c>
      <c r="R122" s="113" t="str">
        <f aca="false">IFERROR(VLOOKUP(J122,'Obs Tecnicas'!$D:$G,2,0),"")</f>
        <v/>
      </c>
      <c r="S122" s="102" t="str">
        <f aca="false">IFERROR(VLOOKUP(J122,'Obs Tecnicas'!$D:$G,3,0),"Hexis")</f>
        <v>Hexis</v>
      </c>
      <c r="T122" s="102" t="str">
        <f aca="false">IFERROR(VLOOKUP(J122,'Obs Tecnicas'!$D:$G,4,0),"")</f>
        <v/>
      </c>
      <c r="U122" s="1" t="s">
        <v>27</v>
      </c>
      <c r="V122" s="114" t="n">
        <f aca="false">IF(P122&lt;&gt;"",MONTH(P122),"")</f>
        <v>6</v>
      </c>
      <c r="W122" s="114" t="n">
        <v>8</v>
      </c>
    </row>
    <row r="123" customFormat="false" ht="15" hidden="false" customHeight="true" outlineLevel="0" collapsed="false">
      <c r="A123" s="102" t="s">
        <v>67</v>
      </c>
      <c r="B123" s="102" t="s">
        <v>388</v>
      </c>
      <c r="C123" s="109" t="s">
        <v>389</v>
      </c>
      <c r="D123" s="102" t="s">
        <v>390</v>
      </c>
      <c r="E123" s="102" t="s">
        <v>112</v>
      </c>
      <c r="F123" s="109" t="s">
        <v>113</v>
      </c>
      <c r="G123" s="102" t="s">
        <v>73</v>
      </c>
      <c r="H123" s="102" t="s">
        <v>391</v>
      </c>
      <c r="I123" s="102" t="s">
        <v>89</v>
      </c>
      <c r="J123" s="110" t="s">
        <v>399</v>
      </c>
      <c r="K123" s="102" t="s">
        <v>81</v>
      </c>
      <c r="L123" s="102" t="s">
        <v>400</v>
      </c>
      <c r="M123" s="102" t="s">
        <v>393</v>
      </c>
      <c r="O123" s="111" t="n">
        <v>44371</v>
      </c>
      <c r="P123" s="112" t="n">
        <f aca="false">IFERROR(VLOOKUP(J123,'Obs Tecnicas'!$D:$I,5,0),O123)</f>
        <v>44371</v>
      </c>
      <c r="Q123" s="111" t="str">
        <f aca="true">IF(P123&lt;&gt;"",IF(P123+365&gt;TODAY(),"Calibrado","Vencido"),"")</f>
        <v>Vencido</v>
      </c>
      <c r="R123" s="113" t="str">
        <f aca="false">IFERROR(VLOOKUP(J123,'Obs Tecnicas'!$D:$G,2,0),"")</f>
        <v/>
      </c>
      <c r="S123" s="102" t="str">
        <f aca="false">IFERROR(VLOOKUP(J123,'Obs Tecnicas'!$D:$G,3,0),"Hexis")</f>
        <v>Hexis</v>
      </c>
      <c r="T123" s="102" t="str">
        <f aca="false">IFERROR(VLOOKUP(J123,'Obs Tecnicas'!$D:$G,4,0),"")</f>
        <v/>
      </c>
      <c r="U123" s="1" t="s">
        <v>27</v>
      </c>
      <c r="V123" s="114" t="n">
        <f aca="false">IF(P123&lt;&gt;"",MONTH(P123),"")</f>
        <v>6</v>
      </c>
      <c r="W123" s="114" t="n">
        <v>8</v>
      </c>
    </row>
    <row r="124" customFormat="false" ht="15" hidden="false" customHeight="true" outlineLevel="0" collapsed="false">
      <c r="A124" s="102" t="s">
        <v>67</v>
      </c>
      <c r="B124" s="102" t="s">
        <v>339</v>
      </c>
      <c r="C124" s="109" t="s">
        <v>340</v>
      </c>
      <c r="D124" s="102" t="s">
        <v>401</v>
      </c>
      <c r="E124" s="102" t="s">
        <v>339</v>
      </c>
      <c r="F124" s="109" t="s">
        <v>340</v>
      </c>
      <c r="G124" s="102" t="s">
        <v>346</v>
      </c>
      <c r="H124" s="115" t="s">
        <v>402</v>
      </c>
      <c r="I124" s="102" t="s">
        <v>217</v>
      </c>
      <c r="J124" s="110" t="s">
        <v>403</v>
      </c>
      <c r="K124" s="102" t="s">
        <v>84</v>
      </c>
      <c r="L124" s="102" t="s">
        <v>219</v>
      </c>
      <c r="M124" s="102" t="s">
        <v>404</v>
      </c>
      <c r="N124" s="102" t="s">
        <v>405</v>
      </c>
      <c r="O124" s="111" t="n">
        <v>43888</v>
      </c>
      <c r="P124" s="112" t="n">
        <f aca="false">IFERROR(VLOOKUP(J124,'Obs Tecnicas'!$D:$I,5,0),O124)</f>
        <v>44523</v>
      </c>
      <c r="Q124" s="111" t="str">
        <f aca="true">IF(P124&lt;&gt;"",IF(P124+365&gt;TODAY(),"Calibrado","Vencido"),"")</f>
        <v>Calibrado</v>
      </c>
      <c r="R124" s="113" t="n">
        <f aca="false">IFERROR(VLOOKUP(J124,'Obs Tecnicas'!$D:$G,2,0),"")</f>
        <v>14621</v>
      </c>
      <c r="S124" s="102" t="str">
        <f aca="false">IFERROR(VLOOKUP(J124,'Obs Tecnicas'!$D:$G,3,0),"Hexis")</f>
        <v>ER ANALITICA</v>
      </c>
      <c r="T124" s="102" t="str">
        <f aca="false">IFERROR(VLOOKUP(J124,'Obs Tecnicas'!$D:$G,4,0),"")</f>
        <v>Liberado com restrição, eletrodo de pH em final da vida útil (lentidão).</v>
      </c>
      <c r="V124" s="114" t="n">
        <f aca="false">IF(P124&lt;&gt;"",MONTH(P124),"")</f>
        <v>11</v>
      </c>
      <c r="W124" s="114" t="n">
        <v>9</v>
      </c>
      <c r="AO124" s="130"/>
    </row>
    <row r="125" customFormat="false" ht="15" hidden="false" customHeight="true" outlineLevel="0" collapsed="false">
      <c r="A125" s="102" t="s">
        <v>67</v>
      </c>
      <c r="B125" s="102" t="s">
        <v>339</v>
      </c>
      <c r="C125" s="109" t="s">
        <v>340</v>
      </c>
      <c r="D125" s="102" t="s">
        <v>401</v>
      </c>
      <c r="E125" s="102" t="s">
        <v>339</v>
      </c>
      <c r="F125" s="109" t="s">
        <v>340</v>
      </c>
      <c r="G125" s="117" t="s">
        <v>346</v>
      </c>
      <c r="H125" s="117" t="s">
        <v>402</v>
      </c>
      <c r="I125" s="117" t="s">
        <v>101</v>
      </c>
      <c r="J125" s="110" t="s">
        <v>406</v>
      </c>
      <c r="K125" s="102" t="s">
        <v>81</v>
      </c>
      <c r="L125" s="102" t="s">
        <v>205</v>
      </c>
      <c r="M125" s="102" t="s">
        <v>404</v>
      </c>
      <c r="N125" s="117" t="s">
        <v>405</v>
      </c>
      <c r="O125" s="111" t="n">
        <v>44019</v>
      </c>
      <c r="P125" s="112" t="n">
        <f aca="false">IFERROR(VLOOKUP(J125,'Obs Tecnicas'!$D:$I,5,0),O125)</f>
        <v>44523</v>
      </c>
      <c r="Q125" s="111" t="str">
        <f aca="true">IF(P125&lt;&gt;"",IF(P125+365&gt;TODAY(),"Calibrado","Vencido"),"")</f>
        <v>Calibrado</v>
      </c>
      <c r="R125" s="113" t="n">
        <f aca="false">IFERROR(VLOOKUP(J125,'Obs Tecnicas'!$D:$G,2,0),"")</f>
        <v>14288</v>
      </c>
      <c r="S125" s="102" t="str">
        <f aca="false">IFERROR(VLOOKUP(J125,'Obs Tecnicas'!$D:$G,3,0),"Hexis")</f>
        <v>ER ANALITICA</v>
      </c>
      <c r="T125" s="102" t="str">
        <f aca="false">IFERROR(VLOOKUP(J125,'Obs Tecnicas'!$D:$G,4,0),"")</f>
        <v>MODULO DE ALIMENTAÇÃOCOM AVARIAS,E NCAMINHADO PARA NOSSA AT</v>
      </c>
      <c r="U125" s="1" t="s">
        <v>30</v>
      </c>
      <c r="V125" s="114" t="n">
        <f aca="false">IF(P125&lt;&gt;"",MONTH(P125),"")</f>
        <v>11</v>
      </c>
      <c r="W125" s="114" t="n">
        <v>9</v>
      </c>
      <c r="AO125" s="130"/>
    </row>
    <row r="126" customFormat="false" ht="15" hidden="false" customHeight="true" outlineLevel="0" collapsed="false">
      <c r="A126" s="102" t="s">
        <v>67</v>
      </c>
      <c r="B126" s="102" t="s">
        <v>339</v>
      </c>
      <c r="C126" s="109" t="s">
        <v>340</v>
      </c>
      <c r="D126" s="102" t="s">
        <v>401</v>
      </c>
      <c r="E126" s="102" t="s">
        <v>339</v>
      </c>
      <c r="F126" s="109" t="s">
        <v>340</v>
      </c>
      <c r="G126" s="102" t="s">
        <v>346</v>
      </c>
      <c r="H126" s="115" t="s">
        <v>402</v>
      </c>
      <c r="I126" s="102" t="s">
        <v>101</v>
      </c>
      <c r="J126" s="110" t="n">
        <v>150700001005</v>
      </c>
      <c r="K126" s="102" t="s">
        <v>81</v>
      </c>
      <c r="L126" s="102" t="s">
        <v>205</v>
      </c>
      <c r="M126" s="102" t="s">
        <v>404</v>
      </c>
      <c r="N126" s="102" t="s">
        <v>405</v>
      </c>
      <c r="O126" s="111" t="n">
        <v>44019</v>
      </c>
      <c r="P126" s="112" t="n">
        <f aca="false">IFERROR(VLOOKUP(J126,'Obs Tecnicas'!$D:$I,5,0),O126)</f>
        <v>44019</v>
      </c>
      <c r="Q126" s="111" t="str">
        <f aca="true">IF(P126&lt;&gt;"",IF(P126+365&gt;TODAY(),"Calibrado","Vencido"),"")</f>
        <v>Vencido</v>
      </c>
      <c r="R126" s="113" t="str">
        <f aca="false">IFERROR(VLOOKUP(J126,'Obs Tecnicas'!$D:$G,2,0),"")</f>
        <v/>
      </c>
      <c r="S126" s="102" t="str">
        <f aca="false">IFERROR(VLOOKUP(J126,'Obs Tecnicas'!$D:$G,3,0),"Hexis")</f>
        <v>Hexis</v>
      </c>
      <c r="T126" s="102" t="str">
        <f aca="false">IFERROR(VLOOKUP(J126,'Obs Tecnicas'!$D:$G,4,0),"")</f>
        <v/>
      </c>
      <c r="U126" s="1" t="s">
        <v>30</v>
      </c>
      <c r="V126" s="114" t="n">
        <f aca="false">IF(P126&lt;&gt;"",MONTH(P126),"")</f>
        <v>7</v>
      </c>
      <c r="W126" s="114" t="n">
        <v>9</v>
      </c>
      <c r="AO126" s="130"/>
    </row>
    <row r="127" customFormat="false" ht="15" hidden="false" customHeight="true" outlineLevel="0" collapsed="false">
      <c r="A127" s="102" t="s">
        <v>67</v>
      </c>
      <c r="B127" s="102" t="s">
        <v>339</v>
      </c>
      <c r="C127" s="109" t="s">
        <v>340</v>
      </c>
      <c r="D127" s="102" t="s">
        <v>401</v>
      </c>
      <c r="E127" s="102" t="s">
        <v>339</v>
      </c>
      <c r="F127" s="109" t="s">
        <v>340</v>
      </c>
      <c r="G127" s="102" t="s">
        <v>346</v>
      </c>
      <c r="H127" s="115" t="s">
        <v>402</v>
      </c>
      <c r="I127" s="102" t="s">
        <v>101</v>
      </c>
      <c r="J127" s="110" t="s">
        <v>407</v>
      </c>
      <c r="K127" s="102" t="s">
        <v>81</v>
      </c>
      <c r="L127" s="118" t="s">
        <v>148</v>
      </c>
      <c r="M127" s="102" t="s">
        <v>404</v>
      </c>
      <c r="N127" s="102" t="s">
        <v>405</v>
      </c>
      <c r="O127" s="111" t="n">
        <v>44019</v>
      </c>
      <c r="P127" s="112" t="n">
        <f aca="false">IFERROR(VLOOKUP(J127,'Obs Tecnicas'!$D:$I,5,0),O127)</f>
        <v>44523</v>
      </c>
      <c r="Q127" s="111" t="str">
        <f aca="true">IF(P127&lt;&gt;"",IF(P127+365&gt;TODAY(),"Calibrado","Vencido"),"")</f>
        <v>Calibrado</v>
      </c>
      <c r="R127" s="113" t="n">
        <f aca="false">IFERROR(VLOOKUP(J127,'Obs Tecnicas'!$D:$G,2,0),"")</f>
        <v>13237</v>
      </c>
      <c r="S127" s="102" t="str">
        <f aca="false">IFERROR(VLOOKUP(J127,'Obs Tecnicas'!$D:$G,3,0),"Hexis")</f>
        <v>ER ANALITICA</v>
      </c>
      <c r="T127" s="102" t="n">
        <f aca="false">IFERROR(VLOOKUP(J127,'Obs Tecnicas'!$D:$G,4,0),"")</f>
        <v>0</v>
      </c>
      <c r="V127" s="114" t="n">
        <f aca="false">IF(P127&lt;&gt;"",MONTH(P127),"")</f>
        <v>11</v>
      </c>
      <c r="W127" s="114" t="n">
        <v>9</v>
      </c>
      <c r="AO127" s="130"/>
    </row>
    <row r="128" s="116" customFormat="true" ht="15" hidden="false" customHeight="true" outlineLevel="0" collapsed="false">
      <c r="A128" s="102" t="s">
        <v>67</v>
      </c>
      <c r="B128" s="102" t="s">
        <v>339</v>
      </c>
      <c r="C128" s="109" t="s">
        <v>340</v>
      </c>
      <c r="D128" s="102" t="s">
        <v>401</v>
      </c>
      <c r="E128" s="102" t="s">
        <v>339</v>
      </c>
      <c r="F128" s="109" t="s">
        <v>340</v>
      </c>
      <c r="G128" s="102" t="s">
        <v>346</v>
      </c>
      <c r="H128" s="115" t="s">
        <v>402</v>
      </c>
      <c r="I128" s="102" t="s">
        <v>217</v>
      </c>
      <c r="J128" s="110" t="s">
        <v>408</v>
      </c>
      <c r="K128" s="102" t="s">
        <v>84</v>
      </c>
      <c r="L128" s="115" t="s">
        <v>219</v>
      </c>
      <c r="M128" s="102" t="s">
        <v>404</v>
      </c>
      <c r="N128" s="102" t="s">
        <v>405</v>
      </c>
      <c r="O128" s="111" t="n">
        <v>44019</v>
      </c>
      <c r="P128" s="112" t="n">
        <f aca="false">IFERROR(VLOOKUP(J128,'Obs Tecnicas'!$D:$I,5,0),O128)</f>
        <v>44523</v>
      </c>
      <c r="Q128" s="111" t="str">
        <f aca="true">IF(P128&lt;&gt;"",IF(P128+365&gt;TODAY(),"Calibrado","Vencido"),"")</f>
        <v>Calibrado</v>
      </c>
      <c r="R128" s="113" t="n">
        <f aca="false">IFERROR(VLOOKUP(J128,'Obs Tecnicas'!$D:$G,2,0),"")</f>
        <v>14624</v>
      </c>
      <c r="S128" s="102" t="str">
        <f aca="false">IFERROR(VLOOKUP(J128,'Obs Tecnicas'!$D:$G,3,0),"Hexis")</f>
        <v>ER ANALITICA</v>
      </c>
      <c r="T128" s="102" t="str">
        <f aca="false">IFERROR(VLOOKUP(J128,'Obs Tecnicas'!$D:$G,4,0),"")</f>
        <v>Liberado com restrição, eletrodo de pH em final da vida útil (lentidão).</v>
      </c>
      <c r="U128" s="1"/>
      <c r="V128" s="114" t="n">
        <f aca="false">IF(P128&lt;&gt;"",MONTH(P128),"")</f>
        <v>11</v>
      </c>
      <c r="W128" s="114" t="n">
        <v>7</v>
      </c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customFormat="false" ht="15" hidden="false" customHeight="true" outlineLevel="0" collapsed="false">
      <c r="A129" s="102" t="s">
        <v>67</v>
      </c>
      <c r="B129" s="102" t="s">
        <v>339</v>
      </c>
      <c r="C129" s="109" t="s">
        <v>340</v>
      </c>
      <c r="D129" s="102" t="s">
        <v>401</v>
      </c>
      <c r="E129" s="102" t="s">
        <v>339</v>
      </c>
      <c r="F129" s="109" t="s">
        <v>340</v>
      </c>
      <c r="G129" s="102" t="s">
        <v>346</v>
      </c>
      <c r="H129" s="102" t="s">
        <v>402</v>
      </c>
      <c r="I129" s="102" t="s">
        <v>89</v>
      </c>
      <c r="J129" s="110" t="s">
        <v>409</v>
      </c>
      <c r="K129" s="102" t="s">
        <v>81</v>
      </c>
      <c r="L129" s="102" t="s">
        <v>91</v>
      </c>
      <c r="M129" s="102" t="s">
        <v>404</v>
      </c>
      <c r="N129" s="102" t="s">
        <v>405</v>
      </c>
      <c r="O129" s="111" t="n">
        <v>44019</v>
      </c>
      <c r="P129" s="112" t="n">
        <f aca="false">IFERROR(VLOOKUP(J129,'Obs Tecnicas'!$D:$I,5,0),O129)</f>
        <v>44523</v>
      </c>
      <c r="Q129" s="111" t="str">
        <f aca="true">IF(P129&lt;&gt;"",IF(P129+365&gt;TODAY(),"Calibrado","Vencido"),"")</f>
        <v>Calibrado</v>
      </c>
      <c r="R129" s="113" t="n">
        <f aca="false">IFERROR(VLOOKUP(J129,'Obs Tecnicas'!$D:$G,2,0),"")</f>
        <v>14291</v>
      </c>
      <c r="S129" s="102" t="str">
        <f aca="false">IFERROR(VLOOKUP(J129,'Obs Tecnicas'!$D:$G,3,0),"Hexis")</f>
        <v>ER ANALITICA</v>
      </c>
      <c r="T129" s="102" t="n">
        <f aca="false">IFERROR(VLOOKUP(J129,'Obs Tecnicas'!$D:$G,4,0),"")</f>
        <v>0</v>
      </c>
      <c r="U129" s="1" t="s">
        <v>30</v>
      </c>
      <c r="V129" s="114" t="n">
        <f aca="false">IF(P129&lt;&gt;"",MONTH(P129),"")</f>
        <v>11</v>
      </c>
      <c r="W129" s="114" t="n">
        <v>7</v>
      </c>
    </row>
    <row r="130" customFormat="false" ht="15" hidden="false" customHeight="true" outlineLevel="0" collapsed="false">
      <c r="A130" s="102" t="s">
        <v>67</v>
      </c>
      <c r="B130" s="102" t="s">
        <v>339</v>
      </c>
      <c r="C130" s="109" t="s">
        <v>340</v>
      </c>
      <c r="D130" s="102" t="s">
        <v>401</v>
      </c>
      <c r="E130" s="102" t="s">
        <v>339</v>
      </c>
      <c r="F130" s="109" t="s">
        <v>340</v>
      </c>
      <c r="G130" s="102" t="s">
        <v>346</v>
      </c>
      <c r="H130" s="102" t="s">
        <v>402</v>
      </c>
      <c r="I130" s="102" t="s">
        <v>217</v>
      </c>
      <c r="J130" s="110" t="s">
        <v>410</v>
      </c>
      <c r="K130" s="102" t="s">
        <v>84</v>
      </c>
      <c r="L130" s="102" t="s">
        <v>85</v>
      </c>
      <c r="M130" s="102" t="s">
        <v>404</v>
      </c>
      <c r="N130" s="102" t="s">
        <v>405</v>
      </c>
      <c r="O130" s="111" t="n">
        <v>44019</v>
      </c>
      <c r="P130" s="112" t="n">
        <f aca="false">IFERROR(VLOOKUP(J130,'Obs Tecnicas'!$D:$I,5,0),O130)</f>
        <v>44523</v>
      </c>
      <c r="Q130" s="111" t="str">
        <f aca="true">IF(P130&lt;&gt;"",IF(P130+365&gt;TODAY(),"Calibrado","Vencido"),"")</f>
        <v>Calibrado</v>
      </c>
      <c r="R130" s="113" t="n">
        <f aca="false">IFERROR(VLOOKUP(J130,'Obs Tecnicas'!$D:$G,2,0),"")</f>
        <v>14292</v>
      </c>
      <c r="S130" s="102" t="str">
        <f aca="false">IFERROR(VLOOKUP(J130,'Obs Tecnicas'!$D:$G,3,0),"Hexis")</f>
        <v>ER ANALITICA</v>
      </c>
      <c r="T130" s="102" t="n">
        <f aca="false">IFERROR(VLOOKUP(J130,'Obs Tecnicas'!$D:$G,4,0),"")</f>
        <v>0</v>
      </c>
      <c r="V130" s="114" t="n">
        <f aca="false">IF(P130&lt;&gt;"",MONTH(P130),"")</f>
        <v>11</v>
      </c>
      <c r="W130" s="114" t="n">
        <v>7</v>
      </c>
    </row>
    <row r="131" customFormat="false" ht="15" hidden="false" customHeight="true" outlineLevel="0" collapsed="false">
      <c r="A131" s="102" t="s">
        <v>67</v>
      </c>
      <c r="B131" s="102" t="s">
        <v>339</v>
      </c>
      <c r="C131" s="109" t="s">
        <v>340</v>
      </c>
      <c r="D131" s="102" t="s">
        <v>401</v>
      </c>
      <c r="E131" s="102" t="s">
        <v>339</v>
      </c>
      <c r="F131" s="109" t="s">
        <v>340</v>
      </c>
      <c r="G131" s="102" t="s">
        <v>346</v>
      </c>
      <c r="H131" s="102" t="s">
        <v>402</v>
      </c>
      <c r="I131" s="102" t="s">
        <v>217</v>
      </c>
      <c r="J131" s="110" t="s">
        <v>411</v>
      </c>
      <c r="K131" s="102" t="s">
        <v>84</v>
      </c>
      <c r="L131" s="102" t="s">
        <v>219</v>
      </c>
      <c r="M131" s="102" t="s">
        <v>404</v>
      </c>
      <c r="N131" s="102" t="s">
        <v>405</v>
      </c>
      <c r="O131" s="111" t="n">
        <v>44019</v>
      </c>
      <c r="P131" s="112" t="n">
        <f aca="false">IFERROR(VLOOKUP(J131,'Obs Tecnicas'!$D:$I,5,0),O131)</f>
        <v>44523</v>
      </c>
      <c r="Q131" s="111" t="str">
        <f aca="true">IF(P131&lt;&gt;"",IF(P131+365&gt;TODAY(),"Calibrado","Vencido"),"")</f>
        <v>Calibrado</v>
      </c>
      <c r="R131" s="113" t="n">
        <f aca="false">IFERROR(VLOOKUP(J131,'Obs Tecnicas'!$D:$G,2,0),"")</f>
        <v>14286</v>
      </c>
      <c r="S131" s="102" t="str">
        <f aca="false">IFERROR(VLOOKUP(J131,'Obs Tecnicas'!$D:$G,3,0),"Hexis")</f>
        <v>ER ANALITICA</v>
      </c>
      <c r="T131" s="102" t="n">
        <f aca="false">IFERROR(VLOOKUP(J131,'Obs Tecnicas'!$D:$G,4,0),"")</f>
        <v>0</v>
      </c>
      <c r="V131" s="114" t="n">
        <f aca="false">IF(P131&lt;&gt;"",MONTH(P131),"")</f>
        <v>11</v>
      </c>
      <c r="W131" s="114" t="n">
        <v>9</v>
      </c>
    </row>
    <row r="132" customFormat="false" ht="15" hidden="false" customHeight="true" outlineLevel="0" collapsed="false">
      <c r="A132" s="102" t="s">
        <v>67</v>
      </c>
      <c r="B132" s="102" t="s">
        <v>339</v>
      </c>
      <c r="C132" s="109" t="s">
        <v>340</v>
      </c>
      <c r="D132" s="102" t="s">
        <v>401</v>
      </c>
      <c r="E132" s="102" t="s">
        <v>339</v>
      </c>
      <c r="F132" s="109" t="s">
        <v>340</v>
      </c>
      <c r="G132" s="102" t="s">
        <v>346</v>
      </c>
      <c r="H132" s="102" t="s">
        <v>402</v>
      </c>
      <c r="I132" s="102" t="s">
        <v>86</v>
      </c>
      <c r="J132" s="110" t="s">
        <v>412</v>
      </c>
      <c r="K132" s="102" t="s">
        <v>105</v>
      </c>
      <c r="L132" s="102" t="s">
        <v>413</v>
      </c>
      <c r="M132" s="102" t="s">
        <v>404</v>
      </c>
      <c r="N132" s="102" t="s">
        <v>405</v>
      </c>
      <c r="O132" s="111" t="n">
        <v>44019</v>
      </c>
      <c r="P132" s="112" t="n">
        <f aca="false">IFERROR(VLOOKUP(J132,'Obs Tecnicas'!$D:$I,5,0),O132)</f>
        <v>44523</v>
      </c>
      <c r="Q132" s="111" t="str">
        <f aca="true">IF(P132&lt;&gt;"",IF(P132+365&gt;TODAY(),"Calibrado","Vencido"),"")</f>
        <v>Calibrado</v>
      </c>
      <c r="R132" s="113" t="n">
        <f aca="false">IFERROR(VLOOKUP(J132,'Obs Tecnicas'!$D:$G,2,0),"")</f>
        <v>14626</v>
      </c>
      <c r="S132" s="102" t="str">
        <f aca="false">IFERROR(VLOOKUP(J132,'Obs Tecnicas'!$D:$G,3,0),"Hexis")</f>
        <v>ER ANALITICA</v>
      </c>
      <c r="T132" s="102" t="n">
        <f aca="false">IFERROR(VLOOKUP(J132,'Obs Tecnicas'!$D:$G,4,0),"")</f>
        <v>0</v>
      </c>
      <c r="V132" s="114" t="n">
        <f aca="false">IF(P132&lt;&gt;"",MONTH(P132),"")</f>
        <v>11</v>
      </c>
      <c r="W132" s="114" t="n">
        <v>9</v>
      </c>
    </row>
    <row r="133" customFormat="false" ht="15" hidden="false" customHeight="true" outlineLevel="0" collapsed="false">
      <c r="A133" s="102" t="s">
        <v>67</v>
      </c>
      <c r="B133" s="102" t="s">
        <v>339</v>
      </c>
      <c r="C133" s="109" t="s">
        <v>340</v>
      </c>
      <c r="D133" s="102" t="s">
        <v>401</v>
      </c>
      <c r="E133" s="102" t="s">
        <v>339</v>
      </c>
      <c r="F133" s="109" t="s">
        <v>340</v>
      </c>
      <c r="G133" s="102" t="s">
        <v>346</v>
      </c>
      <c r="H133" s="102" t="s">
        <v>402</v>
      </c>
      <c r="I133" s="102" t="s">
        <v>217</v>
      </c>
      <c r="J133" s="110" t="s">
        <v>414</v>
      </c>
      <c r="K133" s="102" t="s">
        <v>84</v>
      </c>
      <c r="L133" s="102" t="s">
        <v>219</v>
      </c>
      <c r="M133" s="102" t="s">
        <v>404</v>
      </c>
      <c r="N133" s="102" t="s">
        <v>405</v>
      </c>
      <c r="O133" s="111"/>
      <c r="P133" s="112" t="n">
        <f aca="false">IFERROR(VLOOKUP(J133,'Obs Tecnicas'!$D:$I,5,0),O133)</f>
        <v>44523</v>
      </c>
      <c r="Q133" s="111" t="str">
        <f aca="true">IF(P133&lt;&gt;"",IF(P133+365&gt;TODAY(),"Calibrado","Vencido"),"")</f>
        <v>Calibrado</v>
      </c>
      <c r="R133" s="113" t="n">
        <f aca="false">IFERROR(VLOOKUP(J133,'Obs Tecnicas'!$D:$G,2,0),"")</f>
        <v>14625</v>
      </c>
      <c r="S133" s="102" t="str">
        <f aca="false">IFERROR(VLOOKUP(J133,'Obs Tecnicas'!$D:$G,3,0),"Hexis")</f>
        <v>ER ANALITICA</v>
      </c>
      <c r="T133" s="102" t="n">
        <f aca="false">IFERROR(VLOOKUP(J133,'Obs Tecnicas'!$D:$G,4,0),"")</f>
        <v>0</v>
      </c>
      <c r="V133" s="114" t="n">
        <f aca="false">IF(P133&lt;&gt;"",MONTH(P133),"")</f>
        <v>11</v>
      </c>
      <c r="W133" s="114" t="n">
        <v>9</v>
      </c>
    </row>
    <row r="134" customFormat="false" ht="15" hidden="false" customHeight="true" outlineLevel="0" collapsed="false">
      <c r="A134" s="102" t="s">
        <v>67</v>
      </c>
      <c r="B134" s="102" t="s">
        <v>339</v>
      </c>
      <c r="C134" s="109" t="s">
        <v>340</v>
      </c>
      <c r="E134" s="102" t="s">
        <v>339</v>
      </c>
      <c r="F134" s="109" t="s">
        <v>340</v>
      </c>
      <c r="H134" s="102" t="s">
        <v>402</v>
      </c>
      <c r="I134" s="102" t="s">
        <v>360</v>
      </c>
      <c r="J134" s="110" t="s">
        <v>415</v>
      </c>
      <c r="K134" s="102" t="s">
        <v>81</v>
      </c>
      <c r="L134" s="117" t="s">
        <v>82</v>
      </c>
      <c r="M134" s="102" t="s">
        <v>404</v>
      </c>
      <c r="O134" s="111"/>
      <c r="P134" s="112" t="n">
        <f aca="false">IFERROR(VLOOKUP(J134,'Obs Tecnicas'!$D:$I,5,0),O134)</f>
        <v>44442</v>
      </c>
      <c r="Q134" s="111" t="str">
        <f aca="true">IF(P134&lt;&gt;"",IF(P134+365&gt;TODAY(),"Calibrado","Vencido"),"")</f>
        <v>Calibrado</v>
      </c>
      <c r="R134" s="113" t="n">
        <f aca="false">IFERROR(VLOOKUP(J134,'Obs Tecnicas'!$D:$G,2,0),"")</f>
        <v>13759</v>
      </c>
      <c r="S134" s="102" t="str">
        <f aca="false">IFERROR(VLOOKUP(J134,'Obs Tecnicas'!$D:$G,3,0),"Hexis")</f>
        <v>ER ANALITICA</v>
      </c>
      <c r="T134" s="102" t="str">
        <f aca="false">IFERROR(VLOOKUP(J134,'Obs Tecnicas'!$D:$G,4,0),"")</f>
        <v> Recomendada troca preventiva de todos os filtros ópticos</v>
      </c>
      <c r="U134" s="1" t="s">
        <v>27</v>
      </c>
      <c r="V134" s="114" t="n">
        <f aca="false">IF(P134&lt;&gt;"",MONTH(P134),"")</f>
        <v>9</v>
      </c>
      <c r="W134" s="114" t="n">
        <v>3</v>
      </c>
    </row>
    <row r="135" customFormat="false" ht="15" hidden="false" customHeight="true" outlineLevel="0" collapsed="false">
      <c r="A135" s="102" t="s">
        <v>67</v>
      </c>
      <c r="B135" s="102" t="s">
        <v>416</v>
      </c>
      <c r="C135" s="109" t="s">
        <v>417</v>
      </c>
      <c r="D135" s="61" t="s">
        <v>418</v>
      </c>
      <c r="E135" s="102" t="s">
        <v>419</v>
      </c>
      <c r="F135" s="109" t="s">
        <v>420</v>
      </c>
      <c r="G135" s="102" t="s">
        <v>346</v>
      </c>
      <c r="H135" s="102" t="s">
        <v>402</v>
      </c>
      <c r="I135" s="102" t="s">
        <v>79</v>
      </c>
      <c r="J135" s="110" t="s">
        <v>421</v>
      </c>
      <c r="K135" s="102" t="s">
        <v>81</v>
      </c>
      <c r="L135" s="119" t="s">
        <v>185</v>
      </c>
      <c r="M135" s="102" t="s">
        <v>422</v>
      </c>
      <c r="N135" s="102" t="s">
        <v>423</v>
      </c>
      <c r="O135" s="111" t="n">
        <v>44022</v>
      </c>
      <c r="P135" s="112" t="n">
        <f aca="false">IFERROR(VLOOKUP(J135,'Obs Tecnicas'!$D:$I,5,0),O135)</f>
        <v>44371</v>
      </c>
      <c r="Q135" s="111" t="str">
        <f aca="true">IF(P135&lt;&gt;"",IF(P135+365&gt;TODAY(),"Calibrado","Vencido"),"")</f>
        <v>Vencido</v>
      </c>
      <c r="R135" s="113" t="n">
        <f aca="false">IFERROR(VLOOKUP(J135,'Obs Tecnicas'!$D:$G,2,0),"")</f>
        <v>12677</v>
      </c>
      <c r="S135" s="102" t="str">
        <f aca="false">IFERROR(VLOOKUP(J135,'Obs Tecnicas'!$D:$G,3,0),"Hexis")</f>
        <v>ER ANALITICA</v>
      </c>
      <c r="T135" s="102" t="n">
        <f aca="false">IFERROR(VLOOKUP(J135,'Obs Tecnicas'!$D:$G,4,0),"")</f>
        <v>0</v>
      </c>
      <c r="U135" s="1" t="s">
        <v>28</v>
      </c>
      <c r="V135" s="114" t="n">
        <f aca="false">IF(P135&lt;&gt;"",MONTH(P135),"")</f>
        <v>6</v>
      </c>
      <c r="W135" s="114" t="n">
        <v>7</v>
      </c>
    </row>
    <row r="136" customFormat="false" ht="15" hidden="false" customHeight="true" outlineLevel="0" collapsed="false">
      <c r="A136" s="102" t="s">
        <v>67</v>
      </c>
      <c r="B136" s="102" t="s">
        <v>416</v>
      </c>
      <c r="C136" s="109" t="s">
        <v>417</v>
      </c>
      <c r="D136" s="61" t="s">
        <v>418</v>
      </c>
      <c r="E136" s="102" t="s">
        <v>419</v>
      </c>
      <c r="F136" s="109" t="s">
        <v>420</v>
      </c>
      <c r="G136" s="102" t="s">
        <v>346</v>
      </c>
      <c r="H136" s="102" t="s">
        <v>402</v>
      </c>
      <c r="I136" s="102" t="s">
        <v>83</v>
      </c>
      <c r="J136" s="110" t="s">
        <v>424</v>
      </c>
      <c r="K136" s="102" t="s">
        <v>265</v>
      </c>
      <c r="L136" s="102" t="s">
        <v>266</v>
      </c>
      <c r="M136" s="102" t="s">
        <v>422</v>
      </c>
      <c r="N136" s="102" t="s">
        <v>423</v>
      </c>
      <c r="O136" s="111" t="n">
        <v>44022</v>
      </c>
      <c r="P136" s="112" t="n">
        <f aca="false">IFERROR(VLOOKUP(J136,'Obs Tecnicas'!$D:$I,5,0),O136)</f>
        <v>44371</v>
      </c>
      <c r="Q136" s="111" t="str">
        <f aca="true">IF(P136&lt;&gt;"",IF(P136+365&gt;TODAY(),"Calibrado","Vencido"),"")</f>
        <v>Vencido</v>
      </c>
      <c r="R136" s="113" t="n">
        <f aca="false">IFERROR(VLOOKUP(J136,'Obs Tecnicas'!$D:$G,2,0),"")</f>
        <v>12679</v>
      </c>
      <c r="S136" s="102" t="str">
        <f aca="false">IFERROR(VLOOKUP(J136,'Obs Tecnicas'!$D:$G,3,0),"Hexis")</f>
        <v>ER ANALITICA</v>
      </c>
      <c r="T136" s="102" t="str">
        <f aca="false">IFERROR(VLOOKUP(J136,'Obs Tecnicas'!$D:$G,4,0),"")</f>
        <v>Sonda com a ponta quebrada.</v>
      </c>
      <c r="U136" s="1" t="s">
        <v>28</v>
      </c>
      <c r="V136" s="114" t="n">
        <f aca="false">IF(P136&lt;&gt;"",MONTH(P136),"")</f>
        <v>6</v>
      </c>
      <c r="W136" s="114" t="n">
        <v>7</v>
      </c>
      <c r="Z136" s="126"/>
      <c r="AB136" s="126"/>
      <c r="AD136" s="126"/>
      <c r="AF136" s="126"/>
      <c r="AG136" s="126"/>
      <c r="AH136" s="126"/>
      <c r="AI136" s="126"/>
      <c r="AK136" s="126"/>
      <c r="AL136" s="126"/>
      <c r="AM136" s="126"/>
      <c r="AN136" s="126"/>
      <c r="AO136" s="126"/>
    </row>
    <row r="137" customFormat="false" ht="15" hidden="false" customHeight="true" outlineLevel="0" collapsed="false">
      <c r="A137" s="102" t="s">
        <v>67</v>
      </c>
      <c r="B137" s="102" t="s">
        <v>416</v>
      </c>
      <c r="C137" s="109" t="s">
        <v>417</v>
      </c>
      <c r="D137" s="61" t="s">
        <v>418</v>
      </c>
      <c r="E137" s="102" t="s">
        <v>419</v>
      </c>
      <c r="F137" s="109" t="s">
        <v>420</v>
      </c>
      <c r="G137" s="102" t="s">
        <v>346</v>
      </c>
      <c r="H137" s="102" t="s">
        <v>402</v>
      </c>
      <c r="I137" s="102" t="s">
        <v>217</v>
      </c>
      <c r="J137" s="110" t="s">
        <v>425</v>
      </c>
      <c r="K137" s="102" t="s">
        <v>84</v>
      </c>
      <c r="L137" s="102" t="s">
        <v>219</v>
      </c>
      <c r="M137" s="102" t="s">
        <v>422</v>
      </c>
      <c r="N137" s="102" t="s">
        <v>423</v>
      </c>
      <c r="O137" s="111" t="n">
        <v>44022</v>
      </c>
      <c r="P137" s="112" t="n">
        <f aca="false">IFERROR(VLOOKUP(J137,'Obs Tecnicas'!$D:$I,5,0),O137)</f>
        <v>44371</v>
      </c>
      <c r="Q137" s="111" t="str">
        <f aca="true">IF(P137&lt;&gt;"",IF(P137+365&gt;TODAY(),"Calibrado","Vencido"),"")</f>
        <v>Vencido</v>
      </c>
      <c r="R137" s="113" t="n">
        <f aca="false">IFERROR(VLOOKUP(J137,'Obs Tecnicas'!$D:$G,2,0),"")</f>
        <v>12710</v>
      </c>
      <c r="S137" s="102" t="str">
        <f aca="false">IFERROR(VLOOKUP(J137,'Obs Tecnicas'!$D:$G,3,0),"Hexis")</f>
        <v>ER ANALITICA</v>
      </c>
      <c r="T137" s="102" t="n">
        <f aca="false">IFERROR(VLOOKUP(J137,'Obs Tecnicas'!$D:$G,4,0),"")</f>
        <v>0</v>
      </c>
      <c r="U137" s="1" t="s">
        <v>28</v>
      </c>
      <c r="V137" s="114" t="n">
        <f aca="false">IF(P137&lt;&gt;"",MONTH(P137),"")</f>
        <v>6</v>
      </c>
      <c r="W137" s="114" t="n">
        <v>7</v>
      </c>
      <c r="Z137" s="126"/>
      <c r="AB137" s="126"/>
      <c r="AD137" s="126"/>
      <c r="AF137" s="126"/>
      <c r="AG137" s="126"/>
      <c r="AH137" s="126"/>
      <c r="AI137" s="126"/>
      <c r="AK137" s="126"/>
      <c r="AL137" s="126"/>
      <c r="AM137" s="126"/>
      <c r="AN137" s="126"/>
      <c r="AO137" s="126"/>
    </row>
    <row r="138" customFormat="false" ht="15" hidden="false" customHeight="true" outlineLevel="0" collapsed="false">
      <c r="A138" s="102" t="s">
        <v>67</v>
      </c>
      <c r="B138" s="102" t="s">
        <v>416</v>
      </c>
      <c r="C138" s="109" t="s">
        <v>417</v>
      </c>
      <c r="D138" s="61" t="s">
        <v>418</v>
      </c>
      <c r="E138" s="102" t="s">
        <v>419</v>
      </c>
      <c r="F138" s="109" t="s">
        <v>420</v>
      </c>
      <c r="G138" s="102" t="s">
        <v>346</v>
      </c>
      <c r="H138" s="102" t="s">
        <v>402</v>
      </c>
      <c r="I138" s="102" t="s">
        <v>217</v>
      </c>
      <c r="J138" s="110" t="s">
        <v>426</v>
      </c>
      <c r="K138" s="102" t="s">
        <v>265</v>
      </c>
      <c r="L138" s="102" t="s">
        <v>270</v>
      </c>
      <c r="M138" s="102" t="s">
        <v>422</v>
      </c>
      <c r="N138" s="102" t="s">
        <v>423</v>
      </c>
      <c r="O138" s="111" t="n">
        <v>44022</v>
      </c>
      <c r="P138" s="112" t="n">
        <f aca="false">IFERROR(VLOOKUP(J138,'Obs Tecnicas'!$D:$I,5,0),O138)</f>
        <v>44371</v>
      </c>
      <c r="Q138" s="111" t="str">
        <f aca="true">IF(P138&lt;&gt;"",IF(P138+365&gt;TODAY(),"Calibrado","Vencido"),"")</f>
        <v>Vencido</v>
      </c>
      <c r="R138" s="113" t="n">
        <f aca="false">IFERROR(VLOOKUP(J138,'Obs Tecnicas'!$D:$G,2,0),"")</f>
        <v>12678</v>
      </c>
      <c r="S138" s="102" t="str">
        <f aca="false">IFERROR(VLOOKUP(J138,'Obs Tecnicas'!$D:$G,3,0),"Hexis")</f>
        <v>ER ANALITICA</v>
      </c>
      <c r="T138" s="102" t="str">
        <f aca="false">IFERROR(VLOOKUP(J138,'Obs Tecnicas'!$D:$G,4,0),"")</f>
        <v>Eletrodo com Slope abaixo do recomendado pelo fabricante (85%).</v>
      </c>
      <c r="U138" s="1" t="s">
        <v>28</v>
      </c>
      <c r="V138" s="114" t="n">
        <f aca="false">IF(P138&lt;&gt;"",MONTH(P138),"")</f>
        <v>6</v>
      </c>
      <c r="W138" s="114" t="n">
        <v>7</v>
      </c>
      <c r="Z138" s="126"/>
      <c r="AB138" s="126"/>
      <c r="AD138" s="126"/>
      <c r="AF138" s="126"/>
      <c r="AG138" s="126"/>
      <c r="AH138" s="126"/>
      <c r="AI138" s="126"/>
      <c r="AK138" s="126"/>
      <c r="AL138" s="126"/>
      <c r="AM138" s="126"/>
      <c r="AN138" s="126"/>
      <c r="AO138" s="126"/>
    </row>
    <row r="139" customFormat="false" ht="15" hidden="false" customHeight="true" outlineLevel="0" collapsed="false">
      <c r="A139" s="102" t="s">
        <v>67</v>
      </c>
      <c r="B139" s="102" t="s">
        <v>271</v>
      </c>
      <c r="C139" s="109" t="s">
        <v>272</v>
      </c>
      <c r="D139" s="102" t="s">
        <v>273</v>
      </c>
      <c r="E139" s="102" t="s">
        <v>427</v>
      </c>
      <c r="F139" s="109" t="s">
        <v>428</v>
      </c>
      <c r="G139" s="102" t="s">
        <v>73</v>
      </c>
      <c r="H139" s="102" t="s">
        <v>429</v>
      </c>
      <c r="I139" s="102" t="s">
        <v>83</v>
      </c>
      <c r="J139" s="110" t="s">
        <v>430</v>
      </c>
      <c r="K139" s="102" t="s">
        <v>84</v>
      </c>
      <c r="L139" s="115" t="s">
        <v>85</v>
      </c>
      <c r="M139" s="102" t="s">
        <v>431</v>
      </c>
      <c r="N139" s="102" t="s">
        <v>432</v>
      </c>
      <c r="O139" s="111" t="n">
        <v>44279</v>
      </c>
      <c r="P139" s="112" t="n">
        <f aca="false">IFERROR(VLOOKUP(J139,'Obs Tecnicas'!$D:$I,5,0),O139)</f>
        <v>44643</v>
      </c>
      <c r="Q139" s="111" t="str">
        <f aca="true">IF(P139&lt;&gt;"",IF(P139+365&gt;TODAY(),"Calibrado","Vencido"),"")</f>
        <v>Calibrado</v>
      </c>
      <c r="R139" s="113" t="n">
        <f aca="false">IFERROR(VLOOKUP(J139,'Obs Tecnicas'!$D:$G,2,0),"")</f>
        <v>15876</v>
      </c>
      <c r="S139" s="102" t="str">
        <f aca="false">IFERROR(VLOOKUP(J139,'Obs Tecnicas'!$D:$G,3,0),"Hexis")</f>
        <v>ER ANALITICA</v>
      </c>
      <c r="T139" s="102" t="n">
        <f aca="false">IFERROR(VLOOKUP(J139,'Obs Tecnicas'!$D:$G,4,0),"")</f>
        <v>0</v>
      </c>
      <c r="V139" s="114" t="n">
        <f aca="false">IF(P139&lt;&gt;"",MONTH(P139),"")</f>
        <v>3</v>
      </c>
      <c r="W139" s="114" t="n">
        <v>5</v>
      </c>
    </row>
    <row r="140" customFormat="false" ht="15" hidden="false" customHeight="true" outlineLevel="0" collapsed="false">
      <c r="A140" s="102" t="s">
        <v>67</v>
      </c>
      <c r="B140" s="102" t="s">
        <v>271</v>
      </c>
      <c r="C140" s="109" t="s">
        <v>272</v>
      </c>
      <c r="D140" s="102" t="s">
        <v>273</v>
      </c>
      <c r="E140" s="102" t="s">
        <v>427</v>
      </c>
      <c r="F140" s="109" t="s">
        <v>428</v>
      </c>
      <c r="G140" s="102" t="s">
        <v>73</v>
      </c>
      <c r="H140" s="102" t="s">
        <v>429</v>
      </c>
      <c r="I140" s="102" t="s">
        <v>83</v>
      </c>
      <c r="J140" s="110" t="s">
        <v>433</v>
      </c>
      <c r="K140" s="102" t="s">
        <v>84</v>
      </c>
      <c r="L140" s="115" t="s">
        <v>85</v>
      </c>
      <c r="M140" s="102" t="s">
        <v>431</v>
      </c>
      <c r="N140" s="102" t="s">
        <v>432</v>
      </c>
      <c r="O140" s="111" t="n">
        <v>44279</v>
      </c>
      <c r="P140" s="112" t="n">
        <f aca="false">IFERROR(VLOOKUP(J140,'Obs Tecnicas'!$D:$I,5,0),O140)</f>
        <v>44643</v>
      </c>
      <c r="Q140" s="111" t="str">
        <f aca="true">IF(P140&lt;&gt;"",IF(P140+365&gt;TODAY(),"Calibrado","Vencido"),"")</f>
        <v>Calibrado</v>
      </c>
      <c r="R140" s="113" t="n">
        <f aca="false">IFERROR(VLOOKUP(J140,'Obs Tecnicas'!$D:$G,2,0),"")</f>
        <v>15871</v>
      </c>
      <c r="S140" s="102" t="str">
        <f aca="false">IFERROR(VLOOKUP(J140,'Obs Tecnicas'!$D:$G,3,0),"Hexis")</f>
        <v>ER ANALITICA</v>
      </c>
      <c r="T140" s="102" t="n">
        <f aca="false">IFERROR(VLOOKUP(J140,'Obs Tecnicas'!$D:$G,4,0),"")</f>
        <v>0</v>
      </c>
      <c r="V140" s="114" t="n">
        <f aca="false">IF(P140&lt;&gt;"",MONTH(P140),"")</f>
        <v>3</v>
      </c>
      <c r="W140" s="114" t="n">
        <v>5</v>
      </c>
    </row>
    <row r="141" customFormat="false" ht="15" hidden="false" customHeight="true" outlineLevel="0" collapsed="false">
      <c r="A141" s="102" t="s">
        <v>67</v>
      </c>
      <c r="B141" s="102" t="s">
        <v>271</v>
      </c>
      <c r="C141" s="109" t="s">
        <v>272</v>
      </c>
      <c r="D141" s="102" t="s">
        <v>273</v>
      </c>
      <c r="E141" s="102" t="s">
        <v>427</v>
      </c>
      <c r="F141" s="109" t="s">
        <v>428</v>
      </c>
      <c r="G141" s="102" t="s">
        <v>73</v>
      </c>
      <c r="H141" s="102" t="s">
        <v>429</v>
      </c>
      <c r="I141" s="102" t="s">
        <v>86</v>
      </c>
      <c r="J141" s="110" t="s">
        <v>434</v>
      </c>
      <c r="K141" s="117" t="s">
        <v>136</v>
      </c>
      <c r="L141" s="102" t="s">
        <v>137</v>
      </c>
      <c r="M141" s="102" t="s">
        <v>431</v>
      </c>
      <c r="N141" s="102" t="s">
        <v>432</v>
      </c>
      <c r="O141" s="111" t="n">
        <v>44279</v>
      </c>
      <c r="P141" s="112" t="n">
        <f aca="false">IFERROR(VLOOKUP(J141,'Obs Tecnicas'!$D:$I,5,0),O141)</f>
        <v>44643</v>
      </c>
      <c r="Q141" s="111" t="str">
        <f aca="true">IF(P141&lt;&gt;"",IF(P141+365&gt;TODAY(),"Calibrado","Vencido"),"")</f>
        <v>Calibrado</v>
      </c>
      <c r="R141" s="113" t="n">
        <f aca="false">IFERROR(VLOOKUP(J141,'Obs Tecnicas'!$D:$G,2,0),"")</f>
        <v>15873</v>
      </c>
      <c r="S141" s="102" t="str">
        <f aca="false">IFERROR(VLOOKUP(J141,'Obs Tecnicas'!$D:$G,3,0),"Hexis")</f>
        <v>ER ANALITICA</v>
      </c>
      <c r="T141" s="102" t="n">
        <f aca="false">IFERROR(VLOOKUP(J141,'Obs Tecnicas'!$D:$G,4,0),"")</f>
        <v>0</v>
      </c>
      <c r="V141" s="114" t="n">
        <f aca="false">IF(P141&lt;&gt;"",MONTH(P141),"")</f>
        <v>3</v>
      </c>
      <c r="W141" s="114" t="n">
        <v>6</v>
      </c>
    </row>
    <row r="142" customFormat="false" ht="15" hidden="false" customHeight="true" outlineLevel="0" collapsed="false">
      <c r="A142" s="102" t="s">
        <v>67</v>
      </c>
      <c r="B142" s="102" t="s">
        <v>271</v>
      </c>
      <c r="C142" s="109" t="s">
        <v>272</v>
      </c>
      <c r="D142" s="102" t="s">
        <v>273</v>
      </c>
      <c r="E142" s="102" t="s">
        <v>427</v>
      </c>
      <c r="F142" s="109" t="s">
        <v>428</v>
      </c>
      <c r="G142" s="102" t="s">
        <v>73</v>
      </c>
      <c r="H142" s="102" t="s">
        <v>429</v>
      </c>
      <c r="I142" s="102" t="s">
        <v>79</v>
      </c>
      <c r="J142" s="110" t="s">
        <v>435</v>
      </c>
      <c r="K142" s="102" t="s">
        <v>81</v>
      </c>
      <c r="L142" s="119" t="s">
        <v>185</v>
      </c>
      <c r="M142" s="102" t="s">
        <v>431</v>
      </c>
      <c r="N142" s="102" t="s">
        <v>432</v>
      </c>
      <c r="O142" s="111" t="n">
        <v>44284</v>
      </c>
      <c r="P142" s="112" t="n">
        <f aca="false">IFERROR(VLOOKUP(J142,'Obs Tecnicas'!$D:$I,5,0),O142)</f>
        <v>44643</v>
      </c>
      <c r="Q142" s="111" t="str">
        <f aca="true">IF(P142&lt;&gt;"",IF(P142+365&gt;TODAY(),"Calibrado","Vencido"),"")</f>
        <v>Calibrado</v>
      </c>
      <c r="R142" s="113" t="n">
        <f aca="false">IFERROR(VLOOKUP(J142,'Obs Tecnicas'!$D:$G,2,0),"")</f>
        <v>15875</v>
      </c>
      <c r="S142" s="102" t="str">
        <f aca="false">IFERROR(VLOOKUP(J142,'Obs Tecnicas'!$D:$G,3,0),"Hexis")</f>
        <v>ER ANALITICA</v>
      </c>
      <c r="T142" s="102" t="n">
        <f aca="false">IFERROR(VLOOKUP(J142,'Obs Tecnicas'!$D:$G,4,0),"")</f>
        <v>0</v>
      </c>
      <c r="V142" s="114" t="n">
        <f aca="false">IF(P142&lt;&gt;"",MONTH(P142),"")</f>
        <v>3</v>
      </c>
      <c r="W142" s="114" t="n">
        <v>6</v>
      </c>
    </row>
    <row r="143" customFormat="false" ht="15" hidden="false" customHeight="true" outlineLevel="0" collapsed="false">
      <c r="A143" s="102" t="s">
        <v>67</v>
      </c>
      <c r="B143" s="102" t="s">
        <v>271</v>
      </c>
      <c r="C143" s="109" t="s">
        <v>272</v>
      </c>
      <c r="D143" s="102" t="s">
        <v>273</v>
      </c>
      <c r="E143" s="102" t="s">
        <v>427</v>
      </c>
      <c r="F143" s="109" t="s">
        <v>428</v>
      </c>
      <c r="G143" s="102" t="s">
        <v>73</v>
      </c>
      <c r="H143" s="102" t="s">
        <v>429</v>
      </c>
      <c r="I143" s="102" t="s">
        <v>86</v>
      </c>
      <c r="J143" s="110" t="n">
        <v>200710001495</v>
      </c>
      <c r="K143" s="102" t="s">
        <v>81</v>
      </c>
      <c r="L143" s="102" t="s">
        <v>436</v>
      </c>
      <c r="M143" s="102" t="s">
        <v>431</v>
      </c>
      <c r="N143" s="102" t="s">
        <v>432</v>
      </c>
      <c r="O143" s="111" t="n">
        <v>44643</v>
      </c>
      <c r="P143" s="112" t="n">
        <f aca="false">IFERROR(VLOOKUP(J143,'Obs Tecnicas'!$D:$I,5,0),O143)</f>
        <v>44643</v>
      </c>
      <c r="Q143" s="111" t="str">
        <f aca="true">IF(P143&lt;&gt;"",IF(P143+365&gt;TODAY(),"Calibrado","Vencido"),"")</f>
        <v>Calibrado</v>
      </c>
      <c r="R143" s="113" t="n">
        <f aca="false">IFERROR(VLOOKUP(J143,'Obs Tecnicas'!$D:$G,2,0),"")</f>
        <v>15872</v>
      </c>
      <c r="S143" s="102" t="str">
        <f aca="false">IFERROR(VLOOKUP(J143,'Obs Tecnicas'!$D:$G,3,0),"Hexis")</f>
        <v>ER ANALITICA</v>
      </c>
      <c r="T143" s="102" t="str">
        <f aca="false">IFERROR(VLOOKUP(J143,'Obs Tecnicas'!$D:$G,4,0),"")</f>
        <v> Equipamento apresenta demasiada lentidão, indicando fim de vida útil.</v>
      </c>
      <c r="V143" s="114" t="n">
        <f aca="false">IF(P143&lt;&gt;"",MONTH(P143),"")</f>
        <v>3</v>
      </c>
      <c r="W143" s="114" t="n">
        <v>6</v>
      </c>
    </row>
    <row r="144" customFormat="false" ht="15" hidden="false" customHeight="true" outlineLevel="0" collapsed="false">
      <c r="A144" s="102" t="s">
        <v>67</v>
      </c>
      <c r="B144" s="102" t="s">
        <v>271</v>
      </c>
      <c r="C144" s="109" t="s">
        <v>272</v>
      </c>
      <c r="D144" s="102" t="s">
        <v>273</v>
      </c>
      <c r="E144" s="102" t="s">
        <v>427</v>
      </c>
      <c r="F144" s="109" t="s">
        <v>428</v>
      </c>
      <c r="G144" s="102" t="s">
        <v>73</v>
      </c>
      <c r="H144" s="102" t="s">
        <v>429</v>
      </c>
      <c r="I144" s="102" t="s">
        <v>360</v>
      </c>
      <c r="J144" s="110" t="n">
        <v>132850002046</v>
      </c>
      <c r="K144" s="102" t="s">
        <v>81</v>
      </c>
      <c r="L144" s="119" t="s">
        <v>185</v>
      </c>
      <c r="M144" s="102" t="s">
        <v>431</v>
      </c>
      <c r="N144" s="61" t="s">
        <v>432</v>
      </c>
      <c r="O144" s="111" t="n">
        <v>44643</v>
      </c>
      <c r="P144" s="112" t="n">
        <f aca="false">IFERROR(VLOOKUP(J144,'Obs Tecnicas'!$D:$I,5,0),O144)</f>
        <v>44643</v>
      </c>
      <c r="Q144" s="111" t="str">
        <f aca="true">IF(P144&lt;&gt;"",IF(P144+365&gt;TODAY(),"Calibrado","Vencido"),"")</f>
        <v>Calibrado</v>
      </c>
      <c r="R144" s="113" t="n">
        <f aca="false">IFERROR(VLOOKUP(J144,'Obs Tecnicas'!$D:$G,2,0),"")</f>
        <v>15874</v>
      </c>
      <c r="S144" s="102" t="str">
        <f aca="false">IFERROR(VLOOKUP(J144,'Obs Tecnicas'!$D:$G,3,0),"Hexis")</f>
        <v>ER ANALITICA</v>
      </c>
      <c r="T144" s="102" t="n">
        <f aca="false">IFERROR(VLOOKUP(J144,'Obs Tecnicas'!$D:$G,4,0),"")</f>
        <v>0</v>
      </c>
      <c r="V144" s="114" t="n">
        <f aca="false">IF(P144&lt;&gt;"",MONTH(P144),"")</f>
        <v>3</v>
      </c>
      <c r="W144" s="114" t="n">
        <v>6</v>
      </c>
      <c r="Z144" s="128"/>
      <c r="AB144" s="128"/>
      <c r="AD144" s="128"/>
      <c r="AF144" s="128"/>
      <c r="AG144" s="128"/>
      <c r="AH144" s="128"/>
      <c r="AI144" s="128"/>
      <c r="AK144" s="128"/>
      <c r="AL144" s="128"/>
      <c r="AM144" s="128"/>
      <c r="AN144" s="128"/>
      <c r="AO144" s="128"/>
    </row>
    <row r="145" customFormat="false" ht="15" hidden="false" customHeight="true" outlineLevel="0" collapsed="false">
      <c r="A145" s="102" t="s">
        <v>67</v>
      </c>
      <c r="B145" s="102" t="s">
        <v>437</v>
      </c>
      <c r="C145" s="109" t="s">
        <v>438</v>
      </c>
      <c r="D145" s="102" t="s">
        <v>439</v>
      </c>
      <c r="E145" s="102" t="s">
        <v>437</v>
      </c>
      <c r="F145" s="109" t="s">
        <v>438</v>
      </c>
      <c r="G145" s="102" t="s">
        <v>440</v>
      </c>
      <c r="H145" s="102" t="s">
        <v>429</v>
      </c>
      <c r="I145" s="102" t="s">
        <v>115</v>
      </c>
      <c r="J145" s="110" t="s">
        <v>441</v>
      </c>
      <c r="K145" s="102" t="s">
        <v>442</v>
      </c>
      <c r="L145" s="102" t="s">
        <v>443</v>
      </c>
      <c r="M145" s="102" t="s">
        <v>431</v>
      </c>
      <c r="N145" s="102" t="s">
        <v>444</v>
      </c>
      <c r="O145" s="111"/>
      <c r="P145" s="112" t="n">
        <f aca="false">IFERROR(VLOOKUP(J145,'Obs Tecnicas'!$D:$I,5,0),O145)</f>
        <v>44721</v>
      </c>
      <c r="Q145" s="111" t="str">
        <f aca="true">IF(P145&lt;&gt;"",IF(P145+365&gt;TODAY(),"Calibrado","Vencido"),"")</f>
        <v>Calibrado</v>
      </c>
      <c r="R145" s="113" t="n">
        <f aca="false">IFERROR(VLOOKUP(J145,'Obs Tecnicas'!$D:$G,2,0),"")</f>
        <v>16777</v>
      </c>
      <c r="S145" s="102" t="str">
        <f aca="false">IFERROR(VLOOKUP(J145,'Obs Tecnicas'!$D:$G,3,0),"Hexis")</f>
        <v>ER ANALITICA</v>
      </c>
      <c r="T145" s="102" t="n">
        <f aca="false">IFERROR(VLOOKUP(J145,'Obs Tecnicas'!$D:$G,4,0),"")</f>
        <v>0</v>
      </c>
      <c r="U145" s="1" t="s">
        <v>344</v>
      </c>
      <c r="V145" s="114" t="n">
        <f aca="false">IF(P145&lt;&gt;"",MONTH(P145),"")</f>
        <v>6</v>
      </c>
      <c r="W145" s="114" t="n">
        <v>8</v>
      </c>
      <c r="Z145" s="128"/>
      <c r="AB145" s="128"/>
      <c r="AD145" s="128"/>
      <c r="AF145" s="128"/>
      <c r="AG145" s="128"/>
      <c r="AH145" s="128"/>
      <c r="AI145" s="128"/>
      <c r="AK145" s="128"/>
      <c r="AL145" s="128"/>
      <c r="AM145" s="128"/>
      <c r="AN145" s="128"/>
      <c r="AO145" s="128"/>
    </row>
    <row r="146" customFormat="false" ht="15" hidden="false" customHeight="true" outlineLevel="0" collapsed="false">
      <c r="A146" s="102" t="s">
        <v>67</v>
      </c>
      <c r="B146" s="102" t="s">
        <v>437</v>
      </c>
      <c r="C146" s="109" t="s">
        <v>438</v>
      </c>
      <c r="D146" s="102" t="s">
        <v>439</v>
      </c>
      <c r="E146" s="102" t="s">
        <v>437</v>
      </c>
      <c r="F146" s="109" t="s">
        <v>438</v>
      </c>
      <c r="G146" s="102" t="s">
        <v>440</v>
      </c>
      <c r="H146" s="102" t="s">
        <v>429</v>
      </c>
      <c r="I146" s="102" t="s">
        <v>115</v>
      </c>
      <c r="J146" s="110" t="n">
        <v>28708450</v>
      </c>
      <c r="K146" s="102" t="s">
        <v>445</v>
      </c>
      <c r="L146" s="102" t="s">
        <v>446</v>
      </c>
      <c r="M146" s="102" t="s">
        <v>431</v>
      </c>
      <c r="N146" s="102" t="s">
        <v>444</v>
      </c>
      <c r="O146" s="111"/>
      <c r="P146" s="112" t="n">
        <f aca="false">IFERROR(VLOOKUP(J146,'Obs Tecnicas'!$D:$I,5,0),O146)</f>
        <v>44721</v>
      </c>
      <c r="Q146" s="111" t="str">
        <f aca="true">IF(P146&lt;&gt;"",IF(P146+365&gt;TODAY(),"Calibrado","Vencido"),"")</f>
        <v>Calibrado</v>
      </c>
      <c r="R146" s="113" t="n">
        <f aca="false">IFERROR(VLOOKUP(J146,'Obs Tecnicas'!$D:$G,2,0),"")</f>
        <v>16730</v>
      </c>
      <c r="S146" s="102" t="str">
        <f aca="false">IFERROR(VLOOKUP(J146,'Obs Tecnicas'!$D:$G,3,0),"Hexis")</f>
        <v>ER ANALITICA</v>
      </c>
      <c r="T146" s="102" t="n">
        <f aca="false">IFERROR(VLOOKUP(J146,'Obs Tecnicas'!$D:$G,4,0),"")</f>
        <v>0</v>
      </c>
      <c r="U146" s="1" t="s">
        <v>344</v>
      </c>
      <c r="V146" s="114" t="n">
        <f aca="false">IF(P146&lt;&gt;"",MONTH(P146),"")</f>
        <v>6</v>
      </c>
      <c r="W146" s="114" t="n">
        <v>8</v>
      </c>
      <c r="Z146" s="116"/>
      <c r="AB146" s="116"/>
      <c r="AD146" s="116"/>
      <c r="AF146" s="116"/>
      <c r="AG146" s="116"/>
      <c r="AH146" s="116"/>
      <c r="AI146" s="116"/>
      <c r="AK146" s="116"/>
      <c r="AL146" s="116"/>
      <c r="AM146" s="116"/>
      <c r="AN146" s="116"/>
      <c r="AO146" s="116"/>
    </row>
    <row r="147" customFormat="false" ht="15" hidden="false" customHeight="true" outlineLevel="0" collapsed="false">
      <c r="A147" s="102" t="s">
        <v>67</v>
      </c>
      <c r="B147" s="102" t="s">
        <v>437</v>
      </c>
      <c r="C147" s="109" t="s">
        <v>438</v>
      </c>
      <c r="D147" s="102" t="s">
        <v>439</v>
      </c>
      <c r="E147" s="102" t="s">
        <v>437</v>
      </c>
      <c r="F147" s="109" t="s">
        <v>438</v>
      </c>
      <c r="G147" s="102" t="s">
        <v>440</v>
      </c>
      <c r="H147" s="102" t="s">
        <v>429</v>
      </c>
      <c r="I147" s="102" t="s">
        <v>86</v>
      </c>
      <c r="J147" s="110" t="n">
        <v>1827001035259</v>
      </c>
      <c r="K147" s="102" t="s">
        <v>447</v>
      </c>
      <c r="L147" s="102" t="s">
        <v>448</v>
      </c>
      <c r="M147" s="102" t="s">
        <v>431</v>
      </c>
      <c r="N147" s="102" t="s">
        <v>444</v>
      </c>
      <c r="O147" s="111" t="n">
        <v>43978</v>
      </c>
      <c r="P147" s="112" t="n">
        <f aca="false">IFERROR(VLOOKUP(J147,'Obs Tecnicas'!$D:$I,5,0),O147)</f>
        <v>44721</v>
      </c>
      <c r="Q147" s="111" t="str">
        <f aca="true">IF(P147&lt;&gt;"",IF(P147+365&gt;TODAY(),"Calibrado","Vencido"),"")</f>
        <v>Calibrado</v>
      </c>
      <c r="R147" s="113" t="n">
        <f aca="false">IFERROR(VLOOKUP(J147,'Obs Tecnicas'!$D:$G,2,0),"")</f>
        <v>16779</v>
      </c>
      <c r="S147" s="102" t="str">
        <f aca="false">IFERROR(VLOOKUP(J147,'Obs Tecnicas'!$D:$G,3,0),"Hexis")</f>
        <v>ER ANALITICA</v>
      </c>
      <c r="T147" s="102" t="n">
        <f aca="false">IFERROR(VLOOKUP(J147,'Obs Tecnicas'!$D:$G,4,0),"")</f>
        <v>0</v>
      </c>
      <c r="U147" s="1" t="s">
        <v>344</v>
      </c>
      <c r="V147" s="114" t="n">
        <f aca="false">IF(P147&lt;&gt;"",MONTH(P147),"")</f>
        <v>6</v>
      </c>
      <c r="W147" s="114" t="n">
        <v>8</v>
      </c>
    </row>
    <row r="148" customFormat="false" ht="15" hidden="false" customHeight="true" outlineLevel="0" collapsed="false">
      <c r="A148" s="102" t="s">
        <v>67</v>
      </c>
      <c r="B148" s="102" t="s">
        <v>437</v>
      </c>
      <c r="C148" s="109" t="s">
        <v>438</v>
      </c>
      <c r="D148" s="102" t="s">
        <v>439</v>
      </c>
      <c r="E148" s="102" t="s">
        <v>437</v>
      </c>
      <c r="F148" s="109" t="s">
        <v>438</v>
      </c>
      <c r="G148" s="102" t="s">
        <v>440</v>
      </c>
      <c r="H148" s="102" t="s">
        <v>429</v>
      </c>
      <c r="I148" s="102" t="s">
        <v>89</v>
      </c>
      <c r="J148" s="110" t="s">
        <v>449</v>
      </c>
      <c r="K148" s="102" t="s">
        <v>81</v>
      </c>
      <c r="L148" s="102" t="s">
        <v>91</v>
      </c>
      <c r="M148" s="102" t="s">
        <v>431</v>
      </c>
      <c r="N148" s="102" t="s">
        <v>444</v>
      </c>
      <c r="O148" s="111" t="n">
        <v>43979</v>
      </c>
      <c r="P148" s="112" t="n">
        <f aca="false">IFERROR(VLOOKUP(J148,'Obs Tecnicas'!$D:$I,5,0),O148)</f>
        <v>44721</v>
      </c>
      <c r="Q148" s="111" t="str">
        <f aca="true">IF(P148&lt;&gt;"",IF(P148+365&gt;TODAY(),"Calibrado","Vencido"),"")</f>
        <v>Calibrado</v>
      </c>
      <c r="R148" s="113" t="n">
        <f aca="false">IFERROR(VLOOKUP(J148,'Obs Tecnicas'!$D:$G,2,0),"")</f>
        <v>16780</v>
      </c>
      <c r="S148" s="102" t="str">
        <f aca="false">IFERROR(VLOOKUP(J148,'Obs Tecnicas'!$D:$G,3,0),"Hexis")</f>
        <v>ER ANALITICA</v>
      </c>
      <c r="T148" s="102" t="str">
        <f aca="false">IFERROR(VLOOKUP(J148,'Obs Tecnicas'!$D:$G,4,0),"")</f>
        <v>Carcaça superior com avarias. </v>
      </c>
      <c r="U148" s="1" t="s">
        <v>344</v>
      </c>
      <c r="V148" s="114" t="n">
        <f aca="false">IF(P148&lt;&gt;"",MONTH(P148),"")</f>
        <v>6</v>
      </c>
      <c r="W148" s="114" t="n">
        <v>8</v>
      </c>
    </row>
    <row r="149" customFormat="false" ht="15" hidden="false" customHeight="true" outlineLevel="0" collapsed="false">
      <c r="A149" s="102" t="s">
        <v>67</v>
      </c>
      <c r="B149" s="102" t="s">
        <v>437</v>
      </c>
      <c r="C149" s="109" t="s">
        <v>438</v>
      </c>
      <c r="D149" s="102" t="s">
        <v>439</v>
      </c>
      <c r="E149" s="102" t="s">
        <v>437</v>
      </c>
      <c r="F149" s="109" t="s">
        <v>438</v>
      </c>
      <c r="G149" s="102" t="s">
        <v>440</v>
      </c>
      <c r="H149" s="102" t="s">
        <v>429</v>
      </c>
      <c r="I149" s="102" t="s">
        <v>101</v>
      </c>
      <c r="J149" s="110" t="n">
        <v>1217253</v>
      </c>
      <c r="K149" s="102" t="s">
        <v>81</v>
      </c>
      <c r="L149" s="102" t="s">
        <v>103</v>
      </c>
      <c r="M149" s="102" t="s">
        <v>431</v>
      </c>
      <c r="N149" s="102" t="s">
        <v>444</v>
      </c>
      <c r="O149" s="111" t="n">
        <v>43980</v>
      </c>
      <c r="P149" s="112" t="n">
        <f aca="false">IFERROR(VLOOKUP(J149,'Obs Tecnicas'!$D:$I,5,0),O149)</f>
        <v>44721</v>
      </c>
      <c r="Q149" s="111" t="str">
        <f aca="true">IF(P149&lt;&gt;"",IF(P149+365&gt;TODAY(),"Calibrado","Vencido"),"")</f>
        <v>Calibrado</v>
      </c>
      <c r="R149" s="113" t="n">
        <f aca="false">IFERROR(VLOOKUP(J149,'Obs Tecnicas'!$D:$G,2,0),"")</f>
        <v>16781</v>
      </c>
      <c r="S149" s="102" t="str">
        <f aca="false">IFERROR(VLOOKUP(J149,'Obs Tecnicas'!$D:$G,3,0),"Hexis")</f>
        <v>ER ANALITICA</v>
      </c>
      <c r="T149" s="102" t="n">
        <f aca="false">IFERROR(VLOOKUP(J149,'Obs Tecnicas'!$D:$G,4,0),"")</f>
        <v>0</v>
      </c>
      <c r="U149" s="1" t="s">
        <v>344</v>
      </c>
      <c r="V149" s="114" t="n">
        <f aca="false">IF(P149&lt;&gt;"",MONTH(P149),"")</f>
        <v>6</v>
      </c>
      <c r="W149" s="114" t="n">
        <v>7</v>
      </c>
    </row>
    <row r="150" customFormat="false" ht="15" hidden="false" customHeight="true" outlineLevel="0" collapsed="false">
      <c r="A150" s="102" t="s">
        <v>67</v>
      </c>
      <c r="B150" s="102" t="s">
        <v>437</v>
      </c>
      <c r="C150" s="109" t="s">
        <v>438</v>
      </c>
      <c r="D150" s="102" t="s">
        <v>439</v>
      </c>
      <c r="E150" s="102" t="s">
        <v>437</v>
      </c>
      <c r="F150" s="109" t="s">
        <v>438</v>
      </c>
      <c r="G150" s="102" t="s">
        <v>440</v>
      </c>
      <c r="H150" s="102" t="s">
        <v>429</v>
      </c>
      <c r="I150" s="61" t="s">
        <v>450</v>
      </c>
      <c r="J150" s="110" t="s">
        <v>451</v>
      </c>
      <c r="K150" s="102" t="s">
        <v>452</v>
      </c>
      <c r="L150" s="118" t="s">
        <v>453</v>
      </c>
      <c r="M150" s="102" t="s">
        <v>431</v>
      </c>
      <c r="N150" s="102" t="s">
        <v>444</v>
      </c>
      <c r="O150" s="111" t="n">
        <v>44461</v>
      </c>
      <c r="P150" s="112" t="n">
        <f aca="false">IFERROR(VLOOKUP(J150,'Obs Tecnicas'!$D:$I,5,0),O150)</f>
        <v>44721</v>
      </c>
      <c r="Q150" s="111" t="str">
        <f aca="true">IF(P150&lt;&gt;"",IF(P150+365&gt;TODAY(),"Calibrado","Vencido"),"")</f>
        <v>Calibrado</v>
      </c>
      <c r="R150" s="113" t="n">
        <f aca="false">IFERROR(VLOOKUP(J150,'Obs Tecnicas'!$D:$G,2,0),"")</f>
        <v>16778</v>
      </c>
      <c r="S150" s="102" t="str">
        <f aca="false">IFERROR(VLOOKUP(J150,'Obs Tecnicas'!$D:$G,3,0),"Hexis")</f>
        <v>ER ANALITICA</v>
      </c>
      <c r="T150" s="102" t="n">
        <f aca="false">IFERROR(VLOOKUP(J150,'Obs Tecnicas'!$D:$G,4,0),"")</f>
        <v>0</v>
      </c>
      <c r="U150" s="1" t="s">
        <v>344</v>
      </c>
      <c r="V150" s="114" t="n">
        <f aca="false">IF(P150&lt;&gt;"",MONTH(P150),"")</f>
        <v>6</v>
      </c>
      <c r="W150" s="114" t="n">
        <v>7</v>
      </c>
      <c r="Z150" s="116"/>
      <c r="AB150" s="116"/>
      <c r="AD150" s="116"/>
      <c r="AF150" s="116"/>
      <c r="AG150" s="116"/>
      <c r="AH150" s="116"/>
      <c r="AI150" s="116"/>
      <c r="AK150" s="116"/>
      <c r="AL150" s="116"/>
      <c r="AM150" s="116"/>
      <c r="AN150" s="116"/>
      <c r="AO150" s="116"/>
    </row>
    <row r="151" customFormat="false" ht="15" hidden="false" customHeight="true" outlineLevel="0" collapsed="false">
      <c r="A151" s="102" t="s">
        <v>67</v>
      </c>
      <c r="B151" s="113" t="s">
        <v>454</v>
      </c>
      <c r="C151" s="109" t="s">
        <v>455</v>
      </c>
      <c r="D151" s="102" t="s">
        <v>456</v>
      </c>
      <c r="E151" s="102" t="s">
        <v>427</v>
      </c>
      <c r="F151" s="109" t="s">
        <v>428</v>
      </c>
      <c r="G151" s="102" t="s">
        <v>73</v>
      </c>
      <c r="H151" s="102" t="s">
        <v>429</v>
      </c>
      <c r="I151" s="102" t="s">
        <v>83</v>
      </c>
      <c r="J151" s="110" t="s">
        <v>457</v>
      </c>
      <c r="K151" s="102" t="s">
        <v>133</v>
      </c>
      <c r="L151" s="102" t="s">
        <v>134</v>
      </c>
      <c r="M151" s="102" t="s">
        <v>458</v>
      </c>
      <c r="N151" s="102" t="s">
        <v>182</v>
      </c>
      <c r="O151" s="111" t="n">
        <v>44229</v>
      </c>
      <c r="P151" s="112" t="n">
        <f aca="false">IFERROR(VLOOKUP(J151,'Obs Tecnicas'!$D:$I,5,0),O151)</f>
        <v>44642</v>
      </c>
      <c r="Q151" s="111" t="str">
        <f aca="true">IF(P151&lt;&gt;"",IF(P151+365&gt;TODAY(),"Calibrado","Vencido"),"")</f>
        <v>Calibrado</v>
      </c>
      <c r="R151" s="113" t="n">
        <f aca="false">IFERROR(VLOOKUP(J151,'Obs Tecnicas'!$D:$G,2,0),"")</f>
        <v>15856</v>
      </c>
      <c r="S151" s="102" t="str">
        <f aca="false">IFERROR(VLOOKUP(J151,'Obs Tecnicas'!$D:$G,3,0),"Hexis")</f>
        <v>ER ANALITICA</v>
      </c>
      <c r="T151" s="102" t="n">
        <f aca="false">IFERROR(VLOOKUP(J151,'Obs Tecnicas'!$D:$G,4,0),"")</f>
        <v>0</v>
      </c>
      <c r="V151" s="114" t="n">
        <f aca="false">IF(P151&lt;&gt;"",MONTH(P151),"")</f>
        <v>3</v>
      </c>
      <c r="W151" s="114" t="n">
        <v>5</v>
      </c>
    </row>
    <row r="152" customFormat="false" ht="15" hidden="false" customHeight="true" outlineLevel="0" collapsed="false">
      <c r="A152" s="102" t="s">
        <v>67</v>
      </c>
      <c r="B152" s="113" t="s">
        <v>454</v>
      </c>
      <c r="C152" s="109" t="s">
        <v>455</v>
      </c>
      <c r="D152" s="102" t="s">
        <v>456</v>
      </c>
      <c r="E152" s="102" t="s">
        <v>427</v>
      </c>
      <c r="F152" s="109" t="s">
        <v>428</v>
      </c>
      <c r="G152" s="102" t="s">
        <v>73</v>
      </c>
      <c r="H152" s="102" t="s">
        <v>429</v>
      </c>
      <c r="I152" s="102" t="s">
        <v>101</v>
      </c>
      <c r="J152" s="110" t="s">
        <v>459</v>
      </c>
      <c r="K152" s="102" t="s">
        <v>81</v>
      </c>
      <c r="L152" s="119" t="s">
        <v>185</v>
      </c>
      <c r="M152" s="102" t="s">
        <v>458</v>
      </c>
      <c r="N152" s="102" t="s">
        <v>182</v>
      </c>
      <c r="O152" s="111" t="n">
        <v>44229</v>
      </c>
      <c r="P152" s="112" t="n">
        <f aca="false">IFERROR(VLOOKUP(J152,'Obs Tecnicas'!$D:$I,5,0),O152)</f>
        <v>44642</v>
      </c>
      <c r="Q152" s="111" t="str">
        <f aca="true">IF(P152&lt;&gt;"",IF(P152+365&gt;TODAY(),"Calibrado","Vencido"),"")</f>
        <v>Calibrado</v>
      </c>
      <c r="R152" s="113" t="n">
        <f aca="false">IFERROR(VLOOKUP(J152,'Obs Tecnicas'!$D:$G,2,0),"")</f>
        <v>15863</v>
      </c>
      <c r="S152" s="102" t="str">
        <f aca="false">IFERROR(VLOOKUP(J152,'Obs Tecnicas'!$D:$G,3,0),"Hexis")</f>
        <v>ER ANALITICA</v>
      </c>
      <c r="T152" s="102" t="n">
        <f aca="false">IFERROR(VLOOKUP(J152,'Obs Tecnicas'!$D:$G,4,0),"")</f>
        <v>0</v>
      </c>
      <c r="V152" s="114" t="n">
        <f aca="false">IF(P152&lt;&gt;"",MONTH(P152),"")</f>
        <v>3</v>
      </c>
      <c r="W152" s="114" t="n">
        <v>5</v>
      </c>
    </row>
    <row r="153" customFormat="false" ht="15" hidden="false" customHeight="true" outlineLevel="0" collapsed="false">
      <c r="A153" s="102" t="s">
        <v>67</v>
      </c>
      <c r="B153" s="113" t="s">
        <v>454</v>
      </c>
      <c r="C153" s="109" t="s">
        <v>455</v>
      </c>
      <c r="D153" s="102" t="s">
        <v>456</v>
      </c>
      <c r="E153" s="102" t="s">
        <v>427</v>
      </c>
      <c r="F153" s="109" t="s">
        <v>428</v>
      </c>
      <c r="G153" s="102" t="s">
        <v>73</v>
      </c>
      <c r="H153" s="102" t="s">
        <v>429</v>
      </c>
      <c r="I153" s="102" t="s">
        <v>86</v>
      </c>
      <c r="J153" s="110" t="s">
        <v>460</v>
      </c>
      <c r="K153" s="102" t="s">
        <v>81</v>
      </c>
      <c r="L153" s="102" t="s">
        <v>274</v>
      </c>
      <c r="M153" s="102" t="s">
        <v>458</v>
      </c>
      <c r="N153" s="102" t="s">
        <v>182</v>
      </c>
      <c r="O153" s="111" t="n">
        <v>44229</v>
      </c>
      <c r="P153" s="112" t="n">
        <f aca="false">IFERROR(VLOOKUP(J153,'Obs Tecnicas'!$D:$I,5,0),O153)</f>
        <v>44642</v>
      </c>
      <c r="Q153" s="111" t="str">
        <f aca="true">IF(P153&lt;&gt;"",IF(P153+365&gt;TODAY(),"Calibrado","Vencido"),"")</f>
        <v>Calibrado</v>
      </c>
      <c r="R153" s="113" t="n">
        <f aca="false">IFERROR(VLOOKUP(J153,'Obs Tecnicas'!$D:$G,2,0),"")</f>
        <v>15865</v>
      </c>
      <c r="S153" s="102" t="str">
        <f aca="false">IFERROR(VLOOKUP(J153,'Obs Tecnicas'!$D:$G,3,0),"Hexis")</f>
        <v>ER ANALITICA</v>
      </c>
      <c r="T153" s="102" t="str">
        <f aca="false">IFERROR(VLOOKUP(J153,'Obs Tecnicas'!$D:$G,4,0),"")</f>
        <v>Eletrodo apresenta lentidão e vida útil avançada</v>
      </c>
      <c r="V153" s="114" t="n">
        <f aca="false">IF(P153&lt;&gt;"",MONTH(P153),"")</f>
        <v>3</v>
      </c>
      <c r="W153" s="114" t="n">
        <v>5</v>
      </c>
    </row>
    <row r="154" customFormat="false" ht="15" hidden="false" customHeight="true" outlineLevel="0" collapsed="false">
      <c r="A154" s="102" t="s">
        <v>67</v>
      </c>
      <c r="B154" s="113" t="s">
        <v>454</v>
      </c>
      <c r="C154" s="109" t="s">
        <v>455</v>
      </c>
      <c r="D154" s="102" t="s">
        <v>456</v>
      </c>
      <c r="E154" s="102" t="s">
        <v>427</v>
      </c>
      <c r="F154" s="109" t="s">
        <v>428</v>
      </c>
      <c r="G154" s="102" t="s">
        <v>73</v>
      </c>
      <c r="H154" s="102" t="s">
        <v>429</v>
      </c>
      <c r="I154" s="102" t="s">
        <v>89</v>
      </c>
      <c r="J154" s="110" t="s">
        <v>461</v>
      </c>
      <c r="K154" s="102" t="s">
        <v>81</v>
      </c>
      <c r="L154" s="102" t="s">
        <v>91</v>
      </c>
      <c r="M154" s="102" t="s">
        <v>458</v>
      </c>
      <c r="N154" s="102" t="s">
        <v>182</v>
      </c>
      <c r="O154" s="111" t="n">
        <v>44229</v>
      </c>
      <c r="P154" s="112" t="n">
        <f aca="false">IFERROR(VLOOKUP(J154,'Obs Tecnicas'!$D:$I,5,0),O154)</f>
        <v>44642</v>
      </c>
      <c r="Q154" s="111" t="str">
        <f aca="true">IF(P154&lt;&gt;"",IF(P154+365&gt;TODAY(),"Calibrado","Vencido"),"")</f>
        <v>Calibrado</v>
      </c>
      <c r="R154" s="113" t="n">
        <f aca="false">IFERROR(VLOOKUP(J154,'Obs Tecnicas'!$D:$G,2,0),"")</f>
        <v>15860</v>
      </c>
      <c r="S154" s="102" t="str">
        <f aca="false">IFERROR(VLOOKUP(J154,'Obs Tecnicas'!$D:$G,3,0),"Hexis")</f>
        <v>ER ANALITICA</v>
      </c>
      <c r="T154" s="102" t="str">
        <f aca="false">IFERROR(VLOOKUP(J154,'Obs Tecnicas'!$D:$G,4,0),"")</f>
        <v>Contatos de pilhas oxidados e carcaça superior com vida útil avançada</v>
      </c>
      <c r="V154" s="114" t="n">
        <f aca="false">IF(P154&lt;&gt;"",MONTH(P154),"")</f>
        <v>3</v>
      </c>
      <c r="W154" s="114" t="n">
        <v>5</v>
      </c>
    </row>
    <row r="155" customFormat="false" ht="15" hidden="false" customHeight="true" outlineLevel="0" collapsed="false">
      <c r="A155" s="102" t="s">
        <v>67</v>
      </c>
      <c r="B155" s="113" t="s">
        <v>454</v>
      </c>
      <c r="C155" s="109" t="s">
        <v>455</v>
      </c>
      <c r="D155" s="102" t="s">
        <v>456</v>
      </c>
      <c r="E155" s="102" t="s">
        <v>427</v>
      </c>
      <c r="F155" s="109" t="s">
        <v>428</v>
      </c>
      <c r="G155" s="102" t="s">
        <v>73</v>
      </c>
      <c r="H155" s="102" t="s">
        <v>429</v>
      </c>
      <c r="I155" s="102" t="s">
        <v>83</v>
      </c>
      <c r="J155" s="110" t="s">
        <v>462</v>
      </c>
      <c r="K155" s="102" t="s">
        <v>84</v>
      </c>
      <c r="L155" s="115" t="s">
        <v>85</v>
      </c>
      <c r="M155" s="102" t="s">
        <v>458</v>
      </c>
      <c r="N155" s="102" t="s">
        <v>182</v>
      </c>
      <c r="O155" s="111" t="n">
        <v>44229</v>
      </c>
      <c r="P155" s="112" t="n">
        <f aca="false">IFERROR(VLOOKUP(J155,'Obs Tecnicas'!$D:$I,5,0),O155)</f>
        <v>44642</v>
      </c>
      <c r="Q155" s="111" t="str">
        <f aca="true">IF(P155&lt;&gt;"",IF(P155+365&gt;TODAY(),"Calibrado","Vencido"),"")</f>
        <v>Calibrado</v>
      </c>
      <c r="R155" s="113" t="n">
        <f aca="false">IFERROR(VLOOKUP(J155,'Obs Tecnicas'!$D:$G,2,0),"")</f>
        <v>15857</v>
      </c>
      <c r="S155" s="102" t="str">
        <f aca="false">IFERROR(VLOOKUP(J155,'Obs Tecnicas'!$D:$G,3,0),"Hexis")</f>
        <v>ER ANALITICA</v>
      </c>
      <c r="T155" s="102" t="n">
        <f aca="false">IFERROR(VLOOKUP(J155,'Obs Tecnicas'!$D:$G,4,0),"")</f>
        <v>0</v>
      </c>
      <c r="V155" s="114" t="n">
        <f aca="false">IF(P155&lt;&gt;"",MONTH(P155),"")</f>
        <v>3</v>
      </c>
      <c r="W155" s="114" t="n">
        <v>5</v>
      </c>
      <c r="Z155" s="116"/>
      <c r="AB155" s="116"/>
      <c r="AD155" s="116"/>
      <c r="AF155" s="116"/>
      <c r="AG155" s="116"/>
      <c r="AH155" s="116"/>
      <c r="AI155" s="116"/>
      <c r="AK155" s="116"/>
      <c r="AL155" s="116"/>
      <c r="AM155" s="116"/>
      <c r="AN155" s="116"/>
      <c r="AO155" s="116"/>
    </row>
    <row r="156" customFormat="false" ht="15" hidden="false" customHeight="true" outlineLevel="0" collapsed="false">
      <c r="A156" s="102" t="s">
        <v>67</v>
      </c>
      <c r="B156" s="113" t="s">
        <v>454</v>
      </c>
      <c r="C156" s="109" t="s">
        <v>455</v>
      </c>
      <c r="D156" s="102" t="s">
        <v>456</v>
      </c>
      <c r="E156" s="102" t="s">
        <v>427</v>
      </c>
      <c r="F156" s="109" t="s">
        <v>428</v>
      </c>
      <c r="G156" s="102" t="s">
        <v>73</v>
      </c>
      <c r="H156" s="102" t="s">
        <v>429</v>
      </c>
      <c r="I156" s="102" t="s">
        <v>101</v>
      </c>
      <c r="J156" s="110" t="s">
        <v>463</v>
      </c>
      <c r="K156" s="102" t="s">
        <v>81</v>
      </c>
      <c r="L156" s="118" t="s">
        <v>148</v>
      </c>
      <c r="M156" s="102" t="s">
        <v>458</v>
      </c>
      <c r="N156" s="102" t="s">
        <v>182</v>
      </c>
      <c r="O156" s="111" t="n">
        <v>44229</v>
      </c>
      <c r="P156" s="112" t="n">
        <f aca="false">IFERROR(VLOOKUP(J156,'Obs Tecnicas'!$D:$I,5,0),O156)</f>
        <v>44642</v>
      </c>
      <c r="Q156" s="111" t="str">
        <f aca="true">IF(P156&lt;&gt;"",IF(P156+365&gt;TODAY(),"Calibrado","Vencido"),"")</f>
        <v>Calibrado</v>
      </c>
      <c r="R156" s="113" t="n">
        <f aca="false">IFERROR(VLOOKUP(J156,'Obs Tecnicas'!$D:$G,2,0),"")</f>
        <v>15862</v>
      </c>
      <c r="S156" s="102" t="str">
        <f aca="false">IFERROR(VLOOKUP(J156,'Obs Tecnicas'!$D:$G,3,0),"Hexis")</f>
        <v>ER ANALITICA</v>
      </c>
      <c r="T156" s="102" t="str">
        <f aca="false">IFERROR(VLOOKUP(J156,'Obs Tecnicas'!$D:$G,4,0),"")</f>
        <v>Filtro óptico azul manchado.</v>
      </c>
      <c r="V156" s="114" t="n">
        <f aca="false">IF(P156&lt;&gt;"",MONTH(P156),"")</f>
        <v>3</v>
      </c>
      <c r="W156" s="114" t="n">
        <v>5</v>
      </c>
    </row>
    <row r="157" customFormat="false" ht="15" hidden="false" customHeight="true" outlineLevel="0" collapsed="false">
      <c r="A157" s="102" t="s">
        <v>67</v>
      </c>
      <c r="B157" s="113" t="s">
        <v>454</v>
      </c>
      <c r="C157" s="109" t="s">
        <v>455</v>
      </c>
      <c r="D157" s="102" t="s">
        <v>456</v>
      </c>
      <c r="E157" s="102" t="s">
        <v>427</v>
      </c>
      <c r="F157" s="109" t="s">
        <v>428</v>
      </c>
      <c r="G157" s="102" t="s">
        <v>73</v>
      </c>
      <c r="H157" s="102" t="s">
        <v>429</v>
      </c>
      <c r="I157" s="102" t="s">
        <v>217</v>
      </c>
      <c r="J157" s="110" t="s">
        <v>464</v>
      </c>
      <c r="K157" s="102" t="s">
        <v>84</v>
      </c>
      <c r="L157" s="115" t="s">
        <v>219</v>
      </c>
      <c r="M157" s="102" t="s">
        <v>458</v>
      </c>
      <c r="N157" s="102" t="s">
        <v>182</v>
      </c>
      <c r="O157" s="111" t="n">
        <v>44229</v>
      </c>
      <c r="P157" s="112" t="n">
        <f aca="false">IFERROR(VLOOKUP(J157,'Obs Tecnicas'!$D:$I,5,0),O157)</f>
        <v>44642</v>
      </c>
      <c r="Q157" s="111" t="str">
        <f aca="true">IF(P157&lt;&gt;"",IF(P157+365&gt;TODAY(),"Calibrado","Vencido"),"")</f>
        <v>Calibrado</v>
      </c>
      <c r="R157" s="113" t="n">
        <f aca="false">IFERROR(VLOOKUP(J157,'Obs Tecnicas'!$D:$G,2,0),"")</f>
        <v>15858</v>
      </c>
      <c r="S157" s="102" t="str">
        <f aca="false">IFERROR(VLOOKUP(J157,'Obs Tecnicas'!$D:$G,3,0),"Hexis")</f>
        <v>ER ANALITICA</v>
      </c>
      <c r="T157" s="102" t="str">
        <f aca="false">IFERROR(VLOOKUP(J157,'Obs Tecnicas'!$D:$G,4,0),"")</f>
        <v> Eletrodo de pH encontra-se inoperante.</v>
      </c>
      <c r="V157" s="114" t="n">
        <f aca="false">IF(P157&lt;&gt;"",MONTH(P157),"")</f>
        <v>3</v>
      </c>
      <c r="W157" s="114" t="n">
        <v>5</v>
      </c>
    </row>
    <row r="158" customFormat="false" ht="15" hidden="false" customHeight="true" outlineLevel="0" collapsed="false">
      <c r="A158" s="102" t="s">
        <v>67</v>
      </c>
      <c r="B158" s="113" t="s">
        <v>454</v>
      </c>
      <c r="C158" s="109" t="s">
        <v>455</v>
      </c>
      <c r="D158" s="102" t="s">
        <v>456</v>
      </c>
      <c r="E158" s="102" t="s">
        <v>427</v>
      </c>
      <c r="F158" s="109" t="s">
        <v>428</v>
      </c>
      <c r="G158" s="102" t="s">
        <v>73</v>
      </c>
      <c r="H158" s="102" t="s">
        <v>429</v>
      </c>
      <c r="I158" s="102" t="s">
        <v>86</v>
      </c>
      <c r="J158" s="110" t="s">
        <v>465</v>
      </c>
      <c r="K158" s="117" t="s">
        <v>136</v>
      </c>
      <c r="L158" s="102" t="s">
        <v>137</v>
      </c>
      <c r="M158" s="102" t="s">
        <v>458</v>
      </c>
      <c r="N158" s="102" t="s">
        <v>182</v>
      </c>
      <c r="O158" s="111" t="n">
        <v>44229</v>
      </c>
      <c r="P158" s="112" t="n">
        <f aca="false">IFERROR(VLOOKUP(J158,'Obs Tecnicas'!$D:$I,5,0),O158)</f>
        <v>44642</v>
      </c>
      <c r="Q158" s="111" t="str">
        <f aca="true">IF(P158&lt;&gt;"",IF(P158+365&gt;TODAY(),"Calibrado","Vencido"),"")</f>
        <v>Calibrado</v>
      </c>
      <c r="R158" s="113" t="n">
        <f aca="false">IFERROR(VLOOKUP(J158,'Obs Tecnicas'!$D:$G,2,0),"")</f>
        <v>15864</v>
      </c>
      <c r="S158" s="102" t="str">
        <f aca="false">IFERROR(VLOOKUP(J158,'Obs Tecnicas'!$D:$G,3,0),"Hexis")</f>
        <v>ER ANALITICA</v>
      </c>
      <c r="T158" s="102" t="n">
        <f aca="false">IFERROR(VLOOKUP(J158,'Obs Tecnicas'!$D:$G,4,0),"")</f>
        <v>0</v>
      </c>
      <c r="V158" s="114" t="n">
        <f aca="false">IF(P158&lt;&gt;"",MONTH(P158),"")</f>
        <v>3</v>
      </c>
      <c r="W158" s="114" t="n">
        <v>5</v>
      </c>
    </row>
    <row r="159" customFormat="false" ht="15" hidden="false" customHeight="true" outlineLevel="0" collapsed="false">
      <c r="A159" s="102" t="s">
        <v>67</v>
      </c>
      <c r="B159" s="113" t="s">
        <v>454</v>
      </c>
      <c r="C159" s="109" t="s">
        <v>455</v>
      </c>
      <c r="D159" s="102" t="s">
        <v>456</v>
      </c>
      <c r="E159" s="102" t="s">
        <v>427</v>
      </c>
      <c r="F159" s="109" t="s">
        <v>428</v>
      </c>
      <c r="G159" s="102" t="s">
        <v>73</v>
      </c>
      <c r="H159" s="102" t="s">
        <v>429</v>
      </c>
      <c r="I159" s="102" t="s">
        <v>217</v>
      </c>
      <c r="J159" s="110" t="s">
        <v>466</v>
      </c>
      <c r="K159" s="102" t="s">
        <v>84</v>
      </c>
      <c r="L159" s="102" t="s">
        <v>219</v>
      </c>
      <c r="M159" s="102" t="s">
        <v>458</v>
      </c>
      <c r="N159" s="102" t="s">
        <v>182</v>
      </c>
      <c r="O159" s="111"/>
      <c r="P159" s="112" t="n">
        <f aca="false">IFERROR(VLOOKUP(J159,'Obs Tecnicas'!$D:$I,5,0),O159)</f>
        <v>44642</v>
      </c>
      <c r="Q159" s="111" t="str">
        <f aca="true">IF(P159&lt;&gt;"",IF(P159+365&gt;TODAY(),"Calibrado","Vencido"),"")</f>
        <v>Calibrado</v>
      </c>
      <c r="R159" s="113" t="n">
        <f aca="false">IFERROR(VLOOKUP(J159,'Obs Tecnicas'!$D:$G,2,0),"")</f>
        <v>15859</v>
      </c>
      <c r="S159" s="102" t="str">
        <f aca="false">IFERROR(VLOOKUP(J159,'Obs Tecnicas'!$D:$G,3,0),"Hexis")</f>
        <v>ER ANALITICA</v>
      </c>
      <c r="T159" s="102" t="str">
        <f aca="false">IFERROR(VLOOKUP(J159,'Obs Tecnicas'!$D:$G,4,0),"")</f>
        <v> Eletrodo apresenta lentidão para realizar as leituras.</v>
      </c>
      <c r="V159" s="114" t="n">
        <f aca="false">IF(P159&lt;&gt;"",MONTH(P159),"")</f>
        <v>3</v>
      </c>
      <c r="W159" s="114" t="n">
        <v>8</v>
      </c>
    </row>
    <row r="160" customFormat="false" ht="15" hidden="false" customHeight="true" outlineLevel="0" collapsed="false">
      <c r="A160" s="102" t="s">
        <v>67</v>
      </c>
      <c r="B160" s="113" t="s">
        <v>454</v>
      </c>
      <c r="C160" s="109" t="s">
        <v>455</v>
      </c>
      <c r="D160" s="102" t="s">
        <v>456</v>
      </c>
      <c r="E160" s="102" t="s">
        <v>427</v>
      </c>
      <c r="F160" s="109" t="s">
        <v>428</v>
      </c>
      <c r="G160" s="102" t="s">
        <v>73</v>
      </c>
      <c r="H160" s="102" t="s">
        <v>429</v>
      </c>
      <c r="I160" s="102" t="s">
        <v>89</v>
      </c>
      <c r="J160" s="110" t="s">
        <v>467</v>
      </c>
      <c r="K160" s="102" t="s">
        <v>81</v>
      </c>
      <c r="L160" s="102" t="s">
        <v>91</v>
      </c>
      <c r="M160" s="102" t="s">
        <v>458</v>
      </c>
      <c r="N160" s="102" t="s">
        <v>182</v>
      </c>
      <c r="O160" s="111"/>
      <c r="P160" s="112" t="n">
        <f aca="false">IFERROR(VLOOKUP(J160,'Obs Tecnicas'!$D:$I,5,0),O160)</f>
        <v>44642</v>
      </c>
      <c r="Q160" s="111" t="str">
        <f aca="true">IF(P160&lt;&gt;"",IF(P160+365&gt;TODAY(),"Calibrado","Vencido"),"")</f>
        <v>Calibrado</v>
      </c>
      <c r="R160" s="113" t="n">
        <f aca="false">IFERROR(VLOOKUP(J160,'Obs Tecnicas'!$D:$G,2,0),"")</f>
        <v>15861</v>
      </c>
      <c r="S160" s="102" t="str">
        <f aca="false">IFERROR(VLOOKUP(J160,'Obs Tecnicas'!$D:$G,3,0),"Hexis")</f>
        <v>ER ANALITICA</v>
      </c>
      <c r="T160" s="102" t="n">
        <f aca="false">IFERROR(VLOOKUP(J160,'Obs Tecnicas'!$D:$G,4,0),"")</f>
        <v>0</v>
      </c>
      <c r="V160" s="114" t="n">
        <f aca="false">IF(P160&lt;&gt;"",MONTH(P160),"")</f>
        <v>3</v>
      </c>
      <c r="W160" s="114" t="n">
        <v>8</v>
      </c>
    </row>
    <row r="161" customFormat="false" ht="15" hidden="false" customHeight="true" outlineLevel="0" collapsed="false">
      <c r="A161" s="102" t="s">
        <v>67</v>
      </c>
      <c r="B161" s="113" t="s">
        <v>454</v>
      </c>
      <c r="C161" s="109" t="s">
        <v>455</v>
      </c>
      <c r="D161" s="102" t="s">
        <v>456</v>
      </c>
      <c r="E161" s="102" t="s">
        <v>427</v>
      </c>
      <c r="F161" s="109" t="s">
        <v>428</v>
      </c>
      <c r="G161" s="102" t="s">
        <v>73</v>
      </c>
      <c r="H161" s="102" t="s">
        <v>429</v>
      </c>
      <c r="I161" s="102" t="s">
        <v>115</v>
      </c>
      <c r="J161" s="110" t="s">
        <v>468</v>
      </c>
      <c r="K161" s="102" t="s">
        <v>117</v>
      </c>
      <c r="M161" s="102" t="s">
        <v>458</v>
      </c>
      <c r="N161" s="102" t="s">
        <v>182</v>
      </c>
      <c r="O161" s="111"/>
      <c r="P161" s="112" t="n">
        <f aca="false">IFERROR(VLOOKUP(J161,'Obs Tecnicas'!$D:$I,5,0),O161)</f>
        <v>44642</v>
      </c>
      <c r="Q161" s="111" t="str">
        <f aca="true">IF(P161&lt;&gt;"",IF(P161+365&gt;TODAY(),"Calibrado","Vencido"),"")</f>
        <v>Calibrado</v>
      </c>
      <c r="R161" s="113" t="n">
        <f aca="false">IFERROR(VLOOKUP(J161,'Obs Tecnicas'!$D:$G,2,0),"")</f>
        <v>15866</v>
      </c>
      <c r="S161" s="102" t="str">
        <f aca="false">IFERROR(VLOOKUP(J161,'Obs Tecnicas'!$D:$G,3,0),"Hexis")</f>
        <v>ER ANALITICA</v>
      </c>
      <c r="T161" s="102" t="n">
        <f aca="false">IFERROR(VLOOKUP(J161,'Obs Tecnicas'!$D:$G,4,0),"")</f>
        <v>0</v>
      </c>
      <c r="V161" s="114" t="n">
        <f aca="false">IF(P161&lt;&gt;"",MONTH(P161),"")</f>
        <v>3</v>
      </c>
      <c r="W161" s="114" t="n">
        <v>8</v>
      </c>
    </row>
    <row r="162" customFormat="false" ht="15" hidden="false" customHeight="true" outlineLevel="0" collapsed="false">
      <c r="A162" s="102" t="s">
        <v>67</v>
      </c>
      <c r="B162" s="102" t="s">
        <v>469</v>
      </c>
      <c r="C162" s="109" t="s">
        <v>470</v>
      </c>
      <c r="D162" s="102" t="s">
        <v>471</v>
      </c>
      <c r="E162" s="102" t="s">
        <v>472</v>
      </c>
      <c r="F162" s="109" t="s">
        <v>473</v>
      </c>
      <c r="G162" s="102" t="s">
        <v>97</v>
      </c>
      <c r="H162" s="102" t="s">
        <v>429</v>
      </c>
      <c r="I162" s="102" t="s">
        <v>79</v>
      </c>
      <c r="J162" s="110" t="n">
        <v>182180001014</v>
      </c>
      <c r="K162" s="102" t="s">
        <v>81</v>
      </c>
      <c r="L162" s="119" t="s">
        <v>185</v>
      </c>
      <c r="M162" s="102" t="s">
        <v>474</v>
      </c>
      <c r="N162" s="102" t="s">
        <v>423</v>
      </c>
      <c r="O162" s="111" t="n">
        <v>44180</v>
      </c>
      <c r="P162" s="112" t="n">
        <f aca="false">IFERROR(VLOOKUP(J162,'Obs Tecnicas'!$D:$I,5,0),O162)</f>
        <v>44644</v>
      </c>
      <c r="Q162" s="111" t="str">
        <f aca="true">IF(P162&lt;&gt;"",IF(P162+365&gt;TODAY(),"Calibrado","Vencido"),"")</f>
        <v>Calibrado</v>
      </c>
      <c r="R162" s="113" t="n">
        <f aca="false">IFERROR(VLOOKUP(J162,'Obs Tecnicas'!$D:$G,2,0),"")</f>
        <v>15854</v>
      </c>
      <c r="S162" s="102" t="str">
        <f aca="false">IFERROR(VLOOKUP(J162,'Obs Tecnicas'!$D:$G,3,0),"Hexis")</f>
        <v>ER ANALITICA</v>
      </c>
      <c r="T162" s="102" t="n">
        <f aca="false">IFERROR(VLOOKUP(J162,'Obs Tecnicas'!$D:$G,4,0),"")</f>
        <v>0</v>
      </c>
      <c r="V162" s="114" t="n">
        <f aca="false">IF(P162&lt;&gt;"",MONTH(P162),"")</f>
        <v>3</v>
      </c>
      <c r="W162" s="114" t="n">
        <v>8</v>
      </c>
    </row>
    <row r="163" customFormat="false" ht="15" hidden="false" customHeight="true" outlineLevel="0" collapsed="false">
      <c r="A163" s="102" t="s">
        <v>67</v>
      </c>
      <c r="B163" s="102" t="s">
        <v>475</v>
      </c>
      <c r="C163" s="109" t="s">
        <v>476</v>
      </c>
      <c r="E163" s="102" t="s">
        <v>475</v>
      </c>
      <c r="F163" s="109" t="s">
        <v>476</v>
      </c>
      <c r="H163" s="102" t="s">
        <v>477</v>
      </c>
      <c r="I163" s="102" t="s">
        <v>86</v>
      </c>
      <c r="J163" s="110" t="n">
        <v>6253970</v>
      </c>
      <c r="K163" s="102" t="s">
        <v>84</v>
      </c>
      <c r="L163" s="117" t="s">
        <v>478</v>
      </c>
      <c r="M163" s="102" t="s">
        <v>479</v>
      </c>
      <c r="O163" s="111"/>
      <c r="P163" s="112" t="n">
        <f aca="false">IFERROR(VLOOKUP(J163,'Obs Tecnicas'!$D:$I,5,0),O163)</f>
        <v>44442</v>
      </c>
      <c r="Q163" s="111" t="str">
        <f aca="true">IF(P163&lt;&gt;"",IF(P163+365&gt;TODAY(),"Calibrado","Vencido"),"")</f>
        <v>Calibrado</v>
      </c>
      <c r="R163" s="113" t="n">
        <f aca="false">IFERROR(VLOOKUP(J163,'Obs Tecnicas'!$D:$G,2,0),"")</f>
        <v>13694</v>
      </c>
      <c r="S163" s="102" t="str">
        <f aca="false">IFERROR(VLOOKUP(J163,'Obs Tecnicas'!$D:$G,3,0),"Hexis")</f>
        <v>ER ANALITICA</v>
      </c>
      <c r="T163" s="102" t="str">
        <f aca="false">IFERROR(VLOOKUP(J163,'Obs Tecnicas'!$D:$G,4,0),"")</f>
        <v>Eletrodo de pH apresenta estado de vida útil avançada e necessita ser trocado.</v>
      </c>
      <c r="U163" s="1" t="s">
        <v>27</v>
      </c>
      <c r="V163" s="114" t="n">
        <f aca="false">IF(P163&lt;&gt;"",MONTH(P163),"")</f>
        <v>9</v>
      </c>
      <c r="W163" s="114" t="n">
        <v>8</v>
      </c>
      <c r="AH163" s="130"/>
      <c r="AO163" s="130"/>
    </row>
    <row r="164" customFormat="false" ht="15" hidden="false" customHeight="true" outlineLevel="0" collapsed="false">
      <c r="A164" s="102" t="s">
        <v>67</v>
      </c>
      <c r="B164" s="102" t="s">
        <v>475</v>
      </c>
      <c r="C164" s="109" t="s">
        <v>476</v>
      </c>
      <c r="E164" s="102" t="s">
        <v>475</v>
      </c>
      <c r="F164" s="109" t="s">
        <v>476</v>
      </c>
      <c r="H164" s="102" t="s">
        <v>477</v>
      </c>
      <c r="I164" s="102" t="s">
        <v>360</v>
      </c>
      <c r="J164" s="110" t="s">
        <v>480</v>
      </c>
      <c r="K164" s="102" t="s">
        <v>81</v>
      </c>
      <c r="L164" s="117" t="s">
        <v>82</v>
      </c>
      <c r="M164" s="102" t="s">
        <v>479</v>
      </c>
      <c r="O164" s="111"/>
      <c r="P164" s="112" t="n">
        <f aca="false">IFERROR(VLOOKUP(J164,'Obs Tecnicas'!$D:$I,5,0),O164)</f>
        <v>44442</v>
      </c>
      <c r="Q164" s="111" t="str">
        <f aca="true">IF(P164&lt;&gt;"",IF(P164+365&gt;TODAY(),"Calibrado","Vencido"),"")</f>
        <v>Calibrado</v>
      </c>
      <c r="R164" s="113" t="n">
        <f aca="false">IFERROR(VLOOKUP(J164,'Obs Tecnicas'!$D:$G,2,0),"")</f>
        <v>13758</v>
      </c>
      <c r="S164" s="102" t="str">
        <f aca="false">IFERROR(VLOOKUP(J164,'Obs Tecnicas'!$D:$G,3,0),"Hexis")</f>
        <v>ER ANALITICA</v>
      </c>
      <c r="T164" s="102" t="str">
        <f aca="false">IFERROR(VLOOKUP(J164,'Obs Tecnicas'!$D:$G,4,0),"")</f>
        <v> Recomendada troca preventiva de todos os filtros ópticos</v>
      </c>
      <c r="U164" s="1" t="s">
        <v>27</v>
      </c>
      <c r="V164" s="114" t="n">
        <f aca="false">IF(P164&lt;&gt;"",MONTH(P164),"")</f>
        <v>9</v>
      </c>
      <c r="W164" s="114" t="n">
        <v>8</v>
      </c>
      <c r="AO164" s="130"/>
    </row>
    <row r="165" customFormat="false" ht="15" hidden="false" customHeight="true" outlineLevel="0" collapsed="false">
      <c r="A165" s="102" t="s">
        <v>67</v>
      </c>
      <c r="B165" s="102" t="s">
        <v>481</v>
      </c>
      <c r="C165" s="109" t="s">
        <v>482</v>
      </c>
      <c r="D165" s="102" t="s">
        <v>483</v>
      </c>
      <c r="E165" s="102" t="s">
        <v>484</v>
      </c>
      <c r="F165" s="109" t="s">
        <v>485</v>
      </c>
      <c r="G165" s="117" t="s">
        <v>346</v>
      </c>
      <c r="H165" s="117" t="s">
        <v>477</v>
      </c>
      <c r="I165" s="117" t="s">
        <v>79</v>
      </c>
      <c r="J165" s="110" t="s">
        <v>486</v>
      </c>
      <c r="K165" s="102" t="s">
        <v>81</v>
      </c>
      <c r="L165" s="102" t="s">
        <v>82</v>
      </c>
      <c r="M165" s="117" t="s">
        <v>487</v>
      </c>
      <c r="N165" s="102" t="s">
        <v>78</v>
      </c>
      <c r="O165" s="111" t="n">
        <v>44035</v>
      </c>
      <c r="P165" s="112" t="n">
        <f aca="false">IFERROR(VLOOKUP(J165,'Obs Tecnicas'!$D:$I,5,0),O165)</f>
        <v>44426</v>
      </c>
      <c r="Q165" s="111" t="str">
        <f aca="true">IF(P165&lt;&gt;"",IF(P165+365&gt;TODAY(),"Calibrado","Vencido"),"")</f>
        <v>Calibrado</v>
      </c>
      <c r="R165" s="113" t="n">
        <f aca="false">IFERROR(VLOOKUP(J165,'Obs Tecnicas'!$D:$G,2,0),"")</f>
        <v>13440</v>
      </c>
      <c r="S165" s="102" t="str">
        <f aca="false">IFERROR(VLOOKUP(J165,'Obs Tecnicas'!$D:$G,3,0),"Hexis")</f>
        <v>ER ANALITICA</v>
      </c>
      <c r="T165" s="102" t="n">
        <f aca="false">IFERROR(VLOOKUP(J165,'Obs Tecnicas'!$D:$G,4,0),"")</f>
        <v>0</v>
      </c>
      <c r="U165" s="1" t="s">
        <v>27</v>
      </c>
      <c r="V165" s="114" t="n">
        <f aca="false">IF(P165&lt;&gt;"",MONTH(P165),"")</f>
        <v>8</v>
      </c>
      <c r="W165" s="114" t="n">
        <v>3</v>
      </c>
      <c r="Z165" s="48"/>
      <c r="AB165" s="48"/>
      <c r="AD165" s="48"/>
      <c r="AF165" s="48"/>
      <c r="AG165" s="48"/>
      <c r="AH165" s="48"/>
      <c r="AI165" s="48"/>
      <c r="AK165" s="48"/>
      <c r="AL165" s="48"/>
      <c r="AM165" s="48"/>
      <c r="AN165" s="48"/>
      <c r="AO165" s="48"/>
    </row>
    <row r="166" customFormat="false" ht="15" hidden="false" customHeight="true" outlineLevel="0" collapsed="false">
      <c r="A166" s="102" t="s">
        <v>67</v>
      </c>
      <c r="B166" s="102" t="s">
        <v>481</v>
      </c>
      <c r="C166" s="109" t="s">
        <v>482</v>
      </c>
      <c r="D166" s="102" t="s">
        <v>483</v>
      </c>
      <c r="E166" s="102" t="s">
        <v>484</v>
      </c>
      <c r="F166" s="109" t="s">
        <v>485</v>
      </c>
      <c r="G166" s="102" t="s">
        <v>346</v>
      </c>
      <c r="H166" s="102" t="s">
        <v>477</v>
      </c>
      <c r="I166" s="102" t="s">
        <v>217</v>
      </c>
      <c r="J166" s="110" t="s">
        <v>488</v>
      </c>
      <c r="K166" s="102" t="s">
        <v>84</v>
      </c>
      <c r="L166" s="102" t="s">
        <v>489</v>
      </c>
      <c r="M166" s="117" t="s">
        <v>487</v>
      </c>
      <c r="N166" s="102" t="s">
        <v>78</v>
      </c>
      <c r="O166" s="111"/>
      <c r="P166" s="112" t="n">
        <f aca="false">IFERROR(VLOOKUP(J166,'Obs Tecnicas'!$D:$I,5,0),O166)</f>
        <v>44426</v>
      </c>
      <c r="Q166" s="111" t="str">
        <f aca="true">IF(P166&lt;&gt;"",IF(P166+365&gt;TODAY(),"Calibrado","Vencido"),"")</f>
        <v>Calibrado</v>
      </c>
      <c r="R166" s="113" t="n">
        <f aca="false">IFERROR(VLOOKUP(J166,'Obs Tecnicas'!$D:$G,2,0),"")</f>
        <v>13564</v>
      </c>
      <c r="S166" s="102" t="str">
        <f aca="false">IFERROR(VLOOKUP(J166,'Obs Tecnicas'!$D:$G,3,0),"Hexis")</f>
        <v>ER ANALITICA</v>
      </c>
      <c r="T166" s="102" t="n">
        <f aca="false">IFERROR(VLOOKUP(J166,'Obs Tecnicas'!$D:$G,4,0),"")</f>
        <v>0</v>
      </c>
      <c r="U166" s="1" t="s">
        <v>27</v>
      </c>
      <c r="V166" s="114" t="n">
        <f aca="false">IF(P166&lt;&gt;"",MONTH(P166),"")</f>
        <v>8</v>
      </c>
      <c r="W166" s="114" t="n">
        <v>3</v>
      </c>
    </row>
    <row r="167" customFormat="false" ht="15" hidden="false" customHeight="true" outlineLevel="0" collapsed="false">
      <c r="A167" s="102" t="s">
        <v>67</v>
      </c>
      <c r="B167" s="102" t="s">
        <v>481</v>
      </c>
      <c r="C167" s="109" t="s">
        <v>482</v>
      </c>
      <c r="D167" s="102" t="s">
        <v>483</v>
      </c>
      <c r="E167" s="102" t="s">
        <v>484</v>
      </c>
      <c r="F167" s="109" t="s">
        <v>485</v>
      </c>
      <c r="G167" s="102" t="s">
        <v>346</v>
      </c>
      <c r="H167" s="102" t="s">
        <v>477</v>
      </c>
      <c r="I167" s="102" t="s">
        <v>217</v>
      </c>
      <c r="J167" s="110" t="s">
        <v>490</v>
      </c>
      <c r="K167" s="102" t="s">
        <v>84</v>
      </c>
      <c r="L167" s="102" t="s">
        <v>489</v>
      </c>
      <c r="M167" s="117" t="s">
        <v>487</v>
      </c>
      <c r="N167" s="102" t="s">
        <v>78</v>
      </c>
      <c r="O167" s="111"/>
      <c r="P167" s="112" t="n">
        <f aca="false">IFERROR(VLOOKUP(J167,'Obs Tecnicas'!$D:$I,5,0),O167)</f>
        <v>44426</v>
      </c>
      <c r="Q167" s="111" t="str">
        <f aca="true">IF(P167&lt;&gt;"",IF(P167+365&gt;TODAY(),"Calibrado","Vencido"),"")</f>
        <v>Calibrado</v>
      </c>
      <c r="R167" s="113" t="n">
        <f aca="false">IFERROR(VLOOKUP(J167,'Obs Tecnicas'!$D:$G,2,0),"")</f>
        <v>13439</v>
      </c>
      <c r="S167" s="102" t="str">
        <f aca="false">IFERROR(VLOOKUP(J167,'Obs Tecnicas'!$D:$G,3,0),"Hexis")</f>
        <v>ER ANALITICA</v>
      </c>
      <c r="T167" s="102" t="n">
        <f aca="false">IFERROR(VLOOKUP(J167,'Obs Tecnicas'!$D:$G,4,0),"")</f>
        <v>0</v>
      </c>
      <c r="U167" s="1" t="s">
        <v>27</v>
      </c>
      <c r="V167" s="114" t="n">
        <f aca="false">IF(P167&lt;&gt;"",MONTH(P167),"")</f>
        <v>8</v>
      </c>
      <c r="W167" s="114" t="n">
        <v>3</v>
      </c>
    </row>
    <row r="168" customFormat="false" ht="15" hidden="false" customHeight="true" outlineLevel="0" collapsed="false">
      <c r="A168" s="102" t="s">
        <v>67</v>
      </c>
      <c r="B168" s="102" t="s">
        <v>481</v>
      </c>
      <c r="C168" s="109" t="s">
        <v>482</v>
      </c>
      <c r="D168" s="102" t="s">
        <v>483</v>
      </c>
      <c r="E168" s="102" t="s">
        <v>484</v>
      </c>
      <c r="F168" s="109" t="s">
        <v>485</v>
      </c>
      <c r="G168" s="102" t="s">
        <v>346</v>
      </c>
      <c r="H168" s="102" t="s">
        <v>477</v>
      </c>
      <c r="I168" s="102" t="s">
        <v>79</v>
      </c>
      <c r="J168" s="110" t="s">
        <v>491</v>
      </c>
      <c r="K168" s="102" t="s">
        <v>81</v>
      </c>
      <c r="L168" s="119" t="s">
        <v>185</v>
      </c>
      <c r="M168" s="117" t="s">
        <v>487</v>
      </c>
      <c r="N168" s="102" t="s">
        <v>78</v>
      </c>
      <c r="O168" s="111"/>
      <c r="P168" s="112" t="n">
        <f aca="false">IFERROR(VLOOKUP(J168,'Obs Tecnicas'!$D:$I,5,0),O168)</f>
        <v>44426</v>
      </c>
      <c r="Q168" s="111" t="str">
        <f aca="true">IF(P168&lt;&gt;"",IF(P168+365&gt;TODAY(),"Calibrado","Vencido"),"")</f>
        <v>Calibrado</v>
      </c>
      <c r="R168" s="113" t="n">
        <f aca="false">IFERROR(VLOOKUP(J168,'Obs Tecnicas'!$D:$G,2,0),"")</f>
        <v>13436</v>
      </c>
      <c r="S168" s="102" t="str">
        <f aca="false">IFERROR(VLOOKUP(J168,'Obs Tecnicas'!$D:$G,3,0),"Hexis")</f>
        <v>ER ANALITICA</v>
      </c>
      <c r="T168" s="102" t="n">
        <f aca="false">IFERROR(VLOOKUP(J168,'Obs Tecnicas'!$D:$G,4,0),"")</f>
        <v>0</v>
      </c>
      <c r="U168" s="1" t="s">
        <v>27</v>
      </c>
      <c r="V168" s="114" t="n">
        <f aca="false">IF(P168&lt;&gt;"",MONTH(P168),"")</f>
        <v>8</v>
      </c>
      <c r="W168" s="114" t="n">
        <v>3</v>
      </c>
    </row>
    <row r="169" customFormat="false" ht="15" hidden="false" customHeight="true" outlineLevel="0" collapsed="false">
      <c r="A169" s="102" t="s">
        <v>67</v>
      </c>
      <c r="B169" s="102" t="s">
        <v>481</v>
      </c>
      <c r="C169" s="109" t="s">
        <v>482</v>
      </c>
      <c r="D169" s="102" t="s">
        <v>483</v>
      </c>
      <c r="E169" s="102" t="s">
        <v>484</v>
      </c>
      <c r="F169" s="109" t="s">
        <v>485</v>
      </c>
      <c r="G169" s="102" t="s">
        <v>346</v>
      </c>
      <c r="H169" s="102" t="s">
        <v>477</v>
      </c>
      <c r="I169" s="102" t="s">
        <v>86</v>
      </c>
      <c r="J169" s="110" t="s">
        <v>492</v>
      </c>
      <c r="K169" s="117" t="s">
        <v>136</v>
      </c>
      <c r="L169" s="102" t="s">
        <v>137</v>
      </c>
      <c r="M169" s="117" t="s">
        <v>487</v>
      </c>
      <c r="N169" s="102" t="s">
        <v>78</v>
      </c>
      <c r="O169" s="111"/>
      <c r="P169" s="112" t="n">
        <f aca="false">IFERROR(VLOOKUP(J169,'Obs Tecnicas'!$D:$I,5,0),O169)</f>
        <v>44426</v>
      </c>
      <c r="Q169" s="111" t="str">
        <f aca="true">IF(P169&lt;&gt;"",IF(P169+365&gt;TODAY(),"Calibrado","Vencido"),"")</f>
        <v>Calibrado</v>
      </c>
      <c r="R169" s="113" t="n">
        <f aca="false">IFERROR(VLOOKUP(J169,'Obs Tecnicas'!$D:$G,2,0),"")</f>
        <v>13565</v>
      </c>
      <c r="S169" s="102" t="str">
        <f aca="false">IFERROR(VLOOKUP(J169,'Obs Tecnicas'!$D:$G,3,0),"Hexis")</f>
        <v>ER ANALITICA</v>
      </c>
      <c r="T169" s="102" t="str">
        <f aca="false">IFERROR(VLOOKUP(J169,'Obs Tecnicas'!$D:$G,4,0),"")</f>
        <v>Instrumento com avarias na curva, não aceita calibração. Devido a problemas na resistividade.</v>
      </c>
      <c r="U169" s="1" t="s">
        <v>27</v>
      </c>
      <c r="V169" s="114" t="n">
        <f aca="false">IF(P169&lt;&gt;"",MONTH(P169),"")</f>
        <v>8</v>
      </c>
      <c r="W169" s="114" t="n">
        <v>3</v>
      </c>
    </row>
    <row r="170" customFormat="false" ht="15" hidden="false" customHeight="true" outlineLevel="0" collapsed="false">
      <c r="A170" s="102" t="s">
        <v>67</v>
      </c>
      <c r="B170" s="102" t="s">
        <v>493</v>
      </c>
      <c r="C170" s="109" t="s">
        <v>494</v>
      </c>
      <c r="D170" s="102" t="s">
        <v>495</v>
      </c>
      <c r="E170" s="102" t="s">
        <v>493</v>
      </c>
      <c r="F170" s="109" t="s">
        <v>494</v>
      </c>
      <c r="G170" s="102" t="s">
        <v>496</v>
      </c>
      <c r="H170" s="102" t="s">
        <v>477</v>
      </c>
      <c r="I170" s="102" t="s">
        <v>83</v>
      </c>
      <c r="J170" s="110" t="n">
        <v>4212781</v>
      </c>
      <c r="K170" s="102" t="s">
        <v>84</v>
      </c>
      <c r="L170" s="115" t="s">
        <v>85</v>
      </c>
      <c r="M170" s="102" t="s">
        <v>497</v>
      </c>
      <c r="N170" s="102" t="s">
        <v>234</v>
      </c>
      <c r="O170" s="111" t="n">
        <v>44055</v>
      </c>
      <c r="P170" s="112" t="n">
        <f aca="false">IFERROR(VLOOKUP(J170,'Obs Tecnicas'!$D:$I,5,0),O170)</f>
        <v>44424</v>
      </c>
      <c r="Q170" s="111" t="str">
        <f aca="true">IF(P170&lt;&gt;"",IF(P170+365&gt;TODAY(),"Calibrado","Vencido"),"")</f>
        <v>Calibrado</v>
      </c>
      <c r="R170" s="113" t="n">
        <f aca="false">IFERROR(VLOOKUP(J170,'Obs Tecnicas'!$D:$G,2,0),"")</f>
        <v>13447</v>
      </c>
      <c r="S170" s="102" t="str">
        <f aca="false">IFERROR(VLOOKUP(J170,'Obs Tecnicas'!$D:$G,3,0),"Hexis")</f>
        <v>ER ANALITICA</v>
      </c>
      <c r="T170" s="102" t="n">
        <f aca="false">IFERROR(VLOOKUP(J170,'Obs Tecnicas'!$D:$G,4,0),"")</f>
        <v>0</v>
      </c>
      <c r="U170" s="1" t="s">
        <v>27</v>
      </c>
      <c r="V170" s="114" t="n">
        <f aca="false">IF(P170&lt;&gt;"",MONTH(P170),"")</f>
        <v>8</v>
      </c>
      <c r="W170" s="114" t="n">
        <v>8</v>
      </c>
    </row>
    <row r="171" customFormat="false" ht="15" hidden="false" customHeight="true" outlineLevel="0" collapsed="false">
      <c r="A171" s="102" t="s">
        <v>67</v>
      </c>
      <c r="B171" s="102" t="s">
        <v>493</v>
      </c>
      <c r="C171" s="109" t="s">
        <v>494</v>
      </c>
      <c r="D171" s="102" t="s">
        <v>495</v>
      </c>
      <c r="E171" s="102" t="s">
        <v>493</v>
      </c>
      <c r="F171" s="109" t="s">
        <v>494</v>
      </c>
      <c r="G171" s="102" t="s">
        <v>496</v>
      </c>
      <c r="H171" s="102" t="s">
        <v>477</v>
      </c>
      <c r="I171" s="102" t="s">
        <v>115</v>
      </c>
      <c r="J171" s="110" t="n">
        <v>1228420502</v>
      </c>
      <c r="K171" s="102" t="s">
        <v>117</v>
      </c>
      <c r="L171" s="102" t="s">
        <v>498</v>
      </c>
      <c r="M171" s="102" t="s">
        <v>497</v>
      </c>
      <c r="N171" s="102" t="s">
        <v>234</v>
      </c>
      <c r="O171" s="111" t="n">
        <v>44056</v>
      </c>
      <c r="P171" s="112" t="n">
        <f aca="false">IFERROR(VLOOKUP(J171,'Obs Tecnicas'!$D:$I,5,0),O171)</f>
        <v>44426</v>
      </c>
      <c r="Q171" s="111" t="str">
        <f aca="true">IF(P171&lt;&gt;"",IF(P171+365&gt;TODAY(),"Calibrado","Vencido"),"")</f>
        <v>Calibrado</v>
      </c>
      <c r="R171" s="113" t="n">
        <f aca="false">IFERROR(VLOOKUP(J171,'Obs Tecnicas'!$D:$G,2,0),"")</f>
        <v>13443</v>
      </c>
      <c r="S171" s="102" t="str">
        <f aca="false">IFERROR(VLOOKUP(J171,'Obs Tecnicas'!$D:$G,3,0),"Hexis")</f>
        <v>ER ANALITICA</v>
      </c>
      <c r="T171" s="102" t="n">
        <f aca="false">IFERROR(VLOOKUP(J171,'Obs Tecnicas'!$D:$G,4,0),"")</f>
        <v>0</v>
      </c>
      <c r="U171" s="1" t="s">
        <v>27</v>
      </c>
      <c r="V171" s="114" t="n">
        <f aca="false">IF(P171&lt;&gt;"",MONTH(P171),"")</f>
        <v>8</v>
      </c>
      <c r="W171" s="114" t="n">
        <v>8</v>
      </c>
    </row>
    <row r="172" customFormat="false" ht="15" hidden="false" customHeight="true" outlineLevel="0" collapsed="false">
      <c r="A172" s="102" t="s">
        <v>67</v>
      </c>
      <c r="B172" s="102" t="s">
        <v>493</v>
      </c>
      <c r="C172" s="109" t="s">
        <v>494</v>
      </c>
      <c r="D172" s="102" t="s">
        <v>495</v>
      </c>
      <c r="E172" s="102" t="s">
        <v>493</v>
      </c>
      <c r="F172" s="109" t="s">
        <v>494</v>
      </c>
      <c r="G172" s="102" t="s">
        <v>496</v>
      </c>
      <c r="H172" s="102" t="s">
        <v>477</v>
      </c>
      <c r="I172" s="102" t="s">
        <v>79</v>
      </c>
      <c r="J172" s="110" t="n">
        <v>141160002025</v>
      </c>
      <c r="K172" s="102" t="s">
        <v>81</v>
      </c>
      <c r="L172" s="119" t="s">
        <v>185</v>
      </c>
      <c r="M172" s="102" t="s">
        <v>497</v>
      </c>
      <c r="N172" s="102" t="s">
        <v>234</v>
      </c>
      <c r="O172" s="111" t="n">
        <v>44056</v>
      </c>
      <c r="P172" s="112" t="n">
        <f aca="false">IFERROR(VLOOKUP(J172,'Obs Tecnicas'!$D:$I,5,0),O172)</f>
        <v>44424</v>
      </c>
      <c r="Q172" s="111" t="str">
        <f aca="true">IF(P172&lt;&gt;"",IF(P172+365&gt;TODAY(),"Calibrado","Vencido"),"")</f>
        <v>Calibrado</v>
      </c>
      <c r="R172" s="113" t="n">
        <f aca="false">IFERROR(VLOOKUP(J172,'Obs Tecnicas'!$D:$G,2,0),"")</f>
        <v>13445</v>
      </c>
      <c r="S172" s="102" t="str">
        <f aca="false">IFERROR(VLOOKUP(J172,'Obs Tecnicas'!$D:$G,3,0),"Hexis")</f>
        <v>ER ANALITICA</v>
      </c>
      <c r="T172" s="102" t="n">
        <f aca="false">IFERROR(VLOOKUP(J172,'Obs Tecnicas'!$D:$G,4,0),"")</f>
        <v>0</v>
      </c>
      <c r="U172" s="1" t="s">
        <v>27</v>
      </c>
      <c r="V172" s="114" t="n">
        <f aca="false">IF(P172&lt;&gt;"",MONTH(P172),"")</f>
        <v>8</v>
      </c>
      <c r="W172" s="114" t="n">
        <v>8</v>
      </c>
    </row>
    <row r="173" customFormat="false" ht="15" hidden="false" customHeight="true" outlineLevel="0" collapsed="false">
      <c r="A173" s="102" t="s">
        <v>67</v>
      </c>
      <c r="B173" s="102" t="s">
        <v>493</v>
      </c>
      <c r="C173" s="109" t="s">
        <v>494</v>
      </c>
      <c r="D173" s="102" t="s">
        <v>495</v>
      </c>
      <c r="E173" s="102" t="s">
        <v>493</v>
      </c>
      <c r="F173" s="109" t="s">
        <v>494</v>
      </c>
      <c r="G173" s="102" t="s">
        <v>496</v>
      </c>
      <c r="H173" s="102" t="s">
        <v>477</v>
      </c>
      <c r="I173" s="102" t="s">
        <v>79</v>
      </c>
      <c r="J173" s="110" t="n">
        <v>133570002031</v>
      </c>
      <c r="K173" s="102" t="s">
        <v>81</v>
      </c>
      <c r="L173" s="119" t="s">
        <v>185</v>
      </c>
      <c r="M173" s="102" t="s">
        <v>497</v>
      </c>
      <c r="N173" s="102" t="s">
        <v>234</v>
      </c>
      <c r="O173" s="111" t="n">
        <v>44056</v>
      </c>
      <c r="P173" s="112" t="n">
        <f aca="false">IFERROR(VLOOKUP(J173,'Obs Tecnicas'!$D:$I,5,0),O173)</f>
        <v>44424</v>
      </c>
      <c r="Q173" s="111" t="str">
        <f aca="true">IF(P173&lt;&gt;"",IF(P173+365&gt;TODAY(),"Calibrado","Vencido"),"")</f>
        <v>Calibrado</v>
      </c>
      <c r="R173" s="113" t="n">
        <f aca="false">IFERROR(VLOOKUP(J173,'Obs Tecnicas'!$D:$G,2,0),"")</f>
        <v>13444</v>
      </c>
      <c r="S173" s="102" t="str">
        <f aca="false">IFERROR(VLOOKUP(J173,'Obs Tecnicas'!$D:$G,3,0),"Hexis")</f>
        <v>ER ANALITICA</v>
      </c>
      <c r="T173" s="102" t="n">
        <f aca="false">IFERROR(VLOOKUP(J173,'Obs Tecnicas'!$D:$G,4,0),"")</f>
        <v>0</v>
      </c>
      <c r="U173" s="1" t="s">
        <v>27</v>
      </c>
      <c r="V173" s="114" t="n">
        <f aca="false">IF(P173&lt;&gt;"",MONTH(P173),"")</f>
        <v>8</v>
      </c>
      <c r="W173" s="114" t="n">
        <v>8</v>
      </c>
    </row>
    <row r="174" customFormat="false" ht="15" hidden="false" customHeight="true" outlineLevel="0" collapsed="false">
      <c r="A174" s="102" t="s">
        <v>67</v>
      </c>
      <c r="B174" s="102" t="s">
        <v>493</v>
      </c>
      <c r="C174" s="109" t="s">
        <v>494</v>
      </c>
      <c r="D174" s="102" t="s">
        <v>495</v>
      </c>
      <c r="E174" s="102" t="s">
        <v>493</v>
      </c>
      <c r="F174" s="109" t="s">
        <v>494</v>
      </c>
      <c r="G174" s="102" t="s">
        <v>496</v>
      </c>
      <c r="H174" s="102" t="s">
        <v>477</v>
      </c>
      <c r="I174" s="102" t="s">
        <v>83</v>
      </c>
      <c r="J174" s="110" t="n">
        <v>4223906</v>
      </c>
      <c r="K174" s="102" t="s">
        <v>84</v>
      </c>
      <c r="L174" s="115" t="s">
        <v>85</v>
      </c>
      <c r="M174" s="102" t="s">
        <v>497</v>
      </c>
      <c r="N174" s="102" t="s">
        <v>234</v>
      </c>
      <c r="O174" s="111" t="n">
        <v>44056</v>
      </c>
      <c r="P174" s="112" t="n">
        <f aca="false">IFERROR(VLOOKUP(J174,'Obs Tecnicas'!$D:$I,5,0),O174)</f>
        <v>44424</v>
      </c>
      <c r="Q174" s="111" t="str">
        <f aca="true">IF(P174&lt;&gt;"",IF(P174+365&gt;TODAY(),"Calibrado","Vencido"),"")</f>
        <v>Calibrado</v>
      </c>
      <c r="R174" s="113" t="n">
        <f aca="false">IFERROR(VLOOKUP(J174,'Obs Tecnicas'!$D:$G,2,0),"")</f>
        <v>13446</v>
      </c>
      <c r="S174" s="102" t="str">
        <f aca="false">IFERROR(VLOOKUP(J174,'Obs Tecnicas'!$D:$G,3,0),"Hexis")</f>
        <v>ER ANALITICA</v>
      </c>
      <c r="T174" s="102" t="n">
        <f aca="false">IFERROR(VLOOKUP(J174,'Obs Tecnicas'!$D:$G,4,0),"")</f>
        <v>0</v>
      </c>
      <c r="U174" s="1" t="s">
        <v>27</v>
      </c>
      <c r="V174" s="114" t="n">
        <f aca="false">IF(P174&lt;&gt;"",MONTH(P174),"")</f>
        <v>8</v>
      </c>
      <c r="W174" s="114" t="n">
        <v>9</v>
      </c>
    </row>
    <row r="175" customFormat="false" ht="15" hidden="false" customHeight="true" outlineLevel="0" collapsed="false">
      <c r="A175" s="102" t="s">
        <v>67</v>
      </c>
      <c r="B175" s="102" t="s">
        <v>493</v>
      </c>
      <c r="C175" s="109" t="s">
        <v>494</v>
      </c>
      <c r="D175" s="102" t="s">
        <v>495</v>
      </c>
      <c r="E175" s="102" t="s">
        <v>493</v>
      </c>
      <c r="F175" s="109" t="s">
        <v>494</v>
      </c>
      <c r="G175" s="102" t="s">
        <v>496</v>
      </c>
      <c r="H175" s="102" t="s">
        <v>477</v>
      </c>
      <c r="I175" s="102" t="s">
        <v>101</v>
      </c>
      <c r="J175" s="110" t="n">
        <v>1401857</v>
      </c>
      <c r="K175" s="102" t="s">
        <v>81</v>
      </c>
      <c r="L175" s="102" t="s">
        <v>103</v>
      </c>
      <c r="M175" s="102" t="s">
        <v>497</v>
      </c>
      <c r="N175" s="102" t="s">
        <v>234</v>
      </c>
      <c r="O175" s="111" t="n">
        <v>44056</v>
      </c>
      <c r="P175" s="112" t="n">
        <f aca="false">IFERROR(VLOOKUP(J175,'Obs Tecnicas'!$D:$I,5,0),O175)</f>
        <v>44453</v>
      </c>
      <c r="Q175" s="111" t="str">
        <f aca="true">IF(P175&lt;&gt;"",IF(P175+365&gt;TODAY(),"Calibrado","Vencido"),"")</f>
        <v>Calibrado</v>
      </c>
      <c r="R175" s="113" t="n">
        <f aca="false">IFERROR(VLOOKUP(J175,'Obs Tecnicas'!$D:$G,2,0),"")</f>
        <v>13950</v>
      </c>
      <c r="S175" s="102" t="str">
        <f aca="false">IFERROR(VLOOKUP(J175,'Obs Tecnicas'!$D:$G,3,0),"Hexis")</f>
        <v>ER ANALITICA</v>
      </c>
      <c r="T175" s="102" t="n">
        <f aca="false">IFERROR(VLOOKUP(J175,'Obs Tecnicas'!$D:$G,4,0),"")</f>
        <v>0</v>
      </c>
      <c r="U175" s="1" t="s">
        <v>27</v>
      </c>
      <c r="V175" s="114" t="n">
        <f aca="false">IF(P175&lt;&gt;"",MONTH(P175),"")</f>
        <v>9</v>
      </c>
      <c r="W175" s="114" t="n">
        <v>9</v>
      </c>
    </row>
    <row r="176" customFormat="false" ht="15" hidden="false" customHeight="true" outlineLevel="0" collapsed="false">
      <c r="A176" s="102" t="s">
        <v>67</v>
      </c>
      <c r="B176" s="102" t="s">
        <v>493</v>
      </c>
      <c r="C176" s="109" t="s">
        <v>494</v>
      </c>
      <c r="D176" s="102" t="s">
        <v>495</v>
      </c>
      <c r="E176" s="102" t="s">
        <v>493</v>
      </c>
      <c r="F176" s="109" t="s">
        <v>494</v>
      </c>
      <c r="G176" s="102" t="s">
        <v>496</v>
      </c>
      <c r="H176" s="102" t="s">
        <v>477</v>
      </c>
      <c r="I176" s="102" t="s">
        <v>217</v>
      </c>
      <c r="J176" s="110" t="n">
        <v>10003036</v>
      </c>
      <c r="K176" s="102" t="s">
        <v>499</v>
      </c>
      <c r="L176" s="102" t="s">
        <v>500</v>
      </c>
      <c r="M176" s="102" t="s">
        <v>497</v>
      </c>
      <c r="N176" s="102" t="s">
        <v>234</v>
      </c>
      <c r="O176" s="111" t="n">
        <v>44056</v>
      </c>
      <c r="P176" s="112" t="n">
        <f aca="false">IFERROR(VLOOKUP(J176,'Obs Tecnicas'!$D:$I,5,0),O176)</f>
        <v>44424</v>
      </c>
      <c r="Q176" s="111" t="str">
        <f aca="true">IF(P176&lt;&gt;"",IF(P176+365&gt;TODAY(),"Calibrado","Vencido"),"")</f>
        <v>Calibrado</v>
      </c>
      <c r="R176" s="113" t="n">
        <f aca="false">IFERROR(VLOOKUP(J176,'Obs Tecnicas'!$D:$G,2,0),"")</f>
        <v>13449</v>
      </c>
      <c r="S176" s="102" t="str">
        <f aca="false">IFERROR(VLOOKUP(J176,'Obs Tecnicas'!$D:$G,3,0),"Hexis")</f>
        <v>ER ANALITICA</v>
      </c>
      <c r="T176" s="102" t="n">
        <f aca="false">IFERROR(VLOOKUP(J176,'Obs Tecnicas'!$D:$G,4,0),"")</f>
        <v>0</v>
      </c>
      <c r="U176" s="1" t="s">
        <v>27</v>
      </c>
      <c r="V176" s="114" t="n">
        <f aca="false">IF(P176&lt;&gt;"",MONTH(P176),"")</f>
        <v>8</v>
      </c>
      <c r="W176" s="114" t="n">
        <v>9</v>
      </c>
    </row>
    <row r="177" customFormat="false" ht="15" hidden="false" customHeight="true" outlineLevel="0" collapsed="false">
      <c r="A177" s="102" t="s">
        <v>67</v>
      </c>
      <c r="B177" s="102" t="s">
        <v>493</v>
      </c>
      <c r="C177" s="109" t="s">
        <v>494</v>
      </c>
      <c r="D177" s="102" t="s">
        <v>495</v>
      </c>
      <c r="E177" s="102" t="s">
        <v>493</v>
      </c>
      <c r="F177" s="109" t="s">
        <v>494</v>
      </c>
      <c r="G177" s="102" t="s">
        <v>496</v>
      </c>
      <c r="H177" s="102" t="s">
        <v>477</v>
      </c>
      <c r="I177" s="102" t="s">
        <v>86</v>
      </c>
      <c r="J177" s="110" t="n">
        <v>2068764</v>
      </c>
      <c r="K177" s="117" t="s">
        <v>136</v>
      </c>
      <c r="L177" s="102" t="s">
        <v>137</v>
      </c>
      <c r="M177" s="102" t="s">
        <v>497</v>
      </c>
      <c r="N177" s="102" t="s">
        <v>234</v>
      </c>
      <c r="O177" s="111" t="n">
        <v>44056</v>
      </c>
      <c r="P177" s="112" t="n">
        <f aca="false">IFERROR(VLOOKUP(J177,'Obs Tecnicas'!$D:$I,5,0),O177)</f>
        <v>44424</v>
      </c>
      <c r="Q177" s="111" t="str">
        <f aca="true">IF(P177&lt;&gt;"",IF(P177+365&gt;TODAY(),"Calibrado","Vencido"),"")</f>
        <v>Calibrado</v>
      </c>
      <c r="R177" s="113" t="n">
        <f aca="false">IFERROR(VLOOKUP(J177,'Obs Tecnicas'!$D:$G,2,0),"")</f>
        <v>13452</v>
      </c>
      <c r="S177" s="102" t="str">
        <f aca="false">IFERROR(VLOOKUP(J177,'Obs Tecnicas'!$D:$G,3,0),"Hexis")</f>
        <v>ER ANALITICA</v>
      </c>
      <c r="T177" s="102" t="str">
        <f aca="false">IFERROR(VLOOKUP(J177,'Obs Tecnicas'!$D:$G,4,0),"")</f>
        <v>Não liberado, devido avarias na curva e não aceita calibração. Necessário envio a ER</v>
      </c>
      <c r="U177" s="1" t="s">
        <v>27</v>
      </c>
      <c r="V177" s="114" t="n">
        <f aca="false">IF(P177&lt;&gt;"",MONTH(P177),"")</f>
        <v>8</v>
      </c>
      <c r="W177" s="114" t="n">
        <v>9</v>
      </c>
    </row>
    <row r="178" customFormat="false" ht="15" hidden="false" customHeight="true" outlineLevel="0" collapsed="false">
      <c r="A178" s="102" t="s">
        <v>67</v>
      </c>
      <c r="B178" s="102" t="s">
        <v>493</v>
      </c>
      <c r="C178" s="109" t="s">
        <v>494</v>
      </c>
      <c r="D178" s="102" t="s">
        <v>495</v>
      </c>
      <c r="E178" s="102" t="s">
        <v>493</v>
      </c>
      <c r="F178" s="109" t="s">
        <v>494</v>
      </c>
      <c r="G178" s="102" t="s">
        <v>496</v>
      </c>
      <c r="H178" s="102" t="s">
        <v>477</v>
      </c>
      <c r="I178" s="102" t="s">
        <v>86</v>
      </c>
      <c r="J178" s="110" t="n">
        <v>2068786</v>
      </c>
      <c r="K178" s="117" t="s">
        <v>136</v>
      </c>
      <c r="L178" s="102" t="s">
        <v>137</v>
      </c>
      <c r="M178" s="102" t="s">
        <v>497</v>
      </c>
      <c r="N178" s="102" t="s">
        <v>234</v>
      </c>
      <c r="O178" s="111" t="n">
        <v>44056</v>
      </c>
      <c r="P178" s="112" t="n">
        <f aca="false">IFERROR(VLOOKUP(J178,'Obs Tecnicas'!$D:$I,5,0),O178)</f>
        <v>44424</v>
      </c>
      <c r="Q178" s="111" t="str">
        <f aca="true">IF(P178&lt;&gt;"",IF(P178+365&gt;TODAY(),"Calibrado","Vencido"),"")</f>
        <v>Calibrado</v>
      </c>
      <c r="R178" s="113" t="n">
        <f aca="false">IFERROR(VLOOKUP(J178,'Obs Tecnicas'!$D:$G,2,0),"")</f>
        <v>13456</v>
      </c>
      <c r="S178" s="102" t="str">
        <f aca="false">IFERROR(VLOOKUP(J178,'Obs Tecnicas'!$D:$G,3,0),"Hexis")</f>
        <v>ER ANALITICA</v>
      </c>
      <c r="T178" s="102" t="n">
        <f aca="false">IFERROR(VLOOKUP(J178,'Obs Tecnicas'!$D:$G,4,0),"")</f>
        <v>0</v>
      </c>
      <c r="U178" s="1" t="s">
        <v>27</v>
      </c>
      <c r="V178" s="114" t="n">
        <f aca="false">IF(P178&lt;&gt;"",MONTH(P178),"")</f>
        <v>8</v>
      </c>
      <c r="W178" s="114" t="n">
        <v>9</v>
      </c>
    </row>
    <row r="179" customFormat="false" ht="15" hidden="false" customHeight="true" outlineLevel="0" collapsed="false">
      <c r="A179" s="102" t="s">
        <v>67</v>
      </c>
      <c r="B179" s="102" t="s">
        <v>493</v>
      </c>
      <c r="C179" s="109" t="s">
        <v>494</v>
      </c>
      <c r="D179" s="102" t="s">
        <v>495</v>
      </c>
      <c r="E179" s="102" t="s">
        <v>493</v>
      </c>
      <c r="F179" s="109" t="s">
        <v>494</v>
      </c>
      <c r="G179" s="102" t="s">
        <v>496</v>
      </c>
      <c r="H179" s="102" t="s">
        <v>477</v>
      </c>
      <c r="I179" s="102" t="s">
        <v>86</v>
      </c>
      <c r="J179" s="110" t="n">
        <v>2224284</v>
      </c>
      <c r="K179" s="117" t="s">
        <v>136</v>
      </c>
      <c r="L179" s="102" t="s">
        <v>137</v>
      </c>
      <c r="M179" s="102" t="s">
        <v>497</v>
      </c>
      <c r="N179" s="102" t="s">
        <v>234</v>
      </c>
      <c r="O179" s="111" t="n">
        <v>44056</v>
      </c>
      <c r="P179" s="112" t="n">
        <f aca="false">IFERROR(VLOOKUP(J179,'Obs Tecnicas'!$D:$I,5,0),O179)</f>
        <v>44424</v>
      </c>
      <c r="Q179" s="111" t="str">
        <f aca="true">IF(P179&lt;&gt;"",IF(P179+365&gt;TODAY(),"Calibrado","Vencido"),"")</f>
        <v>Calibrado</v>
      </c>
      <c r="R179" s="113" t="n">
        <f aca="false">IFERROR(VLOOKUP(J179,'Obs Tecnicas'!$D:$G,2,0),"")</f>
        <v>13458</v>
      </c>
      <c r="S179" s="102" t="str">
        <f aca="false">IFERROR(VLOOKUP(J179,'Obs Tecnicas'!$D:$G,3,0),"Hexis")</f>
        <v>ER ANALITICA</v>
      </c>
      <c r="T179" s="102" t="str">
        <f aca="false">IFERROR(VLOOKUP(J179,'Obs Tecnicas'!$D:$G,4,0),"")</f>
        <v>Equipamentos incluidos.</v>
      </c>
      <c r="U179" s="1" t="s">
        <v>27</v>
      </c>
      <c r="V179" s="114" t="n">
        <f aca="false">IF(P179&lt;&gt;"",MONTH(P179),"")</f>
        <v>8</v>
      </c>
      <c r="W179" s="114" t="n">
        <v>9</v>
      </c>
    </row>
    <row r="180" customFormat="false" ht="15" hidden="false" customHeight="true" outlineLevel="0" collapsed="false">
      <c r="A180" s="102" t="s">
        <v>67</v>
      </c>
      <c r="B180" s="102" t="s">
        <v>493</v>
      </c>
      <c r="C180" s="109" t="s">
        <v>494</v>
      </c>
      <c r="D180" s="102" t="s">
        <v>495</v>
      </c>
      <c r="E180" s="102" t="s">
        <v>493</v>
      </c>
      <c r="F180" s="109" t="s">
        <v>494</v>
      </c>
      <c r="G180" s="102" t="s">
        <v>496</v>
      </c>
      <c r="H180" s="102" t="s">
        <v>477</v>
      </c>
      <c r="I180" s="102" t="s">
        <v>86</v>
      </c>
      <c r="J180" s="110" t="n">
        <v>728690</v>
      </c>
      <c r="K180" s="117" t="s">
        <v>136</v>
      </c>
      <c r="L180" s="102" t="s">
        <v>137</v>
      </c>
      <c r="M180" s="102" t="s">
        <v>497</v>
      </c>
      <c r="N180" s="102" t="s">
        <v>234</v>
      </c>
      <c r="O180" s="111" t="n">
        <v>44056</v>
      </c>
      <c r="P180" s="112" t="n">
        <f aca="false">IFERROR(VLOOKUP(J180,'Obs Tecnicas'!$D:$I,5,0),O180)</f>
        <v>44424</v>
      </c>
      <c r="Q180" s="111" t="str">
        <f aca="true">IF(P180&lt;&gt;"",IF(P180+365&gt;TODAY(),"Calibrado","Vencido"),"")</f>
        <v>Calibrado</v>
      </c>
      <c r="R180" s="113" t="n">
        <f aca="false">IFERROR(VLOOKUP(J180,'Obs Tecnicas'!$D:$G,2,0),"")</f>
        <v>13438</v>
      </c>
      <c r="S180" s="102" t="str">
        <f aca="false">IFERROR(VLOOKUP(J180,'Obs Tecnicas'!$D:$G,3,0),"Hexis")</f>
        <v>ER ANALITICA</v>
      </c>
      <c r="T180" s="102" t="str">
        <f aca="false">IFERROR(VLOOKUP(J180,'Obs Tecnicas'!$D:$G,4,0),"")</f>
        <v>Mascara do teclado com avarias.</v>
      </c>
      <c r="U180" s="1" t="s">
        <v>27</v>
      </c>
      <c r="V180" s="114" t="n">
        <f aca="false">IF(P180&lt;&gt;"",MONTH(P180),"")</f>
        <v>8</v>
      </c>
      <c r="W180" s="114" t="n">
        <v>9</v>
      </c>
    </row>
    <row r="181" customFormat="false" ht="15" hidden="false" customHeight="true" outlineLevel="0" collapsed="false">
      <c r="A181" s="102" t="s">
        <v>67</v>
      </c>
      <c r="B181" s="102" t="s">
        <v>493</v>
      </c>
      <c r="C181" s="109" t="s">
        <v>494</v>
      </c>
      <c r="D181" s="102" t="s">
        <v>495</v>
      </c>
      <c r="E181" s="102" t="s">
        <v>493</v>
      </c>
      <c r="F181" s="109" t="s">
        <v>494</v>
      </c>
      <c r="G181" s="102" t="s">
        <v>496</v>
      </c>
      <c r="H181" s="102" t="s">
        <v>477</v>
      </c>
      <c r="I181" s="102" t="s">
        <v>75</v>
      </c>
      <c r="J181" s="110" t="s">
        <v>501</v>
      </c>
      <c r="K181" s="102" t="s">
        <v>81</v>
      </c>
      <c r="L181" s="102" t="s">
        <v>123</v>
      </c>
      <c r="M181" s="102" t="s">
        <v>497</v>
      </c>
      <c r="N181" s="102" t="s">
        <v>234</v>
      </c>
      <c r="O181" s="111" t="n">
        <v>44056</v>
      </c>
      <c r="P181" s="112" t="n">
        <f aca="false">IFERROR(VLOOKUP(J181,'Obs Tecnicas'!$D:$I,5,0),O181)</f>
        <v>44426</v>
      </c>
      <c r="Q181" s="111" t="str">
        <f aca="true">IF(P181&lt;&gt;"",IF(P181+365&gt;TODAY(),"Calibrado","Vencido"),"")</f>
        <v>Calibrado</v>
      </c>
      <c r="R181" s="113" t="n">
        <f aca="false">IFERROR(VLOOKUP(J181,'Obs Tecnicas'!$D:$G,2,0),"")</f>
        <v>13455</v>
      </c>
      <c r="S181" s="102" t="str">
        <f aca="false">IFERROR(VLOOKUP(J181,'Obs Tecnicas'!$D:$G,3,0),"Hexis")</f>
        <v>ER ANALITICA</v>
      </c>
      <c r="T181" s="102" t="n">
        <f aca="false">IFERROR(VLOOKUP(J181,'Obs Tecnicas'!$D:$G,4,0),"")</f>
        <v>0</v>
      </c>
      <c r="U181" s="1" t="s">
        <v>27</v>
      </c>
      <c r="V181" s="114" t="n">
        <f aca="false">IF(P181&lt;&gt;"",MONTH(P181),"")</f>
        <v>8</v>
      </c>
      <c r="W181" s="114" t="n">
        <v>9</v>
      </c>
    </row>
    <row r="182" customFormat="false" ht="15" hidden="false" customHeight="true" outlineLevel="0" collapsed="false">
      <c r="A182" s="102" t="s">
        <v>67</v>
      </c>
      <c r="B182" s="102" t="s">
        <v>493</v>
      </c>
      <c r="C182" s="109" t="s">
        <v>494</v>
      </c>
      <c r="D182" s="102" t="s">
        <v>495</v>
      </c>
      <c r="E182" s="102" t="s">
        <v>493</v>
      </c>
      <c r="F182" s="109" t="s">
        <v>494</v>
      </c>
      <c r="G182" s="102" t="s">
        <v>496</v>
      </c>
      <c r="H182" s="102" t="s">
        <v>477</v>
      </c>
      <c r="I182" s="102" t="s">
        <v>86</v>
      </c>
      <c r="J182" s="110" t="n">
        <v>2068717</v>
      </c>
      <c r="K182" s="117" t="s">
        <v>136</v>
      </c>
      <c r="L182" s="102" t="s">
        <v>137</v>
      </c>
      <c r="M182" s="102" t="s">
        <v>497</v>
      </c>
      <c r="N182" s="102" t="s">
        <v>234</v>
      </c>
      <c r="O182" s="111" t="n">
        <v>44057</v>
      </c>
      <c r="P182" s="112" t="n">
        <f aca="false">IFERROR(VLOOKUP(J182,'Obs Tecnicas'!$D:$I,5,0),O182)</f>
        <v>44424</v>
      </c>
      <c r="Q182" s="111" t="str">
        <f aca="true">IF(P182&lt;&gt;"",IF(P182+365&gt;TODAY(),"Calibrado","Vencido"),"")</f>
        <v>Calibrado</v>
      </c>
      <c r="R182" s="113" t="n">
        <f aca="false">IFERROR(VLOOKUP(J182,'Obs Tecnicas'!$D:$G,2,0),"")</f>
        <v>13451</v>
      </c>
      <c r="S182" s="102" t="str">
        <f aca="false">IFERROR(VLOOKUP(J182,'Obs Tecnicas'!$D:$G,3,0),"Hexis")</f>
        <v>ER ANALITICA</v>
      </c>
      <c r="T182" s="102" t="str">
        <f aca="false">IFERROR(VLOOKUP(J182,'Obs Tecnicas'!$D:$G,4,0),"")</f>
        <v>Mascara do teclado com avarias.</v>
      </c>
      <c r="U182" s="1" t="s">
        <v>27</v>
      </c>
      <c r="V182" s="114" t="n">
        <f aca="false">IF(P182&lt;&gt;"",MONTH(P182),"")</f>
        <v>8</v>
      </c>
      <c r="W182" s="114" t="n">
        <v>9</v>
      </c>
    </row>
    <row r="183" customFormat="false" ht="15" hidden="false" customHeight="true" outlineLevel="0" collapsed="false">
      <c r="A183" s="102" t="s">
        <v>67</v>
      </c>
      <c r="B183" s="102" t="s">
        <v>493</v>
      </c>
      <c r="C183" s="109" t="s">
        <v>494</v>
      </c>
      <c r="D183" s="102" t="s">
        <v>495</v>
      </c>
      <c r="E183" s="102" t="s">
        <v>493</v>
      </c>
      <c r="F183" s="109" t="s">
        <v>494</v>
      </c>
      <c r="G183" s="102" t="s">
        <v>496</v>
      </c>
      <c r="H183" s="102" t="s">
        <v>477</v>
      </c>
      <c r="I183" s="102" t="s">
        <v>86</v>
      </c>
      <c r="J183" s="110" t="n">
        <v>2905626</v>
      </c>
      <c r="K183" s="117" t="s">
        <v>136</v>
      </c>
      <c r="L183" s="131" t="s">
        <v>137</v>
      </c>
      <c r="M183" s="102" t="s">
        <v>497</v>
      </c>
      <c r="N183" s="102" t="s">
        <v>234</v>
      </c>
      <c r="O183" s="111"/>
      <c r="P183" s="112" t="n">
        <f aca="false">IFERROR(VLOOKUP(J183,'Obs Tecnicas'!$D:$I,5,0),O183)</f>
        <v>44424</v>
      </c>
      <c r="Q183" s="111" t="str">
        <f aca="true">IF(P183&lt;&gt;"",IF(P183+365&gt;TODAY(),"Calibrado","Vencido"),"")</f>
        <v>Calibrado</v>
      </c>
      <c r="R183" s="113" t="n">
        <f aca="false">IFERROR(VLOOKUP(J183,'Obs Tecnicas'!$D:$G,2,0),"")</f>
        <v>13450</v>
      </c>
      <c r="S183" s="102" t="str">
        <f aca="false">IFERROR(VLOOKUP(J183,'Obs Tecnicas'!$D:$G,3,0),"Hexis")</f>
        <v>ER ANALITICA</v>
      </c>
      <c r="T183" s="102" t="n">
        <f aca="false">IFERROR(VLOOKUP(J183,'Obs Tecnicas'!$D:$G,4,0),"")</f>
        <v>0</v>
      </c>
      <c r="U183" s="1" t="s">
        <v>27</v>
      </c>
      <c r="V183" s="114" t="n">
        <f aca="false">IF(P183&lt;&gt;"",MONTH(P183),"")</f>
        <v>8</v>
      </c>
      <c r="W183" s="114" t="n">
        <v>9</v>
      </c>
    </row>
    <row r="184" s="126" customFormat="true" ht="15" hidden="false" customHeight="true" outlineLevel="0" collapsed="false">
      <c r="A184" s="102" t="s">
        <v>67</v>
      </c>
      <c r="B184" s="102" t="s">
        <v>493</v>
      </c>
      <c r="C184" s="109" t="s">
        <v>494</v>
      </c>
      <c r="D184" s="102" t="s">
        <v>495</v>
      </c>
      <c r="E184" s="102" t="s">
        <v>493</v>
      </c>
      <c r="F184" s="109" t="s">
        <v>494</v>
      </c>
      <c r="G184" s="102" t="s">
        <v>496</v>
      </c>
      <c r="H184" s="102" t="s">
        <v>477</v>
      </c>
      <c r="I184" s="102" t="s">
        <v>86</v>
      </c>
      <c r="J184" s="110" t="n">
        <v>13034</v>
      </c>
      <c r="K184" s="102" t="s">
        <v>81</v>
      </c>
      <c r="L184" s="131" t="s">
        <v>274</v>
      </c>
      <c r="M184" s="102" t="s">
        <v>497</v>
      </c>
      <c r="N184" s="102" t="s">
        <v>234</v>
      </c>
      <c r="O184" s="111"/>
      <c r="P184" s="112" t="n">
        <f aca="false">IFERROR(VLOOKUP(J184,'Obs Tecnicas'!$D:$I,5,0),O184)</f>
        <v>44424</v>
      </c>
      <c r="Q184" s="111" t="str">
        <f aca="true">IF(P184&lt;&gt;"",IF(P184+365&gt;TODAY(),"Calibrado","Vencido"),"")</f>
        <v>Calibrado</v>
      </c>
      <c r="R184" s="113" t="n">
        <f aca="false">IFERROR(VLOOKUP(J184,'Obs Tecnicas'!$D:$G,2,0),"")</f>
        <v>13453</v>
      </c>
      <c r="S184" s="102" t="str">
        <f aca="false">IFERROR(VLOOKUP(J184,'Obs Tecnicas'!$D:$G,3,0),"Hexis")</f>
        <v>ER ANALITICA</v>
      </c>
      <c r="T184" s="102" t="n">
        <f aca="false">IFERROR(VLOOKUP(J184,'Obs Tecnicas'!$D:$G,4,0),"")</f>
        <v>0</v>
      </c>
      <c r="U184" s="1" t="s">
        <v>27</v>
      </c>
      <c r="V184" s="114" t="n">
        <f aca="false">IF(P184&lt;&gt;"",MONTH(P184),"")</f>
        <v>8</v>
      </c>
      <c r="W184" s="114" t="n">
        <v>9</v>
      </c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customFormat="false" ht="15" hidden="false" customHeight="true" outlineLevel="0" collapsed="false">
      <c r="A185" s="102" t="s">
        <v>67</v>
      </c>
      <c r="B185" s="102" t="s">
        <v>493</v>
      </c>
      <c r="C185" s="109" t="s">
        <v>494</v>
      </c>
      <c r="D185" s="102" t="s">
        <v>495</v>
      </c>
      <c r="E185" s="115" t="s">
        <v>493</v>
      </c>
      <c r="F185" s="109" t="s">
        <v>494</v>
      </c>
      <c r="G185" s="102" t="s">
        <v>496</v>
      </c>
      <c r="H185" s="102" t="s">
        <v>477</v>
      </c>
      <c r="I185" s="102" t="s">
        <v>86</v>
      </c>
      <c r="J185" s="110" t="n">
        <v>2905620</v>
      </c>
      <c r="K185" s="117" t="s">
        <v>136</v>
      </c>
      <c r="L185" s="131" t="s">
        <v>137</v>
      </c>
      <c r="M185" s="102" t="s">
        <v>497</v>
      </c>
      <c r="N185" s="102" t="s">
        <v>234</v>
      </c>
      <c r="O185" s="111"/>
      <c r="P185" s="112" t="n">
        <f aca="false">IFERROR(VLOOKUP(J185,'Obs Tecnicas'!$D:$I,5,0),O185)</f>
        <v>44424</v>
      </c>
      <c r="Q185" s="111" t="str">
        <f aca="true">IF(P185&lt;&gt;"",IF(P185+365&gt;TODAY(),"Calibrado","Vencido"),"")</f>
        <v>Calibrado</v>
      </c>
      <c r="R185" s="113" t="n">
        <f aca="false">IFERROR(VLOOKUP(J185,'Obs Tecnicas'!$D:$G,2,0),"")</f>
        <v>13454</v>
      </c>
      <c r="S185" s="102" t="str">
        <f aca="false">IFERROR(VLOOKUP(J185,'Obs Tecnicas'!$D:$G,3,0),"Hexis")</f>
        <v>ER ANALITICA</v>
      </c>
      <c r="T185" s="102" t="n">
        <f aca="false">IFERROR(VLOOKUP(J185,'Obs Tecnicas'!$D:$G,4,0),"")</f>
        <v>0</v>
      </c>
      <c r="U185" s="1" t="s">
        <v>27</v>
      </c>
      <c r="V185" s="114" t="n">
        <f aca="false">IF(P185&lt;&gt;"",MONTH(P185),"")</f>
        <v>8</v>
      </c>
      <c r="W185" s="114" t="n">
        <v>9</v>
      </c>
    </row>
    <row r="186" customFormat="false" ht="15" hidden="false" customHeight="true" outlineLevel="0" collapsed="false">
      <c r="A186" s="102" t="s">
        <v>67</v>
      </c>
      <c r="B186" s="102" t="s">
        <v>493</v>
      </c>
      <c r="C186" s="109" t="s">
        <v>494</v>
      </c>
      <c r="D186" s="102" t="s">
        <v>495</v>
      </c>
      <c r="E186" s="102" t="s">
        <v>493</v>
      </c>
      <c r="F186" s="109" t="s">
        <v>494</v>
      </c>
      <c r="G186" s="102" t="s">
        <v>496</v>
      </c>
      <c r="H186" s="102" t="s">
        <v>477</v>
      </c>
      <c r="I186" s="102" t="s">
        <v>217</v>
      </c>
      <c r="J186" s="110" t="n">
        <v>6263410</v>
      </c>
      <c r="K186" s="102" t="s">
        <v>84</v>
      </c>
      <c r="L186" s="61" t="s">
        <v>489</v>
      </c>
      <c r="M186" s="102" t="s">
        <v>497</v>
      </c>
      <c r="N186" s="102" t="s">
        <v>234</v>
      </c>
      <c r="O186" s="111"/>
      <c r="P186" s="112" t="n">
        <f aca="false">IFERROR(VLOOKUP(J186,'Obs Tecnicas'!$D:$I,5,0),O186)</f>
        <v>44424</v>
      </c>
      <c r="Q186" s="111" t="str">
        <f aca="true">IF(P186&lt;&gt;"",IF(P186+365&gt;TODAY(),"Calibrado","Vencido"),"")</f>
        <v>Calibrado</v>
      </c>
      <c r="R186" s="113" t="n">
        <f aca="false">IFERROR(VLOOKUP(J186,'Obs Tecnicas'!$D:$G,2,0),"")</f>
        <v>13437</v>
      </c>
      <c r="S186" s="102" t="str">
        <f aca="false">IFERROR(VLOOKUP(J186,'Obs Tecnicas'!$D:$G,3,0),"Hexis")</f>
        <v>ER ANALITICA</v>
      </c>
      <c r="T186" s="102" t="str">
        <f aca="false">IFERROR(VLOOKUP(J186,'Obs Tecnicas'!$D:$G,4,0),"")</f>
        <v> Equipamentos incluidos.</v>
      </c>
      <c r="U186" s="1" t="s">
        <v>27</v>
      </c>
      <c r="V186" s="114" t="n">
        <f aca="false">IF(P186&lt;&gt;"",MONTH(P186),"")</f>
        <v>8</v>
      </c>
      <c r="W186" s="114" t="n">
        <v>9</v>
      </c>
    </row>
    <row r="187" customFormat="false" ht="15" hidden="false" customHeight="true" outlineLevel="0" collapsed="false">
      <c r="A187" s="102" t="s">
        <v>67</v>
      </c>
      <c r="B187" s="102" t="s">
        <v>493</v>
      </c>
      <c r="C187" s="109" t="s">
        <v>494</v>
      </c>
      <c r="D187" s="102" t="s">
        <v>495</v>
      </c>
      <c r="E187" s="102" t="s">
        <v>493</v>
      </c>
      <c r="F187" s="109" t="s">
        <v>494</v>
      </c>
      <c r="G187" s="102" t="s">
        <v>496</v>
      </c>
      <c r="H187" s="102" t="s">
        <v>477</v>
      </c>
      <c r="I187" s="102" t="s">
        <v>101</v>
      </c>
      <c r="J187" s="110" t="n">
        <v>1397596</v>
      </c>
      <c r="K187" s="102" t="s">
        <v>81</v>
      </c>
      <c r="L187" s="102" t="s">
        <v>103</v>
      </c>
      <c r="M187" s="102" t="s">
        <v>497</v>
      </c>
      <c r="N187" s="102" t="s">
        <v>234</v>
      </c>
      <c r="O187" s="111"/>
      <c r="P187" s="112" t="n">
        <f aca="false">IFERROR(VLOOKUP(J187,'Obs Tecnicas'!$D:$I,5,0),O187)</f>
        <v>44424</v>
      </c>
      <c r="Q187" s="111" t="str">
        <f aca="true">IF(P187&lt;&gt;"",IF(P187+365&gt;TODAY(),"Calibrado","Vencido"),"")</f>
        <v>Calibrado</v>
      </c>
      <c r="R187" s="113" t="n">
        <f aca="false">IFERROR(VLOOKUP(J187,'Obs Tecnicas'!$D:$G,2,0),"")</f>
        <v>13448</v>
      </c>
      <c r="S187" s="102" t="str">
        <f aca="false">IFERROR(VLOOKUP(J187,'Obs Tecnicas'!$D:$G,3,0),"Hexis")</f>
        <v>ER ANALITICA</v>
      </c>
      <c r="T187" s="102" t="str">
        <f aca="false">IFERROR(VLOOKUP(J187,'Obs Tecnicas'!$D:$G,4,0),"")</f>
        <v>Bateria de litio com carga abaixo do recomendado pelo fabricante</v>
      </c>
      <c r="U187" s="1" t="s">
        <v>27</v>
      </c>
      <c r="V187" s="114" t="n">
        <f aca="false">IF(P187&lt;&gt;"",MONTH(P187),"")</f>
        <v>8</v>
      </c>
      <c r="W187" s="114" t="n">
        <v>9</v>
      </c>
    </row>
    <row r="188" customFormat="false" ht="15" hidden="false" customHeight="true" outlineLevel="0" collapsed="false">
      <c r="A188" s="102" t="s">
        <v>67</v>
      </c>
      <c r="B188" s="102" t="s">
        <v>502</v>
      </c>
      <c r="C188" s="109" t="s">
        <v>503</v>
      </c>
      <c r="D188" s="102" t="s">
        <v>504</v>
      </c>
      <c r="E188" s="102" t="s">
        <v>505</v>
      </c>
      <c r="F188" s="109" t="s">
        <v>506</v>
      </c>
      <c r="G188" s="102" t="s">
        <v>496</v>
      </c>
      <c r="H188" s="102" t="s">
        <v>477</v>
      </c>
      <c r="I188" s="102" t="s">
        <v>101</v>
      </c>
      <c r="J188" s="110" t="n">
        <v>150580001012</v>
      </c>
      <c r="K188" s="102" t="s">
        <v>81</v>
      </c>
      <c r="L188" s="102" t="s">
        <v>205</v>
      </c>
      <c r="M188" s="102" t="s">
        <v>507</v>
      </c>
      <c r="N188" s="102" t="s">
        <v>508</v>
      </c>
      <c r="O188" s="111" t="n">
        <v>44054</v>
      </c>
      <c r="P188" s="112" t="n">
        <f aca="false">IFERROR(VLOOKUP(J188,'Obs Tecnicas'!$D:$I,5,0),O188)</f>
        <v>44424</v>
      </c>
      <c r="Q188" s="111" t="str">
        <f aca="true">IF(P188&lt;&gt;"",IF(P188+365&gt;TODAY(),"Calibrado","Vencido"),"")</f>
        <v>Calibrado</v>
      </c>
      <c r="R188" s="113" t="n">
        <f aca="false">IFERROR(VLOOKUP(J188,'Obs Tecnicas'!$D:$G,2,0),"")</f>
        <v>13512</v>
      </c>
      <c r="S188" s="102" t="str">
        <f aca="false">IFERROR(VLOOKUP(J188,'Obs Tecnicas'!$D:$G,3,0),"Hexis")</f>
        <v>ER ANALITICA</v>
      </c>
      <c r="T188" s="102" t="str">
        <f aca="false">IFERROR(VLOOKUP(J188,'Obs Tecnicas'!$D:$G,4,0),"")</f>
        <v>Equipamentos incluidos.</v>
      </c>
      <c r="U188" s="1" t="s">
        <v>27</v>
      </c>
      <c r="V188" s="114" t="n">
        <f aca="false">IF(P188&lt;&gt;"",MONTH(P188),"")</f>
        <v>8</v>
      </c>
      <c r="W188" s="114" t="n">
        <v>9</v>
      </c>
    </row>
    <row r="189" customFormat="false" ht="15" hidden="false" customHeight="true" outlineLevel="0" collapsed="false">
      <c r="A189" s="102" t="s">
        <v>67</v>
      </c>
      <c r="B189" s="102" t="s">
        <v>502</v>
      </c>
      <c r="C189" s="109" t="s">
        <v>503</v>
      </c>
      <c r="D189" s="102" t="s">
        <v>504</v>
      </c>
      <c r="E189" s="102" t="s">
        <v>505</v>
      </c>
      <c r="F189" s="109" t="s">
        <v>506</v>
      </c>
      <c r="G189" s="102" t="s">
        <v>496</v>
      </c>
      <c r="H189" s="102" t="s">
        <v>477</v>
      </c>
      <c r="I189" s="102" t="s">
        <v>83</v>
      </c>
      <c r="J189" s="110" t="n">
        <v>21883</v>
      </c>
      <c r="K189" s="102" t="s">
        <v>84</v>
      </c>
      <c r="L189" s="102" t="s">
        <v>219</v>
      </c>
      <c r="M189" s="102" t="s">
        <v>507</v>
      </c>
      <c r="N189" s="102" t="s">
        <v>508</v>
      </c>
      <c r="O189" s="111" t="n">
        <v>44054</v>
      </c>
      <c r="P189" s="112" t="n">
        <f aca="false">IFERROR(VLOOKUP(J189,'Obs Tecnicas'!$D:$I,5,0),O189)</f>
        <v>44442</v>
      </c>
      <c r="Q189" s="111" t="str">
        <f aca="true">IF(P189&lt;&gt;"",IF(P189+365&gt;TODAY(),"Calibrado","Vencido"),"")</f>
        <v>Calibrado</v>
      </c>
      <c r="R189" s="113" t="n">
        <f aca="false">IFERROR(VLOOKUP(J189,'Obs Tecnicas'!$D:$G,2,0),"")</f>
        <v>13689</v>
      </c>
      <c r="S189" s="102" t="str">
        <f aca="false">IFERROR(VLOOKUP(J189,'Obs Tecnicas'!$D:$G,3,0),"Hexis")</f>
        <v>ER ANALITICA</v>
      </c>
      <c r="T189" s="102" t="n">
        <f aca="false">IFERROR(VLOOKUP(J189,'Obs Tecnicas'!$D:$G,4,0),"")</f>
        <v>0</v>
      </c>
      <c r="U189" s="1" t="s">
        <v>27</v>
      </c>
      <c r="V189" s="114" t="n">
        <f aca="false">IF(P189&lt;&gt;"",MONTH(P189),"")</f>
        <v>9</v>
      </c>
      <c r="W189" s="114" t="n">
        <v>11</v>
      </c>
    </row>
    <row r="190" customFormat="false" ht="15" hidden="false" customHeight="true" outlineLevel="0" collapsed="false">
      <c r="A190" s="102" t="s">
        <v>67</v>
      </c>
      <c r="B190" s="102" t="s">
        <v>502</v>
      </c>
      <c r="C190" s="109" t="s">
        <v>503</v>
      </c>
      <c r="D190" s="102" t="s">
        <v>504</v>
      </c>
      <c r="E190" s="102" t="s">
        <v>505</v>
      </c>
      <c r="F190" s="109" t="s">
        <v>506</v>
      </c>
      <c r="G190" s="102" t="s">
        <v>496</v>
      </c>
      <c r="H190" s="102" t="s">
        <v>477</v>
      </c>
      <c r="I190" s="102" t="s">
        <v>86</v>
      </c>
      <c r="J190" s="110" t="s">
        <v>509</v>
      </c>
      <c r="K190" s="102" t="s">
        <v>510</v>
      </c>
      <c r="L190" s="102" t="s">
        <v>511</v>
      </c>
      <c r="M190" s="102" t="s">
        <v>507</v>
      </c>
      <c r="N190" s="102" t="s">
        <v>508</v>
      </c>
      <c r="O190" s="111" t="n">
        <v>44054</v>
      </c>
      <c r="P190" s="112" t="n">
        <f aca="false">IFERROR(VLOOKUP(J190,'Obs Tecnicas'!$D:$I,5,0),O190)</f>
        <v>44442</v>
      </c>
      <c r="Q190" s="111" t="str">
        <f aca="true">IF(P190&lt;&gt;"",IF(P190+365&gt;TODAY(),"Calibrado","Vencido"),"")</f>
        <v>Calibrado</v>
      </c>
      <c r="R190" s="113" t="n">
        <f aca="false">IFERROR(VLOOKUP(J190,'Obs Tecnicas'!$D:$G,2,0),"")</f>
        <v>13691</v>
      </c>
      <c r="S190" s="102" t="str">
        <f aca="false">IFERROR(VLOOKUP(J190,'Obs Tecnicas'!$D:$G,3,0),"Hexis")</f>
        <v>ER ANALITICA</v>
      </c>
      <c r="T190" s="102" t="n">
        <f aca="false">IFERROR(VLOOKUP(J190,'Obs Tecnicas'!$D:$G,4,0),"")</f>
        <v>0</v>
      </c>
      <c r="U190" s="1" t="s">
        <v>27</v>
      </c>
      <c r="V190" s="114" t="n">
        <f aca="false">IF(P190&lt;&gt;"",MONTH(P190),"")</f>
        <v>9</v>
      </c>
      <c r="W190" s="114" t="n">
        <v>11</v>
      </c>
    </row>
    <row r="191" customFormat="false" ht="15" hidden="false" customHeight="true" outlineLevel="0" collapsed="false">
      <c r="A191" s="102" t="s">
        <v>67</v>
      </c>
      <c r="B191" s="102" t="s">
        <v>502</v>
      </c>
      <c r="C191" s="109" t="s">
        <v>503</v>
      </c>
      <c r="D191" s="102" t="s">
        <v>504</v>
      </c>
      <c r="E191" s="102" t="s">
        <v>505</v>
      </c>
      <c r="F191" s="109" t="s">
        <v>506</v>
      </c>
      <c r="G191" s="102" t="s">
        <v>496</v>
      </c>
      <c r="H191" s="102" t="s">
        <v>477</v>
      </c>
      <c r="I191" s="102" t="s">
        <v>86</v>
      </c>
      <c r="J191" s="110" t="s">
        <v>512</v>
      </c>
      <c r="K191" s="102" t="s">
        <v>510</v>
      </c>
      <c r="L191" s="102" t="s">
        <v>513</v>
      </c>
      <c r="M191" s="102" t="s">
        <v>507</v>
      </c>
      <c r="N191" s="102" t="s">
        <v>508</v>
      </c>
      <c r="O191" s="111" t="n">
        <v>44054</v>
      </c>
      <c r="P191" s="112" t="n">
        <f aca="false">IFERROR(VLOOKUP(J191,'Obs Tecnicas'!$D:$I,5,0),O191)</f>
        <v>44442</v>
      </c>
      <c r="Q191" s="111" t="str">
        <f aca="true">IF(P191&lt;&gt;"",IF(P191+365&gt;TODAY(),"Calibrado","Vencido"),"")</f>
        <v>Calibrado</v>
      </c>
      <c r="R191" s="113" t="n">
        <f aca="false">IFERROR(VLOOKUP(J191,'Obs Tecnicas'!$D:$G,2,0),"")</f>
        <v>13690</v>
      </c>
      <c r="S191" s="102" t="str">
        <f aca="false">IFERROR(VLOOKUP(J191,'Obs Tecnicas'!$D:$G,3,0),"Hexis")</f>
        <v>ER ANALITICA</v>
      </c>
      <c r="T191" s="102" t="str">
        <f aca="false">IFERROR(VLOOKUP(J191,'Obs Tecnicas'!$D:$G,4,0),"")</f>
        <v>Eletrôdo com vida útil avançada</v>
      </c>
      <c r="U191" s="1" t="s">
        <v>27</v>
      </c>
      <c r="V191" s="114" t="n">
        <f aca="false">IF(P191&lt;&gt;"",MONTH(P191),"")</f>
        <v>9</v>
      </c>
      <c r="W191" s="114" t="n">
        <v>3</v>
      </c>
    </row>
    <row r="192" customFormat="false" ht="15" hidden="false" customHeight="true" outlineLevel="0" collapsed="false">
      <c r="A192" s="102" t="s">
        <v>67</v>
      </c>
      <c r="B192" s="61" t="s">
        <v>502</v>
      </c>
      <c r="C192" s="132" t="s">
        <v>503</v>
      </c>
      <c r="D192" s="61" t="s">
        <v>504</v>
      </c>
      <c r="E192" s="102" t="s">
        <v>505</v>
      </c>
      <c r="F192" s="132" t="s">
        <v>506</v>
      </c>
      <c r="G192" s="61" t="s">
        <v>496</v>
      </c>
      <c r="H192" s="61" t="s">
        <v>477</v>
      </c>
      <c r="I192" s="102" t="s">
        <v>101</v>
      </c>
      <c r="J192" s="110" t="n">
        <v>200930003006</v>
      </c>
      <c r="K192" s="102" t="s">
        <v>81</v>
      </c>
      <c r="L192" s="102" t="s">
        <v>205</v>
      </c>
      <c r="M192" s="102" t="s">
        <v>507</v>
      </c>
      <c r="N192" s="61" t="s">
        <v>508</v>
      </c>
      <c r="O192" s="111" t="n">
        <v>44054</v>
      </c>
      <c r="P192" s="112" t="n">
        <f aca="false">IFERROR(VLOOKUP(J192,'Obs Tecnicas'!$D:$I,5,0),O192)</f>
        <v>44442</v>
      </c>
      <c r="Q192" s="111" t="str">
        <f aca="true">IF(P192&lt;&gt;"",IF(P192+365&gt;TODAY(),"Calibrado","Vencido"),"")</f>
        <v>Calibrado</v>
      </c>
      <c r="R192" s="113" t="n">
        <f aca="false">IFERROR(VLOOKUP(J192,'Obs Tecnicas'!$D:$G,2,0),"")</f>
        <v>13693</v>
      </c>
      <c r="S192" s="102" t="str">
        <f aca="false">IFERROR(VLOOKUP(J192,'Obs Tecnicas'!$D:$G,3,0),"Hexis")</f>
        <v>ER ANALITICA</v>
      </c>
      <c r="T192" s="102" t="n">
        <f aca="false">IFERROR(VLOOKUP(J192,'Obs Tecnicas'!$D:$G,4,0),"")</f>
        <v>0</v>
      </c>
      <c r="U192" s="1" t="s">
        <v>27</v>
      </c>
      <c r="V192" s="114" t="n">
        <f aca="false">IF(P192&lt;&gt;"",MONTH(P192),"")</f>
        <v>9</v>
      </c>
      <c r="W192" s="114" t="n">
        <v>3</v>
      </c>
    </row>
    <row r="193" s="126" customFormat="true" ht="15" hidden="false" customHeight="true" outlineLevel="0" collapsed="false">
      <c r="A193" s="102" t="s">
        <v>67</v>
      </c>
      <c r="B193" s="102" t="s">
        <v>502</v>
      </c>
      <c r="C193" s="109" t="s">
        <v>503</v>
      </c>
      <c r="D193" s="102" t="s">
        <v>504</v>
      </c>
      <c r="E193" s="102" t="s">
        <v>505</v>
      </c>
      <c r="F193" s="109" t="s">
        <v>506</v>
      </c>
      <c r="G193" s="102" t="s">
        <v>496</v>
      </c>
      <c r="H193" s="102" t="s">
        <v>477</v>
      </c>
      <c r="I193" s="102" t="s">
        <v>217</v>
      </c>
      <c r="J193" s="110" t="n">
        <v>4239783</v>
      </c>
      <c r="K193" s="102" t="s">
        <v>84</v>
      </c>
      <c r="L193" s="102" t="s">
        <v>364</v>
      </c>
      <c r="M193" s="102" t="s">
        <v>507</v>
      </c>
      <c r="N193" s="102" t="s">
        <v>508</v>
      </c>
      <c r="O193" s="111" t="n">
        <v>44054</v>
      </c>
      <c r="P193" s="112" t="n">
        <f aca="false">IFERROR(VLOOKUP(J193,'Obs Tecnicas'!$D:$I,5,0),O193)</f>
        <v>44442</v>
      </c>
      <c r="Q193" s="111" t="str">
        <f aca="true">IF(P193&lt;&gt;"",IF(P193+365&gt;TODAY(),"Calibrado","Vencido"),"")</f>
        <v>Calibrado</v>
      </c>
      <c r="R193" s="113" t="n">
        <f aca="false">IFERROR(VLOOKUP(J193,'Obs Tecnicas'!$D:$G,2,0),"")</f>
        <v>13760</v>
      </c>
      <c r="S193" s="102" t="str">
        <f aca="false">IFERROR(VLOOKUP(J193,'Obs Tecnicas'!$D:$G,3,0),"Hexis")</f>
        <v>ER ANALITICA</v>
      </c>
      <c r="T193" s="102" t="n">
        <f aca="false">IFERROR(VLOOKUP(J193,'Obs Tecnicas'!$D:$G,4,0),"")</f>
        <v>0</v>
      </c>
      <c r="U193" s="1" t="s">
        <v>27</v>
      </c>
      <c r="V193" s="114" t="n">
        <f aca="false">IF(P193&lt;&gt;"",MONTH(P193),"")</f>
        <v>9</v>
      </c>
      <c r="W193" s="114" t="n">
        <v>3</v>
      </c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="126" customFormat="true" ht="15" hidden="false" customHeight="true" outlineLevel="0" collapsed="false">
      <c r="A194" s="102" t="s">
        <v>67</v>
      </c>
      <c r="B194" s="102" t="s">
        <v>514</v>
      </c>
      <c r="C194" s="109" t="s">
        <v>515</v>
      </c>
      <c r="D194" s="102" t="s">
        <v>516</v>
      </c>
      <c r="E194" s="102" t="s">
        <v>339</v>
      </c>
      <c r="F194" s="109" t="s">
        <v>340</v>
      </c>
      <c r="G194" s="102" t="s">
        <v>346</v>
      </c>
      <c r="H194" s="102" t="s">
        <v>517</v>
      </c>
      <c r="I194" s="102" t="s">
        <v>79</v>
      </c>
      <c r="J194" s="110" t="s">
        <v>518</v>
      </c>
      <c r="K194" s="102" t="s">
        <v>81</v>
      </c>
      <c r="L194" s="119" t="s">
        <v>185</v>
      </c>
      <c r="M194" s="115" t="s">
        <v>519</v>
      </c>
      <c r="N194" s="102" t="s">
        <v>520</v>
      </c>
      <c r="O194" s="111" t="n">
        <v>44369</v>
      </c>
      <c r="P194" s="112" t="n">
        <f aca="false">IFERROR(VLOOKUP(J194,'Obs Tecnicas'!$D:$I,5,0),O194)</f>
        <v>44369</v>
      </c>
      <c r="Q194" s="111" t="str">
        <f aca="true">IF(P194&lt;&gt;"",IF(P194+365&gt;TODAY(),"Calibrado","Vencido"),"")</f>
        <v>Vencido</v>
      </c>
      <c r="R194" s="113" t="n">
        <f aca="false">IFERROR(VLOOKUP(J194,'Obs Tecnicas'!$D:$G,2,0),"")</f>
        <v>12612</v>
      </c>
      <c r="S194" s="102" t="str">
        <f aca="false">IFERROR(VLOOKUP(J194,'Obs Tecnicas'!$D:$G,3,0),"Hexis")</f>
        <v>ER ANALITICA</v>
      </c>
      <c r="T194" s="102" t="n">
        <f aca="false">IFERROR(VLOOKUP(J194,'Obs Tecnicas'!$D:$G,4,0),"")</f>
        <v>0</v>
      </c>
      <c r="U194" s="1" t="s">
        <v>28</v>
      </c>
      <c r="V194" s="114" t="n">
        <f aca="false">IF(P194&lt;&gt;"",MONTH(P194),"")</f>
        <v>6</v>
      </c>
      <c r="W194" s="114" t="n">
        <v>6</v>
      </c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="126" customFormat="true" ht="15" hidden="false" customHeight="true" outlineLevel="0" collapsed="false">
      <c r="A195" s="102" t="s">
        <v>67</v>
      </c>
      <c r="B195" s="102" t="s">
        <v>514</v>
      </c>
      <c r="C195" s="109" t="s">
        <v>515</v>
      </c>
      <c r="D195" s="102" t="s">
        <v>516</v>
      </c>
      <c r="E195" s="102" t="s">
        <v>339</v>
      </c>
      <c r="F195" s="109" t="s">
        <v>340</v>
      </c>
      <c r="G195" s="102" t="s">
        <v>346</v>
      </c>
      <c r="H195" s="102" t="s">
        <v>517</v>
      </c>
      <c r="I195" s="102" t="s">
        <v>217</v>
      </c>
      <c r="J195" s="110" t="s">
        <v>521</v>
      </c>
      <c r="K195" s="102" t="s">
        <v>84</v>
      </c>
      <c r="L195" s="102" t="s">
        <v>219</v>
      </c>
      <c r="M195" s="115" t="s">
        <v>519</v>
      </c>
      <c r="N195" s="102" t="s">
        <v>520</v>
      </c>
      <c r="O195" s="111" t="n">
        <v>44369</v>
      </c>
      <c r="P195" s="112" t="n">
        <f aca="false">IFERROR(VLOOKUP(J195,'Obs Tecnicas'!$D:$I,5,0),O195)</f>
        <v>44369</v>
      </c>
      <c r="Q195" s="111" t="str">
        <f aca="true">IF(P195&lt;&gt;"",IF(P195+365&gt;TODAY(),"Calibrado","Vencido"),"")</f>
        <v>Vencido</v>
      </c>
      <c r="R195" s="113" t="n">
        <f aca="false">IFERROR(VLOOKUP(J195,'Obs Tecnicas'!$D:$G,2,0),"")</f>
        <v>12613</v>
      </c>
      <c r="S195" s="102" t="str">
        <f aca="false">IFERROR(VLOOKUP(J195,'Obs Tecnicas'!$D:$G,3,0),"Hexis")</f>
        <v>ER ANALITICA</v>
      </c>
      <c r="T195" s="102" t="n">
        <f aca="false">IFERROR(VLOOKUP(J195,'Obs Tecnicas'!$D:$G,4,0),"")</f>
        <v>0</v>
      </c>
      <c r="U195" s="1" t="s">
        <v>28</v>
      </c>
      <c r="V195" s="114" t="n">
        <f aca="false">IF(P195&lt;&gt;"",MONTH(P195),"")</f>
        <v>6</v>
      </c>
      <c r="W195" s="114" t="n">
        <v>6</v>
      </c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="48" customFormat="true" ht="15" hidden="false" customHeight="false" outlineLevel="0" collapsed="false">
      <c r="A196" s="102" t="s">
        <v>67</v>
      </c>
      <c r="B196" s="102" t="s">
        <v>514</v>
      </c>
      <c r="C196" s="109" t="s">
        <v>515</v>
      </c>
      <c r="D196" s="102" t="s">
        <v>516</v>
      </c>
      <c r="E196" s="102" t="s">
        <v>339</v>
      </c>
      <c r="F196" s="109" t="s">
        <v>340</v>
      </c>
      <c r="G196" s="102" t="s">
        <v>346</v>
      </c>
      <c r="H196" s="102" t="s">
        <v>517</v>
      </c>
      <c r="I196" s="102" t="s">
        <v>217</v>
      </c>
      <c r="J196" s="110" t="s">
        <v>522</v>
      </c>
      <c r="K196" s="102" t="s">
        <v>84</v>
      </c>
      <c r="L196" s="102" t="s">
        <v>219</v>
      </c>
      <c r="M196" s="115" t="s">
        <v>519</v>
      </c>
      <c r="N196" s="102" t="s">
        <v>520</v>
      </c>
      <c r="O196" s="111" t="n">
        <v>44369</v>
      </c>
      <c r="P196" s="112" t="n">
        <f aca="false">IFERROR(VLOOKUP(J196,'Obs Tecnicas'!$D:$I,5,0),O196)</f>
        <v>44369</v>
      </c>
      <c r="Q196" s="111" t="str">
        <f aca="true">IF(P196&lt;&gt;"",IF(P196+365&gt;TODAY(),"Calibrado","Vencido"),"")</f>
        <v>Vencido</v>
      </c>
      <c r="R196" s="113" t="n">
        <f aca="false">IFERROR(VLOOKUP(J196,'Obs Tecnicas'!$D:$G,2,0),"")</f>
        <v>12614</v>
      </c>
      <c r="S196" s="102" t="str">
        <f aca="false">IFERROR(VLOOKUP(J196,'Obs Tecnicas'!$D:$G,3,0),"Hexis")</f>
        <v>ER ANALITICA</v>
      </c>
      <c r="T196" s="102" t="n">
        <f aca="false">IFERROR(VLOOKUP(J196,'Obs Tecnicas'!$D:$G,4,0),"")</f>
        <v>0</v>
      </c>
      <c r="U196" s="1" t="s">
        <v>28</v>
      </c>
      <c r="V196" s="114" t="n">
        <f aca="false">IF(P196&lt;&gt;"",MONTH(P196),"")</f>
        <v>6</v>
      </c>
      <c r="W196" s="114" t="n">
        <v>6</v>
      </c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customFormat="false" ht="15" hidden="false" customHeight="true" outlineLevel="0" collapsed="false">
      <c r="A197" s="102" t="s">
        <v>67</v>
      </c>
      <c r="B197" s="115" t="s">
        <v>514</v>
      </c>
      <c r="C197" s="109" t="s">
        <v>515</v>
      </c>
      <c r="D197" s="102" t="s">
        <v>516</v>
      </c>
      <c r="E197" s="102" t="s">
        <v>339</v>
      </c>
      <c r="F197" s="109" t="s">
        <v>340</v>
      </c>
      <c r="G197" s="102" t="s">
        <v>346</v>
      </c>
      <c r="H197" s="115" t="s">
        <v>517</v>
      </c>
      <c r="I197" s="102" t="s">
        <v>217</v>
      </c>
      <c r="J197" s="110" t="s">
        <v>523</v>
      </c>
      <c r="K197" s="102" t="s">
        <v>84</v>
      </c>
      <c r="L197" s="102" t="s">
        <v>219</v>
      </c>
      <c r="M197" s="115" t="s">
        <v>519</v>
      </c>
      <c r="N197" s="115" t="s">
        <v>520</v>
      </c>
      <c r="O197" s="111" t="n">
        <v>44369</v>
      </c>
      <c r="P197" s="112" t="n">
        <f aca="false">IFERROR(VLOOKUP(J197,'Obs Tecnicas'!$D:$I,5,0),O197)</f>
        <v>44369</v>
      </c>
      <c r="Q197" s="111" t="str">
        <f aca="true">IF(P197&lt;&gt;"",IF(P197+365&gt;TODAY(),"Calibrado","Vencido"),"")</f>
        <v>Vencido</v>
      </c>
      <c r="R197" s="113" t="n">
        <f aca="false">IFERROR(VLOOKUP(J197,'Obs Tecnicas'!$D:$G,2,0),"")</f>
        <v>12617</v>
      </c>
      <c r="S197" s="102" t="str">
        <f aca="false">IFERROR(VLOOKUP(J197,'Obs Tecnicas'!$D:$G,3,0),"Hexis")</f>
        <v>ER ANALITICA</v>
      </c>
      <c r="T197" s="102" t="n">
        <f aca="false">IFERROR(VLOOKUP(J197,'Obs Tecnicas'!$D:$G,4,0),"")</f>
        <v>0</v>
      </c>
      <c r="U197" s="1" t="s">
        <v>28</v>
      </c>
      <c r="V197" s="114" t="n">
        <f aca="false">IF(P197&lt;&gt;"",MONTH(P197),"")</f>
        <v>6</v>
      </c>
      <c r="W197" s="114" t="n">
        <v>6</v>
      </c>
    </row>
    <row r="198" customFormat="false" ht="15" hidden="false" customHeight="true" outlineLevel="0" collapsed="false">
      <c r="A198" s="102" t="s">
        <v>67</v>
      </c>
      <c r="B198" s="115" t="s">
        <v>514</v>
      </c>
      <c r="C198" s="109" t="s">
        <v>515</v>
      </c>
      <c r="D198" s="102" t="s">
        <v>516</v>
      </c>
      <c r="E198" s="102" t="s">
        <v>339</v>
      </c>
      <c r="F198" s="109" t="s">
        <v>340</v>
      </c>
      <c r="G198" s="102" t="s">
        <v>346</v>
      </c>
      <c r="H198" s="115" t="s">
        <v>517</v>
      </c>
      <c r="I198" s="102" t="s">
        <v>217</v>
      </c>
      <c r="J198" s="110" t="s">
        <v>524</v>
      </c>
      <c r="K198" s="102" t="s">
        <v>84</v>
      </c>
      <c r="L198" s="115" t="s">
        <v>219</v>
      </c>
      <c r="M198" s="115" t="s">
        <v>519</v>
      </c>
      <c r="N198" s="115" t="s">
        <v>520</v>
      </c>
      <c r="O198" s="111" t="n">
        <v>44369</v>
      </c>
      <c r="P198" s="112" t="n">
        <f aca="false">IFERROR(VLOOKUP(J198,'Obs Tecnicas'!$D:$I,5,0),O198)</f>
        <v>44369</v>
      </c>
      <c r="Q198" s="111" t="str">
        <f aca="true">IF(P198&lt;&gt;"",IF(P198+365&gt;TODAY(),"Calibrado","Vencido"),"")</f>
        <v>Vencido</v>
      </c>
      <c r="R198" s="113" t="n">
        <f aca="false">IFERROR(VLOOKUP(J198,'Obs Tecnicas'!$D:$G,2,0),"")</f>
        <v>12618</v>
      </c>
      <c r="S198" s="102" t="str">
        <f aca="false">IFERROR(VLOOKUP(J198,'Obs Tecnicas'!$D:$G,3,0),"Hexis")</f>
        <v>ER ANALITICA</v>
      </c>
      <c r="T198" s="102" t="n">
        <f aca="false">IFERROR(VLOOKUP(J198,'Obs Tecnicas'!$D:$G,4,0),"")</f>
        <v>0</v>
      </c>
      <c r="U198" s="1" t="s">
        <v>28</v>
      </c>
      <c r="V198" s="114" t="n">
        <f aca="false">IF(P198&lt;&gt;"",MONTH(P198),"")</f>
        <v>6</v>
      </c>
      <c r="W198" s="114" t="n">
        <v>6</v>
      </c>
    </row>
    <row r="199" customFormat="false" ht="15" hidden="false" customHeight="true" outlineLevel="0" collapsed="false">
      <c r="A199" s="102" t="s">
        <v>67</v>
      </c>
      <c r="B199" s="115" t="s">
        <v>514</v>
      </c>
      <c r="C199" s="109" t="s">
        <v>515</v>
      </c>
      <c r="D199" s="102" t="s">
        <v>516</v>
      </c>
      <c r="E199" s="102" t="s">
        <v>339</v>
      </c>
      <c r="F199" s="109" t="s">
        <v>340</v>
      </c>
      <c r="G199" s="102" t="s">
        <v>346</v>
      </c>
      <c r="H199" s="115" t="s">
        <v>517</v>
      </c>
      <c r="I199" s="102" t="s">
        <v>217</v>
      </c>
      <c r="J199" s="110" t="s">
        <v>525</v>
      </c>
      <c r="K199" s="102" t="s">
        <v>84</v>
      </c>
      <c r="L199" s="115" t="s">
        <v>219</v>
      </c>
      <c r="M199" s="115" t="s">
        <v>519</v>
      </c>
      <c r="N199" s="115" t="s">
        <v>520</v>
      </c>
      <c r="O199" s="111" t="n">
        <v>44369</v>
      </c>
      <c r="P199" s="112" t="n">
        <f aca="false">IFERROR(VLOOKUP(J199,'Obs Tecnicas'!$D:$I,5,0),O199)</f>
        <v>44369</v>
      </c>
      <c r="Q199" s="111" t="str">
        <f aca="true">IF(P199&lt;&gt;"",IF(P199+365&gt;TODAY(),"Calibrado","Vencido"),"")</f>
        <v>Vencido</v>
      </c>
      <c r="R199" s="113" t="n">
        <f aca="false">IFERROR(VLOOKUP(J199,'Obs Tecnicas'!$D:$G,2,0),"")</f>
        <v>12616</v>
      </c>
      <c r="S199" s="102" t="str">
        <f aca="false">IFERROR(VLOOKUP(J199,'Obs Tecnicas'!$D:$G,3,0),"Hexis")</f>
        <v>ER ANALITICA</v>
      </c>
      <c r="T199" s="102" t="str">
        <f aca="false">IFERROR(VLOOKUP(J199,'Obs Tecnicas'!$D:$G,4,0),"")</f>
        <v>eletrodo de pH lento, recomendável a troca</v>
      </c>
      <c r="U199" s="1" t="s">
        <v>28</v>
      </c>
      <c r="V199" s="114" t="n">
        <f aca="false">IF(P199&lt;&gt;"",MONTH(P199),"")</f>
        <v>6</v>
      </c>
      <c r="W199" s="114" t="n">
        <v>6</v>
      </c>
    </row>
    <row r="200" customFormat="false" ht="15" hidden="false" customHeight="true" outlineLevel="0" collapsed="false">
      <c r="A200" s="102" t="s">
        <v>67</v>
      </c>
      <c r="B200" s="115" t="s">
        <v>514</v>
      </c>
      <c r="C200" s="109" t="s">
        <v>515</v>
      </c>
      <c r="D200" s="102" t="s">
        <v>516</v>
      </c>
      <c r="E200" s="102" t="s">
        <v>339</v>
      </c>
      <c r="F200" s="109" t="s">
        <v>340</v>
      </c>
      <c r="G200" s="102" t="s">
        <v>346</v>
      </c>
      <c r="H200" s="115" t="s">
        <v>517</v>
      </c>
      <c r="I200" s="102" t="s">
        <v>217</v>
      </c>
      <c r="J200" s="110" t="s">
        <v>526</v>
      </c>
      <c r="K200" s="102" t="s">
        <v>84</v>
      </c>
      <c r="L200" s="102" t="s">
        <v>219</v>
      </c>
      <c r="M200" s="115" t="s">
        <v>519</v>
      </c>
      <c r="N200" s="115" t="s">
        <v>520</v>
      </c>
      <c r="O200" s="111" t="n">
        <v>44369</v>
      </c>
      <c r="P200" s="112" t="n">
        <f aca="false">IFERROR(VLOOKUP(J200,'Obs Tecnicas'!$D:$I,5,0),O200)</f>
        <v>44369</v>
      </c>
      <c r="Q200" s="111" t="str">
        <f aca="true">IF(P200&lt;&gt;"",IF(P200+365&gt;TODAY(),"Calibrado","Vencido"),"")</f>
        <v>Vencido</v>
      </c>
      <c r="R200" s="113" t="n">
        <f aca="false">IFERROR(VLOOKUP(J200,'Obs Tecnicas'!$D:$G,2,0),"")</f>
        <v>12615</v>
      </c>
      <c r="S200" s="102" t="str">
        <f aca="false">IFERROR(VLOOKUP(J200,'Obs Tecnicas'!$D:$G,3,0),"Hexis")</f>
        <v>ER ANALITICA</v>
      </c>
      <c r="T200" s="102" t="n">
        <f aca="false">IFERROR(VLOOKUP(J200,'Obs Tecnicas'!$D:$G,4,0),"")</f>
        <v>0</v>
      </c>
      <c r="U200" s="1" t="s">
        <v>28</v>
      </c>
      <c r="V200" s="114" t="n">
        <f aca="false">IF(P200&lt;&gt;"",MONTH(P200),"")</f>
        <v>6</v>
      </c>
      <c r="W200" s="114" t="n">
        <v>6</v>
      </c>
    </row>
    <row r="201" customFormat="false" ht="15" hidden="false" customHeight="true" outlineLevel="0" collapsed="false">
      <c r="A201" s="102" t="s">
        <v>67</v>
      </c>
      <c r="B201" s="115" t="s">
        <v>527</v>
      </c>
      <c r="C201" s="109" t="s">
        <v>528</v>
      </c>
      <c r="D201" s="102" t="s">
        <v>529</v>
      </c>
      <c r="E201" s="102" t="s">
        <v>530</v>
      </c>
      <c r="F201" s="109" t="s">
        <v>531</v>
      </c>
      <c r="G201" s="102" t="s">
        <v>97</v>
      </c>
      <c r="H201" s="115" t="s">
        <v>532</v>
      </c>
      <c r="I201" s="102" t="s">
        <v>86</v>
      </c>
      <c r="J201" s="110" t="n">
        <v>585193</v>
      </c>
      <c r="K201" s="117" t="s">
        <v>136</v>
      </c>
      <c r="L201" s="115" t="s">
        <v>137</v>
      </c>
      <c r="M201" s="115" t="s">
        <v>533</v>
      </c>
      <c r="N201" s="115" t="s">
        <v>78</v>
      </c>
      <c r="O201" s="111"/>
      <c r="P201" s="112" t="n">
        <f aca="false">IFERROR(VLOOKUP(J201,'Obs Tecnicas'!$D:$I,5,0),O201)</f>
        <v>44733</v>
      </c>
      <c r="Q201" s="111" t="str">
        <f aca="true">IF(P201&lt;&gt;"",IF(P201+365&gt;TODAY(),"Calibrado","Vencido"),"")</f>
        <v>Calibrado</v>
      </c>
      <c r="R201" s="113" t="n">
        <f aca="false">IFERROR(VLOOKUP(J201,'Obs Tecnicas'!$D:$G,2,0),"")</f>
        <v>16933</v>
      </c>
      <c r="S201" s="102" t="str">
        <f aca="false">IFERROR(VLOOKUP(J201,'Obs Tecnicas'!$D:$G,3,0),"Hexis")</f>
        <v>ER ANALITICA</v>
      </c>
      <c r="T201" s="102" t="n">
        <f aca="false">IFERROR(VLOOKUP(J201,'Obs Tecnicas'!$D:$G,4,0),"")</f>
        <v>0</v>
      </c>
      <c r="U201" s="1" t="s">
        <v>344</v>
      </c>
      <c r="V201" s="114" t="n">
        <f aca="false">IF(P201&lt;&gt;"",MONTH(P201),"")</f>
        <v>6</v>
      </c>
      <c r="W201" s="114" t="n">
        <v>8</v>
      </c>
      <c r="AO201" s="130"/>
    </row>
    <row r="202" customFormat="false" ht="15" hidden="false" customHeight="true" outlineLevel="0" collapsed="false">
      <c r="A202" s="48" t="s">
        <v>67</v>
      </c>
      <c r="B202" s="115" t="s">
        <v>527</v>
      </c>
      <c r="C202" s="109" t="s">
        <v>528</v>
      </c>
      <c r="D202" s="102" t="s">
        <v>529</v>
      </c>
      <c r="E202" s="102" t="s">
        <v>530</v>
      </c>
      <c r="F202" s="109" t="s">
        <v>531</v>
      </c>
      <c r="G202" s="102" t="s">
        <v>97</v>
      </c>
      <c r="H202" s="133" t="s">
        <v>532</v>
      </c>
      <c r="I202" s="102" t="s">
        <v>83</v>
      </c>
      <c r="J202" s="110" t="n">
        <v>410580</v>
      </c>
      <c r="K202" s="48" t="s">
        <v>534</v>
      </c>
      <c r="L202" s="133" t="s">
        <v>85</v>
      </c>
      <c r="M202" s="115" t="s">
        <v>533</v>
      </c>
      <c r="N202" s="115" t="s">
        <v>78</v>
      </c>
      <c r="O202" s="125" t="n">
        <v>43977</v>
      </c>
      <c r="P202" s="112" t="n">
        <f aca="false">IFERROR(VLOOKUP(J202,'Obs Tecnicas'!$D:$I,5,0),O202)</f>
        <v>44733</v>
      </c>
      <c r="Q202" s="111" t="str">
        <f aca="true">IF(P202&lt;&gt;"",IF(P202+365&gt;TODAY(),"Calibrado","Vencido"),"")</f>
        <v>Calibrado</v>
      </c>
      <c r="R202" s="113" t="n">
        <f aca="false">IFERROR(VLOOKUP(J202,'Obs Tecnicas'!$D:$G,2,0),"")</f>
        <v>16955</v>
      </c>
      <c r="S202" s="102" t="str">
        <f aca="false">IFERROR(VLOOKUP(J202,'Obs Tecnicas'!$D:$G,3,0),"Hexis")</f>
        <v>ER ANALITICA</v>
      </c>
      <c r="T202" s="102" t="n">
        <f aca="false">IFERROR(VLOOKUP(J202,'Obs Tecnicas'!$D:$G,4,0),"")</f>
        <v>0</v>
      </c>
      <c r="U202" s="1" t="s">
        <v>344</v>
      </c>
      <c r="V202" s="114" t="n">
        <f aca="false">IF(P202&lt;&gt;"",MONTH(P202),"")</f>
        <v>6</v>
      </c>
      <c r="W202" s="134" t="n">
        <v>6</v>
      </c>
      <c r="AO202" s="130"/>
    </row>
    <row r="203" customFormat="false" ht="15" hidden="false" customHeight="true" outlineLevel="0" collapsed="false">
      <c r="A203" s="102" t="s">
        <v>67</v>
      </c>
      <c r="B203" s="115" t="s">
        <v>535</v>
      </c>
      <c r="C203" s="109" t="s">
        <v>536</v>
      </c>
      <c r="D203" s="122" t="s">
        <v>537</v>
      </c>
      <c r="E203" s="102" t="s">
        <v>538</v>
      </c>
      <c r="F203" s="109" t="s">
        <v>539</v>
      </c>
      <c r="G203" s="102" t="s">
        <v>326</v>
      </c>
      <c r="H203" s="115" t="s">
        <v>532</v>
      </c>
      <c r="I203" s="102" t="s">
        <v>101</v>
      </c>
      <c r="J203" s="110" t="s">
        <v>540</v>
      </c>
      <c r="K203" s="102" t="s">
        <v>81</v>
      </c>
      <c r="L203" s="115" t="s">
        <v>205</v>
      </c>
      <c r="M203" s="115" t="s">
        <v>541</v>
      </c>
      <c r="N203" s="115" t="s">
        <v>423</v>
      </c>
      <c r="O203" s="111" t="n">
        <v>44001</v>
      </c>
      <c r="P203" s="112" t="n">
        <f aca="false">IFERROR(VLOOKUP(J203,'Obs Tecnicas'!$D:$I,5,0),O203)</f>
        <v>44420</v>
      </c>
      <c r="Q203" s="111" t="str">
        <f aca="true">IF(P203&lt;&gt;"",IF(P203+365&gt;TODAY(),"Calibrado","Vencido"),"")</f>
        <v>Calibrado</v>
      </c>
      <c r="R203" s="113" t="n">
        <f aca="false">IFERROR(VLOOKUP(J203,'Obs Tecnicas'!$D:$G,2,0),"")</f>
        <v>13302</v>
      </c>
      <c r="S203" s="102" t="str">
        <f aca="false">IFERROR(VLOOKUP(J203,'Obs Tecnicas'!$D:$G,3,0),"Hexis")</f>
        <v>ER ANALITICA</v>
      </c>
      <c r="T203" s="102" t="str">
        <f aca="false">IFERROR(VLOOKUP(J203,'Obs Tecnicas'!$D:$G,4,0),"")</f>
        <v> Carcaça superior com avarias. Necessário a troca</v>
      </c>
      <c r="U203" s="1" t="s">
        <v>28</v>
      </c>
      <c r="V203" s="114" t="n">
        <f aca="false">IF(P203&lt;&gt;"",MONTH(P203),"")</f>
        <v>8</v>
      </c>
      <c r="W203" s="114" t="n">
        <v>3</v>
      </c>
      <c r="AO203" s="130"/>
    </row>
    <row r="204" customFormat="false" ht="15" hidden="false" customHeight="true" outlineLevel="0" collapsed="false">
      <c r="A204" s="102" t="s">
        <v>67</v>
      </c>
      <c r="B204" s="115" t="s">
        <v>542</v>
      </c>
      <c r="C204" s="109" t="s">
        <v>543</v>
      </c>
      <c r="D204" s="102" t="s">
        <v>544</v>
      </c>
      <c r="E204" s="102" t="s">
        <v>545</v>
      </c>
      <c r="F204" s="109" t="s">
        <v>546</v>
      </c>
      <c r="G204" s="102" t="s">
        <v>547</v>
      </c>
      <c r="H204" s="115" t="s">
        <v>532</v>
      </c>
      <c r="I204" s="102" t="s">
        <v>83</v>
      </c>
      <c r="J204" s="110" t="n">
        <v>4220739</v>
      </c>
      <c r="K204" s="102" t="s">
        <v>84</v>
      </c>
      <c r="L204" s="115" t="s">
        <v>85</v>
      </c>
      <c r="M204" s="115" t="s">
        <v>548</v>
      </c>
      <c r="N204" s="115" t="s">
        <v>384</v>
      </c>
      <c r="O204" s="111" t="n">
        <v>43979</v>
      </c>
      <c r="P204" s="112" t="n">
        <f aca="false">IFERROR(VLOOKUP(J204,'Obs Tecnicas'!$D:$I,5,0),O204)</f>
        <v>44725</v>
      </c>
      <c r="Q204" s="111" t="str">
        <f aca="true">IF(P204&lt;&gt;"",IF(P204+365&gt;TODAY(),"Calibrado","Vencido"),"")</f>
        <v>Calibrado</v>
      </c>
      <c r="R204" s="113" t="n">
        <f aca="false">IFERROR(VLOOKUP(J204,'Obs Tecnicas'!$D:$G,2,0),"")</f>
        <v>16806</v>
      </c>
      <c r="S204" s="102" t="str">
        <f aca="false">IFERROR(VLOOKUP(J204,'Obs Tecnicas'!$D:$G,3,0),"Hexis")</f>
        <v>ER ANALITICA</v>
      </c>
      <c r="T204" s="102" t="n">
        <f aca="false">IFERROR(VLOOKUP(J204,'Obs Tecnicas'!$D:$G,4,0),"")</f>
        <v>0</v>
      </c>
      <c r="U204" s="1" t="s">
        <v>344</v>
      </c>
      <c r="V204" s="114" t="n">
        <f aca="false">IF(P204&lt;&gt;"",MONTH(P204),"")</f>
        <v>6</v>
      </c>
      <c r="W204" s="114" t="n">
        <v>3</v>
      </c>
      <c r="AO204" s="130"/>
    </row>
    <row r="205" customFormat="false" ht="15" hidden="false" customHeight="true" outlineLevel="0" collapsed="false">
      <c r="A205" s="102" t="s">
        <v>67</v>
      </c>
      <c r="B205" s="115" t="s">
        <v>542</v>
      </c>
      <c r="C205" s="109" t="s">
        <v>543</v>
      </c>
      <c r="D205" s="102" t="s">
        <v>544</v>
      </c>
      <c r="E205" s="102" t="s">
        <v>545</v>
      </c>
      <c r="F205" s="109" t="s">
        <v>546</v>
      </c>
      <c r="G205" s="102" t="s">
        <v>547</v>
      </c>
      <c r="H205" s="115" t="s">
        <v>532</v>
      </c>
      <c r="I205" s="102" t="s">
        <v>83</v>
      </c>
      <c r="J205" s="110" t="n">
        <v>4211535</v>
      </c>
      <c r="K205" s="102" t="s">
        <v>84</v>
      </c>
      <c r="L205" s="115" t="s">
        <v>85</v>
      </c>
      <c r="M205" s="115" t="s">
        <v>548</v>
      </c>
      <c r="N205" s="115" t="s">
        <v>384</v>
      </c>
      <c r="O205" s="111" t="n">
        <v>43979</v>
      </c>
      <c r="P205" s="112" t="n">
        <f aca="false">IFERROR(VLOOKUP(J205,'Obs Tecnicas'!$D:$I,5,0),O205)</f>
        <v>44725</v>
      </c>
      <c r="Q205" s="111" t="str">
        <f aca="true">IF(P205&lt;&gt;"",IF(P205+365&gt;TODAY(),"Calibrado","Vencido"),"")</f>
        <v>Calibrado</v>
      </c>
      <c r="R205" s="113" t="n">
        <f aca="false">IFERROR(VLOOKUP(J205,'Obs Tecnicas'!$D:$G,2,0),"")</f>
        <v>16805</v>
      </c>
      <c r="S205" s="102" t="str">
        <f aca="false">IFERROR(VLOOKUP(J205,'Obs Tecnicas'!$D:$G,3,0),"Hexis")</f>
        <v>ER ANALITICA</v>
      </c>
      <c r="T205" s="102" t="n">
        <f aca="false">IFERROR(VLOOKUP(J205,'Obs Tecnicas'!$D:$G,4,0),"")</f>
        <v>0</v>
      </c>
      <c r="U205" s="1" t="s">
        <v>344</v>
      </c>
      <c r="V205" s="114" t="n">
        <f aca="false">IF(P205&lt;&gt;"",MONTH(P205),"")</f>
        <v>6</v>
      </c>
      <c r="W205" s="114" t="n">
        <v>5</v>
      </c>
      <c r="AO205" s="130"/>
    </row>
    <row r="206" customFormat="false" ht="15" hidden="false" customHeight="true" outlineLevel="0" collapsed="false">
      <c r="A206" s="102" t="s">
        <v>67</v>
      </c>
      <c r="B206" s="115" t="s">
        <v>542</v>
      </c>
      <c r="C206" s="109" t="s">
        <v>543</v>
      </c>
      <c r="D206" s="102" t="s">
        <v>544</v>
      </c>
      <c r="E206" s="102" t="s">
        <v>545</v>
      </c>
      <c r="F206" s="109" t="s">
        <v>546</v>
      </c>
      <c r="G206" s="102" t="s">
        <v>547</v>
      </c>
      <c r="H206" s="115" t="s">
        <v>532</v>
      </c>
      <c r="I206" s="102" t="s">
        <v>101</v>
      </c>
      <c r="J206" s="110" t="n">
        <v>1358800</v>
      </c>
      <c r="K206" s="102" t="s">
        <v>81</v>
      </c>
      <c r="L206" s="102" t="s">
        <v>103</v>
      </c>
      <c r="M206" s="115" t="s">
        <v>548</v>
      </c>
      <c r="N206" s="115" t="s">
        <v>384</v>
      </c>
      <c r="O206" s="111" t="n">
        <v>43979</v>
      </c>
      <c r="P206" s="112" t="n">
        <f aca="false">IFERROR(VLOOKUP(J206,'Obs Tecnicas'!$D:$I,5,0),O206)</f>
        <v>44333</v>
      </c>
      <c r="Q206" s="111" t="str">
        <f aca="true">IF(P206&lt;&gt;"",IF(P206+365&gt;TODAY(),"Calibrado","Vencido"),"")</f>
        <v>Vencido</v>
      </c>
      <c r="R206" s="113" t="n">
        <f aca="false">IFERROR(VLOOKUP(J206,'Obs Tecnicas'!$D:$G,2,0),"")</f>
        <v>12326</v>
      </c>
      <c r="S206" s="102" t="str">
        <f aca="false">IFERROR(VLOOKUP(J206,'Obs Tecnicas'!$D:$G,3,0),"Hexis")</f>
        <v>ER ANALITICA</v>
      </c>
      <c r="T206" s="102" t="str">
        <f aca="false">IFERROR(VLOOKUP(J206,'Obs Tecnicas'!$D:$G,4,0),"")</f>
        <v>Compartimento de cubeta e bateria de lítio em final de vida útil.</v>
      </c>
      <c r="U206" s="1" t="s">
        <v>30</v>
      </c>
      <c r="V206" s="114" t="n">
        <f aca="false">IF(P206&lt;&gt;"",MONTH(P206),"")</f>
        <v>5</v>
      </c>
      <c r="W206" s="114" t="n">
        <v>8</v>
      </c>
      <c r="Z206" s="116"/>
      <c r="AB206" s="116"/>
      <c r="AD206" s="116"/>
      <c r="AF206" s="116"/>
      <c r="AG206" s="116"/>
      <c r="AH206" s="116"/>
      <c r="AI206" s="116"/>
      <c r="AK206" s="116"/>
      <c r="AL206" s="116"/>
      <c r="AN206" s="116"/>
      <c r="AO206" s="130"/>
    </row>
    <row r="207" customFormat="false" ht="15" hidden="false" customHeight="true" outlineLevel="0" collapsed="false">
      <c r="A207" s="102" t="s">
        <v>67</v>
      </c>
      <c r="B207" s="115" t="s">
        <v>542</v>
      </c>
      <c r="C207" s="109" t="s">
        <v>543</v>
      </c>
      <c r="D207" s="102" t="s">
        <v>544</v>
      </c>
      <c r="E207" s="102" t="s">
        <v>545</v>
      </c>
      <c r="F207" s="109" t="s">
        <v>546</v>
      </c>
      <c r="G207" s="102" t="s">
        <v>547</v>
      </c>
      <c r="H207" s="115" t="s">
        <v>532</v>
      </c>
      <c r="I207" s="102" t="s">
        <v>86</v>
      </c>
      <c r="J207" s="110" t="n">
        <v>612331</v>
      </c>
      <c r="K207" s="117" t="s">
        <v>136</v>
      </c>
      <c r="L207" s="102" t="s">
        <v>137</v>
      </c>
      <c r="M207" s="115" t="s">
        <v>548</v>
      </c>
      <c r="N207" s="115" t="s">
        <v>384</v>
      </c>
      <c r="O207" s="111" t="n">
        <v>43979</v>
      </c>
      <c r="P207" s="112" t="n">
        <f aca="false">IFERROR(VLOOKUP(J207,'Obs Tecnicas'!$D:$I,5,0),O207)</f>
        <v>44725</v>
      </c>
      <c r="Q207" s="111" t="str">
        <f aca="true">IF(P207&lt;&gt;"",IF(P207+365&gt;TODAY(),"Calibrado","Vencido"),"")</f>
        <v>Calibrado</v>
      </c>
      <c r="R207" s="113" t="n">
        <f aca="false">IFERROR(VLOOKUP(J207,'Obs Tecnicas'!$D:$G,2,0),"")</f>
        <v>16808</v>
      </c>
      <c r="S207" s="102" t="str">
        <f aca="false">IFERROR(VLOOKUP(J207,'Obs Tecnicas'!$D:$G,3,0),"Hexis")</f>
        <v>ER ANALITICA</v>
      </c>
      <c r="T207" s="102" t="str">
        <f aca="false">IFERROR(VLOOKUP(J207,'Obs Tecnicas'!$D:$G,4,0),"")</f>
        <v> Adesivo do teclado deteriorado, liberado com restrição.</v>
      </c>
      <c r="U207" s="1" t="s">
        <v>344</v>
      </c>
      <c r="V207" s="114" t="n">
        <f aca="false">IF(P207&lt;&gt;"",MONTH(P207),"")</f>
        <v>6</v>
      </c>
      <c r="W207" s="114" t="n">
        <v>9</v>
      </c>
      <c r="AO207" s="130"/>
    </row>
    <row r="208" customFormat="false" ht="15" hidden="false" customHeight="true" outlineLevel="0" collapsed="false">
      <c r="A208" s="102" t="s">
        <v>67</v>
      </c>
      <c r="B208" s="115" t="s">
        <v>549</v>
      </c>
      <c r="C208" s="109" t="s">
        <v>550</v>
      </c>
      <c r="D208" s="102" t="s">
        <v>551</v>
      </c>
      <c r="E208" s="102" t="s">
        <v>549</v>
      </c>
      <c r="F208" s="109" t="s">
        <v>550</v>
      </c>
      <c r="G208" s="102" t="s">
        <v>326</v>
      </c>
      <c r="H208" s="115" t="s">
        <v>532</v>
      </c>
      <c r="I208" s="102" t="s">
        <v>101</v>
      </c>
      <c r="J208" s="110" t="s">
        <v>552</v>
      </c>
      <c r="K208" s="102" t="s">
        <v>81</v>
      </c>
      <c r="L208" s="118" t="s">
        <v>148</v>
      </c>
      <c r="M208" s="115" t="s">
        <v>553</v>
      </c>
      <c r="N208" s="115" t="s">
        <v>554</v>
      </c>
      <c r="O208" s="111" t="n">
        <v>44407</v>
      </c>
      <c r="P208" s="112" t="n">
        <f aca="false">IFERROR(VLOOKUP(J208,'Obs Tecnicas'!$D:$I,5,0),O208)</f>
        <v>44407</v>
      </c>
      <c r="Q208" s="111" t="str">
        <f aca="true">IF(P208&lt;&gt;"",IF(P208+365&gt;TODAY(),"Calibrado","Vencido"),"")</f>
        <v>Calibrado</v>
      </c>
      <c r="R208" s="113" t="n">
        <f aca="false">IFERROR(VLOOKUP(J208,'Obs Tecnicas'!$D:$G,2,0),"")</f>
        <v>13313</v>
      </c>
      <c r="S208" s="102" t="str">
        <f aca="false">IFERROR(VLOOKUP(J208,'Obs Tecnicas'!$D:$G,3,0),"Hexis")</f>
        <v>ER ANALITICA</v>
      </c>
      <c r="T208" s="102" t="n">
        <f aca="false">IFERROR(VLOOKUP(J208,'Obs Tecnicas'!$D:$G,4,0),"")</f>
        <v>0</v>
      </c>
      <c r="U208" s="1" t="s">
        <v>28</v>
      </c>
      <c r="V208" s="114" t="n">
        <f aca="false">IF(P208&lt;&gt;"",MONTH(P208),"")</f>
        <v>7</v>
      </c>
      <c r="W208" s="114" t="n">
        <v>9</v>
      </c>
      <c r="AO208" s="130"/>
    </row>
    <row r="209" customFormat="false" ht="15" hidden="false" customHeight="true" outlineLevel="0" collapsed="false">
      <c r="A209" s="102" t="s">
        <v>67</v>
      </c>
      <c r="B209" s="115" t="s">
        <v>549</v>
      </c>
      <c r="C209" s="109" t="s">
        <v>550</v>
      </c>
      <c r="D209" s="102" t="s">
        <v>551</v>
      </c>
      <c r="E209" s="115" t="s">
        <v>549</v>
      </c>
      <c r="F209" s="109" t="s">
        <v>550</v>
      </c>
      <c r="G209" s="115" t="s">
        <v>326</v>
      </c>
      <c r="H209" s="115" t="s">
        <v>532</v>
      </c>
      <c r="I209" s="102" t="s">
        <v>217</v>
      </c>
      <c r="J209" s="110" t="s">
        <v>555</v>
      </c>
      <c r="K209" s="102" t="s">
        <v>84</v>
      </c>
      <c r="L209" s="115" t="s">
        <v>219</v>
      </c>
      <c r="M209" s="115" t="s">
        <v>553</v>
      </c>
      <c r="N209" s="115" t="s">
        <v>554</v>
      </c>
      <c r="O209" s="111" t="n">
        <v>44407</v>
      </c>
      <c r="P209" s="112" t="n">
        <f aca="false">IFERROR(VLOOKUP(J209,'Obs Tecnicas'!$D:$I,5,0),O209)</f>
        <v>44407</v>
      </c>
      <c r="Q209" s="111" t="str">
        <f aca="true">IF(P209&lt;&gt;"",IF(P209+365&gt;TODAY(),"Calibrado","Vencido"),"")</f>
        <v>Calibrado</v>
      </c>
      <c r="R209" s="113" t="n">
        <f aca="false">IFERROR(VLOOKUP(J209,'Obs Tecnicas'!$D:$G,2,0),"")</f>
        <v>13312</v>
      </c>
      <c r="S209" s="102" t="str">
        <f aca="false">IFERROR(VLOOKUP(J209,'Obs Tecnicas'!$D:$G,3,0),"Hexis")</f>
        <v>ER ANALITICA</v>
      </c>
      <c r="T209" s="102" t="n">
        <f aca="false">IFERROR(VLOOKUP(J209,'Obs Tecnicas'!$D:$G,4,0),"")</f>
        <v>0</v>
      </c>
      <c r="U209" s="1" t="s">
        <v>28</v>
      </c>
      <c r="V209" s="114" t="n">
        <f aca="false">IF(P209&lt;&gt;"",MONTH(P209),"")</f>
        <v>7</v>
      </c>
      <c r="W209" s="114" t="n">
        <v>9</v>
      </c>
      <c r="AO209" s="130"/>
    </row>
    <row r="210" customFormat="false" ht="15" hidden="false" customHeight="true" outlineLevel="0" collapsed="false">
      <c r="A210" s="102" t="s">
        <v>67</v>
      </c>
      <c r="B210" s="115" t="s">
        <v>549</v>
      </c>
      <c r="C210" s="109" t="s">
        <v>550</v>
      </c>
      <c r="D210" s="102" t="s">
        <v>551</v>
      </c>
      <c r="E210" s="115" t="s">
        <v>549</v>
      </c>
      <c r="F210" s="109" t="s">
        <v>550</v>
      </c>
      <c r="G210" s="115" t="s">
        <v>326</v>
      </c>
      <c r="H210" s="115" t="s">
        <v>532</v>
      </c>
      <c r="I210" s="102" t="s">
        <v>86</v>
      </c>
      <c r="J210" s="110" t="s">
        <v>556</v>
      </c>
      <c r="K210" s="102" t="s">
        <v>87</v>
      </c>
      <c r="L210" s="115" t="s">
        <v>290</v>
      </c>
      <c r="M210" s="115" t="s">
        <v>553</v>
      </c>
      <c r="N210" s="115" t="s">
        <v>554</v>
      </c>
      <c r="O210" s="111" t="n">
        <v>44407</v>
      </c>
      <c r="P210" s="112" t="n">
        <f aca="false">IFERROR(VLOOKUP(J210,'Obs Tecnicas'!$D:$I,5,0),O210)</f>
        <v>44407</v>
      </c>
      <c r="Q210" s="111" t="str">
        <f aca="true">IF(P210&lt;&gt;"",IF(P210+365&gt;TODAY(),"Calibrado","Vencido"),"")</f>
        <v>Calibrado</v>
      </c>
      <c r="R210" s="113" t="n">
        <f aca="false">IFERROR(VLOOKUP(J210,'Obs Tecnicas'!$D:$G,2,0),"")</f>
        <v>13310</v>
      </c>
      <c r="S210" s="102" t="str">
        <f aca="false">IFERROR(VLOOKUP(J210,'Obs Tecnicas'!$D:$G,3,0),"Hexis")</f>
        <v>ER ANALITICA</v>
      </c>
      <c r="T210" s="102" t="str">
        <f aca="false">IFERROR(VLOOKUP(J210,'Obs Tecnicas'!$D:$G,4,0),"")</f>
        <v>Conselhavel a troca do eletrodo, devido instabilidade nas leituras.</v>
      </c>
      <c r="U210" s="1" t="s">
        <v>28</v>
      </c>
      <c r="V210" s="114" t="n">
        <f aca="false">IF(P210&lt;&gt;"",MONTH(P210),"")</f>
        <v>7</v>
      </c>
      <c r="W210" s="114" t="n">
        <v>9</v>
      </c>
      <c r="AO210" s="130"/>
    </row>
    <row r="211" customFormat="false" ht="15" hidden="false" customHeight="true" outlineLevel="0" collapsed="false">
      <c r="A211" s="102" t="s">
        <v>67</v>
      </c>
      <c r="B211" s="102" t="s">
        <v>549</v>
      </c>
      <c r="C211" s="109" t="s">
        <v>550</v>
      </c>
      <c r="D211" s="102" t="s">
        <v>551</v>
      </c>
      <c r="E211" s="102" t="s">
        <v>549</v>
      </c>
      <c r="F211" s="109" t="s">
        <v>550</v>
      </c>
      <c r="G211" s="102" t="s">
        <v>326</v>
      </c>
      <c r="H211" s="115" t="s">
        <v>532</v>
      </c>
      <c r="I211" s="102" t="s">
        <v>83</v>
      </c>
      <c r="J211" s="119" t="n">
        <v>4240437</v>
      </c>
      <c r="K211" s="115" t="s">
        <v>84</v>
      </c>
      <c r="L211" s="119" t="s">
        <v>364</v>
      </c>
      <c r="M211" s="115" t="s">
        <v>553</v>
      </c>
      <c r="N211" s="115" t="s">
        <v>554</v>
      </c>
      <c r="O211" s="111"/>
      <c r="P211" s="112" t="n">
        <f aca="false">IFERROR(VLOOKUP(J211,'Obs Tecnicas'!$D:$I,5,0),O211)</f>
        <v>44407</v>
      </c>
      <c r="Q211" s="111" t="str">
        <f aca="true">IF(P211&lt;&gt;"",IF(P211+365&gt;TODAY(),"Calibrado","Vencido"),"")</f>
        <v>Calibrado</v>
      </c>
      <c r="R211" s="113" t="n">
        <f aca="false">IFERROR(VLOOKUP(J211,'Obs Tecnicas'!$D:$G,2,0),"")</f>
        <v>13319</v>
      </c>
      <c r="S211" s="102" t="str">
        <f aca="false">IFERROR(VLOOKUP(J211,'Obs Tecnicas'!$D:$G,3,0),"Hexis")</f>
        <v>ER ANALITICA</v>
      </c>
      <c r="T211" s="102" t="n">
        <f aca="false">IFERROR(VLOOKUP(J211,'Obs Tecnicas'!$D:$G,4,0),"")</f>
        <v>0</v>
      </c>
      <c r="U211" s="1" t="s">
        <v>28</v>
      </c>
      <c r="V211" s="114" t="n">
        <f aca="false">IF(P211&lt;&gt;"",MONTH(P211),"")</f>
        <v>7</v>
      </c>
      <c r="W211" s="114" t="n">
        <v>7</v>
      </c>
      <c r="AO211" s="130"/>
    </row>
    <row r="212" customFormat="false" ht="15" hidden="false" customHeight="true" outlineLevel="0" collapsed="false">
      <c r="A212" s="102" t="s">
        <v>67</v>
      </c>
      <c r="B212" s="115" t="s">
        <v>557</v>
      </c>
      <c r="C212" s="132" t="s">
        <v>558</v>
      </c>
      <c r="D212" s="102" t="s">
        <v>559</v>
      </c>
      <c r="E212" s="115" t="s">
        <v>560</v>
      </c>
      <c r="F212" s="109" t="s">
        <v>561</v>
      </c>
      <c r="G212" s="102" t="s">
        <v>326</v>
      </c>
      <c r="H212" s="115" t="s">
        <v>532</v>
      </c>
      <c r="I212" s="102" t="s">
        <v>86</v>
      </c>
      <c r="J212" s="119" t="n">
        <v>2983032</v>
      </c>
      <c r="K212" s="117" t="s">
        <v>136</v>
      </c>
      <c r="L212" s="102" t="s">
        <v>137</v>
      </c>
      <c r="M212" s="115" t="s">
        <v>553</v>
      </c>
      <c r="N212" s="115" t="s">
        <v>554</v>
      </c>
      <c r="O212" s="111"/>
      <c r="P212" s="112" t="n">
        <f aca="false">IFERROR(VLOOKUP(J212,'Obs Tecnicas'!$D:$I,5,0),O212)</f>
        <v>44407</v>
      </c>
      <c r="Q212" s="111" t="str">
        <f aca="true">IF(P212&lt;&gt;"",IF(P212+365&gt;TODAY(),"Calibrado","Vencido"),"")</f>
        <v>Calibrado</v>
      </c>
      <c r="R212" s="113" t="n">
        <f aca="false">IFERROR(VLOOKUP(J212,'Obs Tecnicas'!$D:$G,2,0),"")</f>
        <v>13317</v>
      </c>
      <c r="S212" s="102" t="str">
        <f aca="false">IFERROR(VLOOKUP(J212,'Obs Tecnicas'!$D:$G,3,0),"Hexis")</f>
        <v>ER ANALITICA</v>
      </c>
      <c r="T212" s="102" t="n">
        <f aca="false">IFERROR(VLOOKUP(J212,'Obs Tecnicas'!$D:$G,4,0),"")</f>
        <v>0</v>
      </c>
      <c r="U212" s="1" t="s">
        <v>28</v>
      </c>
      <c r="V212" s="114" t="n">
        <f aca="false">IF(P212&lt;&gt;"",MONTH(P212),"")</f>
        <v>7</v>
      </c>
      <c r="W212" s="114" t="n">
        <v>7</v>
      </c>
      <c r="AO212" s="130"/>
    </row>
    <row r="213" customFormat="false" ht="15" hidden="false" customHeight="true" outlineLevel="0" collapsed="false">
      <c r="A213" s="102" t="s">
        <v>67</v>
      </c>
      <c r="B213" s="115" t="s">
        <v>557</v>
      </c>
      <c r="C213" s="132" t="s">
        <v>558</v>
      </c>
      <c r="D213" s="102" t="s">
        <v>559</v>
      </c>
      <c r="E213" s="115" t="s">
        <v>560</v>
      </c>
      <c r="F213" s="109" t="s">
        <v>561</v>
      </c>
      <c r="G213" s="102" t="s">
        <v>326</v>
      </c>
      <c r="H213" s="115" t="s">
        <v>532</v>
      </c>
      <c r="I213" s="118" t="s">
        <v>101</v>
      </c>
      <c r="J213" s="135" t="s">
        <v>562</v>
      </c>
      <c r="K213" s="102" t="s">
        <v>81</v>
      </c>
      <c r="L213" s="135" t="s">
        <v>563</v>
      </c>
      <c r="M213" s="115" t="s">
        <v>553</v>
      </c>
      <c r="N213" s="115" t="s">
        <v>554</v>
      </c>
      <c r="O213" s="111"/>
      <c r="P213" s="112" t="n">
        <f aca="false">IFERROR(VLOOKUP(J213,'Obs Tecnicas'!$D:$I,5,0),O213)</f>
        <v>44407</v>
      </c>
      <c r="Q213" s="111" t="str">
        <f aca="true">IF(P213&lt;&gt;"",IF(P213+365&gt;TODAY(),"Calibrado","Vencido"),"")</f>
        <v>Calibrado</v>
      </c>
      <c r="R213" s="113" t="n">
        <f aca="false">IFERROR(VLOOKUP(J213,'Obs Tecnicas'!$D:$G,2,0),"")</f>
        <v>13320</v>
      </c>
      <c r="S213" s="102" t="str">
        <f aca="false">IFERROR(VLOOKUP(J213,'Obs Tecnicas'!$D:$G,3,0),"Hexis")</f>
        <v>ER ANALITICA</v>
      </c>
      <c r="T213" s="102" t="str">
        <f aca="false">IFERROR(VLOOKUP(J213,'Obs Tecnicas'!$D:$G,4,0),"")</f>
        <v>Filtro optico BG370 (Azul redondo) oxidado e bateria de litio em final de vida útil.</v>
      </c>
      <c r="U213" s="1" t="s">
        <v>28</v>
      </c>
      <c r="V213" s="114" t="n">
        <f aca="false">IF(P213&lt;&gt;"",MONTH(P213),"")</f>
        <v>7</v>
      </c>
      <c r="W213" s="114" t="n">
        <v>7</v>
      </c>
      <c r="AO213" s="130"/>
    </row>
    <row r="214" customFormat="false" ht="15" hidden="false" customHeight="true" outlineLevel="0" collapsed="false">
      <c r="A214" s="102" t="s">
        <v>67</v>
      </c>
      <c r="B214" s="115" t="s">
        <v>549</v>
      </c>
      <c r="C214" s="109" t="s">
        <v>550</v>
      </c>
      <c r="D214" s="102" t="s">
        <v>551</v>
      </c>
      <c r="E214" s="115" t="s">
        <v>549</v>
      </c>
      <c r="F214" s="109" t="s">
        <v>550</v>
      </c>
      <c r="G214" s="115" t="s">
        <v>326</v>
      </c>
      <c r="H214" s="115" t="s">
        <v>532</v>
      </c>
      <c r="I214" s="118" t="s">
        <v>564</v>
      </c>
      <c r="J214" s="102" t="n">
        <v>2902019</v>
      </c>
      <c r="K214" s="117" t="s">
        <v>136</v>
      </c>
      <c r="L214" s="135" t="s">
        <v>137</v>
      </c>
      <c r="M214" s="115" t="s">
        <v>553</v>
      </c>
      <c r="N214" s="115" t="s">
        <v>554</v>
      </c>
      <c r="O214" s="111"/>
      <c r="P214" s="112" t="n">
        <f aca="false">IFERROR(VLOOKUP(J214,'Obs Tecnicas'!$D:$I,5,0),O214)</f>
        <v>44407</v>
      </c>
      <c r="Q214" s="111" t="str">
        <f aca="true">IF(P214&lt;&gt;"",IF(P214+365&gt;TODAY(),"Calibrado","Vencido"),"")</f>
        <v>Calibrado</v>
      </c>
      <c r="R214" s="113" t="n">
        <f aca="false">IFERROR(VLOOKUP(J214,'Obs Tecnicas'!$D:$G,2,0),"")</f>
        <v>13316</v>
      </c>
      <c r="S214" s="102" t="str">
        <f aca="false">IFERROR(VLOOKUP(J214,'Obs Tecnicas'!$D:$G,3,0),"Hexis")</f>
        <v>ER ANALITICA</v>
      </c>
      <c r="T214" s="102" t="n">
        <f aca="false">IFERROR(VLOOKUP(J214,'Obs Tecnicas'!$D:$G,4,0),"")</f>
        <v>0</v>
      </c>
      <c r="U214" s="1" t="s">
        <v>28</v>
      </c>
      <c r="V214" s="114" t="n">
        <f aca="false">IF(P214&lt;&gt;"",MONTH(P214),"")</f>
        <v>7</v>
      </c>
      <c r="W214" s="114" t="n">
        <v>7</v>
      </c>
      <c r="AO214" s="130"/>
    </row>
    <row r="215" customFormat="false" ht="15" hidden="false" customHeight="true" outlineLevel="0" collapsed="false">
      <c r="A215" s="102" t="s">
        <v>67</v>
      </c>
      <c r="B215" s="115" t="s">
        <v>565</v>
      </c>
      <c r="C215" s="109" t="s">
        <v>566</v>
      </c>
      <c r="D215" s="102" t="s">
        <v>567</v>
      </c>
      <c r="E215" s="102" t="s">
        <v>560</v>
      </c>
      <c r="F215" s="109" t="s">
        <v>561</v>
      </c>
      <c r="G215" s="115" t="s">
        <v>568</v>
      </c>
      <c r="H215" s="115" t="s">
        <v>532</v>
      </c>
      <c r="I215" s="102" t="s">
        <v>115</v>
      </c>
      <c r="J215" s="110" t="s">
        <v>569</v>
      </c>
      <c r="K215" s="102" t="s">
        <v>117</v>
      </c>
      <c r="L215" s="115" t="s">
        <v>570</v>
      </c>
      <c r="M215" s="115" t="s">
        <v>553</v>
      </c>
      <c r="N215" s="115" t="s">
        <v>554</v>
      </c>
      <c r="O215" s="111" t="n">
        <v>44239</v>
      </c>
      <c r="P215" s="112" t="n">
        <f aca="false">IFERROR(VLOOKUP(J215,'Obs Tecnicas'!$D:$I,5,0),O215)</f>
        <v>44678</v>
      </c>
      <c r="Q215" s="111" t="str">
        <f aca="true">IF(P215&lt;&gt;"",IF(P215+365&gt;TODAY(),"Calibrado","Vencido"),"")</f>
        <v>Calibrado</v>
      </c>
      <c r="R215" s="113" t="n">
        <f aca="false">IFERROR(VLOOKUP(J215,'Obs Tecnicas'!$D:$G,2,0),"")</f>
        <v>16221</v>
      </c>
      <c r="S215" s="102" t="str">
        <f aca="false">IFERROR(VLOOKUP(J215,'Obs Tecnicas'!$D:$G,3,0),"Hexis")</f>
        <v>ER ANALITICA</v>
      </c>
      <c r="T215" s="102" t="str">
        <f aca="false">IFERROR(VLOOKUP(J215,'Obs Tecnicas'!$D:$G,4,0),"")</f>
        <v>Equipamento não aceita ajuste na sua curva de calibração</v>
      </c>
      <c r="V215" s="114" t="n">
        <f aca="false">IF(P215&lt;&gt;"",MONTH(P215),"")</f>
        <v>4</v>
      </c>
      <c r="W215" s="114" t="n">
        <v>9</v>
      </c>
      <c r="AO215" s="130"/>
    </row>
    <row r="216" customFormat="false" ht="15" hidden="false" customHeight="true" outlineLevel="0" collapsed="false">
      <c r="A216" s="102" t="s">
        <v>67</v>
      </c>
      <c r="B216" s="115" t="s">
        <v>565</v>
      </c>
      <c r="C216" s="109" t="s">
        <v>566</v>
      </c>
      <c r="D216" s="102" t="s">
        <v>567</v>
      </c>
      <c r="E216" s="102" t="s">
        <v>560</v>
      </c>
      <c r="F216" s="109" t="s">
        <v>561</v>
      </c>
      <c r="G216" s="102" t="s">
        <v>568</v>
      </c>
      <c r="H216" s="115" t="s">
        <v>532</v>
      </c>
      <c r="I216" s="102" t="s">
        <v>86</v>
      </c>
      <c r="J216" s="110" t="s">
        <v>571</v>
      </c>
      <c r="K216" s="117" t="s">
        <v>136</v>
      </c>
      <c r="L216" s="115" t="s">
        <v>137</v>
      </c>
      <c r="M216" s="115" t="s">
        <v>553</v>
      </c>
      <c r="N216" s="115" t="s">
        <v>554</v>
      </c>
      <c r="O216" s="111" t="n">
        <v>44239</v>
      </c>
      <c r="P216" s="112" t="n">
        <f aca="false">IFERROR(VLOOKUP(J216,'Obs Tecnicas'!$D:$I,5,0),O216)</f>
        <v>44678</v>
      </c>
      <c r="Q216" s="111" t="str">
        <f aca="true">IF(P216&lt;&gt;"",IF(P216+365&gt;TODAY(),"Calibrado","Vencido"),"")</f>
        <v>Calibrado</v>
      </c>
      <c r="R216" s="113" t="n">
        <f aca="false">IFERROR(VLOOKUP(J216,'Obs Tecnicas'!$D:$G,2,0),"")</f>
        <v>16222</v>
      </c>
      <c r="S216" s="102" t="str">
        <f aca="false">IFERROR(VLOOKUP(J216,'Obs Tecnicas'!$D:$G,3,0),"Hexis")</f>
        <v>ER ANALITICA</v>
      </c>
      <c r="T216" s="102" t="n">
        <f aca="false">IFERROR(VLOOKUP(J216,'Obs Tecnicas'!$D:$G,4,0),"")</f>
        <v>0</v>
      </c>
      <c r="V216" s="114" t="n">
        <f aca="false">IF(P216&lt;&gt;"",MONTH(P216),"")</f>
        <v>4</v>
      </c>
      <c r="W216" s="114" t="n">
        <v>9</v>
      </c>
      <c r="Z216" s="116"/>
      <c r="AB216" s="116"/>
      <c r="AD216" s="116"/>
      <c r="AF216" s="116"/>
      <c r="AG216" s="116"/>
      <c r="AH216" s="116"/>
      <c r="AI216" s="116"/>
      <c r="AK216" s="116"/>
      <c r="AL216" s="116"/>
      <c r="AM216" s="116"/>
      <c r="AN216" s="116"/>
      <c r="AO216" s="130"/>
    </row>
    <row r="217" customFormat="false" ht="15" hidden="false" customHeight="true" outlineLevel="0" collapsed="false">
      <c r="A217" s="102" t="s">
        <v>67</v>
      </c>
      <c r="B217" s="115" t="s">
        <v>565</v>
      </c>
      <c r="C217" s="109" t="s">
        <v>566</v>
      </c>
      <c r="D217" s="102" t="s">
        <v>567</v>
      </c>
      <c r="E217" s="102" t="s">
        <v>560</v>
      </c>
      <c r="F217" s="109" t="s">
        <v>561</v>
      </c>
      <c r="G217" s="102" t="s">
        <v>568</v>
      </c>
      <c r="H217" s="115" t="s">
        <v>532</v>
      </c>
      <c r="I217" s="102" t="s">
        <v>89</v>
      </c>
      <c r="J217" s="110" t="s">
        <v>572</v>
      </c>
      <c r="K217" s="102" t="s">
        <v>288</v>
      </c>
      <c r="L217" s="115" t="s">
        <v>573</v>
      </c>
      <c r="M217" s="115" t="s">
        <v>553</v>
      </c>
      <c r="N217" s="115" t="s">
        <v>554</v>
      </c>
      <c r="O217" s="111"/>
      <c r="P217" s="112" t="n">
        <f aca="false">IFERROR(VLOOKUP(J217,'Obs Tecnicas'!$D:$I,5,0),O217)</f>
        <v>44678</v>
      </c>
      <c r="Q217" s="111" t="str">
        <f aca="true">IF(P217&lt;&gt;"",IF(P217+365&gt;TODAY(),"Calibrado","Vencido"),"")</f>
        <v>Calibrado</v>
      </c>
      <c r="R217" s="113" t="n">
        <f aca="false">IFERROR(VLOOKUP(J217,'Obs Tecnicas'!$D:$G,2,0),"")</f>
        <v>16224</v>
      </c>
      <c r="S217" s="102" t="str">
        <f aca="false">IFERROR(VLOOKUP(J217,'Obs Tecnicas'!$D:$G,3,0),"Hexis")</f>
        <v>ER ANALITICA</v>
      </c>
      <c r="T217" s="102" t="n">
        <f aca="false">IFERROR(VLOOKUP(J217,'Obs Tecnicas'!$D:$G,4,0),"")</f>
        <v>0</v>
      </c>
      <c r="V217" s="114" t="n">
        <f aca="false">IF(P217&lt;&gt;"",MONTH(P217),"")</f>
        <v>4</v>
      </c>
      <c r="W217" s="114" t="n">
        <v>9</v>
      </c>
      <c r="AO217" s="130"/>
    </row>
    <row r="218" customFormat="false" ht="15" hidden="false" customHeight="true" outlineLevel="0" collapsed="false">
      <c r="A218" s="102" t="s">
        <v>67</v>
      </c>
      <c r="B218" s="115" t="s">
        <v>565</v>
      </c>
      <c r="C218" s="109" t="s">
        <v>566</v>
      </c>
      <c r="D218" s="102" t="s">
        <v>567</v>
      </c>
      <c r="E218" s="102" t="s">
        <v>560</v>
      </c>
      <c r="F218" s="109" t="s">
        <v>561</v>
      </c>
      <c r="G218" s="102" t="s">
        <v>568</v>
      </c>
      <c r="H218" s="115" t="s">
        <v>532</v>
      </c>
      <c r="I218" s="102" t="s">
        <v>101</v>
      </c>
      <c r="J218" s="110" t="s">
        <v>574</v>
      </c>
      <c r="K218" s="102" t="s">
        <v>81</v>
      </c>
      <c r="L218" s="102" t="s">
        <v>103</v>
      </c>
      <c r="M218" s="115" t="s">
        <v>553</v>
      </c>
      <c r="N218" s="115" t="s">
        <v>554</v>
      </c>
      <c r="O218" s="111" t="n">
        <v>44239</v>
      </c>
      <c r="P218" s="112" t="n">
        <f aca="false">IFERROR(VLOOKUP(J218,'Obs Tecnicas'!$D:$I,5,0),O218)</f>
        <v>44678</v>
      </c>
      <c r="Q218" s="111" t="str">
        <f aca="true">IF(P218&lt;&gt;"",IF(P218+365&gt;TODAY(),"Calibrado","Vencido"),"")</f>
        <v>Calibrado</v>
      </c>
      <c r="R218" s="113" t="n">
        <f aca="false">IFERROR(VLOOKUP(J218,'Obs Tecnicas'!$D:$G,2,0),"")</f>
        <v>16223</v>
      </c>
      <c r="S218" s="102" t="str">
        <f aca="false">IFERROR(VLOOKUP(J218,'Obs Tecnicas'!$D:$G,3,0),"Hexis")</f>
        <v>ER ANALITICA</v>
      </c>
      <c r="T218" s="102" t="n">
        <f aca="false">IFERROR(VLOOKUP(J218,'Obs Tecnicas'!$D:$G,4,0),"")</f>
        <v>0</v>
      </c>
      <c r="V218" s="114" t="n">
        <f aca="false">IF(P218&lt;&gt;"",MONTH(P218),"")</f>
        <v>4</v>
      </c>
      <c r="W218" s="114" t="n">
        <v>9</v>
      </c>
      <c r="AO218" s="130"/>
    </row>
    <row r="219" customFormat="false" ht="15" hidden="false" customHeight="true" outlineLevel="0" collapsed="false">
      <c r="A219" s="102" t="s">
        <v>67</v>
      </c>
      <c r="B219" s="115" t="s">
        <v>557</v>
      </c>
      <c r="C219" s="132" t="s">
        <v>558</v>
      </c>
      <c r="D219" s="102" t="s">
        <v>559</v>
      </c>
      <c r="E219" s="115" t="s">
        <v>560</v>
      </c>
      <c r="F219" s="109" t="s">
        <v>561</v>
      </c>
      <c r="G219" s="102" t="s">
        <v>326</v>
      </c>
      <c r="H219" s="115" t="s">
        <v>532</v>
      </c>
      <c r="I219" s="102" t="s">
        <v>83</v>
      </c>
      <c r="J219" s="110" t="s">
        <v>575</v>
      </c>
      <c r="K219" s="102" t="s">
        <v>84</v>
      </c>
      <c r="L219" s="102" t="s">
        <v>576</v>
      </c>
      <c r="M219" s="115" t="s">
        <v>553</v>
      </c>
      <c r="N219" s="102" t="s">
        <v>554</v>
      </c>
      <c r="O219" s="111" t="n">
        <v>44407</v>
      </c>
      <c r="P219" s="112" t="n">
        <f aca="false">IFERROR(VLOOKUP(J219,'Obs Tecnicas'!$D:$I,5,0),O219)</f>
        <v>44407</v>
      </c>
      <c r="Q219" s="111" t="str">
        <f aca="true">IF(P219&lt;&gt;"",IF(P219+365&gt;TODAY(),"Calibrado","Vencido"),"")</f>
        <v>Calibrado</v>
      </c>
      <c r="R219" s="113" t="n">
        <f aca="false">IFERROR(VLOOKUP(J219,'Obs Tecnicas'!$D:$G,2,0),"")</f>
        <v>13318</v>
      </c>
      <c r="S219" s="102" t="str">
        <f aca="false">IFERROR(VLOOKUP(J219,'Obs Tecnicas'!$D:$G,3,0),"Hexis")</f>
        <v>ER ANALITICA</v>
      </c>
      <c r="T219" s="102" t="n">
        <f aca="false">IFERROR(VLOOKUP(J219,'Obs Tecnicas'!$D:$G,4,0),"")</f>
        <v>0</v>
      </c>
      <c r="U219" s="1" t="s">
        <v>28</v>
      </c>
      <c r="V219" s="114" t="n">
        <f aca="false">IF(P219&lt;&gt;"",MONTH(P219),"")</f>
        <v>7</v>
      </c>
      <c r="W219" s="114" t="n">
        <v>9</v>
      </c>
      <c r="AO219" s="130"/>
    </row>
    <row r="220" customFormat="false" ht="15" hidden="false" customHeight="true" outlineLevel="0" collapsed="false">
      <c r="A220" s="102" t="s">
        <v>67</v>
      </c>
      <c r="B220" s="115" t="s">
        <v>577</v>
      </c>
      <c r="C220" s="109" t="s">
        <v>578</v>
      </c>
      <c r="D220" s="102" t="s">
        <v>579</v>
      </c>
      <c r="E220" s="115" t="s">
        <v>580</v>
      </c>
      <c r="F220" s="109" t="s">
        <v>581</v>
      </c>
      <c r="G220" s="102" t="s">
        <v>97</v>
      </c>
      <c r="H220" s="115" t="s">
        <v>532</v>
      </c>
      <c r="I220" s="102" t="s">
        <v>79</v>
      </c>
      <c r="J220" s="110" t="s">
        <v>582</v>
      </c>
      <c r="K220" s="102" t="s">
        <v>81</v>
      </c>
      <c r="L220" s="119" t="s">
        <v>185</v>
      </c>
      <c r="M220" s="115" t="s">
        <v>583</v>
      </c>
      <c r="N220" s="115" t="s">
        <v>78</v>
      </c>
      <c r="O220" s="111" t="n">
        <v>44263</v>
      </c>
      <c r="P220" s="112" t="n">
        <f aca="false">IFERROR(VLOOKUP(J220,'Obs Tecnicas'!$D:$I,5,0),O220)</f>
        <v>44657</v>
      </c>
      <c r="Q220" s="111" t="str">
        <f aca="true">IF(P220&lt;&gt;"",IF(P220+365&gt;TODAY(),"Calibrado","Vencido"),"")</f>
        <v>Calibrado</v>
      </c>
      <c r="R220" s="113" t="n">
        <f aca="false">IFERROR(VLOOKUP(J220,'Obs Tecnicas'!$D:$G,2,0),"")</f>
        <v>16104</v>
      </c>
      <c r="S220" s="102" t="str">
        <f aca="false">IFERROR(VLOOKUP(J220,'Obs Tecnicas'!$D:$G,3,0),"Hexis")</f>
        <v>ER ANALITICA</v>
      </c>
      <c r="T220" s="102" t="n">
        <f aca="false">IFERROR(VLOOKUP(J220,'Obs Tecnicas'!$D:$G,4,0),"")</f>
        <v>0</v>
      </c>
      <c r="V220" s="114" t="n">
        <f aca="false">IF(P220&lt;&gt;"",MONTH(P220),"")</f>
        <v>4</v>
      </c>
      <c r="W220" s="114" t="n">
        <v>11</v>
      </c>
    </row>
    <row r="221" customFormat="false" ht="15" hidden="false" customHeight="true" outlineLevel="0" collapsed="false">
      <c r="A221" s="102" t="s">
        <v>67</v>
      </c>
      <c r="B221" s="115" t="s">
        <v>584</v>
      </c>
      <c r="C221" s="109" t="s">
        <v>585</v>
      </c>
      <c r="D221" s="102" t="s">
        <v>586</v>
      </c>
      <c r="E221" s="115" t="s">
        <v>587</v>
      </c>
      <c r="F221" s="109" t="s">
        <v>588</v>
      </c>
      <c r="G221" s="102" t="s">
        <v>589</v>
      </c>
      <c r="H221" s="115" t="s">
        <v>532</v>
      </c>
      <c r="I221" s="102" t="s">
        <v>115</v>
      </c>
      <c r="J221" s="110" t="s">
        <v>590</v>
      </c>
      <c r="K221" s="102" t="s">
        <v>117</v>
      </c>
      <c r="L221" s="115"/>
      <c r="M221" s="115" t="s">
        <v>591</v>
      </c>
      <c r="N221" s="115"/>
      <c r="O221" s="111"/>
      <c r="P221" s="112" t="n">
        <f aca="false">IFERROR(VLOOKUP(J221,'Obs Tecnicas'!$D:$I,5,0),O221)</f>
        <v>44333</v>
      </c>
      <c r="Q221" s="111" t="str">
        <f aca="true">IF(P221&lt;&gt;"",IF(P221+365&gt;TODAY(),"Calibrado","Vencido"),"")</f>
        <v>Vencido</v>
      </c>
      <c r="R221" s="113" t="n">
        <f aca="false">IFERROR(VLOOKUP(J221,'Obs Tecnicas'!$D:$G,2,0),"")</f>
        <v>12351</v>
      </c>
      <c r="S221" s="102" t="str">
        <f aca="false">IFERROR(VLOOKUP(J221,'Obs Tecnicas'!$D:$G,3,0),"Hexis")</f>
        <v>ER ANALITICA</v>
      </c>
      <c r="T221" s="102" t="n">
        <f aca="false">IFERROR(VLOOKUP(J221,'Obs Tecnicas'!$D:$G,4,0),"")</f>
        <v>0</v>
      </c>
      <c r="U221" s="1" t="s">
        <v>27</v>
      </c>
      <c r="V221" s="114" t="n">
        <f aca="false">IF(P221&lt;&gt;"",MONTH(P221),"")</f>
        <v>5</v>
      </c>
      <c r="W221" s="114" t="n">
        <v>11</v>
      </c>
    </row>
    <row r="222" customFormat="false" ht="15" hidden="false" customHeight="true" outlineLevel="0" collapsed="false">
      <c r="A222" s="102" t="s">
        <v>67</v>
      </c>
      <c r="B222" s="115" t="s">
        <v>584</v>
      </c>
      <c r="C222" s="109" t="s">
        <v>585</v>
      </c>
      <c r="D222" s="102" t="s">
        <v>586</v>
      </c>
      <c r="E222" s="115" t="s">
        <v>587</v>
      </c>
      <c r="F222" s="109" t="s">
        <v>588</v>
      </c>
      <c r="G222" s="115" t="s">
        <v>589</v>
      </c>
      <c r="H222" s="115" t="s">
        <v>532</v>
      </c>
      <c r="I222" s="102" t="s">
        <v>115</v>
      </c>
      <c r="J222" s="110" t="s">
        <v>592</v>
      </c>
      <c r="K222" s="102" t="s">
        <v>117</v>
      </c>
      <c r="L222" s="115"/>
      <c r="M222" s="115" t="s">
        <v>591</v>
      </c>
      <c r="N222" s="115"/>
      <c r="O222" s="111"/>
      <c r="P222" s="112" t="n">
        <f aca="false">IFERROR(VLOOKUP(J222,'Obs Tecnicas'!$D:$I,5,0),O222)</f>
        <v>44333</v>
      </c>
      <c r="Q222" s="111" t="str">
        <f aca="true">IF(P222&lt;&gt;"",IF(P222+365&gt;TODAY(),"Calibrado","Vencido"),"")</f>
        <v>Vencido</v>
      </c>
      <c r="R222" s="113" t="n">
        <f aca="false">IFERROR(VLOOKUP(J222,'Obs Tecnicas'!$D:$G,2,0),"")</f>
        <v>12350</v>
      </c>
      <c r="S222" s="102" t="str">
        <f aca="false">IFERROR(VLOOKUP(J222,'Obs Tecnicas'!$D:$G,3,0),"Hexis")</f>
        <v>ER ANALITICA</v>
      </c>
      <c r="T222" s="102" t="n">
        <f aca="false">IFERROR(VLOOKUP(J222,'Obs Tecnicas'!$D:$G,4,0),"")</f>
        <v>0</v>
      </c>
      <c r="U222" s="1" t="s">
        <v>27</v>
      </c>
      <c r="V222" s="114" t="n">
        <f aca="false">IF(P222&lt;&gt;"",MONTH(P222),"")</f>
        <v>5</v>
      </c>
      <c r="W222" s="114" t="n">
        <v>11</v>
      </c>
    </row>
    <row r="223" customFormat="false" ht="15" hidden="false" customHeight="true" outlineLevel="0" collapsed="false">
      <c r="A223" s="102" t="s">
        <v>67</v>
      </c>
      <c r="B223" s="115" t="s">
        <v>560</v>
      </c>
      <c r="C223" s="109" t="s">
        <v>561</v>
      </c>
      <c r="D223" s="102" t="s">
        <v>593</v>
      </c>
      <c r="E223" s="115" t="s">
        <v>560</v>
      </c>
      <c r="F223" s="109" t="s">
        <v>561</v>
      </c>
      <c r="G223" s="102" t="s">
        <v>589</v>
      </c>
      <c r="H223" s="115" t="s">
        <v>532</v>
      </c>
      <c r="I223" s="102" t="s">
        <v>86</v>
      </c>
      <c r="J223" s="110" t="n">
        <v>2296242</v>
      </c>
      <c r="K223" s="117" t="s">
        <v>136</v>
      </c>
      <c r="L223" s="115" t="s">
        <v>137</v>
      </c>
      <c r="M223" s="115" t="s">
        <v>591</v>
      </c>
      <c r="N223" s="115" t="s">
        <v>554</v>
      </c>
      <c r="O223" s="111" t="n">
        <v>43979</v>
      </c>
      <c r="P223" s="112" t="n">
        <f aca="false">IFERROR(VLOOKUP(J223,'Obs Tecnicas'!$D:$I,5,0),O223)</f>
        <v>44333</v>
      </c>
      <c r="Q223" s="111" t="str">
        <f aca="true">IF(P223&lt;&gt;"",IF(P223+365&gt;TODAY(),"Calibrado","Vencido"),"")</f>
        <v>Vencido</v>
      </c>
      <c r="R223" s="113" t="n">
        <f aca="false">IFERROR(VLOOKUP(J223,'Obs Tecnicas'!$D:$G,2,0),"")</f>
        <v>12334</v>
      </c>
      <c r="S223" s="102" t="str">
        <f aca="false">IFERROR(VLOOKUP(J223,'Obs Tecnicas'!$D:$G,3,0),"Hexis")</f>
        <v>ER ANALITICA</v>
      </c>
      <c r="T223" s="102" t="str">
        <f aca="false">IFERROR(VLOOKUP(J223,'Obs Tecnicas'!$D:$G,4,0),"")</f>
        <v>Instrumento inoperante, devido vazamento de pilhas. Será encaminhado a ER.</v>
      </c>
      <c r="U223" s="1" t="s">
        <v>27</v>
      </c>
      <c r="V223" s="114" t="n">
        <f aca="false">IF(P223&lt;&gt;"",MONTH(P223),"")</f>
        <v>5</v>
      </c>
      <c r="W223" s="114" t="n">
        <v>11</v>
      </c>
    </row>
    <row r="224" customFormat="false" ht="15" hidden="false" customHeight="true" outlineLevel="0" collapsed="false">
      <c r="A224" s="102" t="s">
        <v>67</v>
      </c>
      <c r="B224" s="115" t="s">
        <v>560</v>
      </c>
      <c r="C224" s="109" t="s">
        <v>561</v>
      </c>
      <c r="D224" s="102" t="s">
        <v>593</v>
      </c>
      <c r="E224" s="115" t="s">
        <v>560</v>
      </c>
      <c r="F224" s="109" t="s">
        <v>561</v>
      </c>
      <c r="G224" s="102" t="s">
        <v>589</v>
      </c>
      <c r="H224" s="102" t="s">
        <v>532</v>
      </c>
      <c r="I224" s="102" t="s">
        <v>79</v>
      </c>
      <c r="J224" s="110" t="s">
        <v>594</v>
      </c>
      <c r="K224" s="102" t="s">
        <v>81</v>
      </c>
      <c r="L224" s="119" t="s">
        <v>185</v>
      </c>
      <c r="M224" s="115" t="s">
        <v>591</v>
      </c>
      <c r="N224" s="102" t="s">
        <v>554</v>
      </c>
      <c r="O224" s="111" t="n">
        <v>43978</v>
      </c>
      <c r="P224" s="112" t="n">
        <f aca="false">IFERROR(VLOOKUP(J224,'Obs Tecnicas'!$D:$I,5,0),O224)</f>
        <v>44333</v>
      </c>
      <c r="Q224" s="111" t="str">
        <f aca="true">IF(P224&lt;&gt;"",IF(P224+365&gt;TODAY(),"Calibrado","Vencido"),"")</f>
        <v>Vencido</v>
      </c>
      <c r="R224" s="113" t="n">
        <f aca="false">IFERROR(VLOOKUP(J224,'Obs Tecnicas'!$D:$G,2,0),"")</f>
        <v>12332</v>
      </c>
      <c r="S224" s="102" t="str">
        <f aca="false">IFERROR(VLOOKUP(J224,'Obs Tecnicas'!$D:$G,3,0),"Hexis")</f>
        <v>ER ANALITICA</v>
      </c>
      <c r="T224" s="102" t="n">
        <f aca="false">IFERROR(VLOOKUP(J224,'Obs Tecnicas'!$D:$G,4,0),"")</f>
        <v>0</v>
      </c>
      <c r="U224" s="1" t="s">
        <v>27</v>
      </c>
      <c r="V224" s="114" t="n">
        <f aca="false">IF(P224&lt;&gt;"",MONTH(P224),"")</f>
        <v>5</v>
      </c>
      <c r="W224" s="114" t="n">
        <v>5</v>
      </c>
    </row>
    <row r="225" customFormat="false" ht="15" hidden="false" customHeight="true" outlineLevel="0" collapsed="false">
      <c r="A225" s="102" t="s">
        <v>67</v>
      </c>
      <c r="B225" s="115" t="s">
        <v>595</v>
      </c>
      <c r="C225" s="109" t="s">
        <v>596</v>
      </c>
      <c r="D225" s="102" t="s">
        <v>597</v>
      </c>
      <c r="E225" s="102" t="s">
        <v>595</v>
      </c>
      <c r="F225" s="109" t="s">
        <v>596</v>
      </c>
      <c r="G225" s="102" t="s">
        <v>589</v>
      </c>
      <c r="H225" s="102" t="s">
        <v>532</v>
      </c>
      <c r="I225" s="102" t="s">
        <v>75</v>
      </c>
      <c r="J225" s="110" t="s">
        <v>598</v>
      </c>
      <c r="K225" s="102" t="s">
        <v>81</v>
      </c>
      <c r="L225" s="102" t="s">
        <v>123</v>
      </c>
      <c r="M225" s="115" t="s">
        <v>591</v>
      </c>
      <c r="N225" s="102" t="s">
        <v>554</v>
      </c>
      <c r="O225" s="111" t="n">
        <v>43979</v>
      </c>
      <c r="P225" s="112" t="n">
        <f aca="false">IFERROR(VLOOKUP(J225,'Obs Tecnicas'!$D:$I,5,0),O225)</f>
        <v>44732</v>
      </c>
      <c r="Q225" s="111" t="str">
        <f aca="true">IF(P225&lt;&gt;"",IF(P225+365&gt;TODAY(),"Calibrado","Vencido"),"")</f>
        <v>Calibrado</v>
      </c>
      <c r="R225" s="113" t="n">
        <f aca="false">IFERROR(VLOOKUP(J225,'Obs Tecnicas'!$D:$G,2,0),"")</f>
        <v>16914</v>
      </c>
      <c r="S225" s="102" t="str">
        <f aca="false">IFERROR(VLOOKUP(J225,'Obs Tecnicas'!$D:$G,3,0),"Hexis")</f>
        <v>ER ANALITICA</v>
      </c>
      <c r="T225" s="102" t="n">
        <f aca="false">IFERROR(VLOOKUP(J225,'Obs Tecnicas'!$D:$G,4,0),"")</f>
        <v>0</v>
      </c>
      <c r="U225" s="1" t="s">
        <v>344</v>
      </c>
      <c r="V225" s="114" t="n">
        <f aca="false">IF(P225&lt;&gt;"",MONTH(P225),"")</f>
        <v>6</v>
      </c>
      <c r="W225" s="114" t="n">
        <v>8</v>
      </c>
    </row>
    <row r="226" customFormat="false" ht="15" hidden="false" customHeight="true" outlineLevel="0" collapsed="false">
      <c r="A226" s="102" t="s">
        <v>67</v>
      </c>
      <c r="B226" s="102" t="s">
        <v>560</v>
      </c>
      <c r="C226" s="109" t="s">
        <v>561</v>
      </c>
      <c r="D226" s="102" t="s">
        <v>593</v>
      </c>
      <c r="E226" s="102" t="s">
        <v>560</v>
      </c>
      <c r="F226" s="109" t="s">
        <v>561</v>
      </c>
      <c r="G226" s="102" t="s">
        <v>589</v>
      </c>
      <c r="H226" s="102" t="s">
        <v>532</v>
      </c>
      <c r="I226" s="102" t="s">
        <v>83</v>
      </c>
      <c r="J226" s="110" t="n">
        <v>4239598</v>
      </c>
      <c r="K226" s="102" t="s">
        <v>84</v>
      </c>
      <c r="L226" s="102" t="s">
        <v>85</v>
      </c>
      <c r="M226" s="102" t="s">
        <v>591</v>
      </c>
      <c r="N226" s="102" t="s">
        <v>554</v>
      </c>
      <c r="O226" s="111" t="n">
        <v>44239</v>
      </c>
      <c r="P226" s="112" t="n">
        <f aca="false">IFERROR(VLOOKUP(J226,'Obs Tecnicas'!$D:$I,5,0),O226)</f>
        <v>44239</v>
      </c>
      <c r="Q226" s="111" t="str">
        <f aca="true">IF(P226&lt;&gt;"",IF(P226+365&gt;TODAY(),"Calibrado","Vencido"),"")</f>
        <v>Vencido</v>
      </c>
      <c r="R226" s="113" t="str">
        <f aca="false">IFERROR(VLOOKUP(J226,'Obs Tecnicas'!$D:$G,2,0),"")</f>
        <v/>
      </c>
      <c r="S226" s="102" t="str">
        <f aca="false">IFERROR(VLOOKUP(J226,'Obs Tecnicas'!$D:$G,3,0),"Hexis")</f>
        <v>Hexis</v>
      </c>
      <c r="T226" s="102" t="str">
        <f aca="false">IFERROR(VLOOKUP(J226,'Obs Tecnicas'!$D:$G,4,0),"")</f>
        <v/>
      </c>
      <c r="U226" s="1" t="s">
        <v>27</v>
      </c>
      <c r="V226" s="114" t="n">
        <f aca="false">IF(P226&lt;&gt;"",MONTH(P226),"")</f>
        <v>2</v>
      </c>
      <c r="W226" s="114" t="n">
        <v>8</v>
      </c>
    </row>
    <row r="227" customFormat="false" ht="15" hidden="false" customHeight="true" outlineLevel="0" collapsed="false">
      <c r="A227" s="102" t="s">
        <v>67</v>
      </c>
      <c r="B227" s="102" t="s">
        <v>560</v>
      </c>
      <c r="C227" s="109" t="s">
        <v>561</v>
      </c>
      <c r="D227" s="102" t="s">
        <v>593</v>
      </c>
      <c r="E227" s="102" t="s">
        <v>560</v>
      </c>
      <c r="F227" s="109" t="s">
        <v>561</v>
      </c>
      <c r="G227" s="102" t="s">
        <v>589</v>
      </c>
      <c r="H227" s="102" t="s">
        <v>532</v>
      </c>
      <c r="I227" s="102" t="s">
        <v>217</v>
      </c>
      <c r="J227" s="110" t="n">
        <v>6203837</v>
      </c>
      <c r="K227" s="102" t="s">
        <v>84</v>
      </c>
      <c r="L227" s="102" t="s">
        <v>219</v>
      </c>
      <c r="M227" s="102" t="s">
        <v>591</v>
      </c>
      <c r="N227" s="102" t="s">
        <v>554</v>
      </c>
      <c r="O227" s="111" t="n">
        <v>44239</v>
      </c>
      <c r="P227" s="112" t="n">
        <f aca="false">IFERROR(VLOOKUP(J227,'Obs Tecnicas'!$D:$I,5,0),O227)</f>
        <v>44239</v>
      </c>
      <c r="Q227" s="111" t="str">
        <f aca="true">IF(P227&lt;&gt;"",IF(P227+365&gt;TODAY(),"Calibrado","Vencido"),"")</f>
        <v>Vencido</v>
      </c>
      <c r="R227" s="113" t="str">
        <f aca="false">IFERROR(VLOOKUP(J227,'Obs Tecnicas'!$D:$G,2,0),"")</f>
        <v/>
      </c>
      <c r="S227" s="102" t="str">
        <f aca="false">IFERROR(VLOOKUP(J227,'Obs Tecnicas'!$D:$G,3,0),"Hexis")</f>
        <v>Hexis</v>
      </c>
      <c r="T227" s="102" t="str">
        <f aca="false">IFERROR(VLOOKUP(J227,'Obs Tecnicas'!$D:$G,4,0),"")</f>
        <v/>
      </c>
      <c r="U227" s="1" t="s">
        <v>27</v>
      </c>
      <c r="V227" s="114" t="n">
        <f aca="false">IF(P227&lt;&gt;"",MONTH(P227),"")</f>
        <v>2</v>
      </c>
      <c r="W227" s="114" t="n">
        <v>8</v>
      </c>
    </row>
    <row r="228" customFormat="false" ht="15" hidden="false" customHeight="true" outlineLevel="0" collapsed="false">
      <c r="A228" s="102" t="s">
        <v>67</v>
      </c>
      <c r="B228" s="102" t="s">
        <v>595</v>
      </c>
      <c r="C228" s="109" t="s">
        <v>596</v>
      </c>
      <c r="D228" s="102" t="s">
        <v>597</v>
      </c>
      <c r="E228" s="102" t="s">
        <v>595</v>
      </c>
      <c r="F228" s="109" t="s">
        <v>596</v>
      </c>
      <c r="G228" s="102" t="s">
        <v>589</v>
      </c>
      <c r="H228" s="102" t="s">
        <v>532</v>
      </c>
      <c r="I228" s="102" t="s">
        <v>217</v>
      </c>
      <c r="J228" s="110" t="n">
        <v>6261850</v>
      </c>
      <c r="K228" s="102" t="s">
        <v>84</v>
      </c>
      <c r="L228" s="102" t="s">
        <v>219</v>
      </c>
      <c r="M228" s="102" t="s">
        <v>591</v>
      </c>
      <c r="N228" s="102" t="s">
        <v>554</v>
      </c>
      <c r="O228" s="111" t="n">
        <v>44239</v>
      </c>
      <c r="P228" s="112" t="n">
        <f aca="false">IFERROR(VLOOKUP(J228,'Obs Tecnicas'!$D:$I,5,0),O228)</f>
        <v>44732</v>
      </c>
      <c r="Q228" s="111" t="str">
        <f aca="true">IF(P228&lt;&gt;"",IF(P228+365&gt;TODAY(),"Calibrado","Vencido"),"")</f>
        <v>Calibrado</v>
      </c>
      <c r="R228" s="113" t="n">
        <f aca="false">IFERROR(VLOOKUP(J228,'Obs Tecnicas'!$D:$G,2,0),"")</f>
        <v>16916</v>
      </c>
      <c r="S228" s="102" t="str">
        <f aca="false">IFERROR(VLOOKUP(J228,'Obs Tecnicas'!$D:$G,3,0),"Hexis")</f>
        <v>ER ANALITICA</v>
      </c>
      <c r="T228" s="102" t="n">
        <f aca="false">IFERROR(VLOOKUP(J228,'Obs Tecnicas'!$D:$G,4,0),"")</f>
        <v>0</v>
      </c>
      <c r="U228" s="1" t="s">
        <v>344</v>
      </c>
      <c r="V228" s="114" t="n">
        <f aca="false">IF(P228&lt;&gt;"",MONTH(P228),"")</f>
        <v>6</v>
      </c>
      <c r="W228" s="114" t="n">
        <v>8</v>
      </c>
    </row>
    <row r="229" customFormat="false" ht="15" hidden="false" customHeight="true" outlineLevel="0" collapsed="false">
      <c r="A229" s="102" t="s">
        <v>67</v>
      </c>
      <c r="B229" s="102" t="s">
        <v>560</v>
      </c>
      <c r="C229" s="109" t="s">
        <v>561</v>
      </c>
      <c r="D229" s="102" t="s">
        <v>593</v>
      </c>
      <c r="E229" s="102" t="s">
        <v>560</v>
      </c>
      <c r="F229" s="109" t="s">
        <v>561</v>
      </c>
      <c r="G229" s="102" t="s">
        <v>589</v>
      </c>
      <c r="H229" s="102" t="s">
        <v>532</v>
      </c>
      <c r="I229" s="102" t="s">
        <v>86</v>
      </c>
      <c r="J229" s="110" t="n">
        <v>2909161</v>
      </c>
      <c r="K229" s="117" t="s">
        <v>136</v>
      </c>
      <c r="L229" s="102" t="s">
        <v>137</v>
      </c>
      <c r="M229" s="102" t="s">
        <v>591</v>
      </c>
      <c r="N229" s="102" t="s">
        <v>554</v>
      </c>
      <c r="O229" s="111" t="n">
        <v>44239</v>
      </c>
      <c r="P229" s="112" t="n">
        <f aca="false">IFERROR(VLOOKUP(J229,'Obs Tecnicas'!$D:$I,5,0),O229)</f>
        <v>44239</v>
      </c>
      <c r="Q229" s="111" t="str">
        <f aca="true">IF(P229&lt;&gt;"",IF(P229+365&gt;TODAY(),"Calibrado","Vencido"),"")</f>
        <v>Vencido</v>
      </c>
      <c r="R229" s="113" t="str">
        <f aca="false">IFERROR(VLOOKUP(J229,'Obs Tecnicas'!$D:$G,2,0),"")</f>
        <v/>
      </c>
      <c r="S229" s="102" t="str">
        <f aca="false">IFERROR(VLOOKUP(J229,'Obs Tecnicas'!$D:$G,3,0),"Hexis")</f>
        <v>Hexis</v>
      </c>
      <c r="T229" s="102" t="str">
        <f aca="false">IFERROR(VLOOKUP(J229,'Obs Tecnicas'!$D:$G,4,0),"")</f>
        <v/>
      </c>
      <c r="U229" s="1" t="s">
        <v>27</v>
      </c>
      <c r="V229" s="114" t="n">
        <f aca="false">IF(P229&lt;&gt;"",MONTH(P229),"")</f>
        <v>2</v>
      </c>
      <c r="W229" s="114" t="n">
        <v>8</v>
      </c>
    </row>
    <row r="230" customFormat="false" ht="15" hidden="false" customHeight="true" outlineLevel="0" collapsed="false">
      <c r="A230" s="102" t="s">
        <v>67</v>
      </c>
      <c r="B230" s="102" t="s">
        <v>595</v>
      </c>
      <c r="C230" s="109" t="s">
        <v>596</v>
      </c>
      <c r="D230" s="102" t="s">
        <v>597</v>
      </c>
      <c r="E230" s="102" t="s">
        <v>595</v>
      </c>
      <c r="F230" s="109" t="s">
        <v>596</v>
      </c>
      <c r="G230" s="102" t="s">
        <v>589</v>
      </c>
      <c r="H230" s="102" t="s">
        <v>532</v>
      </c>
      <c r="I230" s="102" t="s">
        <v>101</v>
      </c>
      <c r="J230" s="110" t="n">
        <v>160110001009</v>
      </c>
      <c r="K230" s="102" t="s">
        <v>81</v>
      </c>
      <c r="L230" s="102" t="s">
        <v>205</v>
      </c>
      <c r="M230" s="102" t="s">
        <v>591</v>
      </c>
      <c r="N230" s="102" t="s">
        <v>554</v>
      </c>
      <c r="O230" s="111" t="n">
        <v>43980</v>
      </c>
      <c r="P230" s="112" t="n">
        <f aca="false">IFERROR(VLOOKUP(J230,'Obs Tecnicas'!$D:$I,5,0),O230)</f>
        <v>44732</v>
      </c>
      <c r="Q230" s="111" t="str">
        <f aca="true">IF(P230&lt;&gt;"",IF(P230+365&gt;TODAY(),"Calibrado","Vencido"),"")</f>
        <v>Calibrado</v>
      </c>
      <c r="R230" s="113" t="n">
        <f aca="false">IFERROR(VLOOKUP(J230,'Obs Tecnicas'!$D:$G,2,0),"")</f>
        <v>16619</v>
      </c>
      <c r="S230" s="102" t="str">
        <f aca="false">IFERROR(VLOOKUP(J230,'Obs Tecnicas'!$D:$G,3,0),"Hexis")</f>
        <v>ER ANALITICA</v>
      </c>
      <c r="T230" s="102" t="n">
        <f aca="false">IFERROR(VLOOKUP(J230,'Obs Tecnicas'!$D:$G,4,0),"")</f>
        <v>0</v>
      </c>
      <c r="U230" s="1" t="s">
        <v>344</v>
      </c>
      <c r="V230" s="114" t="n">
        <f aca="false">IF(P230&lt;&gt;"",MONTH(P230),"")</f>
        <v>6</v>
      </c>
      <c r="W230" s="114" t="n">
        <v>8</v>
      </c>
    </row>
    <row r="231" customFormat="false" ht="15" hidden="false" customHeight="true" outlineLevel="0" collapsed="false">
      <c r="A231" s="102" t="s">
        <v>67</v>
      </c>
      <c r="B231" s="102" t="s">
        <v>560</v>
      </c>
      <c r="C231" s="109" t="s">
        <v>561</v>
      </c>
      <c r="D231" s="102" t="s">
        <v>593</v>
      </c>
      <c r="E231" s="102" t="s">
        <v>560</v>
      </c>
      <c r="F231" s="109" t="s">
        <v>561</v>
      </c>
      <c r="G231" s="102" t="s">
        <v>599</v>
      </c>
      <c r="H231" s="102" t="s">
        <v>532</v>
      </c>
      <c r="I231" s="102" t="s">
        <v>83</v>
      </c>
      <c r="J231" s="110" t="n">
        <v>4239606</v>
      </c>
      <c r="K231" s="102" t="s">
        <v>84</v>
      </c>
      <c r="L231" s="102" t="s">
        <v>85</v>
      </c>
      <c r="M231" s="115" t="s">
        <v>591</v>
      </c>
      <c r="N231" s="102" t="s">
        <v>554</v>
      </c>
      <c r="O231" s="111"/>
      <c r="P231" s="112" t="n">
        <f aca="false">IFERROR(VLOOKUP(J231,'Obs Tecnicas'!$D:$I,5,0),O231)</f>
        <v>44333</v>
      </c>
      <c r="Q231" s="111" t="str">
        <f aca="true">IF(P231&lt;&gt;"",IF(P231+365&gt;TODAY(),"Calibrado","Vencido"),"")</f>
        <v>Vencido</v>
      </c>
      <c r="R231" s="113" t="n">
        <f aca="false">IFERROR(VLOOKUP(J231,'Obs Tecnicas'!$D:$G,2,0),"")</f>
        <v>12342</v>
      </c>
      <c r="S231" s="102" t="str">
        <f aca="false">IFERROR(VLOOKUP(J231,'Obs Tecnicas'!$D:$G,3,0),"Hexis")</f>
        <v>ER ANALITICA</v>
      </c>
      <c r="T231" s="102" t="n">
        <f aca="false">IFERROR(VLOOKUP(J231,'Obs Tecnicas'!$D:$G,4,0),"")</f>
        <v>0</v>
      </c>
      <c r="U231" s="1" t="s">
        <v>27</v>
      </c>
      <c r="V231" s="114" t="n">
        <f aca="false">IF(P231&lt;&gt;"",MONTH(P231),"")</f>
        <v>5</v>
      </c>
      <c r="W231" s="114" t="n">
        <v>11</v>
      </c>
    </row>
    <row r="232" customFormat="false" ht="15" hidden="false" customHeight="true" outlineLevel="0" collapsed="false">
      <c r="A232" s="102" t="s">
        <v>67</v>
      </c>
      <c r="B232" s="102" t="s">
        <v>437</v>
      </c>
      <c r="C232" s="136" t="s">
        <v>438</v>
      </c>
      <c r="D232" s="102" t="s">
        <v>439</v>
      </c>
      <c r="E232" s="102" t="s">
        <v>437</v>
      </c>
      <c r="F232" s="109" t="s">
        <v>438</v>
      </c>
      <c r="G232" s="115" t="s">
        <v>440</v>
      </c>
      <c r="H232" s="102" t="s">
        <v>532</v>
      </c>
      <c r="I232" s="102" t="s">
        <v>101</v>
      </c>
      <c r="J232" s="110" t="s">
        <v>600</v>
      </c>
      <c r="K232" s="102" t="s">
        <v>81</v>
      </c>
      <c r="L232" s="102" t="s">
        <v>103</v>
      </c>
      <c r="M232" s="115" t="s">
        <v>591</v>
      </c>
      <c r="N232" s="102" t="s">
        <v>554</v>
      </c>
      <c r="O232" s="111" t="n">
        <v>43978</v>
      </c>
      <c r="P232" s="112" t="n">
        <f aca="false">IFERROR(VLOOKUP(J232,'Obs Tecnicas'!$D:$I,5,0),O232)</f>
        <v>44333</v>
      </c>
      <c r="Q232" s="111" t="str">
        <f aca="true">IF(P232&lt;&gt;"",IF(P232+365&gt;TODAY(),"Calibrado","Vencido"),"")</f>
        <v>Vencido</v>
      </c>
      <c r="R232" s="113" t="n">
        <f aca="false">IFERROR(VLOOKUP(J232,'Obs Tecnicas'!$D:$G,2,0),"")</f>
        <v>12331</v>
      </c>
      <c r="S232" s="102" t="str">
        <f aca="false">IFERROR(VLOOKUP(J232,'Obs Tecnicas'!$D:$G,3,0),"Hexis")</f>
        <v>ER ANALITICA</v>
      </c>
      <c r="T232" s="102" t="str">
        <f aca="false">IFERROR(VLOOKUP(J232,'Obs Tecnicas'!$D:$G,4,0),"")</f>
        <v>Bateria de lítio com baixa carga e lazer de cod. De barras inoperante.</v>
      </c>
      <c r="U232" s="1" t="s">
        <v>27</v>
      </c>
      <c r="V232" s="114" t="n">
        <f aca="false">IF(P232&lt;&gt;"",MONTH(P232),"")</f>
        <v>5</v>
      </c>
      <c r="W232" s="114" t="n">
        <v>7</v>
      </c>
    </row>
    <row r="233" customFormat="false" ht="15" hidden="false" customHeight="true" outlineLevel="0" collapsed="false">
      <c r="A233" s="102" t="s">
        <v>67</v>
      </c>
      <c r="B233" s="102" t="s">
        <v>437</v>
      </c>
      <c r="C233" s="136" t="s">
        <v>438</v>
      </c>
      <c r="D233" s="102" t="s">
        <v>439</v>
      </c>
      <c r="E233" s="102" t="s">
        <v>437</v>
      </c>
      <c r="F233" s="109" t="s">
        <v>438</v>
      </c>
      <c r="G233" s="102" t="s">
        <v>440</v>
      </c>
      <c r="H233" s="102" t="s">
        <v>532</v>
      </c>
      <c r="I233" s="102" t="s">
        <v>75</v>
      </c>
      <c r="J233" s="110" t="s">
        <v>601</v>
      </c>
      <c r="K233" s="102" t="s">
        <v>81</v>
      </c>
      <c r="L233" s="102" t="s">
        <v>123</v>
      </c>
      <c r="M233" s="115" t="s">
        <v>591</v>
      </c>
      <c r="N233" s="102" t="s">
        <v>554</v>
      </c>
      <c r="O233" s="111" t="n">
        <v>43978</v>
      </c>
      <c r="P233" s="112" t="n">
        <f aca="false">IFERROR(VLOOKUP(J233,'Obs Tecnicas'!$D:$I,5,0),O233)</f>
        <v>44333</v>
      </c>
      <c r="Q233" s="111" t="str">
        <f aca="true">IF(P233&lt;&gt;"",IF(P233+365&gt;TODAY(),"Calibrado","Vencido"),"")</f>
        <v>Vencido</v>
      </c>
      <c r="R233" s="113" t="n">
        <f aca="false">IFERROR(VLOOKUP(J233,'Obs Tecnicas'!$D:$G,2,0),"")</f>
        <v>12335</v>
      </c>
      <c r="S233" s="102" t="str">
        <f aca="false">IFERROR(VLOOKUP(J233,'Obs Tecnicas'!$D:$G,3,0),"Hexis")</f>
        <v>ER ANALITICA</v>
      </c>
      <c r="T233" s="102" t="n">
        <f aca="false">IFERROR(VLOOKUP(J233,'Obs Tecnicas'!$D:$G,4,0),"")</f>
        <v>0</v>
      </c>
      <c r="U233" s="1" t="s">
        <v>27</v>
      </c>
      <c r="V233" s="114" t="n">
        <f aca="false">IF(P233&lt;&gt;"",MONTH(P233),"")</f>
        <v>5</v>
      </c>
      <c r="W233" s="114" t="n">
        <v>7</v>
      </c>
    </row>
    <row r="234" customFormat="false" ht="15" hidden="false" customHeight="true" outlineLevel="0" collapsed="false">
      <c r="A234" s="102" t="s">
        <v>67</v>
      </c>
      <c r="B234" s="102" t="s">
        <v>437</v>
      </c>
      <c r="C234" s="136" t="s">
        <v>438</v>
      </c>
      <c r="D234" s="102" t="s">
        <v>439</v>
      </c>
      <c r="E234" s="102" t="s">
        <v>437</v>
      </c>
      <c r="F234" s="109" t="s">
        <v>438</v>
      </c>
      <c r="G234" s="102" t="s">
        <v>440</v>
      </c>
      <c r="H234" s="102" t="s">
        <v>532</v>
      </c>
      <c r="I234" s="102" t="s">
        <v>89</v>
      </c>
      <c r="J234" s="110" t="s">
        <v>602</v>
      </c>
      <c r="K234" s="102" t="s">
        <v>81</v>
      </c>
      <c r="L234" s="102" t="s">
        <v>91</v>
      </c>
      <c r="M234" s="115" t="s">
        <v>591</v>
      </c>
      <c r="N234" s="102" t="s">
        <v>554</v>
      </c>
      <c r="O234" s="111" t="n">
        <v>43978</v>
      </c>
      <c r="P234" s="112" t="n">
        <f aca="false">IFERROR(VLOOKUP(J234,'Obs Tecnicas'!$D:$I,5,0),O234)</f>
        <v>44333</v>
      </c>
      <c r="Q234" s="111" t="str">
        <f aca="true">IF(P234&lt;&gt;"",IF(P234+365&gt;TODAY(),"Calibrado","Vencido"),"")</f>
        <v>Vencido</v>
      </c>
      <c r="R234" s="113" t="n">
        <f aca="false">IFERROR(VLOOKUP(J234,'Obs Tecnicas'!$D:$G,2,0),"")</f>
        <v>12319</v>
      </c>
      <c r="S234" s="102" t="str">
        <f aca="false">IFERROR(VLOOKUP(J234,'Obs Tecnicas'!$D:$G,3,0),"Hexis")</f>
        <v>ER ANALITICA</v>
      </c>
      <c r="T234" s="102" t="str">
        <f aca="false">IFERROR(VLOOKUP(J234,'Obs Tecnicas'!$D:$G,4,0),"")</f>
        <v>Lingueta de fixação da cubeta (tampa superior do conj. Optico) danificada.</v>
      </c>
      <c r="U234" s="1" t="s">
        <v>27</v>
      </c>
      <c r="V234" s="114" t="n">
        <f aca="false">IF(P234&lt;&gt;"",MONTH(P234),"")</f>
        <v>5</v>
      </c>
      <c r="W234" s="114" t="n">
        <v>7</v>
      </c>
    </row>
    <row r="235" customFormat="false" ht="15" hidden="false" customHeight="true" outlineLevel="0" collapsed="false">
      <c r="A235" s="102" t="s">
        <v>67</v>
      </c>
      <c r="B235" s="102" t="s">
        <v>437</v>
      </c>
      <c r="C235" s="109" t="s">
        <v>438</v>
      </c>
      <c r="D235" s="102" t="s">
        <v>439</v>
      </c>
      <c r="E235" s="102" t="s">
        <v>437</v>
      </c>
      <c r="F235" s="109" t="s">
        <v>438</v>
      </c>
      <c r="G235" s="102" t="s">
        <v>440</v>
      </c>
      <c r="H235" s="102" t="s">
        <v>532</v>
      </c>
      <c r="I235" s="102" t="s">
        <v>115</v>
      </c>
      <c r="J235" s="110" t="s">
        <v>603</v>
      </c>
      <c r="K235" s="102" t="s">
        <v>445</v>
      </c>
      <c r="M235" s="115" t="s">
        <v>591</v>
      </c>
      <c r="O235" s="111"/>
      <c r="P235" s="112" t="n">
        <f aca="false">IFERROR(VLOOKUP(J235,'Obs Tecnicas'!$D:$I,5,0),O235)</f>
        <v>44333</v>
      </c>
      <c r="Q235" s="111" t="str">
        <f aca="true">IF(P235&lt;&gt;"",IF(P235+365&gt;TODAY(),"Calibrado","Vencido"),"")</f>
        <v>Vencido</v>
      </c>
      <c r="R235" s="113" t="n">
        <f aca="false">IFERROR(VLOOKUP(J235,'Obs Tecnicas'!$D:$G,2,0),"")</f>
        <v>12356</v>
      </c>
      <c r="S235" s="102" t="str">
        <f aca="false">IFERROR(VLOOKUP(J235,'Obs Tecnicas'!$D:$G,3,0),"Hexis")</f>
        <v>ER ANALITICA</v>
      </c>
      <c r="T235" s="102" t="n">
        <f aca="false">IFERROR(VLOOKUP(J235,'Obs Tecnicas'!$D:$G,4,0),"")</f>
        <v>0</v>
      </c>
      <c r="U235" s="1" t="s">
        <v>27</v>
      </c>
      <c r="V235" s="114" t="n">
        <f aca="false">IF(P235&lt;&gt;"",MONTH(P235),"")</f>
        <v>5</v>
      </c>
      <c r="W235" s="114" t="n">
        <v>7</v>
      </c>
    </row>
    <row r="236" customFormat="false" ht="15" hidden="false" customHeight="true" outlineLevel="0" collapsed="false">
      <c r="A236" s="102" t="s">
        <v>67</v>
      </c>
      <c r="B236" s="102" t="s">
        <v>437</v>
      </c>
      <c r="C236" s="109" t="s">
        <v>438</v>
      </c>
      <c r="D236" s="102" t="s">
        <v>439</v>
      </c>
      <c r="E236" s="102" t="s">
        <v>437</v>
      </c>
      <c r="F236" s="109" t="s">
        <v>438</v>
      </c>
      <c r="G236" s="102" t="s">
        <v>440</v>
      </c>
      <c r="H236" s="102" t="s">
        <v>532</v>
      </c>
      <c r="I236" s="102" t="s">
        <v>115</v>
      </c>
      <c r="J236" s="110" t="s">
        <v>604</v>
      </c>
      <c r="K236" s="102" t="s">
        <v>452</v>
      </c>
      <c r="M236" s="115" t="s">
        <v>591</v>
      </c>
      <c r="O236" s="111"/>
      <c r="P236" s="112" t="n">
        <f aca="false">IFERROR(VLOOKUP(J236,'Obs Tecnicas'!$D:$I,5,0),O236)</f>
        <v>44333</v>
      </c>
      <c r="Q236" s="111" t="str">
        <f aca="true">IF(P236&lt;&gt;"",IF(P236+365&gt;TODAY(),"Calibrado","Vencido"),"")</f>
        <v>Vencido</v>
      </c>
      <c r="R236" s="113" t="n">
        <f aca="false">IFERROR(VLOOKUP(J236,'Obs Tecnicas'!$D:$G,2,0),"")</f>
        <v>12354</v>
      </c>
      <c r="S236" s="102" t="str">
        <f aca="false">IFERROR(VLOOKUP(J236,'Obs Tecnicas'!$D:$G,3,0),"Hexis")</f>
        <v>ER ANALITICA</v>
      </c>
      <c r="T236" s="102" t="n">
        <f aca="false">IFERROR(VLOOKUP(J236,'Obs Tecnicas'!$D:$G,4,0),"")</f>
        <v>0</v>
      </c>
      <c r="U236" s="1" t="s">
        <v>27</v>
      </c>
      <c r="V236" s="114" t="n">
        <f aca="false">IF(P236&lt;&gt;"",MONTH(P236),"")</f>
        <v>5</v>
      </c>
      <c r="W236" s="114" t="n">
        <v>7</v>
      </c>
    </row>
    <row r="237" customFormat="false" ht="15" hidden="false" customHeight="true" outlineLevel="0" collapsed="false">
      <c r="A237" s="102" t="s">
        <v>67</v>
      </c>
      <c r="B237" s="102" t="s">
        <v>437</v>
      </c>
      <c r="C237" s="109" t="s">
        <v>438</v>
      </c>
      <c r="D237" s="102" t="s">
        <v>439</v>
      </c>
      <c r="E237" s="102" t="s">
        <v>437</v>
      </c>
      <c r="F237" s="109" t="s">
        <v>438</v>
      </c>
      <c r="G237" s="102" t="s">
        <v>440</v>
      </c>
      <c r="H237" s="102" t="s">
        <v>532</v>
      </c>
      <c r="I237" s="102" t="s">
        <v>115</v>
      </c>
      <c r="J237" s="110" t="s">
        <v>605</v>
      </c>
      <c r="K237" s="102" t="s">
        <v>442</v>
      </c>
      <c r="M237" s="115" t="s">
        <v>591</v>
      </c>
      <c r="O237" s="111"/>
      <c r="P237" s="112" t="n">
        <f aca="false">IFERROR(VLOOKUP(J237,'Obs Tecnicas'!$D:$I,5,0),O237)</f>
        <v>44333</v>
      </c>
      <c r="Q237" s="111" t="str">
        <f aca="true">IF(P237&lt;&gt;"",IF(P237+365&gt;TODAY(),"Calibrado","Vencido"),"")</f>
        <v>Vencido</v>
      </c>
      <c r="R237" s="113" t="n">
        <f aca="false">IFERROR(VLOOKUP(J237,'Obs Tecnicas'!$D:$G,2,0),"")</f>
        <v>12353</v>
      </c>
      <c r="S237" s="102" t="str">
        <f aca="false">IFERROR(VLOOKUP(J237,'Obs Tecnicas'!$D:$G,3,0),"Hexis")</f>
        <v>ER ANALITICA</v>
      </c>
      <c r="T237" s="102" t="n">
        <f aca="false">IFERROR(VLOOKUP(J237,'Obs Tecnicas'!$D:$G,4,0),"")</f>
        <v>0</v>
      </c>
      <c r="U237" s="1" t="s">
        <v>27</v>
      </c>
      <c r="V237" s="114" t="n">
        <f aca="false">IF(P237&lt;&gt;"",MONTH(P237),"")</f>
        <v>5</v>
      </c>
      <c r="W237" s="114" t="n">
        <v>7</v>
      </c>
    </row>
    <row r="238" customFormat="false" ht="15" hidden="false" customHeight="true" outlineLevel="0" collapsed="false">
      <c r="A238" s="102" t="s">
        <v>67</v>
      </c>
      <c r="B238" s="102" t="s">
        <v>437</v>
      </c>
      <c r="C238" s="109" t="s">
        <v>438</v>
      </c>
      <c r="D238" s="102" t="s">
        <v>439</v>
      </c>
      <c r="E238" s="102" t="s">
        <v>437</v>
      </c>
      <c r="F238" s="109" t="s">
        <v>438</v>
      </c>
      <c r="G238" s="102" t="s">
        <v>440</v>
      </c>
      <c r="H238" s="102" t="s">
        <v>532</v>
      </c>
      <c r="I238" s="102" t="s">
        <v>86</v>
      </c>
      <c r="J238" s="110" t="s">
        <v>606</v>
      </c>
      <c r="K238" s="137" t="s">
        <v>607</v>
      </c>
      <c r="M238" s="115" t="s">
        <v>591</v>
      </c>
      <c r="N238" s="102" t="s">
        <v>554</v>
      </c>
      <c r="O238" s="111"/>
      <c r="P238" s="112" t="n">
        <f aca="false">IFERROR(VLOOKUP(J238,'Obs Tecnicas'!$D:$I,5,0),O238)</f>
        <v>44333</v>
      </c>
      <c r="Q238" s="111" t="str">
        <f aca="true">IF(P238&lt;&gt;"",IF(P238+365&gt;TODAY(),"Calibrado","Vencido"),"")</f>
        <v>Vencido</v>
      </c>
      <c r="R238" s="113" t="n">
        <f aca="false">IFERROR(VLOOKUP(J238,'Obs Tecnicas'!$D:$G,2,0),"")</f>
        <v>12347</v>
      </c>
      <c r="S238" s="102" t="str">
        <f aca="false">IFERROR(VLOOKUP(J238,'Obs Tecnicas'!$D:$G,3,0),"Hexis")</f>
        <v>ER ANALITICA</v>
      </c>
      <c r="T238" s="102" t="n">
        <f aca="false">IFERROR(VLOOKUP(J238,'Obs Tecnicas'!$D:$G,4,0),"")</f>
        <v>0</v>
      </c>
      <c r="U238" s="1" t="s">
        <v>27</v>
      </c>
      <c r="V238" s="114" t="n">
        <f aca="false">IF(P238&lt;&gt;"",MONTH(P238),"")</f>
        <v>5</v>
      </c>
      <c r="W238" s="114" t="n">
        <v>3</v>
      </c>
    </row>
    <row r="239" customFormat="false" ht="15" hidden="false" customHeight="true" outlineLevel="0" collapsed="false">
      <c r="A239" s="102" t="s">
        <v>67</v>
      </c>
      <c r="B239" s="102" t="s">
        <v>437</v>
      </c>
      <c r="C239" s="109" t="s">
        <v>438</v>
      </c>
      <c r="D239" s="102" t="s">
        <v>439</v>
      </c>
      <c r="E239" s="115" t="s">
        <v>437</v>
      </c>
      <c r="F239" s="109" t="s">
        <v>438</v>
      </c>
      <c r="G239" s="102" t="s">
        <v>440</v>
      </c>
      <c r="H239" s="102" t="s">
        <v>532</v>
      </c>
      <c r="I239" s="102" t="s">
        <v>101</v>
      </c>
      <c r="J239" s="110" t="s">
        <v>608</v>
      </c>
      <c r="K239" s="102" t="s">
        <v>609</v>
      </c>
      <c r="L239" s="102" t="s">
        <v>610</v>
      </c>
      <c r="M239" s="115" t="s">
        <v>591</v>
      </c>
      <c r="N239" s="102" t="s">
        <v>554</v>
      </c>
      <c r="O239" s="111" t="n">
        <v>44239</v>
      </c>
      <c r="P239" s="112" t="n">
        <f aca="false">IFERROR(VLOOKUP(J239,'Obs Tecnicas'!$D:$I,5,0),O239)</f>
        <v>44629</v>
      </c>
      <c r="Q239" s="111" t="str">
        <f aca="true">IF(P239&lt;&gt;"",IF(P239+365&gt;TODAY(),"Calibrado","Vencido"),"")</f>
        <v>Calibrado</v>
      </c>
      <c r="R239" s="113" t="n">
        <f aca="false">IFERROR(VLOOKUP(J239,'Obs Tecnicas'!$D:$G,2,0),"")</f>
        <v>15707</v>
      </c>
      <c r="S239" s="102" t="str">
        <f aca="false">IFERROR(VLOOKUP(J239,'Obs Tecnicas'!$D:$G,3,0),"Hexis")</f>
        <v>ER ANALITICA</v>
      </c>
      <c r="T239" s="102" t="n">
        <f aca="false">IFERROR(VLOOKUP(J239,'Obs Tecnicas'!$D:$G,4,0),"")</f>
        <v>0</v>
      </c>
      <c r="V239" s="114" t="n">
        <f aca="false">IF(P239&lt;&gt;"",MONTH(P239),"")</f>
        <v>3</v>
      </c>
      <c r="W239" s="114" t="n">
        <v>6</v>
      </c>
    </row>
    <row r="240" customFormat="false" ht="15" hidden="false" customHeight="true" outlineLevel="0" collapsed="false">
      <c r="A240" s="102" t="s">
        <v>67</v>
      </c>
      <c r="B240" s="102" t="s">
        <v>437</v>
      </c>
      <c r="C240" s="109" t="s">
        <v>438</v>
      </c>
      <c r="D240" s="102" t="s">
        <v>439</v>
      </c>
      <c r="E240" s="115" t="s">
        <v>437</v>
      </c>
      <c r="F240" s="109" t="s">
        <v>438</v>
      </c>
      <c r="G240" s="102" t="s">
        <v>440</v>
      </c>
      <c r="H240" s="102" t="s">
        <v>532</v>
      </c>
      <c r="I240" s="102" t="s">
        <v>86</v>
      </c>
      <c r="J240" s="110" t="s">
        <v>611</v>
      </c>
      <c r="K240" s="102" t="s">
        <v>612</v>
      </c>
      <c r="L240" s="102" t="s">
        <v>613</v>
      </c>
      <c r="M240" s="115" t="s">
        <v>591</v>
      </c>
      <c r="N240" s="102" t="s">
        <v>554</v>
      </c>
      <c r="O240" s="111" t="n">
        <v>44239</v>
      </c>
      <c r="P240" s="112" t="n">
        <f aca="false">IFERROR(VLOOKUP(J240,'Obs Tecnicas'!$D:$I,5,0),O240)</f>
        <v>44629</v>
      </c>
      <c r="Q240" s="111" t="str">
        <f aca="true">IF(P240&lt;&gt;"",IF(P240+365&gt;TODAY(),"Calibrado","Vencido"),"")</f>
        <v>Calibrado</v>
      </c>
      <c r="R240" s="113" t="n">
        <f aca="false">IFERROR(VLOOKUP(J240,'Obs Tecnicas'!$D:$G,2,0),"")</f>
        <v>15718</v>
      </c>
      <c r="S240" s="102" t="str">
        <f aca="false">IFERROR(VLOOKUP(J240,'Obs Tecnicas'!$D:$G,3,0),"Hexis")</f>
        <v>ER ANALITICA</v>
      </c>
      <c r="T240" s="102" t="n">
        <f aca="false">IFERROR(VLOOKUP(J240,'Obs Tecnicas'!$D:$G,4,0),"")</f>
        <v>0</v>
      </c>
      <c r="V240" s="114" t="n">
        <f aca="false">IF(P240&lt;&gt;"",MONTH(P240),"")</f>
        <v>3</v>
      </c>
      <c r="W240" s="114" t="n">
        <v>6</v>
      </c>
    </row>
    <row r="241" customFormat="false" ht="15" hidden="false" customHeight="true" outlineLevel="0" collapsed="false">
      <c r="A241" s="102" t="s">
        <v>67</v>
      </c>
      <c r="B241" s="102" t="s">
        <v>437</v>
      </c>
      <c r="C241" s="109" t="s">
        <v>438</v>
      </c>
      <c r="D241" s="102" t="s">
        <v>439</v>
      </c>
      <c r="E241" s="102" t="s">
        <v>437</v>
      </c>
      <c r="F241" s="102" t="s">
        <v>438</v>
      </c>
      <c r="G241" s="102" t="s">
        <v>440</v>
      </c>
      <c r="H241" s="102" t="s">
        <v>532</v>
      </c>
      <c r="I241" s="102" t="s">
        <v>83</v>
      </c>
      <c r="J241" s="110" t="s">
        <v>614</v>
      </c>
      <c r="K241" s="102" t="s">
        <v>84</v>
      </c>
      <c r="L241" s="102" t="s">
        <v>345</v>
      </c>
      <c r="M241" s="115" t="s">
        <v>591</v>
      </c>
      <c r="O241" s="111"/>
      <c r="P241" s="112" t="n">
        <f aca="false">IFERROR(VLOOKUP(J241,'Obs Tecnicas'!$D:$I,5,0),O241)</f>
        <v>44333</v>
      </c>
      <c r="Q241" s="111" t="str">
        <f aca="true">IF(P241&lt;&gt;"",IF(P241+365&gt;TODAY(),"Calibrado","Vencido"),"")</f>
        <v>Vencido</v>
      </c>
      <c r="R241" s="113" t="n">
        <f aca="false">IFERROR(VLOOKUP(J241,'Obs Tecnicas'!$D:$G,2,0),"")</f>
        <v>12341</v>
      </c>
      <c r="S241" s="102" t="str">
        <f aca="false">IFERROR(VLOOKUP(J241,'Obs Tecnicas'!$D:$G,3,0),"Hexis")</f>
        <v>ER ANALITICA</v>
      </c>
      <c r="T241" s="102" t="str">
        <f aca="false">IFERROR(VLOOKUP(J241,'Obs Tecnicas'!$D:$G,4,0),"")</f>
        <v>Display com avarias</v>
      </c>
      <c r="U241" s="1" t="s">
        <v>27</v>
      </c>
      <c r="V241" s="114" t="n">
        <f aca="false">IF(P241&lt;&gt;"",MONTH(P241),"")</f>
        <v>5</v>
      </c>
      <c r="W241" s="138" t="n">
        <v>1</v>
      </c>
    </row>
    <row r="242" customFormat="false" ht="15" hidden="false" customHeight="true" outlineLevel="0" collapsed="false">
      <c r="A242" s="102" t="s">
        <v>67</v>
      </c>
      <c r="B242" s="102" t="s">
        <v>437</v>
      </c>
      <c r="C242" s="109" t="s">
        <v>438</v>
      </c>
      <c r="D242" s="102" t="s">
        <v>439</v>
      </c>
      <c r="E242" s="102" t="s">
        <v>437</v>
      </c>
      <c r="F242" s="102" t="s">
        <v>438</v>
      </c>
      <c r="G242" s="102" t="s">
        <v>440</v>
      </c>
      <c r="H242" s="102" t="s">
        <v>532</v>
      </c>
      <c r="I242" s="102" t="s">
        <v>83</v>
      </c>
      <c r="J242" s="110" t="s">
        <v>615</v>
      </c>
      <c r="K242" s="102" t="s">
        <v>84</v>
      </c>
      <c r="M242" s="115" t="s">
        <v>591</v>
      </c>
      <c r="O242" s="111"/>
      <c r="P242" s="112" t="n">
        <f aca="false">IFERROR(VLOOKUP(J242,'Obs Tecnicas'!$D:$I,5,0),O242)</f>
        <v>44333</v>
      </c>
      <c r="Q242" s="111" t="str">
        <f aca="true">IF(P242&lt;&gt;"",IF(P242+365&gt;TODAY(),"Calibrado","Vencido"),"")</f>
        <v>Vencido</v>
      </c>
      <c r="R242" s="113" t="n">
        <f aca="false">IFERROR(VLOOKUP(J242,'Obs Tecnicas'!$D:$G,2,0),"")</f>
        <v>12339</v>
      </c>
      <c r="S242" s="102" t="str">
        <f aca="false">IFERROR(VLOOKUP(J242,'Obs Tecnicas'!$D:$G,3,0),"Hexis")</f>
        <v>ER ANALITICA</v>
      </c>
      <c r="T242" s="102" t="str">
        <f aca="false">IFERROR(VLOOKUP(J242,'Obs Tecnicas'!$D:$G,4,0),"")</f>
        <v>Carcaça do instrumento trincada.</v>
      </c>
      <c r="U242" s="1" t="s">
        <v>27</v>
      </c>
      <c r="V242" s="114" t="n">
        <f aca="false">IF(P242&lt;&gt;"",MONTH(P242),"")</f>
        <v>5</v>
      </c>
      <c r="W242" s="114" t="n">
        <v>9</v>
      </c>
    </row>
    <row r="243" customFormat="false" ht="15" hidden="false" customHeight="true" outlineLevel="0" collapsed="false">
      <c r="A243" s="102" t="s">
        <v>67</v>
      </c>
      <c r="B243" s="102" t="s">
        <v>437</v>
      </c>
      <c r="C243" s="127" t="s">
        <v>438</v>
      </c>
      <c r="D243" s="102" t="s">
        <v>439</v>
      </c>
      <c r="E243" s="102" t="s">
        <v>437</v>
      </c>
      <c r="F243" s="102" t="s">
        <v>438</v>
      </c>
      <c r="G243" s="102" t="s">
        <v>440</v>
      </c>
      <c r="H243" s="102" t="s">
        <v>532</v>
      </c>
      <c r="I243" s="102" t="s">
        <v>79</v>
      </c>
      <c r="J243" s="110" t="s">
        <v>616</v>
      </c>
      <c r="K243" s="102" t="s">
        <v>81</v>
      </c>
      <c r="L243" s="119" t="s">
        <v>185</v>
      </c>
      <c r="M243" s="115" t="s">
        <v>591</v>
      </c>
      <c r="N243" s="102" t="s">
        <v>554</v>
      </c>
      <c r="O243" s="111" t="n">
        <v>44306</v>
      </c>
      <c r="P243" s="112" t="n">
        <f aca="false">IFERROR(VLOOKUP(J243,'Obs Tecnicas'!$D:$I,5,0),O243)</f>
        <v>44306</v>
      </c>
      <c r="Q243" s="111" t="str">
        <f aca="true">IF(P243&lt;&gt;"",IF(P243+365&gt;TODAY(),"Calibrado","Vencido"),"")</f>
        <v>Vencido</v>
      </c>
      <c r="R243" s="113" t="str">
        <f aca="false">IFERROR(VLOOKUP(J243,'Obs Tecnicas'!$D:$G,2,0),"")</f>
        <v/>
      </c>
      <c r="S243" s="102" t="str">
        <f aca="false">IFERROR(VLOOKUP(J243,'Obs Tecnicas'!$D:$G,3,0),"Hexis")</f>
        <v>Hexis</v>
      </c>
      <c r="T243" s="102" t="str">
        <f aca="false">IFERROR(VLOOKUP(J243,'Obs Tecnicas'!$D:$G,4,0),"")</f>
        <v/>
      </c>
      <c r="U243" s="1" t="s">
        <v>27</v>
      </c>
      <c r="V243" s="114" t="n">
        <f aca="false">IF(P243&lt;&gt;"",MONTH(P243),"")</f>
        <v>4</v>
      </c>
      <c r="W243" s="114" t="n">
        <v>9</v>
      </c>
    </row>
    <row r="244" customFormat="false" ht="15" hidden="false" customHeight="true" outlineLevel="0" collapsed="false">
      <c r="A244" s="102" t="s">
        <v>67</v>
      </c>
      <c r="B244" s="102" t="s">
        <v>437</v>
      </c>
      <c r="C244" s="127" t="s">
        <v>438</v>
      </c>
      <c r="D244" s="102" t="s">
        <v>439</v>
      </c>
      <c r="E244" s="102" t="s">
        <v>437</v>
      </c>
      <c r="F244" s="102" t="s">
        <v>438</v>
      </c>
      <c r="G244" s="102" t="s">
        <v>440</v>
      </c>
      <c r="H244" s="102" t="s">
        <v>532</v>
      </c>
      <c r="I244" s="102" t="s">
        <v>79</v>
      </c>
      <c r="J244" s="110" t="s">
        <v>617</v>
      </c>
      <c r="K244" s="102" t="s">
        <v>81</v>
      </c>
      <c r="L244" s="119" t="s">
        <v>185</v>
      </c>
      <c r="M244" s="115" t="s">
        <v>591</v>
      </c>
      <c r="N244" s="102" t="s">
        <v>554</v>
      </c>
      <c r="O244" s="111" t="n">
        <v>44306</v>
      </c>
      <c r="P244" s="112" t="n">
        <f aca="false">IFERROR(VLOOKUP(J244,'Obs Tecnicas'!$D:$I,5,0),O244)</f>
        <v>44306</v>
      </c>
      <c r="Q244" s="111" t="str">
        <f aca="true">IF(P244&lt;&gt;"",IF(P244+365&gt;TODAY(),"Calibrado","Vencido"),"")</f>
        <v>Vencido</v>
      </c>
      <c r="R244" s="113" t="str">
        <f aca="false">IFERROR(VLOOKUP(J244,'Obs Tecnicas'!$D:$G,2,0),"")</f>
        <v/>
      </c>
      <c r="S244" s="102" t="str">
        <f aca="false">IFERROR(VLOOKUP(J244,'Obs Tecnicas'!$D:$G,3,0),"Hexis")</f>
        <v>Hexis</v>
      </c>
      <c r="T244" s="102" t="str">
        <f aca="false">IFERROR(VLOOKUP(J244,'Obs Tecnicas'!$D:$G,4,0),"")</f>
        <v/>
      </c>
      <c r="U244" s="1" t="s">
        <v>27</v>
      </c>
      <c r="V244" s="114" t="n">
        <f aca="false">IF(P244&lt;&gt;"",MONTH(P244),"")</f>
        <v>4</v>
      </c>
      <c r="W244" s="114" t="n">
        <v>9</v>
      </c>
    </row>
    <row r="245" customFormat="false" ht="15" hidden="false" customHeight="true" outlineLevel="0" collapsed="false">
      <c r="A245" s="102" t="s">
        <v>67</v>
      </c>
      <c r="B245" s="102" t="s">
        <v>437</v>
      </c>
      <c r="C245" s="127" t="s">
        <v>438</v>
      </c>
      <c r="D245" s="102" t="s">
        <v>439</v>
      </c>
      <c r="E245" s="102" t="s">
        <v>437</v>
      </c>
      <c r="F245" s="102" t="s">
        <v>438</v>
      </c>
      <c r="G245" s="102" t="s">
        <v>440</v>
      </c>
      <c r="H245" s="102" t="s">
        <v>532</v>
      </c>
      <c r="I245" s="102" t="s">
        <v>83</v>
      </c>
      <c r="J245" s="110" t="s">
        <v>618</v>
      </c>
      <c r="K245" s="102" t="s">
        <v>140</v>
      </c>
      <c r="L245" s="102" t="s">
        <v>134</v>
      </c>
      <c r="M245" s="115" t="s">
        <v>591</v>
      </c>
      <c r="N245" s="102" t="s">
        <v>554</v>
      </c>
      <c r="O245" s="111" t="n">
        <v>44306</v>
      </c>
      <c r="P245" s="112" t="n">
        <f aca="false">IFERROR(VLOOKUP(J245,'Obs Tecnicas'!$D:$I,5,0),O245)</f>
        <v>44306</v>
      </c>
      <c r="Q245" s="111" t="str">
        <f aca="true">IF(P245&lt;&gt;"",IF(P245+365&gt;TODAY(),"Calibrado","Vencido"),"")</f>
        <v>Vencido</v>
      </c>
      <c r="R245" s="113" t="str">
        <f aca="false">IFERROR(VLOOKUP(J245,'Obs Tecnicas'!$D:$G,2,0),"")</f>
        <v/>
      </c>
      <c r="S245" s="102" t="str">
        <f aca="false">IFERROR(VLOOKUP(J245,'Obs Tecnicas'!$D:$G,3,0),"Hexis")</f>
        <v>Hexis</v>
      </c>
      <c r="T245" s="102" t="str">
        <f aca="false">IFERROR(VLOOKUP(J245,'Obs Tecnicas'!$D:$G,4,0),"")</f>
        <v/>
      </c>
      <c r="U245" s="1" t="s">
        <v>27</v>
      </c>
      <c r="V245" s="114" t="n">
        <f aca="false">IF(P245&lt;&gt;"",MONTH(P245),"")</f>
        <v>4</v>
      </c>
      <c r="W245" s="114" t="n">
        <v>9</v>
      </c>
    </row>
    <row r="246" customFormat="false" ht="15" hidden="false" customHeight="true" outlineLevel="0" collapsed="false">
      <c r="A246" s="102" t="s">
        <v>67</v>
      </c>
      <c r="B246" s="102" t="s">
        <v>619</v>
      </c>
      <c r="C246" s="109" t="s">
        <v>620</v>
      </c>
      <c r="F246" s="109"/>
      <c r="H246" s="102" t="s">
        <v>532</v>
      </c>
      <c r="I246" s="102" t="s">
        <v>101</v>
      </c>
      <c r="J246" s="110" t="s">
        <v>621</v>
      </c>
      <c r="K246" s="102" t="s">
        <v>81</v>
      </c>
      <c r="L246" s="102" t="s">
        <v>103</v>
      </c>
      <c r="M246" s="115" t="s">
        <v>622</v>
      </c>
      <c r="N246" s="115" t="s">
        <v>623</v>
      </c>
      <c r="O246" s="111" t="n">
        <v>44067</v>
      </c>
      <c r="P246" s="112" t="n">
        <f aca="false">IFERROR(VLOOKUP(J246,'Obs Tecnicas'!$D:$I,5,0),O246)</f>
        <v>44421</v>
      </c>
      <c r="Q246" s="111" t="str">
        <f aca="true">IF(P246&lt;&gt;"",IF(P246+365&gt;TODAY(),"Calibrado","Vencido"),"")</f>
        <v>Calibrado</v>
      </c>
      <c r="R246" s="113" t="n">
        <f aca="false">IFERROR(VLOOKUP(J246,'Obs Tecnicas'!$D:$G,2,0),"")</f>
        <v>13347</v>
      </c>
      <c r="S246" s="102" t="str">
        <f aca="false">IFERROR(VLOOKUP(J246,'Obs Tecnicas'!$D:$G,3,0),"Hexis")</f>
        <v>ER ANALITICA</v>
      </c>
      <c r="T246" s="102" t="str">
        <f aca="false">IFERROR(VLOOKUP(J246,'Obs Tecnicas'!$D:$G,4,0),"")</f>
        <v> Bateria de litio com baixa carga.</v>
      </c>
      <c r="U246" s="1" t="s">
        <v>28</v>
      </c>
      <c r="V246" s="114" t="n">
        <f aca="false">IF(P246&lt;&gt;"",MONTH(P246),"")</f>
        <v>8</v>
      </c>
      <c r="W246" s="114" t="n">
        <v>3</v>
      </c>
    </row>
    <row r="247" customFormat="false" ht="15" hidden="false" customHeight="true" outlineLevel="0" collapsed="false">
      <c r="A247" s="102" t="s">
        <v>67</v>
      </c>
      <c r="B247" s="102" t="s">
        <v>624</v>
      </c>
      <c r="C247" s="109" t="s">
        <v>625</v>
      </c>
      <c r="E247" s="102" t="s">
        <v>626</v>
      </c>
      <c r="F247" s="109" t="s">
        <v>627</v>
      </c>
      <c r="G247" s="102" t="s">
        <v>326</v>
      </c>
      <c r="H247" s="102" t="s">
        <v>532</v>
      </c>
      <c r="I247" s="102" t="s">
        <v>101</v>
      </c>
      <c r="J247" s="110" t="s">
        <v>628</v>
      </c>
      <c r="K247" s="102" t="s">
        <v>81</v>
      </c>
      <c r="L247" s="118" t="s">
        <v>148</v>
      </c>
      <c r="M247" s="102" t="s">
        <v>629</v>
      </c>
      <c r="N247" s="102" t="s">
        <v>630</v>
      </c>
      <c r="O247" s="111" t="n">
        <v>44173</v>
      </c>
      <c r="P247" s="112" t="n">
        <f aca="false">IFERROR(VLOOKUP(J247,'Obs Tecnicas'!$D:$I,5,0),O247)</f>
        <v>44678</v>
      </c>
      <c r="Q247" s="111" t="str">
        <f aca="true">IF(P247&lt;&gt;"",IF(P247+365&gt;TODAY(),"Calibrado","Vencido"),"")</f>
        <v>Calibrado</v>
      </c>
      <c r="R247" s="113" t="n">
        <f aca="false">IFERROR(VLOOKUP(J247,'Obs Tecnicas'!$D:$G,2,0),"")</f>
        <v>16237</v>
      </c>
      <c r="S247" s="102" t="str">
        <f aca="false">IFERROR(VLOOKUP(J247,'Obs Tecnicas'!$D:$G,3,0),"Hexis")</f>
        <v>ER ANALITICA</v>
      </c>
      <c r="T247" s="102" t="str">
        <f aca="false">IFERROR(VLOOKUP(J247,'Obs Tecnicas'!$D:$G,4,0),"")</f>
        <v> Filtro óptico azul manchado e lâmpada de tungstênio com vida útil avançada.</v>
      </c>
      <c r="V247" s="114" t="n">
        <f aca="false">IF(P247&lt;&gt;"",MONTH(P247),"")</f>
        <v>4</v>
      </c>
      <c r="W247" s="114" t="n">
        <v>3</v>
      </c>
    </row>
    <row r="248" customFormat="false" ht="15" hidden="false" customHeight="true" outlineLevel="0" collapsed="false">
      <c r="A248" s="102" t="s">
        <v>67</v>
      </c>
      <c r="B248" s="102" t="s">
        <v>624</v>
      </c>
      <c r="C248" s="109" t="s">
        <v>625</v>
      </c>
      <c r="E248" s="102" t="s">
        <v>626</v>
      </c>
      <c r="F248" s="109" t="s">
        <v>627</v>
      </c>
      <c r="G248" s="102" t="s">
        <v>326</v>
      </c>
      <c r="H248" s="102" t="s">
        <v>532</v>
      </c>
      <c r="I248" s="102" t="s">
        <v>86</v>
      </c>
      <c r="J248" s="110" t="s">
        <v>631</v>
      </c>
      <c r="K248" s="117" t="s">
        <v>136</v>
      </c>
      <c r="L248" s="102" t="s">
        <v>137</v>
      </c>
      <c r="M248" s="102" t="s">
        <v>629</v>
      </c>
      <c r="N248" s="102" t="s">
        <v>630</v>
      </c>
      <c r="O248" s="111" t="n">
        <v>44173</v>
      </c>
      <c r="P248" s="112" t="n">
        <f aca="false">IFERROR(VLOOKUP(J248,'Obs Tecnicas'!$D:$I,5,0),O248)</f>
        <v>44678</v>
      </c>
      <c r="Q248" s="111" t="str">
        <f aca="true">IF(P248&lt;&gt;"",IF(P248+365&gt;TODAY(),"Calibrado","Vencido"),"")</f>
        <v>Calibrado</v>
      </c>
      <c r="R248" s="113" t="n">
        <f aca="false">IFERROR(VLOOKUP(J248,'Obs Tecnicas'!$D:$G,2,0),"")</f>
        <v>16236</v>
      </c>
      <c r="S248" s="102" t="str">
        <f aca="false">IFERROR(VLOOKUP(J248,'Obs Tecnicas'!$D:$G,3,0),"Hexis")</f>
        <v>ER ANALITICA</v>
      </c>
      <c r="T248" s="102" t="n">
        <f aca="false">IFERROR(VLOOKUP(J248,'Obs Tecnicas'!$D:$G,4,0),"")</f>
        <v>0</v>
      </c>
      <c r="V248" s="114" t="n">
        <f aca="false">IF(P248&lt;&gt;"",MONTH(P248),"")</f>
        <v>4</v>
      </c>
      <c r="W248" s="114" t="n">
        <v>3</v>
      </c>
    </row>
    <row r="249" customFormat="false" ht="15" hidden="false" customHeight="true" outlineLevel="0" collapsed="false">
      <c r="A249" s="102" t="s">
        <v>632</v>
      </c>
      <c r="B249" s="102" t="s">
        <v>624</v>
      </c>
      <c r="C249" s="109" t="s">
        <v>625</v>
      </c>
      <c r="E249" s="102" t="s">
        <v>626</v>
      </c>
      <c r="F249" s="109" t="s">
        <v>627</v>
      </c>
      <c r="H249" s="102" t="s">
        <v>532</v>
      </c>
      <c r="I249" s="102" t="s">
        <v>83</v>
      </c>
      <c r="J249" s="110" t="s">
        <v>633</v>
      </c>
      <c r="K249" s="102" t="s">
        <v>84</v>
      </c>
      <c r="L249" s="102" t="s">
        <v>85</v>
      </c>
      <c r="M249" s="102" t="s">
        <v>629</v>
      </c>
      <c r="N249" s="102" t="s">
        <v>78</v>
      </c>
      <c r="O249" s="111"/>
      <c r="P249" s="112" t="n">
        <f aca="false">IFERROR(VLOOKUP(J249,'Obs Tecnicas'!$D:$I,5,0),O249)</f>
        <v>44678</v>
      </c>
      <c r="Q249" s="111" t="str">
        <f aca="true">IF(P249&lt;&gt;"",IF(P249+365&gt;TODAY(),"Calibrado","Vencido"),"")</f>
        <v>Calibrado</v>
      </c>
      <c r="R249" s="113" t="n">
        <f aca="false">IFERROR(VLOOKUP(J249,'Obs Tecnicas'!$D:$G,2,0),"")</f>
        <v>16235</v>
      </c>
      <c r="S249" s="102" t="str">
        <f aca="false">IFERROR(VLOOKUP(J249,'Obs Tecnicas'!$D:$G,3,0),"Hexis")</f>
        <v>ER ANALITICA</v>
      </c>
      <c r="T249" s="102" t="n">
        <f aca="false">IFERROR(VLOOKUP(J249,'Obs Tecnicas'!$D:$G,4,0),"")</f>
        <v>0</v>
      </c>
      <c r="V249" s="114" t="n">
        <f aca="false">IF(P249&lt;&gt;"",MONTH(P249),"")</f>
        <v>4</v>
      </c>
      <c r="W249" s="114" t="n">
        <v>3</v>
      </c>
    </row>
    <row r="250" customFormat="false" ht="15" hidden="false" customHeight="true" outlineLevel="0" collapsed="false">
      <c r="A250" s="102" t="s">
        <v>67</v>
      </c>
      <c r="B250" s="102" t="s">
        <v>634</v>
      </c>
      <c r="C250" s="109" t="s">
        <v>635</v>
      </c>
      <c r="D250" s="102" t="s">
        <v>636</v>
      </c>
      <c r="E250" s="102" t="s">
        <v>626</v>
      </c>
      <c r="F250" s="109" t="s">
        <v>627</v>
      </c>
      <c r="G250" s="102" t="s">
        <v>326</v>
      </c>
      <c r="H250" s="102" t="s">
        <v>532</v>
      </c>
      <c r="I250" s="102" t="s">
        <v>115</v>
      </c>
      <c r="J250" s="110" t="s">
        <v>637</v>
      </c>
      <c r="K250" s="102" t="s">
        <v>452</v>
      </c>
      <c r="L250" s="102" t="s">
        <v>230</v>
      </c>
      <c r="M250" s="102" t="s">
        <v>638</v>
      </c>
      <c r="N250" s="102" t="s">
        <v>630</v>
      </c>
      <c r="O250" s="111" t="n">
        <v>44173</v>
      </c>
      <c r="P250" s="112" t="n">
        <f aca="false">IFERROR(VLOOKUP(J250,'Obs Tecnicas'!$D:$I,5,0),O250)</f>
        <v>44678</v>
      </c>
      <c r="Q250" s="111" t="str">
        <f aca="true">IF(P250&lt;&gt;"",IF(P250+365&gt;TODAY(),"Calibrado","Vencido"),"")</f>
        <v>Calibrado</v>
      </c>
      <c r="R250" s="113" t="n">
        <f aca="false">IFERROR(VLOOKUP(J250,'Obs Tecnicas'!$D:$G,2,0),"")</f>
        <v>16228</v>
      </c>
      <c r="S250" s="102" t="str">
        <f aca="false">IFERROR(VLOOKUP(J250,'Obs Tecnicas'!$D:$G,3,0),"Hexis")</f>
        <v>ER ANALITICA</v>
      </c>
      <c r="T250" s="102" t="n">
        <f aca="false">IFERROR(VLOOKUP(J250,'Obs Tecnicas'!$D:$G,4,0),"")</f>
        <v>0</v>
      </c>
      <c r="V250" s="114" t="n">
        <f aca="false">IF(P250&lt;&gt;"",MONTH(P250),"")</f>
        <v>4</v>
      </c>
      <c r="W250" s="114" t="n">
        <v>8</v>
      </c>
    </row>
    <row r="251" customFormat="false" ht="15" hidden="false" customHeight="true" outlineLevel="0" collapsed="false">
      <c r="A251" s="102" t="s">
        <v>67</v>
      </c>
      <c r="B251" s="102" t="s">
        <v>634</v>
      </c>
      <c r="C251" s="109" t="s">
        <v>635</v>
      </c>
      <c r="D251" s="102" t="s">
        <v>636</v>
      </c>
      <c r="E251" s="102" t="s">
        <v>626</v>
      </c>
      <c r="F251" s="109" t="s">
        <v>627</v>
      </c>
      <c r="G251" s="102" t="s">
        <v>326</v>
      </c>
      <c r="H251" s="102" t="s">
        <v>532</v>
      </c>
      <c r="I251" s="102" t="s">
        <v>83</v>
      </c>
      <c r="J251" s="110" t="s">
        <v>639</v>
      </c>
      <c r="K251" s="102" t="s">
        <v>87</v>
      </c>
      <c r="L251" s="102" t="s">
        <v>156</v>
      </c>
      <c r="M251" s="102" t="s">
        <v>638</v>
      </c>
      <c r="N251" s="102" t="s">
        <v>630</v>
      </c>
      <c r="O251" s="111" t="n">
        <v>44173</v>
      </c>
      <c r="P251" s="112" t="n">
        <f aca="false">IFERROR(VLOOKUP(J251,'Obs Tecnicas'!$D:$I,5,0),O251)</f>
        <v>44678</v>
      </c>
      <c r="Q251" s="111" t="str">
        <f aca="true">IF(P251&lt;&gt;"",IF(P251+365&gt;TODAY(),"Calibrado","Vencido"),"")</f>
        <v>Calibrado</v>
      </c>
      <c r="R251" s="113" t="n">
        <f aca="false">IFERROR(VLOOKUP(J251,'Obs Tecnicas'!$D:$G,2,0),"")</f>
        <v>16229</v>
      </c>
      <c r="S251" s="102" t="str">
        <f aca="false">IFERROR(VLOOKUP(J251,'Obs Tecnicas'!$D:$G,3,0),"Hexis")</f>
        <v>ER ANALITICA</v>
      </c>
      <c r="T251" s="102" t="n">
        <f aca="false">IFERROR(VLOOKUP(J251,'Obs Tecnicas'!$D:$G,4,0),"")</f>
        <v>0</v>
      </c>
      <c r="V251" s="114" t="n">
        <f aca="false">IF(P251&lt;&gt;"",MONTH(P251),"")</f>
        <v>4</v>
      </c>
      <c r="W251" s="114" t="n">
        <v>8</v>
      </c>
    </row>
    <row r="252" customFormat="false" ht="15" hidden="false" customHeight="true" outlineLevel="0" collapsed="false">
      <c r="A252" s="102" t="s">
        <v>67</v>
      </c>
      <c r="B252" s="102" t="s">
        <v>634</v>
      </c>
      <c r="C252" s="109" t="s">
        <v>635</v>
      </c>
      <c r="D252" s="102" t="s">
        <v>636</v>
      </c>
      <c r="E252" s="102" t="s">
        <v>626</v>
      </c>
      <c r="F252" s="109" t="s">
        <v>627</v>
      </c>
      <c r="G252" s="102" t="s">
        <v>326</v>
      </c>
      <c r="H252" s="102" t="s">
        <v>532</v>
      </c>
      <c r="I252" s="102" t="s">
        <v>83</v>
      </c>
      <c r="J252" s="110" t="s">
        <v>640</v>
      </c>
      <c r="K252" s="102" t="s">
        <v>84</v>
      </c>
      <c r="L252" s="115" t="s">
        <v>85</v>
      </c>
      <c r="M252" s="102" t="s">
        <v>638</v>
      </c>
      <c r="N252" s="102" t="s">
        <v>630</v>
      </c>
      <c r="O252" s="111" t="n">
        <v>44173</v>
      </c>
      <c r="P252" s="112" t="n">
        <f aca="false">IFERROR(VLOOKUP(J252,'Obs Tecnicas'!$D:$I,5,0),O252)</f>
        <v>44678</v>
      </c>
      <c r="Q252" s="111" t="str">
        <f aca="true">IF(P252&lt;&gt;"",IF(P252+365&gt;TODAY(),"Calibrado","Vencido"),"")</f>
        <v>Calibrado</v>
      </c>
      <c r="R252" s="113" t="n">
        <f aca="false">IFERROR(VLOOKUP(J252,'Obs Tecnicas'!$D:$G,2,0),"")</f>
        <v>16230</v>
      </c>
      <c r="S252" s="102" t="str">
        <f aca="false">IFERROR(VLOOKUP(J252,'Obs Tecnicas'!$D:$G,3,0),"Hexis")</f>
        <v>ER ANALITICA</v>
      </c>
      <c r="T252" s="102" t="n">
        <f aca="false">IFERROR(VLOOKUP(J252,'Obs Tecnicas'!$D:$G,4,0),"")</f>
        <v>0</v>
      </c>
      <c r="V252" s="114" t="n">
        <f aca="false">IF(P252&lt;&gt;"",MONTH(P252),"")</f>
        <v>4</v>
      </c>
      <c r="W252" s="114" t="n">
        <v>7</v>
      </c>
    </row>
    <row r="253" customFormat="false" ht="15" hidden="false" customHeight="true" outlineLevel="0" collapsed="false">
      <c r="A253" s="102" t="s">
        <v>67</v>
      </c>
      <c r="B253" s="102" t="s">
        <v>634</v>
      </c>
      <c r="C253" s="109" t="s">
        <v>635</v>
      </c>
      <c r="D253" s="102" t="s">
        <v>636</v>
      </c>
      <c r="E253" s="102" t="s">
        <v>626</v>
      </c>
      <c r="F253" s="109" t="s">
        <v>627</v>
      </c>
      <c r="G253" s="102" t="s">
        <v>326</v>
      </c>
      <c r="H253" s="102" t="s">
        <v>532</v>
      </c>
      <c r="I253" s="102" t="s">
        <v>101</v>
      </c>
      <c r="J253" s="110" t="s">
        <v>641</v>
      </c>
      <c r="K253" s="102" t="s">
        <v>81</v>
      </c>
      <c r="L253" s="102" t="s">
        <v>205</v>
      </c>
      <c r="M253" s="102" t="s">
        <v>638</v>
      </c>
      <c r="N253" s="102" t="s">
        <v>630</v>
      </c>
      <c r="O253" s="111" t="n">
        <v>44173</v>
      </c>
      <c r="P253" s="112" t="n">
        <f aca="false">IFERROR(VLOOKUP(J253,'Obs Tecnicas'!$D:$I,5,0),O253)</f>
        <v>44678</v>
      </c>
      <c r="Q253" s="111" t="str">
        <f aca="true">IF(P253&lt;&gt;"",IF(P253+365&gt;TODAY(),"Calibrado","Vencido"),"")</f>
        <v>Calibrado</v>
      </c>
      <c r="R253" s="113" t="n">
        <f aca="false">IFERROR(VLOOKUP(J253,'Obs Tecnicas'!$D:$G,2,0),"")</f>
        <v>16226</v>
      </c>
      <c r="S253" s="102" t="str">
        <f aca="false">IFERROR(VLOOKUP(J253,'Obs Tecnicas'!$D:$G,3,0),"Hexis")</f>
        <v>ER ANALITICA</v>
      </c>
      <c r="T253" s="102" t="str">
        <f aca="false">IFERROR(VLOOKUP(J253,'Obs Tecnicas'!$D:$G,4,0),"")</f>
        <v>Carcaça superior danificada, necessário troca na próxima manutenção.</v>
      </c>
      <c r="V253" s="114" t="n">
        <f aca="false">IF(P253&lt;&gt;"",MONTH(P253),"")</f>
        <v>4</v>
      </c>
      <c r="W253" s="114" t="n">
        <v>8</v>
      </c>
    </row>
    <row r="254" customFormat="false" ht="15" hidden="false" customHeight="true" outlineLevel="0" collapsed="false">
      <c r="A254" s="115" t="s">
        <v>67</v>
      </c>
      <c r="B254" s="115" t="s">
        <v>642</v>
      </c>
      <c r="C254" s="109" t="s">
        <v>643</v>
      </c>
      <c r="D254" s="102" t="s">
        <v>644</v>
      </c>
      <c r="E254" s="102" t="s">
        <v>626</v>
      </c>
      <c r="F254" s="109" t="s">
        <v>627</v>
      </c>
      <c r="G254" s="102" t="s">
        <v>326</v>
      </c>
      <c r="H254" s="102" t="s">
        <v>532</v>
      </c>
      <c r="I254" s="102" t="s">
        <v>101</v>
      </c>
      <c r="J254" s="110" t="n">
        <v>142380001014</v>
      </c>
      <c r="K254" s="102" t="s">
        <v>81</v>
      </c>
      <c r="L254" s="102" t="s">
        <v>205</v>
      </c>
      <c r="M254" s="102" t="s">
        <v>638</v>
      </c>
      <c r="N254" s="102" t="s">
        <v>630</v>
      </c>
      <c r="O254" s="111" t="n">
        <v>44173</v>
      </c>
      <c r="P254" s="112" t="n">
        <f aca="false">IFERROR(VLOOKUP(J254,'Obs Tecnicas'!$D:$I,5,0),O254)</f>
        <v>44678</v>
      </c>
      <c r="Q254" s="111" t="str">
        <f aca="true">IF(P254&lt;&gt;"",IF(P254+365&gt;TODAY(),"Calibrado","Vencido"),"")</f>
        <v>Calibrado</v>
      </c>
      <c r="R254" s="113" t="n">
        <f aca="false">IFERROR(VLOOKUP(J254,'Obs Tecnicas'!$D:$G,2,0),"")</f>
        <v>16231</v>
      </c>
      <c r="S254" s="102" t="str">
        <f aca="false">IFERROR(VLOOKUP(J254,'Obs Tecnicas'!$D:$G,3,0),"Hexis")</f>
        <v>ER ANALITICA</v>
      </c>
      <c r="T254" s="102" t="n">
        <f aca="false">IFERROR(VLOOKUP(J254,'Obs Tecnicas'!$D:$G,4,0),"")</f>
        <v>0</v>
      </c>
      <c r="V254" s="114" t="n">
        <f aca="false">IF(P254&lt;&gt;"",MONTH(P254),"")</f>
        <v>4</v>
      </c>
      <c r="W254" s="114" t="n">
        <v>9</v>
      </c>
    </row>
    <row r="255" customFormat="false" ht="15" hidden="false" customHeight="true" outlineLevel="0" collapsed="false">
      <c r="A255" s="102" t="s">
        <v>67</v>
      </c>
      <c r="B255" s="102" t="s">
        <v>642</v>
      </c>
      <c r="C255" s="109" t="s">
        <v>643</v>
      </c>
      <c r="D255" s="102" t="s">
        <v>644</v>
      </c>
      <c r="E255" s="102" t="s">
        <v>626</v>
      </c>
      <c r="F255" s="109" t="s">
        <v>627</v>
      </c>
      <c r="G255" s="102" t="s">
        <v>326</v>
      </c>
      <c r="H255" s="102" t="s">
        <v>532</v>
      </c>
      <c r="I255" s="102" t="s">
        <v>217</v>
      </c>
      <c r="J255" s="110" t="s">
        <v>645</v>
      </c>
      <c r="K255" s="102" t="s">
        <v>84</v>
      </c>
      <c r="L255" s="102" t="s">
        <v>219</v>
      </c>
      <c r="M255" s="102" t="s">
        <v>638</v>
      </c>
      <c r="N255" s="102" t="s">
        <v>630</v>
      </c>
      <c r="O255" s="111" t="n">
        <v>44173</v>
      </c>
      <c r="P255" s="112" t="n">
        <f aca="false">IFERROR(VLOOKUP(J255,'Obs Tecnicas'!$D:$I,5,0),O255)</f>
        <v>44678</v>
      </c>
      <c r="Q255" s="111" t="str">
        <f aca="true">IF(P255&lt;&gt;"",IF(P255+365&gt;TODAY(),"Calibrado","Vencido"),"")</f>
        <v>Calibrado</v>
      </c>
      <c r="R255" s="113" t="n">
        <f aca="false">IFERROR(VLOOKUP(J255,'Obs Tecnicas'!$D:$G,2,0),"")</f>
        <v>16225</v>
      </c>
      <c r="S255" s="102" t="str">
        <f aca="false">IFERROR(VLOOKUP(J255,'Obs Tecnicas'!$D:$G,3,0),"Hexis")</f>
        <v>ER ANALITICA</v>
      </c>
      <c r="T255" s="102" t="n">
        <f aca="false">IFERROR(VLOOKUP(J255,'Obs Tecnicas'!$D:$G,4,0),"")</f>
        <v>0</v>
      </c>
      <c r="V255" s="114" t="n">
        <f aca="false">IF(P255&lt;&gt;"",MONTH(P255),"")</f>
        <v>4</v>
      </c>
      <c r="W255" s="114" t="n">
        <v>9</v>
      </c>
    </row>
    <row r="256" customFormat="false" ht="15" hidden="false" customHeight="true" outlineLevel="0" collapsed="false">
      <c r="A256" s="102" t="s">
        <v>67</v>
      </c>
      <c r="B256" s="102" t="s">
        <v>634</v>
      </c>
      <c r="C256" s="109" t="s">
        <v>635</v>
      </c>
      <c r="D256" s="102" t="s">
        <v>636</v>
      </c>
      <c r="E256" s="102" t="s">
        <v>626</v>
      </c>
      <c r="F256" s="109" t="s">
        <v>627</v>
      </c>
      <c r="G256" s="102" t="s">
        <v>326</v>
      </c>
      <c r="H256" s="102" t="s">
        <v>532</v>
      </c>
      <c r="I256" s="102" t="s">
        <v>86</v>
      </c>
      <c r="J256" s="110" t="s">
        <v>646</v>
      </c>
      <c r="K256" s="102" t="s">
        <v>87</v>
      </c>
      <c r="L256" s="102" t="s">
        <v>121</v>
      </c>
      <c r="M256" s="102" t="s">
        <v>638</v>
      </c>
      <c r="N256" s="102" t="s">
        <v>630</v>
      </c>
      <c r="O256" s="111" t="n">
        <v>44173</v>
      </c>
      <c r="P256" s="112" t="n">
        <f aca="false">IFERROR(VLOOKUP(J256,'Obs Tecnicas'!$D:$I,5,0),O256)</f>
        <v>44678</v>
      </c>
      <c r="Q256" s="111" t="str">
        <f aca="true">IF(P256&lt;&gt;"",IF(P256+365&gt;TODAY(),"Calibrado","Vencido"),"")</f>
        <v>Calibrado</v>
      </c>
      <c r="R256" s="113" t="n">
        <f aca="false">IFERROR(VLOOKUP(J256,'Obs Tecnicas'!$D:$G,2,0),"")</f>
        <v>16232</v>
      </c>
      <c r="S256" s="102" t="str">
        <f aca="false">IFERROR(VLOOKUP(J256,'Obs Tecnicas'!$D:$G,3,0),"Hexis")</f>
        <v>ER ANALITICA</v>
      </c>
      <c r="T256" s="102" t="n">
        <f aca="false">IFERROR(VLOOKUP(J256,'Obs Tecnicas'!$D:$G,4,0),"")</f>
        <v>0</v>
      </c>
      <c r="V256" s="114" t="n">
        <f aca="false">IF(P256&lt;&gt;"",MONTH(P256),"")</f>
        <v>4</v>
      </c>
      <c r="W256" s="114" t="n">
        <v>9</v>
      </c>
    </row>
    <row r="257" customFormat="false" ht="15" hidden="false" customHeight="true" outlineLevel="0" collapsed="false">
      <c r="A257" s="102" t="s">
        <v>67</v>
      </c>
      <c r="B257" s="102" t="s">
        <v>634</v>
      </c>
      <c r="C257" s="109" t="s">
        <v>635</v>
      </c>
      <c r="D257" s="102" t="s">
        <v>636</v>
      </c>
      <c r="E257" s="102" t="s">
        <v>626</v>
      </c>
      <c r="F257" s="109" t="s">
        <v>627</v>
      </c>
      <c r="G257" s="102" t="s">
        <v>326</v>
      </c>
      <c r="H257" s="102" t="s">
        <v>532</v>
      </c>
      <c r="I257" s="102" t="s">
        <v>86</v>
      </c>
      <c r="J257" s="110" t="s">
        <v>647</v>
      </c>
      <c r="K257" s="117" t="s">
        <v>136</v>
      </c>
      <c r="L257" s="102" t="s">
        <v>137</v>
      </c>
      <c r="M257" s="102" t="s">
        <v>638</v>
      </c>
      <c r="N257" s="102" t="s">
        <v>630</v>
      </c>
      <c r="O257" s="111" t="n">
        <v>44173</v>
      </c>
      <c r="P257" s="112" t="n">
        <f aca="false">IFERROR(VLOOKUP(J257,'Obs Tecnicas'!$D:$I,5,0),O257)</f>
        <v>44678</v>
      </c>
      <c r="Q257" s="111" t="str">
        <f aca="true">IF(P257&lt;&gt;"",IF(P257+365&gt;TODAY(),"Calibrado","Vencido"),"")</f>
        <v>Calibrado</v>
      </c>
      <c r="R257" s="113" t="n">
        <f aca="false">IFERROR(VLOOKUP(J257,'Obs Tecnicas'!$D:$G,2,0),"")</f>
        <v>16227</v>
      </c>
      <c r="S257" s="102" t="str">
        <f aca="false">IFERROR(VLOOKUP(J257,'Obs Tecnicas'!$D:$G,3,0),"Hexis")</f>
        <v>ER ANALITICA</v>
      </c>
      <c r="T257" s="102" t="str">
        <f aca="false">IFERROR(VLOOKUP(J257,'Obs Tecnicas'!$D:$G,4,0),"")</f>
        <v>Eletrodo com vida útil avançada, sendo necessário sua troca.</v>
      </c>
      <c r="V257" s="114" t="n">
        <f aca="false">IF(P257&lt;&gt;"",MONTH(P257),"")</f>
        <v>4</v>
      </c>
      <c r="W257" s="114" t="n">
        <v>9</v>
      </c>
    </row>
    <row r="258" customFormat="false" ht="15" hidden="false" customHeight="true" outlineLevel="0" collapsed="false">
      <c r="A258" s="115" t="s">
        <v>67</v>
      </c>
      <c r="B258" s="115" t="s">
        <v>642</v>
      </c>
      <c r="C258" s="109" t="s">
        <v>643</v>
      </c>
      <c r="D258" s="102" t="s">
        <v>644</v>
      </c>
      <c r="E258" s="102" t="s">
        <v>626</v>
      </c>
      <c r="F258" s="109" t="s">
        <v>627</v>
      </c>
      <c r="G258" s="102" t="s">
        <v>326</v>
      </c>
      <c r="H258" s="102" t="s">
        <v>532</v>
      </c>
      <c r="I258" s="102" t="s">
        <v>86</v>
      </c>
      <c r="J258" s="110" t="s">
        <v>648</v>
      </c>
      <c r="K258" s="117" t="s">
        <v>136</v>
      </c>
      <c r="L258" s="102" t="s">
        <v>137</v>
      </c>
      <c r="M258" s="102" t="s">
        <v>638</v>
      </c>
      <c r="N258" s="102" t="s">
        <v>630</v>
      </c>
      <c r="O258" s="111" t="n">
        <v>44173</v>
      </c>
      <c r="P258" s="112" t="n">
        <f aca="false">IFERROR(VLOOKUP(J258,'Obs Tecnicas'!$D:$I,5,0),O258)</f>
        <v>44678</v>
      </c>
      <c r="Q258" s="111" t="str">
        <f aca="true">IF(P258&lt;&gt;"",IF(P258+365&gt;TODAY(),"Calibrado","Vencido"),"")</f>
        <v>Calibrado</v>
      </c>
      <c r="R258" s="113" t="n">
        <f aca="false">IFERROR(VLOOKUP(J258,'Obs Tecnicas'!$D:$G,2,0),"")</f>
        <v>16233</v>
      </c>
      <c r="S258" s="102" t="str">
        <f aca="false">IFERROR(VLOOKUP(J258,'Obs Tecnicas'!$D:$G,3,0),"Hexis")</f>
        <v>ER ANALITICA</v>
      </c>
      <c r="T258" s="102" t="n">
        <f aca="false">IFERROR(VLOOKUP(J258,'Obs Tecnicas'!$D:$G,4,0),"")</f>
        <v>0</v>
      </c>
      <c r="V258" s="114" t="n">
        <f aca="false">IF(P258&lt;&gt;"",MONTH(P258),"")</f>
        <v>4</v>
      </c>
      <c r="W258" s="114" t="n">
        <v>9</v>
      </c>
    </row>
    <row r="259" customFormat="false" ht="15" hidden="false" customHeight="true" outlineLevel="0" collapsed="false">
      <c r="A259" s="102" t="s">
        <v>67</v>
      </c>
      <c r="B259" s="102" t="s">
        <v>634</v>
      </c>
      <c r="C259" s="109" t="s">
        <v>635</v>
      </c>
      <c r="D259" s="102" t="s">
        <v>636</v>
      </c>
      <c r="E259" s="102" t="s">
        <v>626</v>
      </c>
      <c r="F259" s="109" t="s">
        <v>627</v>
      </c>
      <c r="G259" s="102" t="s">
        <v>326</v>
      </c>
      <c r="H259" s="102" t="s">
        <v>532</v>
      </c>
      <c r="I259" s="102" t="s">
        <v>89</v>
      </c>
      <c r="J259" s="110" t="s">
        <v>649</v>
      </c>
      <c r="K259" s="102" t="s">
        <v>81</v>
      </c>
      <c r="L259" s="102" t="s">
        <v>91</v>
      </c>
      <c r="M259" s="102" t="s">
        <v>638</v>
      </c>
      <c r="N259" s="102" t="s">
        <v>630</v>
      </c>
      <c r="O259" s="111" t="n">
        <v>44173</v>
      </c>
      <c r="P259" s="112" t="n">
        <f aca="false">IFERROR(VLOOKUP(J259,'Obs Tecnicas'!$D:$I,5,0),O259)</f>
        <v>44678</v>
      </c>
      <c r="Q259" s="111" t="str">
        <f aca="true">IF(P259&lt;&gt;"",IF(P259+365&gt;TODAY(),"Calibrado","Vencido"),"")</f>
        <v>Calibrado</v>
      </c>
      <c r="R259" s="113" t="n">
        <f aca="false">IFERROR(VLOOKUP(J259,'Obs Tecnicas'!$D:$G,2,0),"")</f>
        <v>16234</v>
      </c>
      <c r="S259" s="102" t="str">
        <f aca="false">IFERROR(VLOOKUP(J259,'Obs Tecnicas'!$D:$G,3,0),"Hexis")</f>
        <v>ER ANALITICA</v>
      </c>
      <c r="T259" s="102" t="n">
        <f aca="false">IFERROR(VLOOKUP(J259,'Obs Tecnicas'!$D:$G,4,0),"")</f>
        <v>0</v>
      </c>
      <c r="V259" s="114" t="n">
        <f aca="false">IF(P259&lt;&gt;"",MONTH(P259),"")</f>
        <v>4</v>
      </c>
      <c r="W259" s="114" t="n">
        <v>3</v>
      </c>
    </row>
    <row r="260" customFormat="false" ht="15" hidden="false" customHeight="true" outlineLevel="0" collapsed="false">
      <c r="A260" s="102" t="s">
        <v>67</v>
      </c>
      <c r="B260" s="102" t="s">
        <v>650</v>
      </c>
      <c r="C260" s="109" t="s">
        <v>651</v>
      </c>
      <c r="D260" s="102" t="s">
        <v>652</v>
      </c>
      <c r="E260" s="102" t="s">
        <v>634</v>
      </c>
      <c r="F260" s="109" t="s">
        <v>635</v>
      </c>
      <c r="G260" s="102" t="s">
        <v>346</v>
      </c>
      <c r="H260" s="102" t="s">
        <v>532</v>
      </c>
      <c r="I260" s="102" t="s">
        <v>101</v>
      </c>
      <c r="J260" s="110" t="s">
        <v>653</v>
      </c>
      <c r="K260" s="102" t="s">
        <v>81</v>
      </c>
      <c r="L260" s="102" t="s">
        <v>205</v>
      </c>
      <c r="M260" s="115" t="s">
        <v>654</v>
      </c>
      <c r="N260" s="102" t="s">
        <v>655</v>
      </c>
      <c r="O260" s="111" t="n">
        <v>44406</v>
      </c>
      <c r="P260" s="112" t="n">
        <f aca="false">IFERROR(VLOOKUP(J260,'Obs Tecnicas'!$D:$I,5,0),O260)</f>
        <v>44406</v>
      </c>
      <c r="Q260" s="111" t="str">
        <f aca="true">IF(P260&lt;&gt;"",IF(P260+365&gt;TODAY(),"Calibrado","Vencido"),"")</f>
        <v>Calibrado</v>
      </c>
      <c r="R260" s="113" t="n">
        <f aca="false">IFERROR(VLOOKUP(J260,'Obs Tecnicas'!$D:$G,2,0),"")</f>
        <v>13283</v>
      </c>
      <c r="S260" s="102" t="str">
        <f aca="false">IFERROR(VLOOKUP(J260,'Obs Tecnicas'!$D:$G,3,0),"Hexis")</f>
        <v>ER ANALITICA</v>
      </c>
      <c r="T260" s="102" t="n">
        <f aca="false">IFERROR(VLOOKUP(J260,'Obs Tecnicas'!$D:$G,4,0),"")</f>
        <v>0</v>
      </c>
      <c r="U260" s="1" t="s">
        <v>28</v>
      </c>
      <c r="V260" s="114" t="n">
        <f aca="false">IF(P260&lt;&gt;"",MONTH(P260),"")</f>
        <v>7</v>
      </c>
      <c r="W260" s="114" t="n">
        <v>4</v>
      </c>
    </row>
    <row r="261" customFormat="false" ht="15" hidden="false" customHeight="true" outlineLevel="0" collapsed="false">
      <c r="A261" s="102" t="s">
        <v>67</v>
      </c>
      <c r="B261" s="102" t="s">
        <v>650</v>
      </c>
      <c r="C261" s="109" t="s">
        <v>651</v>
      </c>
      <c r="D261" s="102" t="s">
        <v>652</v>
      </c>
      <c r="E261" s="102" t="s">
        <v>634</v>
      </c>
      <c r="F261" s="109" t="s">
        <v>635</v>
      </c>
      <c r="G261" s="102" t="s">
        <v>346</v>
      </c>
      <c r="H261" s="102" t="s">
        <v>532</v>
      </c>
      <c r="I261" s="102" t="s">
        <v>101</v>
      </c>
      <c r="J261" s="110" t="s">
        <v>656</v>
      </c>
      <c r="K261" s="102" t="s">
        <v>81</v>
      </c>
      <c r="L261" s="102" t="s">
        <v>657</v>
      </c>
      <c r="M261" s="115" t="s">
        <v>654</v>
      </c>
      <c r="N261" s="102" t="s">
        <v>655</v>
      </c>
      <c r="O261" s="111" t="n">
        <v>44406</v>
      </c>
      <c r="P261" s="112" t="n">
        <f aca="false">IFERROR(VLOOKUP(J261,'Obs Tecnicas'!$D:$I,5,0),O261)</f>
        <v>44406</v>
      </c>
      <c r="Q261" s="111" t="str">
        <f aca="true">IF(P261&lt;&gt;"",IF(P261+365&gt;TODAY(),"Calibrado","Vencido"),"")</f>
        <v>Calibrado</v>
      </c>
      <c r="R261" s="113" t="n">
        <f aca="false">IFERROR(VLOOKUP(J261,'Obs Tecnicas'!$D:$G,2,0),"")</f>
        <v>13284</v>
      </c>
      <c r="S261" s="102" t="str">
        <f aca="false">IFERROR(VLOOKUP(J261,'Obs Tecnicas'!$D:$G,3,0),"Hexis")</f>
        <v>ER ANALITICA</v>
      </c>
      <c r="T261" s="102" t="str">
        <f aca="false">IFERROR(VLOOKUP(J261,'Obs Tecnicas'!$D:$G,4,0),"")</f>
        <v> Carcaça com avarias</v>
      </c>
      <c r="U261" s="1" t="s">
        <v>28</v>
      </c>
      <c r="V261" s="114" t="n">
        <f aca="false">IF(P261&lt;&gt;"",MONTH(P261),"")</f>
        <v>7</v>
      </c>
      <c r="W261" s="114" t="n">
        <v>3</v>
      </c>
    </row>
    <row r="262" customFormat="false" ht="15" hidden="false" customHeight="true" outlineLevel="0" collapsed="false">
      <c r="A262" s="102" t="s">
        <v>67</v>
      </c>
      <c r="B262" s="102" t="s">
        <v>650</v>
      </c>
      <c r="C262" s="109" t="s">
        <v>651</v>
      </c>
      <c r="D262" s="102" t="s">
        <v>652</v>
      </c>
      <c r="E262" s="102" t="s">
        <v>634</v>
      </c>
      <c r="F262" s="109" t="s">
        <v>635</v>
      </c>
      <c r="G262" s="102" t="s">
        <v>346</v>
      </c>
      <c r="H262" s="102" t="s">
        <v>532</v>
      </c>
      <c r="I262" s="102" t="s">
        <v>217</v>
      </c>
      <c r="J262" s="110" t="s">
        <v>658</v>
      </c>
      <c r="K262" s="102" t="s">
        <v>84</v>
      </c>
      <c r="L262" s="102" t="s">
        <v>219</v>
      </c>
      <c r="M262" s="115" t="s">
        <v>654</v>
      </c>
      <c r="N262" s="102" t="s">
        <v>655</v>
      </c>
      <c r="O262" s="111" t="n">
        <v>44406</v>
      </c>
      <c r="P262" s="112" t="n">
        <f aca="false">IFERROR(VLOOKUP(J262,'Obs Tecnicas'!$D:$I,5,0),O262)</f>
        <v>44406</v>
      </c>
      <c r="Q262" s="111" t="str">
        <f aca="true">IF(P262&lt;&gt;"",IF(P262+365&gt;TODAY(),"Calibrado","Vencido"),"")</f>
        <v>Calibrado</v>
      </c>
      <c r="R262" s="113" t="n">
        <f aca="false">IFERROR(VLOOKUP(J262,'Obs Tecnicas'!$D:$G,2,0),"")</f>
        <v>13285</v>
      </c>
      <c r="S262" s="102" t="str">
        <f aca="false">IFERROR(VLOOKUP(J262,'Obs Tecnicas'!$D:$G,3,0),"Hexis")</f>
        <v>ER ANALITICA</v>
      </c>
      <c r="T262" s="102" t="n">
        <f aca="false">IFERROR(VLOOKUP(J262,'Obs Tecnicas'!$D:$G,4,0),"")</f>
        <v>0</v>
      </c>
      <c r="U262" s="1" t="s">
        <v>28</v>
      </c>
      <c r="V262" s="114" t="n">
        <f aca="false">IF(P262&lt;&gt;"",MONTH(P262),"")</f>
        <v>7</v>
      </c>
      <c r="W262" s="114" t="n">
        <v>5</v>
      </c>
    </row>
    <row r="263" customFormat="false" ht="15" hidden="false" customHeight="true" outlineLevel="0" collapsed="false">
      <c r="A263" s="102" t="s">
        <v>67</v>
      </c>
      <c r="B263" s="102" t="s">
        <v>650</v>
      </c>
      <c r="C263" s="109" t="s">
        <v>651</v>
      </c>
      <c r="D263" s="102" t="s">
        <v>652</v>
      </c>
      <c r="E263" s="102" t="s">
        <v>634</v>
      </c>
      <c r="F263" s="109" t="s">
        <v>635</v>
      </c>
      <c r="G263" s="102" t="s">
        <v>346</v>
      </c>
      <c r="H263" s="102" t="s">
        <v>532</v>
      </c>
      <c r="I263" s="102" t="s">
        <v>86</v>
      </c>
      <c r="J263" s="110" t="s">
        <v>659</v>
      </c>
      <c r="K263" s="102" t="s">
        <v>87</v>
      </c>
      <c r="L263" s="102" t="s">
        <v>290</v>
      </c>
      <c r="M263" s="115" t="s">
        <v>654</v>
      </c>
      <c r="N263" s="102" t="s">
        <v>655</v>
      </c>
      <c r="O263" s="111" t="n">
        <v>44406</v>
      </c>
      <c r="P263" s="112" t="n">
        <f aca="false">IFERROR(VLOOKUP(J263,'Obs Tecnicas'!$D:$I,5,0),O263)</f>
        <v>44406</v>
      </c>
      <c r="Q263" s="111" t="str">
        <f aca="true">IF(P263&lt;&gt;"",IF(P263+365&gt;TODAY(),"Calibrado","Vencido"),"")</f>
        <v>Calibrado</v>
      </c>
      <c r="R263" s="113" t="n">
        <f aca="false">IFERROR(VLOOKUP(J263,'Obs Tecnicas'!$D:$G,2,0),"")</f>
        <v>13369</v>
      </c>
      <c r="S263" s="102" t="str">
        <f aca="false">IFERROR(VLOOKUP(J263,'Obs Tecnicas'!$D:$G,3,0),"Hexis")</f>
        <v>ER ANALITICA</v>
      </c>
      <c r="T263" s="102" t="n">
        <f aca="false">IFERROR(VLOOKUP(J263,'Obs Tecnicas'!$D:$G,4,0),"")</f>
        <v>0</v>
      </c>
      <c r="U263" s="1" t="s">
        <v>28</v>
      </c>
      <c r="V263" s="114" t="n">
        <f aca="false">IF(P263&lt;&gt;"",MONTH(P263),"")</f>
        <v>7</v>
      </c>
      <c r="W263" s="114" t="n">
        <v>5</v>
      </c>
    </row>
    <row r="264" customFormat="false" ht="15" hidden="false" customHeight="true" outlineLevel="0" collapsed="false">
      <c r="A264" s="102" t="s">
        <v>67</v>
      </c>
      <c r="B264" s="102" t="s">
        <v>650</v>
      </c>
      <c r="C264" s="109" t="s">
        <v>651</v>
      </c>
      <c r="D264" s="102" t="s">
        <v>652</v>
      </c>
      <c r="E264" s="102" t="s">
        <v>634</v>
      </c>
      <c r="F264" s="109" t="s">
        <v>635</v>
      </c>
      <c r="G264" s="102" t="s">
        <v>346</v>
      </c>
      <c r="H264" s="102" t="s">
        <v>532</v>
      </c>
      <c r="I264" s="102" t="s">
        <v>89</v>
      </c>
      <c r="J264" s="110" t="s">
        <v>660</v>
      </c>
      <c r="K264" s="102" t="s">
        <v>81</v>
      </c>
      <c r="L264" s="102" t="s">
        <v>91</v>
      </c>
      <c r="M264" s="115" t="s">
        <v>654</v>
      </c>
      <c r="N264" s="102" t="s">
        <v>655</v>
      </c>
      <c r="O264" s="111" t="n">
        <v>44406</v>
      </c>
      <c r="P264" s="112" t="n">
        <f aca="false">IFERROR(VLOOKUP(J264,'Obs Tecnicas'!$D:$I,5,0),O264)</f>
        <v>44406</v>
      </c>
      <c r="Q264" s="111" t="str">
        <f aca="true">IF(P264&lt;&gt;"",IF(P264+365&gt;TODAY(),"Calibrado","Vencido"),"")</f>
        <v>Calibrado</v>
      </c>
      <c r="R264" s="113" t="n">
        <f aca="false">IFERROR(VLOOKUP(J264,'Obs Tecnicas'!$D:$G,2,0),"")</f>
        <v>13287</v>
      </c>
      <c r="S264" s="102" t="str">
        <f aca="false">IFERROR(VLOOKUP(J264,'Obs Tecnicas'!$D:$G,3,0),"Hexis")</f>
        <v>ER ANALITICA</v>
      </c>
      <c r="T264" s="102" t="n">
        <f aca="false">IFERROR(VLOOKUP(J264,'Obs Tecnicas'!$D:$G,4,0),"")</f>
        <v>0</v>
      </c>
      <c r="U264" s="1" t="s">
        <v>28</v>
      </c>
      <c r="V264" s="114" t="n">
        <f aca="false">IF(P264&lt;&gt;"",MONTH(P264),"")</f>
        <v>7</v>
      </c>
      <c r="W264" s="114" t="n">
        <v>5</v>
      </c>
    </row>
    <row r="265" customFormat="false" ht="15" hidden="false" customHeight="true" outlineLevel="0" collapsed="false">
      <c r="A265" s="102" t="s">
        <v>67</v>
      </c>
      <c r="B265" s="102" t="s">
        <v>661</v>
      </c>
      <c r="C265" s="109" t="s">
        <v>662</v>
      </c>
      <c r="D265" s="102" t="s">
        <v>663</v>
      </c>
      <c r="E265" s="102" t="s">
        <v>664</v>
      </c>
      <c r="F265" s="109" t="s">
        <v>665</v>
      </c>
      <c r="G265" s="102" t="s">
        <v>547</v>
      </c>
      <c r="H265" s="102" t="s">
        <v>532</v>
      </c>
      <c r="I265" s="102" t="s">
        <v>83</v>
      </c>
      <c r="J265" s="110" t="n">
        <v>49334</v>
      </c>
      <c r="K265" s="102" t="s">
        <v>87</v>
      </c>
      <c r="L265" s="102" t="s">
        <v>121</v>
      </c>
      <c r="M265" s="102" t="s">
        <v>666</v>
      </c>
      <c r="N265" s="102" t="s">
        <v>667</v>
      </c>
      <c r="O265" s="111" t="n">
        <v>44068</v>
      </c>
      <c r="P265" s="112" t="n">
        <f aca="false">IFERROR(VLOOKUP(J265,'Obs Tecnicas'!$D:$I,5,0),O265)</f>
        <v>44727</v>
      </c>
      <c r="Q265" s="111" t="str">
        <f aca="true">IF(P265&lt;&gt;"",IF(P265+365&gt;TODAY(),"Calibrado","Vencido"),"")</f>
        <v>Calibrado</v>
      </c>
      <c r="R265" s="113" t="n">
        <f aca="false">IFERROR(VLOOKUP(J265,'Obs Tecnicas'!$D:$G,2,0),"")</f>
        <v>16830</v>
      </c>
      <c r="S265" s="102" t="str">
        <f aca="false">IFERROR(VLOOKUP(J265,'Obs Tecnicas'!$D:$G,3,0),"Hexis")</f>
        <v>ER ANALITICA</v>
      </c>
      <c r="T265" s="102" t="n">
        <f aca="false">IFERROR(VLOOKUP(J265,'Obs Tecnicas'!$D:$G,4,0),"")</f>
        <v>0</v>
      </c>
      <c r="U265" s="1" t="s">
        <v>344</v>
      </c>
      <c r="V265" s="114" t="n">
        <f aca="false">IF(P265&lt;&gt;"",MONTH(P265),"")</f>
        <v>6</v>
      </c>
      <c r="W265" s="114" t="n">
        <v>5</v>
      </c>
    </row>
    <row r="266" customFormat="false" ht="15" hidden="false" customHeight="true" outlineLevel="0" collapsed="false">
      <c r="A266" s="102" t="s">
        <v>67</v>
      </c>
      <c r="B266" s="102" t="s">
        <v>661</v>
      </c>
      <c r="C266" s="109" t="s">
        <v>662</v>
      </c>
      <c r="D266" s="102" t="s">
        <v>663</v>
      </c>
      <c r="E266" s="102" t="s">
        <v>664</v>
      </c>
      <c r="F266" s="109" t="s">
        <v>665</v>
      </c>
      <c r="G266" s="102" t="s">
        <v>547</v>
      </c>
      <c r="H266" s="102" t="s">
        <v>532</v>
      </c>
      <c r="I266" s="102" t="s">
        <v>83</v>
      </c>
      <c r="J266" s="110" t="n">
        <v>31520</v>
      </c>
      <c r="K266" s="102" t="s">
        <v>87</v>
      </c>
      <c r="L266" s="102" t="s">
        <v>668</v>
      </c>
      <c r="M266" s="102" t="s">
        <v>666</v>
      </c>
      <c r="N266" s="102" t="s">
        <v>667</v>
      </c>
      <c r="O266" s="111" t="n">
        <v>44068</v>
      </c>
      <c r="P266" s="112" t="n">
        <f aca="false">IFERROR(VLOOKUP(J266,'Obs Tecnicas'!$D:$I,5,0),O266)</f>
        <v>44727</v>
      </c>
      <c r="Q266" s="111" t="str">
        <f aca="true">IF(P266&lt;&gt;"",IF(P266+365&gt;TODAY(),"Calibrado","Vencido"),"")</f>
        <v>Calibrado</v>
      </c>
      <c r="R266" s="113" t="n">
        <f aca="false">IFERROR(VLOOKUP(J266,'Obs Tecnicas'!$D:$G,2,0),"")</f>
        <v>16831</v>
      </c>
      <c r="S266" s="102" t="str">
        <f aca="false">IFERROR(VLOOKUP(J266,'Obs Tecnicas'!$D:$G,3,0),"Hexis")</f>
        <v>ER ANALITICA</v>
      </c>
      <c r="T266" s="102" t="n">
        <f aca="false">IFERROR(VLOOKUP(J266,'Obs Tecnicas'!$D:$G,4,0),"")</f>
        <v>0</v>
      </c>
      <c r="U266" s="1" t="s">
        <v>344</v>
      </c>
      <c r="V266" s="114" t="n">
        <f aca="false">IF(P266&lt;&gt;"",MONTH(P266),"")</f>
        <v>6</v>
      </c>
      <c r="W266" s="114" t="n">
        <v>6</v>
      </c>
    </row>
    <row r="267" customFormat="false" ht="15" hidden="false" customHeight="true" outlineLevel="0" collapsed="false">
      <c r="A267" s="102" t="s">
        <v>67</v>
      </c>
      <c r="B267" s="102" t="s">
        <v>661</v>
      </c>
      <c r="C267" s="109" t="s">
        <v>662</v>
      </c>
      <c r="D267" s="102" t="s">
        <v>663</v>
      </c>
      <c r="E267" s="102" t="s">
        <v>664</v>
      </c>
      <c r="F267" s="109" t="s">
        <v>665</v>
      </c>
      <c r="G267" s="102" t="s">
        <v>547</v>
      </c>
      <c r="H267" s="102" t="s">
        <v>532</v>
      </c>
      <c r="I267" s="102" t="s">
        <v>101</v>
      </c>
      <c r="J267" s="110" t="n">
        <v>141490001004</v>
      </c>
      <c r="K267" s="102" t="s">
        <v>81</v>
      </c>
      <c r="L267" s="102" t="s">
        <v>205</v>
      </c>
      <c r="M267" s="102" t="s">
        <v>666</v>
      </c>
      <c r="N267" s="102" t="s">
        <v>667</v>
      </c>
      <c r="O267" s="111" t="n">
        <v>44068</v>
      </c>
      <c r="P267" s="112" t="n">
        <f aca="false">IFERROR(VLOOKUP(J267,'Obs Tecnicas'!$D:$I,5,0),O267)</f>
        <v>44727</v>
      </c>
      <c r="Q267" s="111" t="str">
        <f aca="true">IF(P267&lt;&gt;"",IF(P267+365&gt;TODAY(),"Calibrado","Vencido"),"")</f>
        <v>Calibrado</v>
      </c>
      <c r="R267" s="113" t="n">
        <f aca="false">IFERROR(VLOOKUP(J267,'Obs Tecnicas'!$D:$G,2,0),"")</f>
        <v>16832</v>
      </c>
      <c r="S267" s="102" t="str">
        <f aca="false">IFERROR(VLOOKUP(J267,'Obs Tecnicas'!$D:$G,3,0),"Hexis")</f>
        <v>ER ANALITICA</v>
      </c>
      <c r="T267" s="102" t="n">
        <f aca="false">IFERROR(VLOOKUP(J267,'Obs Tecnicas'!$D:$G,4,0),"")</f>
        <v>0</v>
      </c>
      <c r="U267" s="1" t="s">
        <v>344</v>
      </c>
      <c r="V267" s="114" t="n">
        <f aca="false">IF(P267&lt;&gt;"",MONTH(P267),"")</f>
        <v>6</v>
      </c>
      <c r="W267" s="114" t="n">
        <v>3</v>
      </c>
    </row>
    <row r="268" customFormat="false" ht="15" hidden="false" customHeight="true" outlineLevel="0" collapsed="false">
      <c r="A268" s="102" t="s">
        <v>67</v>
      </c>
      <c r="B268" s="102" t="s">
        <v>661</v>
      </c>
      <c r="C268" s="109" t="s">
        <v>662</v>
      </c>
      <c r="D268" s="102" t="s">
        <v>663</v>
      </c>
      <c r="E268" s="102" t="s">
        <v>664</v>
      </c>
      <c r="F268" s="109" t="s">
        <v>665</v>
      </c>
      <c r="G268" s="102" t="s">
        <v>547</v>
      </c>
      <c r="H268" s="102" t="s">
        <v>532</v>
      </c>
      <c r="I268" s="102" t="s">
        <v>89</v>
      </c>
      <c r="J268" s="110" t="s">
        <v>669</v>
      </c>
      <c r="K268" s="102" t="s">
        <v>81</v>
      </c>
      <c r="L268" s="135" t="s">
        <v>91</v>
      </c>
      <c r="M268" s="102" t="s">
        <v>666</v>
      </c>
      <c r="N268" s="102" t="s">
        <v>667</v>
      </c>
      <c r="O268" s="111"/>
      <c r="P268" s="112" t="n">
        <f aca="false">IFERROR(VLOOKUP(J268,'Obs Tecnicas'!$D:$I,5,0),O268)</f>
        <v>44370</v>
      </c>
      <c r="Q268" s="111" t="str">
        <f aca="true">IF(P268&lt;&gt;"",IF(P268+365&gt;TODAY(),"Calibrado","Vencido"),"")</f>
        <v>Vencido</v>
      </c>
      <c r="R268" s="113" t="n">
        <f aca="false">IFERROR(VLOOKUP(J268,'Obs Tecnicas'!$D:$G,2,0),"")</f>
        <v>12670</v>
      </c>
      <c r="S268" s="102" t="str">
        <f aca="false">IFERROR(VLOOKUP(J268,'Obs Tecnicas'!$D:$G,3,0),"Hexis")</f>
        <v>ER ANALITICA</v>
      </c>
      <c r="T268" s="102" t="str">
        <f aca="false">IFERROR(VLOOKUP(J268,'Obs Tecnicas'!$D:$G,4,0),"")</f>
        <v>Carcaça superior do instrumento avariada na tecla "ler/confirma"</v>
      </c>
      <c r="U268" s="1" t="s">
        <v>30</v>
      </c>
      <c r="V268" s="114" t="n">
        <f aca="false">IF(P268&lt;&gt;"",MONTH(P268),"")</f>
        <v>6</v>
      </c>
      <c r="W268" s="114" t="n">
        <v>6</v>
      </c>
    </row>
    <row r="269" customFormat="false" ht="15" hidden="false" customHeight="true" outlineLevel="0" collapsed="false">
      <c r="A269" s="102" t="s">
        <v>67</v>
      </c>
      <c r="B269" s="102" t="s">
        <v>664</v>
      </c>
      <c r="C269" s="109" t="s">
        <v>665</v>
      </c>
      <c r="D269" s="102" t="s">
        <v>670</v>
      </c>
      <c r="E269" s="102" t="s">
        <v>664</v>
      </c>
      <c r="F269" s="109" t="s">
        <v>665</v>
      </c>
      <c r="G269" s="102" t="s">
        <v>547</v>
      </c>
      <c r="H269" s="102" t="s">
        <v>532</v>
      </c>
      <c r="I269" s="102" t="s">
        <v>75</v>
      </c>
      <c r="J269" s="110" t="s">
        <v>671</v>
      </c>
      <c r="K269" s="102" t="s">
        <v>81</v>
      </c>
      <c r="L269" s="102" t="s">
        <v>123</v>
      </c>
      <c r="M269" s="102" t="s">
        <v>666</v>
      </c>
      <c r="N269" s="102" t="s">
        <v>667</v>
      </c>
      <c r="O269" s="111" t="n">
        <v>44068</v>
      </c>
      <c r="P269" s="112" t="n">
        <f aca="false">IFERROR(VLOOKUP(J269,'Obs Tecnicas'!$D:$I,5,0),O269)</f>
        <v>44370</v>
      </c>
      <c r="Q269" s="111" t="str">
        <f aca="true">IF(P269&lt;&gt;"",IF(P269+365&gt;TODAY(),"Calibrado","Vencido"),"")</f>
        <v>Vencido</v>
      </c>
      <c r="R269" s="113" t="n">
        <f aca="false">IFERROR(VLOOKUP(J269,'Obs Tecnicas'!$D:$G,2,0),"")</f>
        <v>12663</v>
      </c>
      <c r="S269" s="102" t="str">
        <f aca="false">IFERROR(VLOOKUP(J269,'Obs Tecnicas'!$D:$G,3,0),"Hexis")</f>
        <v>ER ANALITICA</v>
      </c>
      <c r="T269" s="102" t="n">
        <f aca="false">IFERROR(VLOOKUP(J269,'Obs Tecnicas'!$D:$G,4,0),"")</f>
        <v>0</v>
      </c>
      <c r="U269" s="1" t="s">
        <v>30</v>
      </c>
      <c r="V269" s="114" t="n">
        <f aca="false">IF(P269&lt;&gt;"",MONTH(P269),"")</f>
        <v>6</v>
      </c>
      <c r="W269" s="114" t="n">
        <v>3</v>
      </c>
    </row>
    <row r="270" customFormat="false" ht="15" hidden="false" customHeight="true" outlineLevel="0" collapsed="false">
      <c r="A270" s="102" t="s">
        <v>67</v>
      </c>
      <c r="B270" s="102" t="s">
        <v>672</v>
      </c>
      <c r="C270" s="109" t="s">
        <v>673</v>
      </c>
      <c r="D270" s="102" t="s">
        <v>674</v>
      </c>
      <c r="E270" s="102" t="s">
        <v>672</v>
      </c>
      <c r="F270" s="109" t="s">
        <v>675</v>
      </c>
      <c r="G270" s="117" t="s">
        <v>496</v>
      </c>
      <c r="H270" s="117" t="s">
        <v>532</v>
      </c>
      <c r="I270" s="117" t="s">
        <v>79</v>
      </c>
      <c r="J270" s="110" t="s">
        <v>676</v>
      </c>
      <c r="K270" s="102" t="s">
        <v>81</v>
      </c>
      <c r="L270" s="102" t="s">
        <v>82</v>
      </c>
      <c r="M270" s="102" t="s">
        <v>666</v>
      </c>
      <c r="N270" s="102" t="s">
        <v>234</v>
      </c>
      <c r="O270" s="111" t="n">
        <v>44147</v>
      </c>
      <c r="P270" s="112" t="n">
        <f aca="false">IFERROR(VLOOKUP(J270,'Obs Tecnicas'!$D:$I,5,0),O270)</f>
        <v>44531</v>
      </c>
      <c r="Q270" s="111" t="str">
        <f aca="true">IF(P270&lt;&gt;"",IF(P270+365&gt;TODAY(),"Calibrado","Vencido"),"")</f>
        <v>Calibrado</v>
      </c>
      <c r="R270" s="113" t="n">
        <f aca="false">IFERROR(VLOOKUP(J270,'Obs Tecnicas'!$D:$G,2,0),"")</f>
        <v>14868</v>
      </c>
      <c r="S270" s="102" t="str">
        <f aca="false">IFERROR(VLOOKUP(J270,'Obs Tecnicas'!$D:$G,3,0),"Hexis")</f>
        <v>ER ANALITICA</v>
      </c>
      <c r="T270" s="102" t="n">
        <f aca="false">IFERROR(VLOOKUP(J270,'Obs Tecnicas'!$D:$G,4,0),"")</f>
        <v>0</v>
      </c>
      <c r="V270" s="114" t="n">
        <f aca="false">IF(P270&lt;&gt;"",MONTH(P270),"")</f>
        <v>12</v>
      </c>
      <c r="W270" s="114" t="n">
        <v>3</v>
      </c>
    </row>
    <row r="271" customFormat="false" ht="15" hidden="false" customHeight="true" outlineLevel="0" collapsed="false">
      <c r="A271" s="102" t="s">
        <v>67</v>
      </c>
      <c r="B271" s="102" t="s">
        <v>677</v>
      </c>
      <c r="C271" s="109" t="s">
        <v>678</v>
      </c>
      <c r="D271" s="139" t="s">
        <v>679</v>
      </c>
      <c r="E271" s="102" t="s">
        <v>672</v>
      </c>
      <c r="F271" s="109" t="s">
        <v>675</v>
      </c>
      <c r="G271" s="102" t="s">
        <v>496</v>
      </c>
      <c r="H271" s="102" t="s">
        <v>532</v>
      </c>
      <c r="I271" s="102" t="s">
        <v>89</v>
      </c>
      <c r="J271" s="110" t="s">
        <v>680</v>
      </c>
      <c r="K271" s="102" t="s">
        <v>81</v>
      </c>
      <c r="L271" s="102" t="s">
        <v>91</v>
      </c>
      <c r="M271" s="102" t="s">
        <v>666</v>
      </c>
      <c r="N271" s="102" t="s">
        <v>234</v>
      </c>
      <c r="O271" s="111" t="n">
        <v>43843</v>
      </c>
      <c r="P271" s="112" t="n">
        <f aca="false">IFERROR(VLOOKUP(J271,'Obs Tecnicas'!$D:$I,5,0),O271)</f>
        <v>44727</v>
      </c>
      <c r="Q271" s="111" t="str">
        <f aca="true">IF(P271&lt;&gt;"",IF(P271+365&gt;TODAY(),"Calibrado","Vencido"),"")</f>
        <v>Calibrado</v>
      </c>
      <c r="R271" s="113" t="n">
        <f aca="false">IFERROR(VLOOKUP(J271,'Obs Tecnicas'!$D:$G,2,0),"")</f>
        <v>16837</v>
      </c>
      <c r="S271" s="102" t="str">
        <f aca="false">IFERROR(VLOOKUP(J271,'Obs Tecnicas'!$D:$G,3,0),"Hexis")</f>
        <v>ER ANALITICA</v>
      </c>
      <c r="T271" s="102" t="str">
        <f aca="false">IFERROR(VLOOKUP(J271,'Obs Tecnicas'!$D:$G,4,0),"")</f>
        <v>16837 - Tampa superior avariada, recomendamos a troca na próxima manutenção. </v>
      </c>
      <c r="U271" s="1" t="s">
        <v>344</v>
      </c>
      <c r="V271" s="114" t="n">
        <f aca="false">IF(P271&lt;&gt;"",MONTH(P271),"")</f>
        <v>6</v>
      </c>
      <c r="W271" s="114" t="n">
        <v>6</v>
      </c>
    </row>
    <row r="272" customFormat="false" ht="15" hidden="false" customHeight="true" outlineLevel="0" collapsed="false">
      <c r="A272" s="102" t="s">
        <v>67</v>
      </c>
      <c r="B272" s="102" t="s">
        <v>677</v>
      </c>
      <c r="C272" s="109" t="s">
        <v>678</v>
      </c>
      <c r="D272" s="139" t="s">
        <v>679</v>
      </c>
      <c r="E272" s="102" t="s">
        <v>672</v>
      </c>
      <c r="F272" s="109" t="s">
        <v>675</v>
      </c>
      <c r="G272" s="102" t="s">
        <v>496</v>
      </c>
      <c r="H272" s="102" t="s">
        <v>532</v>
      </c>
      <c r="I272" s="102" t="s">
        <v>83</v>
      </c>
      <c r="J272" s="110" t="s">
        <v>681</v>
      </c>
      <c r="K272" s="102" t="s">
        <v>87</v>
      </c>
      <c r="L272" s="102" t="s">
        <v>156</v>
      </c>
      <c r="M272" s="102" t="s">
        <v>666</v>
      </c>
      <c r="N272" s="102" t="s">
        <v>234</v>
      </c>
      <c r="O272" s="111" t="n">
        <v>44259</v>
      </c>
      <c r="P272" s="112" t="n">
        <f aca="false">IFERROR(VLOOKUP(J272,'Obs Tecnicas'!$D:$I,5,0),O272)</f>
        <v>44628</v>
      </c>
      <c r="Q272" s="111" t="str">
        <f aca="true">IF(P272&lt;&gt;"",IF(P272+365&gt;TODAY(),"Calibrado","Vencido"),"")</f>
        <v>Calibrado</v>
      </c>
      <c r="R272" s="113" t="n">
        <f aca="false">IFERROR(VLOOKUP(J272,'Obs Tecnicas'!$D:$G,2,0),"")</f>
        <v>15725</v>
      </c>
      <c r="S272" s="102" t="str">
        <f aca="false">IFERROR(VLOOKUP(J272,'Obs Tecnicas'!$D:$G,3,0),"Hexis")</f>
        <v>ER ANALITICA</v>
      </c>
      <c r="T272" s="102" t="n">
        <f aca="false">IFERROR(VLOOKUP(J272,'Obs Tecnicas'!$D:$G,4,0),"")</f>
        <v>0</v>
      </c>
      <c r="V272" s="114" t="n">
        <f aca="false">IF(P272&lt;&gt;"",MONTH(P272),"")</f>
        <v>3</v>
      </c>
      <c r="W272" s="114" t="n">
        <v>6</v>
      </c>
    </row>
    <row r="273" customFormat="false" ht="15" hidden="false" customHeight="true" outlineLevel="0" collapsed="false">
      <c r="A273" s="102" t="s">
        <v>67</v>
      </c>
      <c r="B273" s="102" t="s">
        <v>677</v>
      </c>
      <c r="C273" s="109" t="s">
        <v>678</v>
      </c>
      <c r="D273" s="139" t="s">
        <v>679</v>
      </c>
      <c r="E273" s="102" t="s">
        <v>672</v>
      </c>
      <c r="F273" s="109" t="s">
        <v>675</v>
      </c>
      <c r="G273" s="102" t="s">
        <v>496</v>
      </c>
      <c r="H273" s="102" t="s">
        <v>532</v>
      </c>
      <c r="I273" s="102" t="s">
        <v>86</v>
      </c>
      <c r="J273" s="110" t="n">
        <v>56618</v>
      </c>
      <c r="K273" s="102" t="s">
        <v>87</v>
      </c>
      <c r="L273" s="102" t="s">
        <v>121</v>
      </c>
      <c r="M273" s="102" t="s">
        <v>666</v>
      </c>
      <c r="N273" s="102" t="s">
        <v>234</v>
      </c>
      <c r="O273" s="111" t="n">
        <v>44259</v>
      </c>
      <c r="P273" s="112" t="n">
        <f aca="false">IFERROR(VLOOKUP(J273,'Obs Tecnicas'!$D:$I,5,0),O273)</f>
        <v>44628</v>
      </c>
      <c r="Q273" s="111" t="str">
        <f aca="true">IF(P273&lt;&gt;"",IF(P273+365&gt;TODAY(),"Calibrado","Vencido"),"")</f>
        <v>Calibrado</v>
      </c>
      <c r="R273" s="113" t="n">
        <f aca="false">IFERROR(VLOOKUP(J273,'Obs Tecnicas'!$D:$G,2,0),"")</f>
        <v>15726</v>
      </c>
      <c r="S273" s="102" t="str">
        <f aca="false">IFERROR(VLOOKUP(J273,'Obs Tecnicas'!$D:$G,3,0),"Hexis")</f>
        <v>ER ANALITICA</v>
      </c>
      <c r="T273" s="102" t="n">
        <f aca="false">IFERROR(VLOOKUP(J273,'Obs Tecnicas'!$D:$G,4,0),"")</f>
        <v>0</v>
      </c>
      <c r="V273" s="114" t="n">
        <f aca="false">IF(P273&lt;&gt;"",MONTH(P273),"")</f>
        <v>3</v>
      </c>
      <c r="W273" s="114" t="n">
        <v>6</v>
      </c>
    </row>
    <row r="274" customFormat="false" ht="15" hidden="false" customHeight="true" outlineLevel="0" collapsed="false">
      <c r="A274" s="102" t="s">
        <v>67</v>
      </c>
      <c r="B274" s="102" t="s">
        <v>677</v>
      </c>
      <c r="C274" s="109" t="s">
        <v>678</v>
      </c>
      <c r="D274" s="139" t="s">
        <v>679</v>
      </c>
      <c r="E274" s="102" t="s">
        <v>672</v>
      </c>
      <c r="F274" s="109" t="s">
        <v>675</v>
      </c>
      <c r="G274" s="102" t="s">
        <v>496</v>
      </c>
      <c r="H274" s="102" t="s">
        <v>532</v>
      </c>
      <c r="I274" s="102" t="s">
        <v>79</v>
      </c>
      <c r="J274" s="110" t="s">
        <v>682</v>
      </c>
      <c r="K274" s="102" t="s">
        <v>81</v>
      </c>
      <c r="L274" s="102" t="s">
        <v>82</v>
      </c>
      <c r="M274" s="102" t="s">
        <v>666</v>
      </c>
      <c r="N274" s="102" t="s">
        <v>234</v>
      </c>
      <c r="O274" s="111" t="n">
        <v>44285</v>
      </c>
      <c r="P274" s="112" t="n">
        <f aca="false">IFERROR(VLOOKUP(J274,'Obs Tecnicas'!$D:$I,5,0),O274)</f>
        <v>44628</v>
      </c>
      <c r="Q274" s="111" t="str">
        <f aca="true">IF(P274&lt;&gt;"",IF(P274+365&gt;TODAY(),"Calibrado","Vencido"),"")</f>
        <v>Calibrado</v>
      </c>
      <c r="R274" s="113" t="n">
        <f aca="false">IFERROR(VLOOKUP(J274,'Obs Tecnicas'!$D:$G,2,0),"")</f>
        <v>15723</v>
      </c>
      <c r="S274" s="102" t="str">
        <f aca="false">IFERROR(VLOOKUP(J274,'Obs Tecnicas'!$D:$G,3,0),"Hexis")</f>
        <v>ER ANALITICA</v>
      </c>
      <c r="T274" s="102" t="str">
        <f aca="false">IFERROR(VLOOKUP(J274,'Obs Tecnicas'!$D:$G,4,0),"")</f>
        <v>Substituido o compartimento de pilhas</v>
      </c>
      <c r="V274" s="114" t="n">
        <f aca="false">IF(P274&lt;&gt;"",MONTH(P274),"")</f>
        <v>3</v>
      </c>
      <c r="W274" s="114" t="n">
        <v>9</v>
      </c>
    </row>
    <row r="275" customFormat="false" ht="15" hidden="false" customHeight="true" outlineLevel="0" collapsed="false">
      <c r="A275" s="102" t="s">
        <v>67</v>
      </c>
      <c r="B275" s="102" t="s">
        <v>677</v>
      </c>
      <c r="C275" s="109" t="s">
        <v>678</v>
      </c>
      <c r="D275" s="139" t="s">
        <v>679</v>
      </c>
      <c r="E275" s="102" t="s">
        <v>672</v>
      </c>
      <c r="F275" s="109" t="s">
        <v>675</v>
      </c>
      <c r="G275" s="102" t="s">
        <v>496</v>
      </c>
      <c r="H275" s="102" t="s">
        <v>532</v>
      </c>
      <c r="I275" s="102" t="s">
        <v>101</v>
      </c>
      <c r="J275" s="110" t="s">
        <v>683</v>
      </c>
      <c r="K275" s="102" t="s">
        <v>81</v>
      </c>
      <c r="L275" s="102" t="s">
        <v>103</v>
      </c>
      <c r="M275" s="102" t="s">
        <v>666</v>
      </c>
      <c r="N275" s="102" t="s">
        <v>234</v>
      </c>
      <c r="O275" s="111" t="n">
        <v>44285</v>
      </c>
      <c r="P275" s="112" t="n">
        <f aca="false">IFERROR(VLOOKUP(J275,'Obs Tecnicas'!$D:$I,5,0),O275)</f>
        <v>44628</v>
      </c>
      <c r="Q275" s="111" t="str">
        <f aca="true">IF(P275&lt;&gt;"",IF(P275+365&gt;TODAY(),"Calibrado","Vencido"),"")</f>
        <v>Calibrado</v>
      </c>
      <c r="R275" s="113" t="n">
        <f aca="false">IFERROR(VLOOKUP(J275,'Obs Tecnicas'!$D:$G,2,0),"")</f>
        <v>15722</v>
      </c>
      <c r="S275" s="102" t="str">
        <f aca="false">IFERROR(VLOOKUP(J275,'Obs Tecnicas'!$D:$G,3,0),"Hexis")</f>
        <v>ER ANALITICA</v>
      </c>
      <c r="T275" s="102" t="n">
        <f aca="false">IFERROR(VLOOKUP(J275,'Obs Tecnicas'!$D:$G,4,0),"")</f>
        <v>0</v>
      </c>
      <c r="V275" s="114" t="n">
        <f aca="false">IF(P275&lt;&gt;"",MONTH(P275),"")</f>
        <v>3</v>
      </c>
      <c r="W275" s="114" t="n">
        <v>9</v>
      </c>
    </row>
    <row r="276" customFormat="false" ht="15" hidden="false" customHeight="true" outlineLevel="0" collapsed="false">
      <c r="A276" s="102" t="s">
        <v>67</v>
      </c>
      <c r="B276" s="102" t="s">
        <v>677</v>
      </c>
      <c r="C276" s="109" t="s">
        <v>678</v>
      </c>
      <c r="D276" s="139" t="s">
        <v>679</v>
      </c>
      <c r="E276" s="102" t="s">
        <v>672</v>
      </c>
      <c r="F276" s="109" t="s">
        <v>675</v>
      </c>
      <c r="G276" s="102" t="s">
        <v>496</v>
      </c>
      <c r="H276" s="102" t="s">
        <v>532</v>
      </c>
      <c r="I276" s="102" t="s">
        <v>89</v>
      </c>
      <c r="J276" s="110" t="s">
        <v>684</v>
      </c>
      <c r="K276" s="102" t="s">
        <v>685</v>
      </c>
      <c r="L276" s="102" t="s">
        <v>686</v>
      </c>
      <c r="M276" s="102" t="s">
        <v>666</v>
      </c>
      <c r="N276" s="102" t="s">
        <v>234</v>
      </c>
      <c r="O276" s="111" t="n">
        <v>44285</v>
      </c>
      <c r="P276" s="112" t="n">
        <f aca="false">IFERROR(VLOOKUP(J276,'Obs Tecnicas'!$D:$I,5,0),O276)</f>
        <v>44628</v>
      </c>
      <c r="Q276" s="111" t="str">
        <f aca="true">IF(P276&lt;&gt;"",IF(P276+365&gt;TODAY(),"Calibrado","Vencido"),"")</f>
        <v>Calibrado</v>
      </c>
      <c r="R276" s="113" t="n">
        <f aca="false">IFERROR(VLOOKUP(J276,'Obs Tecnicas'!$D:$G,2,0),"")</f>
        <v>15724</v>
      </c>
      <c r="S276" s="102" t="str">
        <f aca="false">IFERROR(VLOOKUP(J276,'Obs Tecnicas'!$D:$G,3,0),"Hexis")</f>
        <v>ER ANALITICA</v>
      </c>
      <c r="T276" s="102" t="n">
        <f aca="false">IFERROR(VLOOKUP(J276,'Obs Tecnicas'!$D:$G,4,0),"")</f>
        <v>0</v>
      </c>
      <c r="V276" s="114" t="n">
        <f aca="false">IF(P276&lt;&gt;"",MONTH(P276),"")</f>
        <v>3</v>
      </c>
      <c r="W276" s="114" t="n">
        <v>9</v>
      </c>
    </row>
    <row r="277" customFormat="false" ht="15" hidden="false" customHeight="true" outlineLevel="0" collapsed="false">
      <c r="A277" s="102" t="s">
        <v>67</v>
      </c>
      <c r="B277" s="102" t="s">
        <v>687</v>
      </c>
      <c r="C277" s="109" t="s">
        <v>688</v>
      </c>
      <c r="D277" s="102" t="s">
        <v>689</v>
      </c>
      <c r="E277" s="102" t="s">
        <v>690</v>
      </c>
      <c r="F277" s="109" t="s">
        <v>691</v>
      </c>
      <c r="H277" s="102" t="s">
        <v>532</v>
      </c>
      <c r="I277" s="102" t="s">
        <v>83</v>
      </c>
      <c r="J277" s="110" t="n">
        <v>48564</v>
      </c>
      <c r="K277" s="102" t="s">
        <v>87</v>
      </c>
      <c r="L277" s="61" t="s">
        <v>692</v>
      </c>
      <c r="M277" s="102" t="s">
        <v>666</v>
      </c>
      <c r="N277" s="102" t="s">
        <v>693</v>
      </c>
      <c r="O277" s="111"/>
      <c r="P277" s="112" t="n">
        <f aca="false">IFERROR(VLOOKUP(J277,'Obs Tecnicas'!$D:$I,5,0),O277)</f>
        <v>44418</v>
      </c>
      <c r="Q277" s="111" t="str">
        <f aca="true">IF(P277&lt;&gt;"",IF(P277+365&gt;TODAY(),"Calibrado","Vencido"),"")</f>
        <v>Calibrado</v>
      </c>
      <c r="R277" s="113" t="n">
        <f aca="false">IFERROR(VLOOKUP(J277,'Obs Tecnicas'!$D:$G,2,0),"")</f>
        <v>13389</v>
      </c>
      <c r="S277" s="102" t="str">
        <f aca="false">IFERROR(VLOOKUP(J277,'Obs Tecnicas'!$D:$G,3,0),"Hexis")</f>
        <v>ER ANALITICA</v>
      </c>
      <c r="T277" s="102" t="n">
        <f aca="false">IFERROR(VLOOKUP(J277,'Obs Tecnicas'!$D:$G,4,0),"")</f>
        <v>0</v>
      </c>
      <c r="U277" s="1" t="s">
        <v>351</v>
      </c>
      <c r="V277" s="114" t="n">
        <f aca="false">IF(P277&lt;&gt;"",MONTH(P277),"")</f>
        <v>8</v>
      </c>
      <c r="W277" s="114" t="n">
        <v>5</v>
      </c>
    </row>
    <row r="278" customFormat="false" ht="15" hidden="false" customHeight="true" outlineLevel="0" collapsed="false">
      <c r="A278" s="102" t="s">
        <v>67</v>
      </c>
      <c r="B278" s="102" t="s">
        <v>527</v>
      </c>
      <c r="C278" s="109" t="s">
        <v>528</v>
      </c>
      <c r="D278" s="102" t="s">
        <v>529</v>
      </c>
      <c r="E278" s="102" t="s">
        <v>530</v>
      </c>
      <c r="F278" s="109" t="s">
        <v>531</v>
      </c>
      <c r="G278" s="102" t="s">
        <v>97</v>
      </c>
      <c r="H278" s="102" t="s">
        <v>532</v>
      </c>
      <c r="I278" s="102" t="s">
        <v>86</v>
      </c>
      <c r="J278" s="110" t="n">
        <v>1584391</v>
      </c>
      <c r="K278" s="117" t="s">
        <v>136</v>
      </c>
      <c r="L278" s="61" t="s">
        <v>151</v>
      </c>
      <c r="M278" s="102" t="s">
        <v>666</v>
      </c>
      <c r="N278" s="102" t="s">
        <v>693</v>
      </c>
      <c r="O278" s="111"/>
      <c r="P278" s="112" t="n">
        <f aca="false">IFERROR(VLOOKUP(J278,'Obs Tecnicas'!$D:$I,5,0),O278)</f>
        <v>44733</v>
      </c>
      <c r="Q278" s="111" t="str">
        <f aca="true">IF(P278&lt;&gt;"",IF(P278+365&gt;TODAY(),"Calibrado","Vencido"),"")</f>
        <v>Calibrado</v>
      </c>
      <c r="R278" s="113" t="n">
        <f aca="false">IFERROR(VLOOKUP(J278,'Obs Tecnicas'!$D:$G,2,0),"")</f>
        <v>16936</v>
      </c>
      <c r="S278" s="102" t="str">
        <f aca="false">IFERROR(VLOOKUP(J278,'Obs Tecnicas'!$D:$G,3,0),"Hexis")</f>
        <v>ER ANALITICA</v>
      </c>
      <c r="T278" s="102" t="str">
        <f aca="false">IFERROR(VLOOKUP(J278,'Obs Tecnicas'!$D:$G,4,0),"")</f>
        <v>Instrumento liberado com restrição. Avarias na mascara do teclado.</v>
      </c>
      <c r="U278" s="1" t="s">
        <v>344</v>
      </c>
      <c r="V278" s="114" t="n">
        <f aca="false">IF(P278&lt;&gt;"",MONTH(P278),"")</f>
        <v>6</v>
      </c>
      <c r="W278" s="114" t="n">
        <v>5</v>
      </c>
    </row>
    <row r="279" customFormat="false" ht="15" hidden="false" customHeight="true" outlineLevel="0" collapsed="false">
      <c r="A279" s="102" t="s">
        <v>67</v>
      </c>
      <c r="B279" s="102" t="s">
        <v>527</v>
      </c>
      <c r="C279" s="109" t="s">
        <v>528</v>
      </c>
      <c r="D279" s="102" t="s">
        <v>529</v>
      </c>
      <c r="E279" s="102" t="s">
        <v>530</v>
      </c>
      <c r="F279" s="109" t="s">
        <v>531</v>
      </c>
      <c r="G279" s="102" t="s">
        <v>97</v>
      </c>
      <c r="H279" s="102" t="s">
        <v>532</v>
      </c>
      <c r="I279" s="102" t="s">
        <v>79</v>
      </c>
      <c r="J279" s="110" t="n">
        <v>182180001013</v>
      </c>
      <c r="K279" s="102" t="s">
        <v>81</v>
      </c>
      <c r="L279" s="119" t="s">
        <v>185</v>
      </c>
      <c r="M279" s="102" t="s">
        <v>666</v>
      </c>
      <c r="N279" s="102" t="s">
        <v>693</v>
      </c>
      <c r="O279" s="111"/>
      <c r="P279" s="112" t="n">
        <f aca="false">IFERROR(VLOOKUP(J279,'Obs Tecnicas'!$D:$I,5,0),O279)</f>
        <v>44733</v>
      </c>
      <c r="Q279" s="111" t="str">
        <f aca="true">IF(P279&lt;&gt;"",IF(P279+365&gt;TODAY(),"Calibrado","Vencido"),"")</f>
        <v>Calibrado</v>
      </c>
      <c r="R279" s="113" t="n">
        <f aca="false">IFERROR(VLOOKUP(J279,'Obs Tecnicas'!$D:$G,2,0),"")</f>
        <v>16937</v>
      </c>
      <c r="S279" s="102" t="str">
        <f aca="false">IFERROR(VLOOKUP(J279,'Obs Tecnicas'!$D:$G,3,0),"Hexis")</f>
        <v>ER ANALITICA</v>
      </c>
      <c r="T279" s="102" t="n">
        <f aca="false">IFERROR(VLOOKUP(J279,'Obs Tecnicas'!$D:$G,4,0),"")</f>
        <v>0</v>
      </c>
      <c r="U279" s="1" t="s">
        <v>344</v>
      </c>
      <c r="V279" s="114" t="n">
        <f aca="false">IF(P279&lt;&gt;"",MONTH(P279),"")</f>
        <v>6</v>
      </c>
      <c r="W279" s="114" t="n">
        <v>5</v>
      </c>
    </row>
    <row r="280" customFormat="false" ht="15" hidden="false" customHeight="true" outlineLevel="0" collapsed="false">
      <c r="A280" s="102" t="s">
        <v>67</v>
      </c>
      <c r="B280" s="102" t="s">
        <v>527</v>
      </c>
      <c r="C280" s="109" t="s">
        <v>528</v>
      </c>
      <c r="D280" s="102" t="s">
        <v>529</v>
      </c>
      <c r="E280" s="102" t="s">
        <v>530</v>
      </c>
      <c r="F280" s="109" t="s">
        <v>531</v>
      </c>
      <c r="G280" s="102" t="s">
        <v>97</v>
      </c>
      <c r="H280" s="102" t="s">
        <v>532</v>
      </c>
      <c r="I280" s="102" t="s">
        <v>360</v>
      </c>
      <c r="J280" s="102" t="n">
        <v>20390019932</v>
      </c>
      <c r="K280" s="102" t="s">
        <v>81</v>
      </c>
      <c r="L280" s="140" t="s">
        <v>82</v>
      </c>
      <c r="M280" s="61" t="s">
        <v>666</v>
      </c>
      <c r="N280" s="61" t="s">
        <v>694</v>
      </c>
      <c r="O280" s="111"/>
      <c r="P280" s="112" t="n">
        <f aca="false">IFERROR(VLOOKUP(J280,'Obs Tecnicas'!$D:$I,5,0),O280)</f>
        <v>44733</v>
      </c>
      <c r="Q280" s="111" t="str">
        <f aca="true">IF(P280&lt;&gt;"",IF(P280+365&gt;TODAY(),"Calibrado","Vencido"),"")</f>
        <v>Calibrado</v>
      </c>
      <c r="R280" s="113" t="n">
        <f aca="false">IFERROR(VLOOKUP(J280,'Obs Tecnicas'!$D:$G,2,0),"")</f>
        <v>16953</v>
      </c>
      <c r="S280" s="102" t="str">
        <f aca="false">IFERROR(VLOOKUP(J280,'Obs Tecnicas'!$D:$G,3,0),"Hexis")</f>
        <v>ER ANALITICA</v>
      </c>
      <c r="T280" s="102" t="str">
        <f aca="false">IFERROR(VLOOKUP(J280,'Obs Tecnicas'!$D:$G,4,0),"")</f>
        <v> Instrumento liberado com restrição. Todos filtros opticos e contatos de pilhas com oxidação.</v>
      </c>
      <c r="U280" s="1" t="s">
        <v>344</v>
      </c>
      <c r="V280" s="114" t="n">
        <v>6</v>
      </c>
      <c r="W280" s="114" t="n">
        <v>6</v>
      </c>
    </row>
    <row r="281" customFormat="false" ht="15" hidden="false" customHeight="true" outlineLevel="0" collapsed="false">
      <c r="A281" s="102" t="s">
        <v>67</v>
      </c>
      <c r="B281" s="115" t="s">
        <v>695</v>
      </c>
      <c r="C281" s="109" t="s">
        <v>696</v>
      </c>
      <c r="D281" s="141" t="s">
        <v>663</v>
      </c>
      <c r="E281" s="102" t="s">
        <v>664</v>
      </c>
      <c r="F281" s="109" t="s">
        <v>665</v>
      </c>
      <c r="G281" s="102" t="s">
        <v>547</v>
      </c>
      <c r="H281" s="102" t="s">
        <v>532</v>
      </c>
      <c r="I281" s="102" t="s">
        <v>79</v>
      </c>
      <c r="J281" s="110" t="s">
        <v>697</v>
      </c>
      <c r="K281" s="102" t="s">
        <v>81</v>
      </c>
      <c r="L281" s="102" t="s">
        <v>82</v>
      </c>
      <c r="M281" s="115" t="s">
        <v>698</v>
      </c>
      <c r="N281" s="102" t="s">
        <v>699</v>
      </c>
      <c r="O281" s="111" t="n">
        <v>44012</v>
      </c>
      <c r="P281" s="112" t="n">
        <f aca="false">IFERROR(VLOOKUP(J281,'Obs Tecnicas'!$D:$I,5,0),O281)</f>
        <v>44370</v>
      </c>
      <c r="Q281" s="111" t="str">
        <f aca="true">IF(P281&lt;&gt;"",IF(P281+365&gt;TODAY(),"Calibrado","Vencido"),"")</f>
        <v>Vencido</v>
      </c>
      <c r="R281" s="113" t="n">
        <f aca="false">IFERROR(VLOOKUP(J281,'Obs Tecnicas'!$D:$G,2,0),"")</f>
        <v>12665</v>
      </c>
      <c r="S281" s="102" t="str">
        <f aca="false">IFERROR(VLOOKUP(J281,'Obs Tecnicas'!$D:$G,3,0),"Hexis")</f>
        <v>ER ANALITICA</v>
      </c>
      <c r="T281" s="102" t="n">
        <f aca="false">IFERROR(VLOOKUP(J281,'Obs Tecnicas'!$D:$G,4,0),"")</f>
        <v>0</v>
      </c>
      <c r="U281" s="1" t="s">
        <v>351</v>
      </c>
      <c r="V281" s="114" t="n">
        <f aca="false">IF(P281&lt;&gt;"",MONTH(P281),"")</f>
        <v>6</v>
      </c>
      <c r="W281" s="114" t="n">
        <v>5</v>
      </c>
    </row>
    <row r="282" customFormat="false" ht="15" hidden="false" customHeight="true" outlineLevel="0" collapsed="false">
      <c r="A282" s="102" t="s">
        <v>67</v>
      </c>
      <c r="B282" s="102" t="s">
        <v>661</v>
      </c>
      <c r="C282" s="109" t="s">
        <v>662</v>
      </c>
      <c r="D282" s="102" t="s">
        <v>663</v>
      </c>
      <c r="E282" s="102" t="s">
        <v>664</v>
      </c>
      <c r="F282" s="109" t="s">
        <v>665</v>
      </c>
      <c r="G282" s="102" t="s">
        <v>547</v>
      </c>
      <c r="H282" s="102" t="s">
        <v>532</v>
      </c>
      <c r="I282" s="102" t="s">
        <v>83</v>
      </c>
      <c r="J282" s="110" t="n">
        <v>52395</v>
      </c>
      <c r="K282" s="102" t="s">
        <v>87</v>
      </c>
      <c r="L282" s="102" t="s">
        <v>156</v>
      </c>
      <c r="M282" s="115" t="s">
        <v>698</v>
      </c>
      <c r="N282" s="102" t="s">
        <v>699</v>
      </c>
      <c r="O282" s="111" t="n">
        <v>44012</v>
      </c>
      <c r="P282" s="112" t="n">
        <f aca="false">IFERROR(VLOOKUP(J282,'Obs Tecnicas'!$D:$I,5,0),O282)</f>
        <v>44727</v>
      </c>
      <c r="Q282" s="111" t="str">
        <f aca="true">IF(P282&lt;&gt;"",IF(P282+365&gt;TODAY(),"Calibrado","Vencido"),"")</f>
        <v>Calibrado</v>
      </c>
      <c r="R282" s="113" t="n">
        <f aca="false">IFERROR(VLOOKUP(J282,'Obs Tecnicas'!$D:$G,2,0),"")</f>
        <v>16827</v>
      </c>
      <c r="S282" s="102" t="str">
        <f aca="false">IFERROR(VLOOKUP(J282,'Obs Tecnicas'!$D:$G,3,0),"Hexis")</f>
        <v>ER ANALITICA</v>
      </c>
      <c r="T282" s="102" t="n">
        <f aca="false">IFERROR(VLOOKUP(J282,'Obs Tecnicas'!$D:$G,4,0),"")</f>
        <v>0</v>
      </c>
      <c r="U282" s="1" t="s">
        <v>344</v>
      </c>
      <c r="V282" s="114" t="n">
        <f aca="false">IF(P282&lt;&gt;"",MONTH(P282),"")</f>
        <v>6</v>
      </c>
      <c r="W282" s="114" t="n">
        <v>5</v>
      </c>
    </row>
    <row r="283" customFormat="false" ht="15" hidden="false" customHeight="true" outlineLevel="0" collapsed="false">
      <c r="A283" s="102" t="s">
        <v>67</v>
      </c>
      <c r="B283" s="102" t="s">
        <v>700</v>
      </c>
      <c r="C283" s="109" t="s">
        <v>701</v>
      </c>
      <c r="D283" s="102" t="s">
        <v>702</v>
      </c>
      <c r="E283" s="102" t="s">
        <v>530</v>
      </c>
      <c r="F283" s="109" t="s">
        <v>531</v>
      </c>
      <c r="G283" s="102" t="s">
        <v>97</v>
      </c>
      <c r="H283" s="102" t="s">
        <v>532</v>
      </c>
      <c r="I283" s="102" t="s">
        <v>83</v>
      </c>
      <c r="J283" s="110" t="n">
        <v>614031</v>
      </c>
      <c r="K283" s="102" t="s">
        <v>84</v>
      </c>
      <c r="L283" s="102" t="s">
        <v>364</v>
      </c>
      <c r="M283" s="102" t="s">
        <v>703</v>
      </c>
      <c r="N283" s="102" t="s">
        <v>78</v>
      </c>
      <c r="O283" s="111"/>
      <c r="P283" s="112" t="n">
        <f aca="false">IFERROR(VLOOKUP(J283,'Obs Tecnicas'!$D:$I,5,0),O283)</f>
        <v>44732</v>
      </c>
      <c r="Q283" s="111" t="str">
        <f aca="true">IF(P283&lt;&gt;"",IF(P283+365&gt;TODAY(),"Calibrado","Vencido"),"")</f>
        <v>Calibrado</v>
      </c>
      <c r="R283" s="113" t="n">
        <f aca="false">IFERROR(VLOOKUP(J283,'Obs Tecnicas'!$D:$G,2,0),"")</f>
        <v>16924</v>
      </c>
      <c r="S283" s="102" t="str">
        <f aca="false">IFERROR(VLOOKUP(J283,'Obs Tecnicas'!$D:$G,3,0),"Hexis")</f>
        <v>ER ANALITICA</v>
      </c>
      <c r="T283" s="102" t="n">
        <f aca="false">IFERROR(VLOOKUP(J283,'Obs Tecnicas'!$D:$G,4,0),"")</f>
        <v>0</v>
      </c>
      <c r="U283" s="1" t="s">
        <v>344</v>
      </c>
      <c r="V283" s="114" t="n">
        <f aca="false">IF(P283&lt;&gt;"",MONTH(P283),"")</f>
        <v>6</v>
      </c>
      <c r="W283" s="114" t="n">
        <v>9</v>
      </c>
    </row>
    <row r="284" customFormat="false" ht="15" hidden="false" customHeight="true" outlineLevel="0" collapsed="false">
      <c r="A284" s="102" t="s">
        <v>67</v>
      </c>
      <c r="B284" s="102" t="s">
        <v>704</v>
      </c>
      <c r="C284" s="109" t="s">
        <v>531</v>
      </c>
      <c r="D284" s="102" t="s">
        <v>705</v>
      </c>
      <c r="E284" s="102" t="s">
        <v>530</v>
      </c>
      <c r="F284" s="109" t="s">
        <v>531</v>
      </c>
      <c r="G284" s="102" t="s">
        <v>97</v>
      </c>
      <c r="H284" s="102" t="s">
        <v>532</v>
      </c>
      <c r="I284" s="102" t="s">
        <v>83</v>
      </c>
      <c r="J284" s="110" t="s">
        <v>706</v>
      </c>
      <c r="K284" s="102" t="s">
        <v>84</v>
      </c>
      <c r="L284" s="115" t="s">
        <v>85</v>
      </c>
      <c r="M284" s="102" t="s">
        <v>703</v>
      </c>
      <c r="N284" s="102" t="s">
        <v>78</v>
      </c>
      <c r="O284" s="111" t="n">
        <v>43977</v>
      </c>
      <c r="P284" s="112" t="n">
        <f aca="false">IFERROR(VLOOKUP(J284,'Obs Tecnicas'!$D:$I,5,0),O284)</f>
        <v>44333</v>
      </c>
      <c r="Q284" s="111" t="str">
        <f aca="true">IF(P284&lt;&gt;"",IF(P284+365&gt;TODAY(),"Calibrado","Vencido"),"")</f>
        <v>Vencido</v>
      </c>
      <c r="R284" s="113" t="n">
        <f aca="false">IFERROR(VLOOKUP(J284,'Obs Tecnicas'!$D:$G,2,0),"")</f>
        <v>12348</v>
      </c>
      <c r="S284" s="102" t="str">
        <f aca="false">IFERROR(VLOOKUP(J284,'Obs Tecnicas'!$D:$G,3,0),"Hexis")</f>
        <v>ER ANALITICA</v>
      </c>
      <c r="T284" s="102" t="n">
        <f aca="false">IFERROR(VLOOKUP(J284,'Obs Tecnicas'!$D:$G,4,0),"")</f>
        <v>0</v>
      </c>
      <c r="U284" s="1" t="s">
        <v>351</v>
      </c>
      <c r="V284" s="114" t="n">
        <f aca="false">IF(P284&lt;&gt;"",MONTH(P284),"")</f>
        <v>5</v>
      </c>
      <c r="W284" s="114" t="n">
        <v>4</v>
      </c>
    </row>
    <row r="285" customFormat="false" ht="15" hidden="false" customHeight="true" outlineLevel="0" collapsed="false">
      <c r="A285" s="102" t="s">
        <v>67</v>
      </c>
      <c r="B285" s="102" t="s">
        <v>704</v>
      </c>
      <c r="C285" s="109" t="s">
        <v>531</v>
      </c>
      <c r="D285" s="102" t="s">
        <v>705</v>
      </c>
      <c r="E285" s="102" t="s">
        <v>530</v>
      </c>
      <c r="F285" s="109" t="s">
        <v>531</v>
      </c>
      <c r="G285" s="102" t="s">
        <v>97</v>
      </c>
      <c r="H285" s="102" t="s">
        <v>532</v>
      </c>
      <c r="I285" s="102" t="s">
        <v>89</v>
      </c>
      <c r="J285" s="110" t="s">
        <v>707</v>
      </c>
      <c r="K285" s="102" t="s">
        <v>81</v>
      </c>
      <c r="L285" s="102" t="s">
        <v>91</v>
      </c>
      <c r="M285" s="102" t="s">
        <v>703</v>
      </c>
      <c r="N285" s="102" t="s">
        <v>78</v>
      </c>
      <c r="O285" s="111" t="n">
        <v>43978</v>
      </c>
      <c r="P285" s="112" t="n">
        <f aca="false">IFERROR(VLOOKUP(J285,'Obs Tecnicas'!$D:$I,5,0),O285)</f>
        <v>44333</v>
      </c>
      <c r="Q285" s="111" t="str">
        <f aca="true">IF(P285&lt;&gt;"",IF(P285+365&gt;TODAY(),"Calibrado","Vencido"),"")</f>
        <v>Vencido</v>
      </c>
      <c r="R285" s="113" t="n">
        <f aca="false">IFERROR(VLOOKUP(J285,'Obs Tecnicas'!$D:$G,2,0),"")</f>
        <v>12328</v>
      </c>
      <c r="S285" s="102" t="str">
        <f aca="false">IFERROR(VLOOKUP(J285,'Obs Tecnicas'!$D:$G,3,0),"Hexis")</f>
        <v>ER ANALITICA</v>
      </c>
      <c r="T285" s="102" t="n">
        <f aca="false">IFERROR(VLOOKUP(J285,'Obs Tecnicas'!$D:$G,4,0),"")</f>
        <v>0</v>
      </c>
      <c r="U285" s="1" t="s">
        <v>351</v>
      </c>
      <c r="V285" s="114" t="n">
        <f aca="false">IF(P285&lt;&gt;"",MONTH(P285),"")</f>
        <v>5</v>
      </c>
      <c r="W285" s="114" t="n">
        <v>4</v>
      </c>
    </row>
    <row r="286" customFormat="false" ht="15" hidden="false" customHeight="true" outlineLevel="0" collapsed="false">
      <c r="A286" s="102" t="s">
        <v>67</v>
      </c>
      <c r="B286" s="102" t="s">
        <v>704</v>
      </c>
      <c r="C286" s="109" t="s">
        <v>531</v>
      </c>
      <c r="D286" s="102" t="s">
        <v>705</v>
      </c>
      <c r="E286" s="102" t="s">
        <v>530</v>
      </c>
      <c r="F286" s="109" t="s">
        <v>531</v>
      </c>
      <c r="G286" s="102" t="s">
        <v>97</v>
      </c>
      <c r="H286" s="102" t="s">
        <v>532</v>
      </c>
      <c r="I286" s="102" t="s">
        <v>86</v>
      </c>
      <c r="J286" s="110" t="n">
        <v>2901955</v>
      </c>
      <c r="K286" s="117" t="s">
        <v>136</v>
      </c>
      <c r="L286" s="102" t="s">
        <v>137</v>
      </c>
      <c r="M286" s="102" t="s">
        <v>703</v>
      </c>
      <c r="N286" s="102" t="s">
        <v>78</v>
      </c>
      <c r="O286" s="111" t="n">
        <v>43979</v>
      </c>
      <c r="P286" s="112" t="n">
        <f aca="false">IFERROR(VLOOKUP(J286,'Obs Tecnicas'!$D:$I,5,0),O286)</f>
        <v>44333</v>
      </c>
      <c r="Q286" s="111" t="str">
        <f aca="true">IF(P286&lt;&gt;"",IF(P286+365&gt;TODAY(),"Calibrado","Vencido"),"")</f>
        <v>Vencido</v>
      </c>
      <c r="R286" s="113" t="n">
        <f aca="false">IFERROR(VLOOKUP(J286,'Obs Tecnicas'!$D:$G,2,0),"")</f>
        <v>12345</v>
      </c>
      <c r="S286" s="102" t="str">
        <f aca="false">IFERROR(VLOOKUP(J286,'Obs Tecnicas'!$D:$G,3,0),"Hexis")</f>
        <v>ER ANALITICA</v>
      </c>
      <c r="T286" s="102" t="str">
        <f aca="false">IFERROR(VLOOKUP(J286,'Obs Tecnicas'!$D:$G,4,0),"")</f>
        <v>Instrumento com divergências de resistividade. Será encaminhado para ER.</v>
      </c>
      <c r="U286" s="1" t="s">
        <v>351</v>
      </c>
      <c r="V286" s="114" t="n">
        <f aca="false">IF(P286&lt;&gt;"",MONTH(P286),"")</f>
        <v>5</v>
      </c>
      <c r="W286" s="114" t="n">
        <v>4</v>
      </c>
    </row>
    <row r="287" customFormat="false" ht="15" hidden="false" customHeight="true" outlineLevel="0" collapsed="false">
      <c r="A287" s="102" t="s">
        <v>67</v>
      </c>
      <c r="B287" s="102" t="s">
        <v>700</v>
      </c>
      <c r="C287" s="109" t="s">
        <v>701</v>
      </c>
      <c r="D287" s="102" t="s">
        <v>702</v>
      </c>
      <c r="E287" s="102" t="s">
        <v>530</v>
      </c>
      <c r="F287" s="109" t="s">
        <v>531</v>
      </c>
      <c r="G287" s="102" t="s">
        <v>97</v>
      </c>
      <c r="H287" s="102" t="s">
        <v>532</v>
      </c>
      <c r="I287" s="102" t="s">
        <v>86</v>
      </c>
      <c r="J287" s="110" t="n">
        <v>2901959</v>
      </c>
      <c r="K287" s="117" t="s">
        <v>136</v>
      </c>
      <c r="L287" s="102" t="s">
        <v>137</v>
      </c>
      <c r="M287" s="102" t="s">
        <v>703</v>
      </c>
      <c r="N287" s="102" t="s">
        <v>78</v>
      </c>
      <c r="O287" s="111" t="n">
        <v>43979</v>
      </c>
      <c r="P287" s="112" t="n">
        <f aca="false">IFERROR(VLOOKUP(J287,'Obs Tecnicas'!$D:$I,5,0),O287)</f>
        <v>44732</v>
      </c>
      <c r="Q287" s="111" t="str">
        <f aca="true">IF(P287&lt;&gt;"",IF(P287+365&gt;TODAY(),"Calibrado","Vencido"),"")</f>
        <v>Calibrado</v>
      </c>
      <c r="R287" s="113" t="n">
        <f aca="false">IFERROR(VLOOKUP(J287,'Obs Tecnicas'!$D:$G,2,0),"")</f>
        <v>16922</v>
      </c>
      <c r="S287" s="102" t="str">
        <f aca="false">IFERROR(VLOOKUP(J287,'Obs Tecnicas'!$D:$G,3,0),"Hexis")</f>
        <v>ER ANALITICA</v>
      </c>
      <c r="T287" s="102" t="n">
        <f aca="false">IFERROR(VLOOKUP(J287,'Obs Tecnicas'!$D:$G,4,0),"")</f>
        <v>0</v>
      </c>
      <c r="U287" s="1" t="s">
        <v>344</v>
      </c>
      <c r="V287" s="114" t="n">
        <f aca="false">IF(P287&lt;&gt;"",MONTH(P287),"")</f>
        <v>6</v>
      </c>
      <c r="W287" s="114" t="n">
        <v>5</v>
      </c>
    </row>
    <row r="288" customFormat="false" ht="15" hidden="false" customHeight="true" outlineLevel="0" collapsed="false">
      <c r="A288" s="102" t="s">
        <v>67</v>
      </c>
      <c r="B288" s="102" t="s">
        <v>708</v>
      </c>
      <c r="C288" s="109" t="s">
        <v>709</v>
      </c>
      <c r="D288" s="102" t="s">
        <v>710</v>
      </c>
      <c r="E288" s="102" t="s">
        <v>711</v>
      </c>
      <c r="F288" s="109" t="s">
        <v>712</v>
      </c>
      <c r="G288" s="102" t="s">
        <v>547</v>
      </c>
      <c r="H288" s="102" t="s">
        <v>532</v>
      </c>
      <c r="I288" s="102" t="s">
        <v>101</v>
      </c>
      <c r="J288" s="110" t="n">
        <v>940600030283</v>
      </c>
      <c r="K288" s="102" t="s">
        <v>81</v>
      </c>
      <c r="L288" s="102" t="s">
        <v>713</v>
      </c>
      <c r="M288" s="102" t="s">
        <v>703</v>
      </c>
      <c r="N288" s="102" t="s">
        <v>714</v>
      </c>
      <c r="O288" s="111" t="n">
        <v>44021</v>
      </c>
      <c r="P288" s="112" t="n">
        <f aca="false">IFERROR(VLOOKUP(J288,'Obs Tecnicas'!$D:$I,5,0),O288)</f>
        <v>44021</v>
      </c>
      <c r="Q288" s="111" t="str">
        <f aca="true">IF(P288&lt;&gt;"",IF(P288+365&gt;TODAY(),"Calibrado","Vencido"),"")</f>
        <v>Vencido</v>
      </c>
      <c r="R288" s="113" t="str">
        <f aca="false">IFERROR(VLOOKUP(J288,'Obs Tecnicas'!$D:$G,2,0),"")</f>
        <v/>
      </c>
      <c r="S288" s="102" t="str">
        <f aca="false">IFERROR(VLOOKUP(J288,'Obs Tecnicas'!$D:$G,3,0),"Hexis")</f>
        <v>Hexis</v>
      </c>
      <c r="T288" s="102" t="str">
        <f aca="false">IFERROR(VLOOKUP(J288,'Obs Tecnicas'!$D:$G,4,0),"")</f>
        <v/>
      </c>
      <c r="U288" s="1" t="s">
        <v>351</v>
      </c>
      <c r="V288" s="114" t="n">
        <f aca="false">IF(P288&lt;&gt;"",MONTH(P288),"")</f>
        <v>7</v>
      </c>
      <c r="W288" s="114" t="n">
        <v>6</v>
      </c>
    </row>
    <row r="289" customFormat="false" ht="15" hidden="false" customHeight="true" outlineLevel="0" collapsed="false">
      <c r="A289" s="102" t="s">
        <v>67</v>
      </c>
      <c r="B289" s="102" t="s">
        <v>700</v>
      </c>
      <c r="C289" s="109" t="s">
        <v>701</v>
      </c>
      <c r="D289" s="102" t="s">
        <v>702</v>
      </c>
      <c r="E289" s="102" t="s">
        <v>530</v>
      </c>
      <c r="F289" s="109" t="s">
        <v>531</v>
      </c>
      <c r="G289" s="102" t="s">
        <v>97</v>
      </c>
      <c r="H289" s="102" t="s">
        <v>532</v>
      </c>
      <c r="I289" s="102" t="s">
        <v>83</v>
      </c>
      <c r="J289" s="119" t="n">
        <v>4240430</v>
      </c>
      <c r="K289" s="119" t="s">
        <v>84</v>
      </c>
      <c r="L289" s="119" t="s">
        <v>364</v>
      </c>
      <c r="M289" s="61" t="s">
        <v>703</v>
      </c>
      <c r="N289" s="61" t="s">
        <v>78</v>
      </c>
      <c r="O289" s="111"/>
      <c r="P289" s="112" t="n">
        <f aca="false">IFERROR(VLOOKUP(J289,'Obs Tecnicas'!$D:$I,5,0),O289)</f>
        <v>44732</v>
      </c>
      <c r="Q289" s="111" t="str">
        <f aca="true">IF(P289&lt;&gt;"",IF(P289+365&gt;TODAY(),"Calibrado","Vencido"),"")</f>
        <v>Calibrado</v>
      </c>
      <c r="R289" s="113" t="n">
        <f aca="false">IFERROR(VLOOKUP(J289,'Obs Tecnicas'!$D:$G,2,0),"")</f>
        <v>16925</v>
      </c>
      <c r="S289" s="102" t="str">
        <f aca="false">IFERROR(VLOOKUP(J289,'Obs Tecnicas'!$D:$G,3,0),"Hexis")</f>
        <v>ER ANALITICA</v>
      </c>
      <c r="T289" s="102" t="n">
        <f aca="false">IFERROR(VLOOKUP(J289,'Obs Tecnicas'!$D:$G,4,0),"")</f>
        <v>0</v>
      </c>
      <c r="U289" s="1" t="s">
        <v>344</v>
      </c>
      <c r="V289" s="114" t="n">
        <f aca="false">IF(P289&lt;&gt;"",MONTH(P289),"")</f>
        <v>6</v>
      </c>
      <c r="W289" s="114" t="n">
        <v>6</v>
      </c>
    </row>
    <row r="290" customFormat="false" ht="15" hidden="false" customHeight="true" outlineLevel="0" collapsed="false">
      <c r="A290" s="102" t="s">
        <v>67</v>
      </c>
      <c r="B290" s="102" t="s">
        <v>700</v>
      </c>
      <c r="C290" s="109" t="s">
        <v>701</v>
      </c>
      <c r="D290" s="102" t="s">
        <v>702</v>
      </c>
      <c r="E290" s="102" t="s">
        <v>530</v>
      </c>
      <c r="F290" s="109" t="s">
        <v>531</v>
      </c>
      <c r="G290" s="102" t="s">
        <v>97</v>
      </c>
      <c r="H290" s="102" t="s">
        <v>532</v>
      </c>
      <c r="I290" s="102" t="s">
        <v>79</v>
      </c>
      <c r="J290" s="110" t="n">
        <v>1201020001</v>
      </c>
      <c r="K290" s="102" t="s">
        <v>81</v>
      </c>
      <c r="L290" s="119" t="s">
        <v>185</v>
      </c>
      <c r="M290" s="102" t="s">
        <v>703</v>
      </c>
      <c r="N290" s="102" t="s">
        <v>78</v>
      </c>
      <c r="O290" s="111" t="n">
        <v>43978</v>
      </c>
      <c r="P290" s="112" t="n">
        <f aca="false">IFERROR(VLOOKUP(J290,'Obs Tecnicas'!$D:$I,5,0),O290)</f>
        <v>44732</v>
      </c>
      <c r="Q290" s="111" t="str">
        <f aca="true">IF(P290&lt;&gt;"",IF(P290+365&gt;TODAY(),"Calibrado","Vencido"),"")</f>
        <v>Calibrado</v>
      </c>
      <c r="R290" s="113" t="n">
        <f aca="false">IFERROR(VLOOKUP(J290,'Obs Tecnicas'!$D:$G,2,0),"")</f>
        <v>16923</v>
      </c>
      <c r="S290" s="102" t="str">
        <f aca="false">IFERROR(VLOOKUP(J290,'Obs Tecnicas'!$D:$G,3,0),"Hexis")</f>
        <v>ER ANALITICA</v>
      </c>
      <c r="T290" s="102" t="n">
        <f aca="false">IFERROR(VLOOKUP(J290,'Obs Tecnicas'!$D:$G,4,0),"")</f>
        <v>0</v>
      </c>
      <c r="U290" s="1" t="s">
        <v>344</v>
      </c>
      <c r="V290" s="114" t="n">
        <f aca="false">IF(P290&lt;&gt;"",MONTH(P290),"")</f>
        <v>6</v>
      </c>
      <c r="W290" s="114" t="n">
        <v>4</v>
      </c>
    </row>
    <row r="291" customFormat="false" ht="15" hidden="false" customHeight="true" outlineLevel="0" collapsed="false">
      <c r="A291" s="102" t="s">
        <v>67</v>
      </c>
      <c r="B291" s="102" t="s">
        <v>715</v>
      </c>
      <c r="C291" s="109" t="s">
        <v>716</v>
      </c>
      <c r="D291" s="102" t="s">
        <v>717</v>
      </c>
      <c r="E291" s="102" t="s">
        <v>718</v>
      </c>
      <c r="F291" s="109" t="s">
        <v>719</v>
      </c>
      <c r="G291" s="102" t="s">
        <v>720</v>
      </c>
      <c r="H291" s="102" t="s">
        <v>532</v>
      </c>
      <c r="I291" s="102" t="s">
        <v>89</v>
      </c>
      <c r="J291" s="110" t="s">
        <v>721</v>
      </c>
      <c r="K291" s="102" t="s">
        <v>81</v>
      </c>
      <c r="L291" s="102" t="s">
        <v>91</v>
      </c>
      <c r="M291" s="102" t="s">
        <v>722</v>
      </c>
      <c r="N291" s="102" t="s">
        <v>554</v>
      </c>
      <c r="O291" s="111" t="n">
        <v>44007</v>
      </c>
      <c r="P291" s="112" t="n">
        <f aca="false">IFERROR(VLOOKUP(J291,'Obs Tecnicas'!$D:$I,5,0),O291)</f>
        <v>44725</v>
      </c>
      <c r="Q291" s="111" t="str">
        <f aca="true">IF(P291&lt;&gt;"",IF(P291+365&gt;TODAY(),"Calibrado","Vencido"),"")</f>
        <v>Calibrado</v>
      </c>
      <c r="R291" s="113" t="n">
        <f aca="false">IFERROR(VLOOKUP(J291,'Obs Tecnicas'!$D:$G,2,0),"")</f>
        <v>16819</v>
      </c>
      <c r="S291" s="102" t="str">
        <f aca="false">IFERROR(VLOOKUP(J291,'Obs Tecnicas'!$D:$G,3,0),"Hexis")</f>
        <v>ER ANALITICA</v>
      </c>
      <c r="T291" s="102" t="n">
        <f aca="false">IFERROR(VLOOKUP(J291,'Obs Tecnicas'!$D:$G,4,0),"")</f>
        <v>0</v>
      </c>
      <c r="U291" s="1" t="s">
        <v>344</v>
      </c>
      <c r="V291" s="114" t="n">
        <f aca="false">IF(P291&lt;&gt;"",MONTH(P291),"")</f>
        <v>6</v>
      </c>
      <c r="W291" s="114" t="n">
        <v>7</v>
      </c>
    </row>
    <row r="292" customFormat="false" ht="15" hidden="false" customHeight="true" outlineLevel="0" collapsed="false">
      <c r="A292" s="102" t="s">
        <v>67</v>
      </c>
      <c r="B292" s="102" t="s">
        <v>715</v>
      </c>
      <c r="C292" s="109" t="s">
        <v>716</v>
      </c>
      <c r="D292" s="102" t="s">
        <v>717</v>
      </c>
      <c r="E292" s="102" t="s">
        <v>718</v>
      </c>
      <c r="F292" s="109" t="s">
        <v>719</v>
      </c>
      <c r="G292" s="102" t="s">
        <v>720</v>
      </c>
      <c r="H292" s="102" t="s">
        <v>532</v>
      </c>
      <c r="I292" s="102" t="s">
        <v>83</v>
      </c>
      <c r="J292" s="110" t="n">
        <v>1912001002159</v>
      </c>
      <c r="K292" s="102" t="s">
        <v>447</v>
      </c>
      <c r="L292" s="102" t="n">
        <v>912</v>
      </c>
      <c r="M292" s="102" t="s">
        <v>722</v>
      </c>
      <c r="N292" s="102" t="s">
        <v>554</v>
      </c>
      <c r="O292" s="111" t="n">
        <v>44007</v>
      </c>
      <c r="P292" s="112" t="n">
        <f aca="false">IFERROR(VLOOKUP(J292,'Obs Tecnicas'!$D:$I,5,0),O292)</f>
        <v>44725</v>
      </c>
      <c r="Q292" s="111" t="str">
        <f aca="true">IF(P292&lt;&gt;"",IF(P292+365&gt;TODAY(),"Calibrado","Vencido"),"")</f>
        <v>Calibrado</v>
      </c>
      <c r="R292" s="113" t="n">
        <f aca="false">IFERROR(VLOOKUP(J292,'Obs Tecnicas'!$D:$G,2,0),"")</f>
        <v>16811</v>
      </c>
      <c r="S292" s="102" t="str">
        <f aca="false">IFERROR(VLOOKUP(J292,'Obs Tecnicas'!$D:$G,3,0),"Hexis")</f>
        <v>ER ANALITICA</v>
      </c>
      <c r="T292" s="102" t="n">
        <f aca="false">IFERROR(VLOOKUP(J292,'Obs Tecnicas'!$D:$G,4,0),"")</f>
        <v>0</v>
      </c>
      <c r="U292" s="1" t="s">
        <v>344</v>
      </c>
      <c r="V292" s="114" t="n">
        <f aca="false">IF(P292&lt;&gt;"",MONTH(P292),"")</f>
        <v>6</v>
      </c>
      <c r="W292" s="114" t="n">
        <v>8</v>
      </c>
    </row>
    <row r="293" customFormat="false" ht="15" hidden="false" customHeight="true" outlineLevel="0" collapsed="false">
      <c r="A293" s="102" t="s">
        <v>67</v>
      </c>
      <c r="B293" s="102" t="s">
        <v>715</v>
      </c>
      <c r="C293" s="109" t="s">
        <v>716</v>
      </c>
      <c r="D293" s="102" t="s">
        <v>717</v>
      </c>
      <c r="E293" s="102" t="s">
        <v>718</v>
      </c>
      <c r="F293" s="109" t="s">
        <v>719</v>
      </c>
      <c r="G293" s="102" t="s">
        <v>720</v>
      </c>
      <c r="H293" s="102" t="s">
        <v>532</v>
      </c>
      <c r="I293" s="102" t="s">
        <v>101</v>
      </c>
      <c r="J293" s="110" t="s">
        <v>723</v>
      </c>
      <c r="K293" s="102" t="s">
        <v>724</v>
      </c>
      <c r="L293" s="102" t="s">
        <v>725</v>
      </c>
      <c r="M293" s="102" t="s">
        <v>722</v>
      </c>
      <c r="N293" s="102" t="s">
        <v>554</v>
      </c>
      <c r="O293" s="111" t="n">
        <v>44007</v>
      </c>
      <c r="P293" s="112" t="n">
        <f aca="false">IFERROR(VLOOKUP(J293,'Obs Tecnicas'!$D:$I,5,0),O293)</f>
        <v>44725</v>
      </c>
      <c r="Q293" s="111" t="str">
        <f aca="true">IF(P293&lt;&gt;"",IF(P293+365&gt;TODAY(),"Calibrado","Vencido"),"")</f>
        <v>Calibrado</v>
      </c>
      <c r="R293" s="113" t="n">
        <f aca="false">IFERROR(VLOOKUP(J293,'Obs Tecnicas'!$D:$G,2,0),"")</f>
        <v>16812</v>
      </c>
      <c r="S293" s="102" t="str">
        <f aca="false">IFERROR(VLOOKUP(J293,'Obs Tecnicas'!$D:$G,3,0),"Hexis")</f>
        <v>ER ANALITICA</v>
      </c>
      <c r="T293" s="102" t="n">
        <f aca="false">IFERROR(VLOOKUP(J293,'Obs Tecnicas'!$D:$G,4,0),"")</f>
        <v>0</v>
      </c>
      <c r="U293" s="1" t="s">
        <v>344</v>
      </c>
      <c r="V293" s="114" t="n">
        <f aca="false">IF(P293&lt;&gt;"",MONTH(P293),"")</f>
        <v>6</v>
      </c>
      <c r="W293" s="114" t="n">
        <v>8</v>
      </c>
    </row>
    <row r="294" customFormat="false" ht="15" hidden="false" customHeight="true" outlineLevel="0" collapsed="false">
      <c r="A294" s="102" t="s">
        <v>67</v>
      </c>
      <c r="B294" s="102" t="s">
        <v>715</v>
      </c>
      <c r="C294" s="109" t="s">
        <v>716</v>
      </c>
      <c r="D294" s="102" t="s">
        <v>717</v>
      </c>
      <c r="E294" s="102" t="s">
        <v>718</v>
      </c>
      <c r="F294" s="109" t="s">
        <v>719</v>
      </c>
      <c r="G294" s="102" t="s">
        <v>720</v>
      </c>
      <c r="H294" s="102" t="s">
        <v>532</v>
      </c>
      <c r="I294" s="102" t="s">
        <v>86</v>
      </c>
      <c r="J294" s="110" t="s">
        <v>726</v>
      </c>
      <c r="K294" s="102" t="s">
        <v>117</v>
      </c>
      <c r="L294" s="102" t="s">
        <v>727</v>
      </c>
      <c r="M294" s="102" t="s">
        <v>722</v>
      </c>
      <c r="N294" s="102" t="s">
        <v>554</v>
      </c>
      <c r="O294" s="111" t="n">
        <v>44007</v>
      </c>
      <c r="P294" s="112" t="n">
        <f aca="false">IFERROR(VLOOKUP(J294,'Obs Tecnicas'!$D:$I,5,0),O294)</f>
        <v>44725</v>
      </c>
      <c r="Q294" s="111" t="str">
        <f aca="true">IF(P294&lt;&gt;"",IF(P294+365&gt;TODAY(),"Calibrado","Vencido"),"")</f>
        <v>Calibrado</v>
      </c>
      <c r="R294" s="113" t="n">
        <f aca="false">IFERROR(VLOOKUP(J294,'Obs Tecnicas'!$D:$G,2,0),"")</f>
        <v>16813</v>
      </c>
      <c r="S294" s="102" t="str">
        <f aca="false">IFERROR(VLOOKUP(J294,'Obs Tecnicas'!$D:$G,3,0),"Hexis")</f>
        <v>ER ANALITICA</v>
      </c>
      <c r="T294" s="102" t="n">
        <f aca="false">IFERROR(VLOOKUP(J294,'Obs Tecnicas'!$D:$G,4,0),"")</f>
        <v>0</v>
      </c>
      <c r="U294" s="1" t="s">
        <v>344</v>
      </c>
      <c r="V294" s="114" t="n">
        <f aca="false">IF(P294&lt;&gt;"",MONTH(P294),"")</f>
        <v>6</v>
      </c>
      <c r="W294" s="114" t="n">
        <v>8</v>
      </c>
    </row>
    <row r="295" customFormat="false" ht="15" hidden="false" customHeight="true" outlineLevel="0" collapsed="false">
      <c r="A295" s="102" t="s">
        <v>67</v>
      </c>
      <c r="B295" s="102" t="s">
        <v>715</v>
      </c>
      <c r="C295" s="109" t="s">
        <v>716</v>
      </c>
      <c r="D295" s="102" t="s">
        <v>717</v>
      </c>
      <c r="E295" s="102" t="s">
        <v>718</v>
      </c>
      <c r="F295" s="109" t="s">
        <v>719</v>
      </c>
      <c r="G295" s="102" t="s">
        <v>720</v>
      </c>
      <c r="H295" s="102" t="s">
        <v>532</v>
      </c>
      <c r="I295" s="102" t="s">
        <v>86</v>
      </c>
      <c r="J295" s="110" t="n">
        <v>1827001034317</v>
      </c>
      <c r="K295" s="102" t="s">
        <v>447</v>
      </c>
      <c r="L295" s="102" t="s">
        <v>448</v>
      </c>
      <c r="M295" s="102" t="s">
        <v>722</v>
      </c>
      <c r="N295" s="102" t="s">
        <v>554</v>
      </c>
      <c r="O295" s="111" t="n">
        <v>44007</v>
      </c>
      <c r="P295" s="112" t="n">
        <f aca="false">IFERROR(VLOOKUP(J295,'Obs Tecnicas'!$D:$I,5,0),O295)</f>
        <v>44725</v>
      </c>
      <c r="Q295" s="111" t="str">
        <f aca="true">IF(P295&lt;&gt;"",IF(P295+365&gt;TODAY(),"Calibrado","Vencido"),"")</f>
        <v>Calibrado</v>
      </c>
      <c r="R295" s="113" t="n">
        <f aca="false">IFERROR(VLOOKUP(J295,'Obs Tecnicas'!$D:$G,2,0),"")</f>
        <v>16815</v>
      </c>
      <c r="S295" s="102" t="str">
        <f aca="false">IFERROR(VLOOKUP(J295,'Obs Tecnicas'!$D:$G,3,0),"Hexis")</f>
        <v>ER ANALITICA</v>
      </c>
      <c r="T295" s="102" t="n">
        <f aca="false">IFERROR(VLOOKUP(J295,'Obs Tecnicas'!$D:$G,4,0),"")</f>
        <v>0</v>
      </c>
      <c r="U295" s="1" t="s">
        <v>344</v>
      </c>
      <c r="V295" s="114" t="n">
        <f aca="false">IF(P295&lt;&gt;"",MONTH(P295),"")</f>
        <v>6</v>
      </c>
      <c r="W295" s="114" t="n">
        <v>8</v>
      </c>
    </row>
    <row r="296" customFormat="false" ht="15" hidden="false" customHeight="true" outlineLevel="0" collapsed="false">
      <c r="A296" s="102" t="s">
        <v>67</v>
      </c>
      <c r="B296" s="102" t="s">
        <v>715</v>
      </c>
      <c r="C296" s="109" t="s">
        <v>716</v>
      </c>
      <c r="D296" s="102" t="s">
        <v>717</v>
      </c>
      <c r="E296" s="102" t="s">
        <v>718</v>
      </c>
      <c r="F296" s="109" t="s">
        <v>719</v>
      </c>
      <c r="G296" s="102" t="s">
        <v>720</v>
      </c>
      <c r="H296" s="102" t="s">
        <v>532</v>
      </c>
      <c r="I296" s="102" t="s">
        <v>86</v>
      </c>
      <c r="J296" s="110" t="n">
        <v>1827001034324</v>
      </c>
      <c r="K296" s="102" t="s">
        <v>447</v>
      </c>
      <c r="L296" s="102" t="s">
        <v>448</v>
      </c>
      <c r="M296" s="102" t="s">
        <v>722</v>
      </c>
      <c r="N296" s="102" t="s">
        <v>554</v>
      </c>
      <c r="O296" s="111" t="n">
        <v>44007</v>
      </c>
      <c r="P296" s="112" t="n">
        <f aca="false">IFERROR(VLOOKUP(J296,'Obs Tecnicas'!$D:$I,5,0),O296)</f>
        <v>44725</v>
      </c>
      <c r="Q296" s="111" t="str">
        <f aca="true">IF(P296&lt;&gt;"",IF(P296+365&gt;TODAY(),"Calibrado","Vencido"),"")</f>
        <v>Calibrado</v>
      </c>
      <c r="R296" s="113" t="n">
        <f aca="false">IFERROR(VLOOKUP(J296,'Obs Tecnicas'!$D:$G,2,0),"")</f>
        <v>16814</v>
      </c>
      <c r="S296" s="102" t="str">
        <f aca="false">IFERROR(VLOOKUP(J296,'Obs Tecnicas'!$D:$G,3,0),"Hexis")</f>
        <v>ER ANALITICA</v>
      </c>
      <c r="T296" s="102" t="n">
        <f aca="false">IFERROR(VLOOKUP(J296,'Obs Tecnicas'!$D:$G,4,0),"")</f>
        <v>0</v>
      </c>
      <c r="U296" s="1" t="s">
        <v>344</v>
      </c>
      <c r="V296" s="114" t="n">
        <f aca="false">IF(P296&lt;&gt;"",MONTH(P296),"")</f>
        <v>6</v>
      </c>
      <c r="W296" s="114" t="n">
        <v>8</v>
      </c>
    </row>
    <row r="297" customFormat="false" ht="15" hidden="false" customHeight="true" outlineLevel="0" collapsed="false">
      <c r="A297" s="102" t="s">
        <v>67</v>
      </c>
      <c r="B297" s="102" t="s">
        <v>715</v>
      </c>
      <c r="C297" s="109" t="s">
        <v>716</v>
      </c>
      <c r="D297" s="102" t="s">
        <v>717</v>
      </c>
      <c r="E297" s="102" t="s">
        <v>718</v>
      </c>
      <c r="F297" s="109" t="s">
        <v>719</v>
      </c>
      <c r="G297" s="102" t="s">
        <v>720</v>
      </c>
      <c r="H297" s="102" t="s">
        <v>532</v>
      </c>
      <c r="I297" s="102" t="s">
        <v>101</v>
      </c>
      <c r="J297" s="110" t="n">
        <v>1531607</v>
      </c>
      <c r="K297" s="102" t="s">
        <v>81</v>
      </c>
      <c r="L297" s="118" t="s">
        <v>148</v>
      </c>
      <c r="M297" s="102" t="s">
        <v>722</v>
      </c>
      <c r="N297" s="102" t="s">
        <v>554</v>
      </c>
      <c r="O297" s="111" t="n">
        <v>44007</v>
      </c>
      <c r="P297" s="112" t="n">
        <f aca="false">IFERROR(VLOOKUP(J297,'Obs Tecnicas'!$D:$I,5,0),O297)</f>
        <v>44725</v>
      </c>
      <c r="Q297" s="111" t="str">
        <f aca="true">IF(P297&lt;&gt;"",IF(P297+365&gt;TODAY(),"Calibrado","Vencido"),"")</f>
        <v>Calibrado</v>
      </c>
      <c r="R297" s="113" t="n">
        <f aca="false">IFERROR(VLOOKUP(J297,'Obs Tecnicas'!$D:$G,2,0),"")</f>
        <v>16816</v>
      </c>
      <c r="S297" s="102" t="str">
        <f aca="false">IFERROR(VLOOKUP(J297,'Obs Tecnicas'!$D:$G,3,0),"Hexis")</f>
        <v>ER ANALITICA</v>
      </c>
      <c r="T297" s="102" t="n">
        <f aca="false">IFERROR(VLOOKUP(J297,'Obs Tecnicas'!$D:$G,4,0),"")</f>
        <v>0</v>
      </c>
      <c r="U297" s="1" t="s">
        <v>344</v>
      </c>
      <c r="V297" s="114" t="n">
        <f aca="false">IF(P297&lt;&gt;"",MONTH(P297),"")</f>
        <v>6</v>
      </c>
      <c r="W297" s="114" t="n">
        <v>8</v>
      </c>
    </row>
    <row r="298" customFormat="false" ht="15" hidden="false" customHeight="true" outlineLevel="0" collapsed="false">
      <c r="A298" s="102" t="s">
        <v>67</v>
      </c>
      <c r="B298" s="102" t="s">
        <v>715</v>
      </c>
      <c r="C298" s="109" t="s">
        <v>716</v>
      </c>
      <c r="D298" s="102" t="s">
        <v>717</v>
      </c>
      <c r="E298" s="102" t="s">
        <v>718</v>
      </c>
      <c r="F298" s="109" t="s">
        <v>719</v>
      </c>
      <c r="G298" s="102" t="s">
        <v>720</v>
      </c>
      <c r="H298" s="102" t="s">
        <v>532</v>
      </c>
      <c r="I298" s="102" t="s">
        <v>89</v>
      </c>
      <c r="J298" s="102" t="s">
        <v>728</v>
      </c>
      <c r="K298" s="102" t="s">
        <v>81</v>
      </c>
      <c r="L298" s="118" t="s">
        <v>91</v>
      </c>
      <c r="M298" s="102" t="s">
        <v>722</v>
      </c>
      <c r="N298" s="102" t="s">
        <v>554</v>
      </c>
      <c r="O298" s="111"/>
      <c r="P298" s="112" t="n">
        <f aca="false">IFERROR(VLOOKUP(J298,'Obs Tecnicas'!$D:$I,5,0),O298)</f>
        <v>44725</v>
      </c>
      <c r="Q298" s="111" t="str">
        <f aca="true">IF(P298&lt;&gt;"",IF(P298+365&gt;TODAY(),"Calibrado","Vencido"),"")</f>
        <v>Calibrado</v>
      </c>
      <c r="R298" s="113" t="n">
        <f aca="false">IFERROR(VLOOKUP(J298,'Obs Tecnicas'!$D:$G,2,0),"")</f>
        <v>16810</v>
      </c>
      <c r="S298" s="102" t="str">
        <f aca="false">IFERROR(VLOOKUP(J298,'Obs Tecnicas'!$D:$G,3,0),"Hexis")</f>
        <v>ER ANALITICA</v>
      </c>
      <c r="T298" s="102" t="n">
        <f aca="false">IFERROR(VLOOKUP(J298,'Obs Tecnicas'!$D:$G,4,0),"")</f>
        <v>0</v>
      </c>
      <c r="U298" s="1" t="s">
        <v>344</v>
      </c>
      <c r="V298" s="114" t="n">
        <f aca="false">IF(P298&lt;&gt;"",MONTH(P298),"")</f>
        <v>6</v>
      </c>
      <c r="W298" s="114" t="n">
        <v>6</v>
      </c>
    </row>
    <row r="299" customFormat="false" ht="15" hidden="false" customHeight="true" outlineLevel="0" collapsed="false">
      <c r="A299" s="102" t="s">
        <v>67</v>
      </c>
      <c r="B299" s="102" t="s">
        <v>715</v>
      </c>
      <c r="C299" s="109" t="s">
        <v>716</v>
      </c>
      <c r="D299" s="102" t="s">
        <v>717</v>
      </c>
      <c r="E299" s="102" t="s">
        <v>718</v>
      </c>
      <c r="F299" s="109" t="s">
        <v>719</v>
      </c>
      <c r="G299" s="102" t="s">
        <v>720</v>
      </c>
      <c r="H299" s="102" t="s">
        <v>532</v>
      </c>
      <c r="I299" s="102" t="s">
        <v>360</v>
      </c>
      <c r="J299" s="140" t="s">
        <v>729</v>
      </c>
      <c r="K299" s="102" t="s">
        <v>81</v>
      </c>
      <c r="L299" s="118" t="s">
        <v>82</v>
      </c>
      <c r="M299" s="102" t="s">
        <v>722</v>
      </c>
      <c r="N299" s="102" t="s">
        <v>554</v>
      </c>
      <c r="O299" s="111"/>
      <c r="P299" s="112" t="n">
        <f aca="false">IFERROR(VLOOKUP(J299,'Obs Tecnicas'!$D:$I,5,0),O299)</f>
        <v>44725</v>
      </c>
      <c r="Q299" s="111" t="str">
        <f aca="true">IF(P299&lt;&gt;"",IF(P299+365&gt;TODAY(),"Calibrado","Vencido"),"")</f>
        <v>Calibrado</v>
      </c>
      <c r="R299" s="113" t="n">
        <f aca="false">IFERROR(VLOOKUP(J299,'Obs Tecnicas'!$D:$G,2,0),"")</f>
        <v>16817</v>
      </c>
      <c r="S299" s="102" t="str">
        <f aca="false">IFERROR(VLOOKUP(J299,'Obs Tecnicas'!$D:$G,3,0),"Hexis")</f>
        <v>ER ANALITICA</v>
      </c>
      <c r="T299" s="102" t="str">
        <f aca="false">IFERROR(VLOOKUP(J299,'Obs Tecnicas'!$D:$G,4,0),"")</f>
        <v>Instrumento com demasiada oxidação no compartimento de pilhas, liberado com restrição.</v>
      </c>
      <c r="U299" s="1" t="s">
        <v>344</v>
      </c>
      <c r="V299" s="114" t="n">
        <f aca="false">IF(P299&lt;&gt;"",MONTH(P299),"")</f>
        <v>6</v>
      </c>
      <c r="W299" s="114" t="n">
        <v>6</v>
      </c>
    </row>
    <row r="300" customFormat="false" ht="15" hidden="false" customHeight="true" outlineLevel="0" collapsed="false">
      <c r="A300" s="102" t="s">
        <v>67</v>
      </c>
      <c r="B300" s="102" t="s">
        <v>715</v>
      </c>
      <c r="C300" s="109" t="s">
        <v>716</v>
      </c>
      <c r="D300" s="102" t="s">
        <v>717</v>
      </c>
      <c r="E300" s="102" t="s">
        <v>718</v>
      </c>
      <c r="F300" s="109" t="s">
        <v>719</v>
      </c>
      <c r="G300" s="102" t="s">
        <v>720</v>
      </c>
      <c r="H300" s="102" t="s">
        <v>532</v>
      </c>
      <c r="I300" s="102" t="s">
        <v>360</v>
      </c>
      <c r="J300" s="140" t="s">
        <v>730</v>
      </c>
      <c r="K300" s="102" t="s">
        <v>81</v>
      </c>
      <c r="L300" s="118" t="s">
        <v>82</v>
      </c>
      <c r="M300" s="102" t="s">
        <v>722</v>
      </c>
      <c r="N300" s="102" t="s">
        <v>554</v>
      </c>
      <c r="O300" s="111"/>
      <c r="P300" s="112" t="n">
        <f aca="false">IFERROR(VLOOKUP(J300,'Obs Tecnicas'!$D:$I,5,0),O300)</f>
        <v>44725</v>
      </c>
      <c r="Q300" s="111" t="str">
        <f aca="true">IF(P300&lt;&gt;"",IF(P300+365&gt;TODAY(),"Calibrado","Vencido"),"")</f>
        <v>Calibrado</v>
      </c>
      <c r="R300" s="113" t="n">
        <f aca="false">IFERROR(VLOOKUP(J300,'Obs Tecnicas'!$D:$G,2,0),"")</f>
        <v>16818</v>
      </c>
      <c r="S300" s="102" t="str">
        <f aca="false">IFERROR(VLOOKUP(J300,'Obs Tecnicas'!$D:$G,3,0),"Hexis")</f>
        <v>ER ANALITICA</v>
      </c>
      <c r="T300" s="102" t="str">
        <f aca="false">IFERROR(VLOOKUP(J300,'Obs Tecnicas'!$D:$G,4,0),"")</f>
        <v>Equipamento com demasiada oxidação no compartimento de pilhas, liberado com restrição.</v>
      </c>
      <c r="U300" s="1" t="s">
        <v>344</v>
      </c>
      <c r="V300" s="114" t="n">
        <f aca="false">IF(P300&lt;&gt;"",MONTH(P300),"")</f>
        <v>6</v>
      </c>
      <c r="W300" s="114" t="n">
        <v>6</v>
      </c>
    </row>
    <row r="301" customFormat="false" ht="15" hidden="false" customHeight="true" outlineLevel="0" collapsed="false">
      <c r="A301" s="102" t="s">
        <v>67</v>
      </c>
      <c r="B301" s="102" t="s">
        <v>715</v>
      </c>
      <c r="C301" s="109" t="s">
        <v>716</v>
      </c>
      <c r="D301" s="102" t="s">
        <v>717</v>
      </c>
      <c r="E301" s="102" t="s">
        <v>718</v>
      </c>
      <c r="F301" s="109" t="s">
        <v>719</v>
      </c>
      <c r="G301" s="102" t="s">
        <v>720</v>
      </c>
      <c r="H301" s="102" t="s">
        <v>532</v>
      </c>
      <c r="I301" s="102" t="s">
        <v>83</v>
      </c>
      <c r="J301" s="140" t="n">
        <v>4224376</v>
      </c>
      <c r="K301" s="102" t="s">
        <v>84</v>
      </c>
      <c r="L301" s="1" t="s">
        <v>364</v>
      </c>
      <c r="M301" s="102" t="s">
        <v>722</v>
      </c>
      <c r="N301" s="102" t="s">
        <v>554</v>
      </c>
      <c r="O301" s="111"/>
      <c r="P301" s="112" t="n">
        <f aca="false">IFERROR(VLOOKUP(J301,'Obs Tecnicas'!$D:$I,5,0),O301)</f>
        <v>44725</v>
      </c>
      <c r="Q301" s="111" t="str">
        <f aca="true">IF(P301&lt;&gt;"",IF(P301+365&gt;TODAY(),"Calibrado","Vencido"),"")</f>
        <v>Calibrado</v>
      </c>
      <c r="R301" s="113" t="n">
        <f aca="false">IFERROR(VLOOKUP(J301,'Obs Tecnicas'!$D:$G,2,0),"")</f>
        <v>16820</v>
      </c>
      <c r="S301" s="102" t="str">
        <f aca="false">IFERROR(VLOOKUP(J301,'Obs Tecnicas'!$D:$G,3,0),"Hexis")</f>
        <v>ER ANALITICA</v>
      </c>
      <c r="T301" s="102" t="n">
        <f aca="false">IFERROR(VLOOKUP(J301,'Obs Tecnicas'!$D:$G,4,0),"")</f>
        <v>0</v>
      </c>
      <c r="U301" s="1" t="s">
        <v>344</v>
      </c>
      <c r="V301" s="114" t="n">
        <f aca="false">IF(P301&lt;&gt;"",MONTH(P301),"")</f>
        <v>6</v>
      </c>
      <c r="W301" s="114" t="n">
        <v>6</v>
      </c>
    </row>
    <row r="302" customFormat="false" ht="15" hidden="false" customHeight="true" outlineLevel="0" collapsed="false">
      <c r="A302" s="102" t="s">
        <v>67</v>
      </c>
      <c r="B302" s="102" t="s">
        <v>715</v>
      </c>
      <c r="C302" s="109" t="s">
        <v>716</v>
      </c>
      <c r="D302" s="102" t="s">
        <v>717</v>
      </c>
      <c r="E302" s="102" t="s">
        <v>718</v>
      </c>
      <c r="F302" s="109" t="s">
        <v>719</v>
      </c>
      <c r="G302" s="102" t="s">
        <v>720</v>
      </c>
      <c r="H302" s="102" t="s">
        <v>532</v>
      </c>
      <c r="I302" s="102" t="s">
        <v>86</v>
      </c>
      <c r="J302" s="140" t="n">
        <v>1584381</v>
      </c>
      <c r="K302" s="117" t="s">
        <v>136</v>
      </c>
      <c r="L302" s="1" t="s">
        <v>137</v>
      </c>
      <c r="M302" s="102" t="s">
        <v>722</v>
      </c>
      <c r="N302" s="102" t="s">
        <v>554</v>
      </c>
      <c r="O302" s="111"/>
      <c r="P302" s="112" t="n">
        <f aca="false">IFERROR(VLOOKUP(J302,'Obs Tecnicas'!$D:$I,5,0),O302)</f>
        <v>44725</v>
      </c>
      <c r="Q302" s="111" t="str">
        <f aca="true">IF(P302&lt;&gt;"",IF(P302+365&gt;TODAY(),"Calibrado","Vencido"),"")</f>
        <v>Calibrado</v>
      </c>
      <c r="R302" s="113" t="n">
        <f aca="false">IFERROR(VLOOKUP(J302,'Obs Tecnicas'!$D:$G,2,0),"")</f>
        <v>16821</v>
      </c>
      <c r="S302" s="102" t="str">
        <f aca="false">IFERROR(VLOOKUP(J302,'Obs Tecnicas'!$D:$G,3,0),"Hexis")</f>
        <v>ER ANALITICA</v>
      </c>
      <c r="T302" s="102" t="str">
        <f aca="false">IFERROR(VLOOKUP(J302,'Obs Tecnicas'!$D:$G,4,0),"")</f>
        <v> Eletrodo de pH com alta lentidão, indicando fim de vida útil, necessário troca. Liberado com restrição.</v>
      </c>
      <c r="U302" s="1" t="s">
        <v>344</v>
      </c>
      <c r="V302" s="114" t="n">
        <f aca="false">IF(P302&lt;&gt;"",MONTH(P302),"")</f>
        <v>6</v>
      </c>
      <c r="W302" s="114" t="n">
        <v>6</v>
      </c>
    </row>
    <row r="303" customFormat="false" ht="15" hidden="false" customHeight="true" outlineLevel="0" collapsed="false">
      <c r="A303" s="102" t="s">
        <v>67</v>
      </c>
      <c r="B303" s="102" t="s">
        <v>715</v>
      </c>
      <c r="C303" s="109" t="s">
        <v>716</v>
      </c>
      <c r="D303" s="102" t="s">
        <v>717</v>
      </c>
      <c r="E303" s="102" t="s">
        <v>718</v>
      </c>
      <c r="F303" s="109" t="s">
        <v>719</v>
      </c>
      <c r="G303" s="102" t="s">
        <v>720</v>
      </c>
      <c r="H303" s="102" t="s">
        <v>532</v>
      </c>
      <c r="I303" s="102" t="s">
        <v>731</v>
      </c>
      <c r="J303" s="140" t="s">
        <v>732</v>
      </c>
      <c r="K303" s="102" t="s">
        <v>733</v>
      </c>
      <c r="L303" s="1" t="s">
        <v>734</v>
      </c>
      <c r="M303" s="102" t="s">
        <v>722</v>
      </c>
      <c r="N303" s="102" t="s">
        <v>554</v>
      </c>
      <c r="O303" s="111"/>
      <c r="P303" s="112" t="n">
        <f aca="false">IFERROR(VLOOKUP(J303,'Obs Tecnicas'!$D:$I,5,0),O303)</f>
        <v>44725</v>
      </c>
      <c r="Q303" s="111" t="str">
        <f aca="true">IF(P303&lt;&gt;"",IF(P303+365&gt;TODAY(),"Calibrado","Vencido"),"")</f>
        <v>Calibrado</v>
      </c>
      <c r="R303" s="113" t="n">
        <f aca="false">IFERROR(VLOOKUP(J303,'Obs Tecnicas'!$D:$G,2,0),"")</f>
        <v>16822</v>
      </c>
      <c r="S303" s="102" t="str">
        <f aca="false">IFERROR(VLOOKUP(J303,'Obs Tecnicas'!$D:$G,3,0),"Hexis")</f>
        <v>ER ANALITICA</v>
      </c>
      <c r="T303" s="102" t="n">
        <f aca="false">IFERROR(VLOOKUP(J303,'Obs Tecnicas'!$D:$G,4,0),"")</f>
        <v>0</v>
      </c>
      <c r="U303" s="1" t="s">
        <v>344</v>
      </c>
      <c r="V303" s="114" t="n">
        <f aca="false">IF(P303&lt;&gt;"",MONTH(P303),"")</f>
        <v>6</v>
      </c>
      <c r="W303" s="114" t="n">
        <v>6</v>
      </c>
    </row>
    <row r="304" customFormat="false" ht="15" hidden="false" customHeight="true" outlineLevel="0" collapsed="false">
      <c r="A304" s="102" t="s">
        <v>67</v>
      </c>
      <c r="B304" s="115" t="s">
        <v>715</v>
      </c>
      <c r="C304" s="109" t="s">
        <v>716</v>
      </c>
      <c r="D304" s="102" t="s">
        <v>717</v>
      </c>
      <c r="E304" s="102" t="s">
        <v>718</v>
      </c>
      <c r="F304" s="109" t="s">
        <v>719</v>
      </c>
      <c r="G304" s="115" t="s">
        <v>720</v>
      </c>
      <c r="H304" s="115" t="s">
        <v>532</v>
      </c>
      <c r="I304" s="102" t="s">
        <v>83</v>
      </c>
      <c r="J304" s="140" t="n">
        <v>4224035</v>
      </c>
      <c r="K304" s="102" t="s">
        <v>84</v>
      </c>
      <c r="L304" s="1" t="s">
        <v>364</v>
      </c>
      <c r="M304" s="102" t="s">
        <v>722</v>
      </c>
      <c r="N304" s="102" t="s">
        <v>554</v>
      </c>
      <c r="O304" s="111"/>
      <c r="P304" s="112" t="n">
        <f aca="false">IFERROR(VLOOKUP(J304,'Obs Tecnicas'!$D:$I,5,0),O304)</f>
        <v>44725</v>
      </c>
      <c r="Q304" s="111" t="str">
        <f aca="true">IF(P304&lt;&gt;"",IF(P304+365&gt;TODAY(),"Calibrado","Vencido"),"")</f>
        <v>Calibrado</v>
      </c>
      <c r="R304" s="113" t="n">
        <f aca="false">IFERROR(VLOOKUP(J304,'Obs Tecnicas'!$D:$G,2,0),"")</f>
        <v>16878</v>
      </c>
      <c r="S304" s="102" t="str">
        <f aca="false">IFERROR(VLOOKUP(J304,'Obs Tecnicas'!$D:$G,3,0),"Hexis")</f>
        <v>ER ANALITICA</v>
      </c>
      <c r="T304" s="102" t="n">
        <f aca="false">IFERROR(VLOOKUP(J304,'Obs Tecnicas'!$D:$G,4,0),"")</f>
        <v>0</v>
      </c>
      <c r="U304" s="1" t="s">
        <v>344</v>
      </c>
      <c r="V304" s="114" t="n">
        <f aca="false">IF(P304&lt;&gt;"",MONTH(P304),"")</f>
        <v>6</v>
      </c>
      <c r="W304" s="114" t="n">
        <v>6</v>
      </c>
    </row>
    <row r="305" customFormat="false" ht="15" hidden="false" customHeight="true" outlineLevel="0" collapsed="false">
      <c r="A305" s="102" t="s">
        <v>67</v>
      </c>
      <c r="B305" s="115" t="s">
        <v>735</v>
      </c>
      <c r="C305" s="109" t="s">
        <v>736</v>
      </c>
      <c r="D305" s="102" t="s">
        <v>737</v>
      </c>
      <c r="E305" s="102" t="s">
        <v>711</v>
      </c>
      <c r="F305" s="109" t="s">
        <v>712</v>
      </c>
      <c r="G305" s="115" t="s">
        <v>547</v>
      </c>
      <c r="H305" s="115" t="s">
        <v>532</v>
      </c>
      <c r="I305" s="102" t="s">
        <v>79</v>
      </c>
      <c r="J305" s="110" t="s">
        <v>738</v>
      </c>
      <c r="K305" s="102" t="s">
        <v>81</v>
      </c>
      <c r="L305" s="102" t="s">
        <v>82</v>
      </c>
      <c r="M305" s="115" t="s">
        <v>739</v>
      </c>
      <c r="N305" s="115" t="s">
        <v>740</v>
      </c>
      <c r="O305" s="111" t="n">
        <v>44067</v>
      </c>
      <c r="P305" s="112" t="n">
        <f aca="false">IFERROR(VLOOKUP(J305,'Obs Tecnicas'!$D:$I,5,0),O305)</f>
        <v>44421</v>
      </c>
      <c r="Q305" s="111" t="str">
        <f aca="true">IF(P305&lt;&gt;"",IF(P305+365&gt;TODAY(),"Calibrado","Vencido"),"")</f>
        <v>Calibrado</v>
      </c>
      <c r="R305" s="113" t="n">
        <f aca="false">IFERROR(VLOOKUP(J305,'Obs Tecnicas'!$D:$G,2,0),"")</f>
        <v>13345</v>
      </c>
      <c r="S305" s="102" t="str">
        <f aca="false">IFERROR(VLOOKUP(J305,'Obs Tecnicas'!$D:$G,3,0),"Hexis")</f>
        <v>ER ANALITICA</v>
      </c>
      <c r="T305" s="102" t="str">
        <f aca="false">IFERROR(VLOOKUP(J305,'Obs Tecnicas'!$D:$G,4,0),"")</f>
        <v>Todos filtros oxidados (420, 520, 560 e 610nm) e teclado de borracha descolado.</v>
      </c>
      <c r="U305" s="1" t="s">
        <v>28</v>
      </c>
      <c r="V305" s="114" t="n">
        <f aca="false">IF(P305&lt;&gt;"",MONTH(P305),"")</f>
        <v>8</v>
      </c>
      <c r="W305" s="114" t="n">
        <v>3</v>
      </c>
    </row>
    <row r="306" customFormat="false" ht="15" hidden="false" customHeight="true" outlineLevel="0" collapsed="false">
      <c r="A306" s="115" t="s">
        <v>67</v>
      </c>
      <c r="B306" s="115" t="s">
        <v>735</v>
      </c>
      <c r="C306" s="109" t="s">
        <v>736</v>
      </c>
      <c r="D306" s="102" t="s">
        <v>737</v>
      </c>
      <c r="E306" s="102" t="s">
        <v>711</v>
      </c>
      <c r="F306" s="109" t="s">
        <v>712</v>
      </c>
      <c r="G306" s="115" t="s">
        <v>547</v>
      </c>
      <c r="H306" s="115" t="s">
        <v>532</v>
      </c>
      <c r="I306" s="102" t="s">
        <v>83</v>
      </c>
      <c r="J306" s="110" t="s">
        <v>741</v>
      </c>
      <c r="K306" s="102" t="s">
        <v>84</v>
      </c>
      <c r="L306" s="115" t="s">
        <v>85</v>
      </c>
      <c r="M306" s="115" t="s">
        <v>739</v>
      </c>
      <c r="N306" s="115" t="s">
        <v>740</v>
      </c>
      <c r="O306" s="111" t="n">
        <v>44067</v>
      </c>
      <c r="P306" s="112" t="n">
        <f aca="false">IFERROR(VLOOKUP(J306,'Obs Tecnicas'!$D:$I,5,0),O306)</f>
        <v>44421</v>
      </c>
      <c r="Q306" s="111" t="str">
        <f aca="true">IF(P306&lt;&gt;"",IF(P306+365&gt;TODAY(),"Calibrado","Vencido"),"")</f>
        <v>Calibrado</v>
      </c>
      <c r="R306" s="113" t="n">
        <f aca="false">IFERROR(VLOOKUP(J306,'Obs Tecnicas'!$D:$G,2,0),"")</f>
        <v>13346</v>
      </c>
      <c r="S306" s="102" t="str">
        <f aca="false">IFERROR(VLOOKUP(J306,'Obs Tecnicas'!$D:$G,3,0),"Hexis")</f>
        <v>ER ANALITICA</v>
      </c>
      <c r="T306" s="102" t="n">
        <f aca="false">IFERROR(VLOOKUP(J306,'Obs Tecnicas'!$D:$G,4,0),"")</f>
        <v>0</v>
      </c>
      <c r="U306" s="1" t="s">
        <v>28</v>
      </c>
      <c r="V306" s="114" t="n">
        <f aca="false">IF(P306&lt;&gt;"",MONTH(P306),"")</f>
        <v>8</v>
      </c>
      <c r="W306" s="114" t="n">
        <v>3</v>
      </c>
    </row>
    <row r="307" customFormat="false" ht="15" hidden="false" customHeight="true" outlineLevel="0" collapsed="false">
      <c r="A307" s="115" t="s">
        <v>67</v>
      </c>
      <c r="B307" s="102" t="s">
        <v>735</v>
      </c>
      <c r="C307" s="109" t="s">
        <v>736</v>
      </c>
      <c r="D307" s="102" t="s">
        <v>737</v>
      </c>
      <c r="E307" s="102" t="s">
        <v>711</v>
      </c>
      <c r="F307" s="109" t="s">
        <v>712</v>
      </c>
      <c r="G307" s="102" t="s">
        <v>547</v>
      </c>
      <c r="H307" s="102" t="s">
        <v>532</v>
      </c>
      <c r="I307" s="102" t="s">
        <v>101</v>
      </c>
      <c r="J307" s="110" t="s">
        <v>742</v>
      </c>
      <c r="K307" s="102" t="s">
        <v>81</v>
      </c>
      <c r="L307" s="102" t="s">
        <v>103</v>
      </c>
      <c r="M307" s="115" t="s">
        <v>739</v>
      </c>
      <c r="N307" s="115" t="s">
        <v>740</v>
      </c>
      <c r="O307" s="111" t="n">
        <v>44067</v>
      </c>
      <c r="P307" s="112" t="n">
        <f aca="false">IFERROR(VLOOKUP(J307,'Obs Tecnicas'!$D:$I,5,0),O307)</f>
        <v>44421</v>
      </c>
      <c r="Q307" s="111" t="str">
        <f aca="true">IF(P307&lt;&gt;"",IF(P307+365&gt;TODAY(),"Calibrado","Vencido"),"")</f>
        <v>Calibrado</v>
      </c>
      <c r="R307" s="113" t="n">
        <f aca="false">IFERROR(VLOOKUP(J307,'Obs Tecnicas'!$D:$G,2,0),"")</f>
        <v>13348</v>
      </c>
      <c r="S307" s="102" t="str">
        <f aca="false">IFERROR(VLOOKUP(J307,'Obs Tecnicas'!$D:$G,3,0),"Hexis")</f>
        <v>ER ANALITICA</v>
      </c>
      <c r="T307" s="102" t="str">
        <f aca="false">IFERROR(VLOOKUP(J307,'Obs Tecnicas'!$D:$G,4,0),"")</f>
        <v>Bateria de litio com baixa carga e filtros oxidados (OG570 e BG370). Além, da carcaça estar com avarias.</v>
      </c>
      <c r="U307" s="1" t="s">
        <v>28</v>
      </c>
      <c r="V307" s="114" t="n">
        <f aca="false">IF(P307&lt;&gt;"",MONTH(P307),"")</f>
        <v>8</v>
      </c>
      <c r="W307" s="114" t="n">
        <v>3</v>
      </c>
    </row>
    <row r="308" customFormat="false" ht="15" hidden="false" customHeight="true" outlineLevel="0" collapsed="false">
      <c r="A308" s="115" t="s">
        <v>67</v>
      </c>
      <c r="B308" s="102" t="s">
        <v>735</v>
      </c>
      <c r="C308" s="109" t="s">
        <v>736</v>
      </c>
      <c r="D308" s="102" t="s">
        <v>737</v>
      </c>
      <c r="E308" s="102" t="s">
        <v>711</v>
      </c>
      <c r="F308" s="109" t="s">
        <v>712</v>
      </c>
      <c r="G308" s="102" t="s">
        <v>547</v>
      </c>
      <c r="H308" s="102" t="s">
        <v>532</v>
      </c>
      <c r="I308" s="102" t="s">
        <v>86</v>
      </c>
      <c r="J308" s="110" t="s">
        <v>743</v>
      </c>
      <c r="K308" s="117" t="s">
        <v>136</v>
      </c>
      <c r="L308" s="102" t="s">
        <v>137</v>
      </c>
      <c r="M308" s="115" t="s">
        <v>739</v>
      </c>
      <c r="N308" s="115" t="s">
        <v>740</v>
      </c>
      <c r="O308" s="111" t="n">
        <v>44067</v>
      </c>
      <c r="P308" s="112" t="n">
        <f aca="false">IFERROR(VLOOKUP(J308,'Obs Tecnicas'!$D:$I,5,0),O308)</f>
        <v>44421</v>
      </c>
      <c r="Q308" s="111" t="str">
        <f aca="true">IF(P308&lt;&gt;"",IF(P308+365&gt;TODAY(),"Calibrado","Vencido"),"")</f>
        <v>Calibrado</v>
      </c>
      <c r="R308" s="113" t="n">
        <f aca="false">IFERROR(VLOOKUP(J308,'Obs Tecnicas'!$D:$G,2,0),"")</f>
        <v>13349</v>
      </c>
      <c r="S308" s="102" t="str">
        <f aca="false">IFERROR(VLOOKUP(J308,'Obs Tecnicas'!$D:$G,3,0),"Hexis")</f>
        <v>ER ANALITICA</v>
      </c>
      <c r="T308" s="102" t="n">
        <f aca="false">IFERROR(VLOOKUP(J308,'Obs Tecnicas'!$D:$G,4,0),"")</f>
        <v>0</v>
      </c>
      <c r="U308" s="1" t="s">
        <v>28</v>
      </c>
      <c r="V308" s="114" t="n">
        <f aca="false">IF(P308&lt;&gt;"",MONTH(P308),"")</f>
        <v>8</v>
      </c>
      <c r="W308" s="114" t="n">
        <v>4</v>
      </c>
    </row>
    <row r="311" customFormat="false" ht="15" hidden="false" customHeight="true" outlineLevel="0" collapsed="false">
      <c r="D311" s="142"/>
    </row>
  </sheetData>
  <autoFilter ref="A1:AO308"/>
  <conditionalFormatting sqref="E46:F46">
    <cfRule type="colorScale" priority="2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E185:F185">
    <cfRule type="colorScale" priority="3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B304:C304 G304:H304">
    <cfRule type="colorScale" priority="4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B305:C305 G305:H305">
    <cfRule type="colorScale" priority="5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B306:C306 G306:H306">
    <cfRule type="colorScale" priority="6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O197:O1048576 O1:O78 O80:O195">
    <cfRule type="expression" priority="7" aboveAverage="0" equalAverage="0" bottom="0" percent="0" rank="0" text="" dxfId="0">
      <formula>IF(O1&lt;=TODAY()-365,1)</formula>
    </cfRule>
    <cfRule type="expression" priority="8" aboveAverage="0" equalAverage="0" bottom="0" percent="0" rank="0" text="" dxfId="1">
      <formula>IF(O1&lt;(TODAY())-320,1)</formula>
    </cfRule>
    <cfRule type="expression" priority="9" aboveAverage="0" equalAverage="0" bottom="0" percent="0" rank="0" text="" dxfId="2">
      <formula>IF(O1&lt;(TODAY())+0,1)</formula>
    </cfRule>
  </conditionalFormatting>
  <conditionalFormatting sqref="Q1:Q1048576">
    <cfRule type="expression" priority="10" aboveAverage="0" equalAverage="0" bottom="0" percent="0" rank="0" text="" dxfId="3">
      <formula>IF(P1&lt;=TODAY()-365,1)</formula>
    </cfRule>
    <cfRule type="expression" priority="11" aboveAverage="0" equalAverage="0" bottom="0" percent="0" rank="0" text="" dxfId="4">
      <formula>IF(P1&lt;(TODAY())-270,1)</formula>
    </cfRule>
    <cfRule type="expression" priority="12" aboveAverage="0" equalAverage="0" bottom="0" percent="0" rank="0" text="" dxfId="5">
      <formula>IF(P1&lt;(TODAY())+0,1)</formula>
    </cfRule>
  </conditionalFormatting>
  <conditionalFormatting sqref="E219:F219">
    <cfRule type="colorScale" priority="13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E222:F222">
    <cfRule type="colorScale" priority="14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E224:F224">
    <cfRule type="colorScale" priority="15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O196">
    <cfRule type="expression" priority="16" aboveAverage="0" equalAverage="0" bottom="0" percent="0" rank="0" text="" dxfId="6">
      <formula>IF(O196&lt;=TODAY()-365,1)</formula>
    </cfRule>
    <cfRule type="expression" priority="17" aboveAverage="0" equalAverage="0" bottom="0" percent="0" rank="0" text="" dxfId="7">
      <formula>IF(O196&lt;(TODAY())-320,1)</formula>
    </cfRule>
    <cfRule type="expression" priority="18" aboveAverage="0" equalAverage="0" bottom="0" percent="0" rank="0" text="" dxfId="8">
      <formula>IF(O196&lt;(TODAY())+0,1)</formula>
    </cfRule>
  </conditionalFormatting>
  <conditionalFormatting sqref="E239:E240">
    <cfRule type="colorScale" priority="19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M231:M245 E223:F223 H223 G214:H215 G222:H222 E212:F213 E220:F221 E214 C211 L198:N198 E209:H210 H216:H221 L213 N197 L201 L215:N215 H197:H208 B197:C210 H211:H213 L199 M199:N214 N216:N218 N220:N223 M216:M225 L203:L204 K211:L211 L209:L210 L216:L217 L220:L223 B225 B212:C224">
    <cfRule type="colorScale" priority="20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O79">
    <cfRule type="expression" priority="21" aboveAverage="0" equalAverage="0" bottom="0" percent="0" rank="0" text="" dxfId="9">
      <formula>IF(O79&lt;=TODAY()-365,1)</formula>
    </cfRule>
    <cfRule type="expression" priority="22" aboveAverage="0" equalAverage="0" bottom="0" percent="0" rank="0" text="" dxfId="10">
      <formula>IF(O79&lt;(TODAY())-320,1)</formula>
    </cfRule>
    <cfRule type="expression" priority="23" aboveAverage="0" equalAverage="0" bottom="0" percent="0" rank="0" text="" dxfId="11">
      <formula>IF(O79&lt;(TODAY())+0,1)</formula>
    </cfRule>
  </conditionalFormatting>
  <dataValidations count="3">
    <dataValidation allowBlank="true" operator="between" showDropDown="false" showErrorMessage="true" showInputMessage="true" sqref="V1" type="list">
      <formula1>"ADICIONADO,REALIZADO,DESATIVADO,NÃO ENCONTRADO,AGENDADO,SEM RETORNO DO OWNER,EM CONTATO"</formula1>
      <formula2>0</formula2>
    </dataValidation>
    <dataValidation allowBlank="true" operator="between" showDropDown="false" showErrorMessage="true" showInputMessage="true" sqref="U1:U78 U80:U1308" type="list">
      <formula1>"ADICIONADO,REALIZADO,DESATIVADO,NÃO ENCONTRADO,AGENDADO,SEM RETORNO DO OWNER,EM CONTATO,CONTATO FEITO,CONSERTO INTERNO,AGUARDANDO RETORNO "</formula1>
      <formula2>0</formula2>
    </dataValidation>
    <dataValidation allowBlank="true" operator="between" showDropDown="false" showErrorMessage="true" showInputMessage="true" sqref="U79" type="list">
      <formula1>"ADICIONADO,REALIZADO,DESATIVADO,NÃO ENCONTRADO,AGENDADO,SEM RETORNO DO OWNER"</formula1>
      <formula2>0</formula2>
    </dataValidation>
  </dataValidations>
  <hyperlinks>
    <hyperlink ref="C2" r:id="rId1" display="luiz.silva@suez.com"/>
    <hyperlink ref="F2" r:id="rId2" display="edmilson.santos@suez.com"/>
    <hyperlink ref="C3" r:id="rId3" display="luiz.silva@suez.com"/>
    <hyperlink ref="F3" r:id="rId4" display="edmilson.santos@suez.com"/>
    <hyperlink ref="F4" r:id="rId5" display="edmilson.santos@suez.com"/>
    <hyperlink ref="C7" r:id="rId6" display="rosangela.soares@suez.com"/>
    <hyperlink ref="F7" r:id="rId7" display="adalberto.diniz@suez.com"/>
    <hyperlink ref="C8" r:id="rId8" display="rosangela.soares@suez.com"/>
    <hyperlink ref="F8" r:id="rId9" display="adalberto.diniz@suez.com"/>
    <hyperlink ref="C9" r:id="rId10" display="rosangela.soares@suez.com"/>
    <hyperlink ref="F9" r:id="rId11" display="adalberto.diniz@suez.com"/>
    <hyperlink ref="C10" r:id="rId12" display="rosangela.soares@suez.com"/>
    <hyperlink ref="F10" r:id="rId13" display="adalberto.diniz@suez.com"/>
    <hyperlink ref="C11" r:id="rId14" display="tatiana.almeida@suez.com"/>
    <hyperlink ref="F11" r:id="rId15" display="marcelo.soto@suez.com"/>
    <hyperlink ref="C12" r:id="rId16" display="tatiana.almeida@suez.com"/>
    <hyperlink ref="F12" r:id="rId17" display="marcelo.soto@suez.com"/>
    <hyperlink ref="C13" r:id="rId18" display="tatiana.almeida@suez.com"/>
    <hyperlink ref="F13" r:id="rId19" display="marcelo.soto@suez.com"/>
    <hyperlink ref="C14" r:id="rId20" display="tatiana.almeida@suez.com"/>
    <hyperlink ref="F14" r:id="rId21" display="marcelo.soto@suez.com"/>
    <hyperlink ref="C15" r:id="rId22" display="tatiana.almeida@suez.com"/>
    <hyperlink ref="F15" r:id="rId23" display="marcelo.soto@suez.com"/>
    <hyperlink ref="C16" r:id="rId24" display="itana.souza@suez.com"/>
    <hyperlink ref="F16" r:id="rId25" display="marcelo.soto@suez.com"/>
    <hyperlink ref="C17" r:id="rId26" display="itana.souza@suez.com"/>
    <hyperlink ref="C18" r:id="rId27" display="itana.souza@suez.com"/>
    <hyperlink ref="F18" r:id="rId28" display="marcelo.soto@suez.com"/>
    <hyperlink ref="C19" r:id="rId29" display="tatiana.almeida@suez.com"/>
    <hyperlink ref="F19" r:id="rId30" display="marcelo.soto@suez.com"/>
    <hyperlink ref="C20" r:id="rId31" display="tatiana.almeida@suez.com"/>
    <hyperlink ref="F20" r:id="rId32" display="marcelo.soto@suez.com"/>
    <hyperlink ref="C21" r:id="rId33" display="itana.souza@suez.com"/>
    <hyperlink ref="F21" r:id="rId34" display="marcelo.soto@suez.com"/>
    <hyperlink ref="C22" r:id="rId35" display="itana.souza@suez.com"/>
    <hyperlink ref="F22" r:id="rId36" display="marcelo.soto@suez.com"/>
    <hyperlink ref="C23" r:id="rId37" display="tatiana.almeida@suez.com"/>
    <hyperlink ref="F23" r:id="rId38" display="marcelo.soto@suez.com"/>
    <hyperlink ref="C24" r:id="rId39" display="itana.souza@suez.com"/>
    <hyperlink ref="F24" r:id="rId40" display="marcelo.soto@suez.com"/>
    <hyperlink ref="C25" r:id="rId41" display="itana.souza@suez.com"/>
    <hyperlink ref="F25" r:id="rId42" display="marcelo.soto@suez.com"/>
    <hyperlink ref="C26" r:id="rId43" display="itana.souza@suez.com"/>
    <hyperlink ref="F26" r:id="rId44" display="marcelo.soto@suez.com"/>
    <hyperlink ref="C27" r:id="rId45" display="tatiana.almeida@suez.com"/>
    <hyperlink ref="F27" r:id="rId46" display="marcelo.soto@suez.com"/>
    <hyperlink ref="C28" r:id="rId47" display="tatiana.almeida@suez.com"/>
    <hyperlink ref="F28" r:id="rId48" display="marcelo.soto@suez.com"/>
    <hyperlink ref="C29" r:id="rId49" display="tatiana.almeida@suez.com"/>
    <hyperlink ref="F29" r:id="rId50" display="marcelo.soto@suez.com"/>
    <hyperlink ref="C30" r:id="rId51" display="tatiana.almeida@suez.com"/>
    <hyperlink ref="F30" r:id="rId52" display="marcelo.soto@suez.com"/>
    <hyperlink ref="C31" r:id="rId53" display="tatiana.almeida@suez.com"/>
    <hyperlink ref="F31" r:id="rId54" display="marcelo.soto@suez.com"/>
    <hyperlink ref="C32" r:id="rId55" display="anderson.souza@suez.com"/>
    <hyperlink ref="F32" r:id="rId56" display="an.santos@suez.com"/>
    <hyperlink ref="C33" r:id="rId57" display="anderson.souza@suez.com"/>
    <hyperlink ref="F33" r:id="rId58" display="an.santos@suez.com"/>
    <hyperlink ref="C34" r:id="rId59" display="anderson.souza@suez.com"/>
    <hyperlink ref="C35" r:id="rId60" display="hugo.cavalcante@suez.com"/>
    <hyperlink ref="F35" r:id="rId61" display="osvaldo.melo@suez.com"/>
    <hyperlink ref="C36" r:id="rId62" display="hugo.cavalcante@suez.com"/>
    <hyperlink ref="F36" r:id="rId63" display="osvaldo.melo@suez.com"/>
    <hyperlink ref="C37" r:id="rId64" display="hugo.cavalcante@suez.com"/>
    <hyperlink ref="F37" r:id="rId65" display="osvaldo.melo@suez.com"/>
    <hyperlink ref="C38" r:id="rId66" display="glaydiane.melo@suez.com"/>
    <hyperlink ref="C49" r:id="rId67" display="ozeas.rufino@suez.com"/>
    <hyperlink ref="F49" r:id="rId68" display="rodrigo.silva@suez.com"/>
    <hyperlink ref="C50" r:id="rId69" display="ozeas.rufino@suez.com"/>
    <hyperlink ref="F50" r:id="rId70" display="rodrigo.silva@suez.com"/>
    <hyperlink ref="F51" r:id="rId71" display="rodrigo.silva@suez.com"/>
    <hyperlink ref="F52" r:id="rId72" display="rodrigo.silva@suez.com"/>
    <hyperlink ref="F53" r:id="rId73" display="rodrigo.silva@suez.com"/>
    <hyperlink ref="F54" r:id="rId74" display="rodrigo.silva@suez.com"/>
    <hyperlink ref="F55" r:id="rId75" display="rodrigo.silva@suez.com"/>
    <hyperlink ref="F56" r:id="rId76" display="rodrigo.silva@suez.com"/>
    <hyperlink ref="C57" r:id="rId77" display="ozeas.rufino@suez.com"/>
    <hyperlink ref="F57" r:id="rId78" display="rodrigo.silva@suez.com"/>
    <hyperlink ref="C58" r:id="rId79" display="ozeas.rufino@suez.com"/>
    <hyperlink ref="F58" r:id="rId80" display="rodrigo.silva@suez.com"/>
    <hyperlink ref="C59" r:id="rId81" display="isaac.pinto@suez.com"/>
    <hyperlink ref="F59" r:id="rId82" display="marcelo.soto@suez.com"/>
    <hyperlink ref="C60" r:id="rId83" display="gerson.miranda@suez.com"/>
    <hyperlink ref="F60" r:id="rId84" display="carlos.santos@suez.com"/>
    <hyperlink ref="C61" r:id="rId85" display="gerson.miranda@suez.com"/>
    <hyperlink ref="F61" r:id="rId86" display="carlos.santos@suez.com"/>
    <hyperlink ref="C62" r:id="rId87" display="gerson.miranda@suez.com"/>
    <hyperlink ref="F62" r:id="rId88" display="carlos.santos@suez.com"/>
    <hyperlink ref="F63" r:id="rId89" display="rodrigo.silva@suez.com"/>
    <hyperlink ref="F64" r:id="rId90" display="rodrigo.silva@suez.com"/>
    <hyperlink ref="F65" r:id="rId91" display="rodrigo.silva@suez.com"/>
    <hyperlink ref="F66" r:id="rId92" display="rodrigo.silva@suez.com"/>
    <hyperlink ref="F67" r:id="rId93" display="rodrigo.silva@suez.com"/>
    <hyperlink ref="C68" r:id="rId94" display="thiago.morais@suez.com "/>
    <hyperlink ref="F68" r:id="rId95" display="carlos.santos@suez.com"/>
    <hyperlink ref="C69" r:id="rId96" display="thiago.morais@suez.com "/>
    <hyperlink ref="F69" r:id="rId97" display="carlos.santos@suez.com"/>
    <hyperlink ref="C70" r:id="rId98" display="thiago.morais@suez.com "/>
    <hyperlink ref="F70" r:id="rId99" display="carlos.santos@suez.com"/>
    <hyperlink ref="C71" r:id="rId100" display="jobson-rodrigo.silva@suez.com"/>
    <hyperlink ref="F71" r:id="rId101" display="rodrigo.silva@suez.com"/>
    <hyperlink ref="C72" r:id="rId102" display="jackson.gomes@suez.com"/>
    <hyperlink ref="F72" r:id="rId103" display="rodrigo.silva@suez.com"/>
    <hyperlink ref="C73" r:id="rId104" display="jackson.gomes@suez.com"/>
    <hyperlink ref="F73" r:id="rId105" display="rodrigo.silva@suez.com"/>
    <hyperlink ref="C74" r:id="rId106" display="jackson.gomes@suez.com"/>
    <hyperlink ref="F74" r:id="rId107" display="rodrigo.silva@suez.com"/>
    <hyperlink ref="C75" r:id="rId108" display="william.leiteromano@suez.com"/>
    <hyperlink ref="F75" r:id="rId109" display="william.leiteromano@suez.com"/>
    <hyperlink ref="C76" r:id="rId110" display="william.leiteromano@suez.com"/>
    <hyperlink ref="F76" r:id="rId111" display="william.leiteromano@suez.com"/>
    <hyperlink ref="C77" r:id="rId112" display="william.leiteromano@suez.com"/>
    <hyperlink ref="F77" r:id="rId113" display="william.leiteromano@suez.com"/>
    <hyperlink ref="C78" r:id="rId114" display="matheus.ferreira@suez.com"/>
    <hyperlink ref="F78" r:id="rId115" display="carlos.santos@suez.com"/>
    <hyperlink ref="C79" r:id="rId116" display="matheus.ferreira@suez.com"/>
    <hyperlink ref="F79" r:id="rId117" display="carlos.santos@suez.com"/>
    <hyperlink ref="F80" r:id="rId118" display="rodrigo.silva@suez.com"/>
    <hyperlink ref="C81" r:id="rId119" display="gabriel.lourenco@suez.com"/>
    <hyperlink ref="F81" r:id="rId120" display="rodrigo.silva@suez.com"/>
    <hyperlink ref="F82" r:id="rId121" display="rodrigo.silva@suez.com"/>
    <hyperlink ref="F83" r:id="rId122" display="rodrigo.silva@suez.com"/>
    <hyperlink ref="C84" r:id="rId123" display="gabriel.lourenco@suez.com"/>
    <hyperlink ref="F84" r:id="rId124" display="rodrigo.silva@suez.com"/>
    <hyperlink ref="C85" r:id="rId125" display="gabriel.lourenco@suez.com"/>
    <hyperlink ref="F85" r:id="rId126" display="rodrigo.silva@suez.com"/>
    <hyperlink ref="F86" r:id="rId127" display="rodrigo.silva@suez.com"/>
    <hyperlink ref="F87" r:id="rId128" display="rodrigo.silva@suez.com"/>
    <hyperlink ref="C88" r:id="rId129" display="jose.nascimento@suez.com"/>
    <hyperlink ref="F88" r:id="rId130" display="rodrigo.silva@suez.com"/>
    <hyperlink ref="F89" r:id="rId131" display="rodrigo.silva@suez.com"/>
    <hyperlink ref="C90" r:id="rId132" display="jose.nascimento@suez.com"/>
    <hyperlink ref="F90" r:id="rId133" display="rodrigo.silva@suez.com"/>
    <hyperlink ref="C91" r:id="rId134" display="jose.nascimento@suez.com"/>
    <hyperlink ref="F91" r:id="rId135" display="rodrigo.silva@suez.com"/>
    <hyperlink ref="F92" r:id="rId136" display="rodrigo.silva@suez.com"/>
    <hyperlink ref="F93" r:id="rId137" display="rodrigo.silva@suez.com"/>
    <hyperlink ref="C94" r:id="rId138" display="felipe.viegas@suez.com"/>
    <hyperlink ref="F94" r:id="rId139" display="felipe.viegas@suez.com"/>
    <hyperlink ref="C95" r:id="rId140" display="felipe.viegas@suez.com"/>
    <hyperlink ref="F95" r:id="rId141" display="felipe.viegas@suez.com"/>
    <hyperlink ref="C96" r:id="rId142" display="thiago.tomazelli@suez.com"/>
    <hyperlink ref="F96" r:id="rId143" display="felipe.viegas@suez.com"/>
    <hyperlink ref="C97" r:id="rId144" display="felipe.viegas@suez.com"/>
    <hyperlink ref="F97" r:id="rId145" display="felipe.viegas@suez.com"/>
    <hyperlink ref="C98" r:id="rId146" display="luiz.herculani@suez.com"/>
    <hyperlink ref="C99" r:id="rId147" display="luiz.herculani@suez.com"/>
    <hyperlink ref="C100" r:id="rId148" display="luiz.herculani@suez.com"/>
    <hyperlink ref="C101" r:id="rId149" display="luiz.herculani@suez.com"/>
    <hyperlink ref="C102" r:id="rId150" display="marcelo.bovolenta@suez.com"/>
    <hyperlink ref="F102" r:id="rId151" display="rafael.nascimento@suez.com"/>
    <hyperlink ref="C106" r:id="rId152" display="anderson.oliveira@suez.com"/>
    <hyperlink ref="F106" r:id="rId153" display="adriano.ribeiro@suez.com"/>
    <hyperlink ref="C107" r:id="rId154" display="anderson.oliveira@suez.com"/>
    <hyperlink ref="F107" r:id="rId155" display="adriano.ribeiro@suez.com"/>
    <hyperlink ref="C108" r:id="rId156" display="anderson.oliveira@suez.com"/>
    <hyperlink ref="F108" r:id="rId157" display="adriano.ribeiro@suez.com"/>
    <hyperlink ref="C109" r:id="rId158" display="anderson.oliveira@suez.com"/>
    <hyperlink ref="F109" r:id="rId159" display="adriano.ribeiro@suez.com"/>
    <hyperlink ref="C110" r:id="rId160" display="anderson.oliveira@suez.com"/>
    <hyperlink ref="F110" r:id="rId161" display="adriano.ribeiro@suez.com"/>
    <hyperlink ref="C111" r:id="rId162" display="anderson.oliveira@suez.com"/>
    <hyperlink ref="F111" r:id="rId163" display="adriano.ribeiro@suez.com"/>
    <hyperlink ref="C112" r:id="rId164" display="joseane.macena@suez.com"/>
    <hyperlink ref="C113" r:id="rId165" display="joseane.macena@suez.com"/>
    <hyperlink ref="C114" r:id="rId166" display="severino.silva@suez.com"/>
    <hyperlink ref="C115" r:id="rId167" display="severino.silva@suez.com"/>
    <hyperlink ref="C116" r:id="rId168" display="severino.silva@suez.com"/>
    <hyperlink ref="C120" r:id="rId169" display="jardiel.oliveira@suez.com"/>
    <hyperlink ref="C121" r:id="rId170" display="jardiel.oliveira@suez.com"/>
    <hyperlink ref="F121" r:id="rId171" display="marcelo.soto@suez.com"/>
    <hyperlink ref="C122" r:id="rId172" display="jardiel.oliveira@suez.com"/>
    <hyperlink ref="C123" r:id="rId173" display="jardiel.oliveira@suez.com"/>
    <hyperlink ref="C124" r:id="rId174" display="rafael.nascimento@suez.com"/>
    <hyperlink ref="F124" r:id="rId175" display="rafael.nascimento@suez.com"/>
    <hyperlink ref="C125" r:id="rId176" display="rafael.nascimento@suez.com"/>
    <hyperlink ref="F125" r:id="rId177" display="rafael.nascimento@suez.com"/>
    <hyperlink ref="C126" r:id="rId178" display="rafael.nascimento@suez.com"/>
    <hyperlink ref="F126" r:id="rId179" display="rafael.nascimento@suez.com"/>
    <hyperlink ref="C127" r:id="rId180" display="rafael.nascimento@suez.com"/>
    <hyperlink ref="F127" r:id="rId181" display="rafael.nascimento@suez.com"/>
    <hyperlink ref="C128" r:id="rId182" display="rafael.nascimento@suez.com"/>
    <hyperlink ref="F128" r:id="rId183" display="rafael.nascimento@suez.com"/>
    <hyperlink ref="C129" r:id="rId184" display="rafael.nascimento@suez.com"/>
    <hyperlink ref="F129" r:id="rId185" display="rafael.nascimento@suez.com"/>
    <hyperlink ref="C130" r:id="rId186" display="rafael.nascimento@suez.com"/>
    <hyperlink ref="F130" r:id="rId187" display="rafael.nascimento@suez.com"/>
    <hyperlink ref="C131" r:id="rId188" display="rafael.nascimento@suez.com"/>
    <hyperlink ref="F131" r:id="rId189" display="rafael.nascimento@suez.com"/>
    <hyperlink ref="C132" r:id="rId190" display="rafael.nascimento@suez.com"/>
    <hyperlink ref="F132" r:id="rId191" display="rafael.nascimento@suez.com"/>
    <hyperlink ref="C133" r:id="rId192" display="rafael.nascimento@suez.com"/>
    <hyperlink ref="F133" r:id="rId193" display="rafael.nascimento@suez.com"/>
    <hyperlink ref="C134" r:id="rId194" display="rafael.nascimento@suez.com"/>
    <hyperlink ref="F134" r:id="rId195" display="rafael.nascimento@suez.com"/>
    <hyperlink ref="C135" r:id="rId196" display="rafael.pedroso@suez.com"/>
    <hyperlink ref="F135" r:id="rId197" display="leandro.zunkowski@suez.com"/>
    <hyperlink ref="C136" r:id="rId198" display="rafael.pedroso@suez.com"/>
    <hyperlink ref="F136" r:id="rId199" display="leandro.zunkowski@suez.com"/>
    <hyperlink ref="C137" r:id="rId200" display="rafael.pedroso@suez.com"/>
    <hyperlink ref="F137" r:id="rId201" display="leandro.zunkowski@suez.com"/>
    <hyperlink ref="C138" r:id="rId202" display="rafael.pedroso@suez.com"/>
    <hyperlink ref="F138" r:id="rId203" display="leandro.zunkowski@suez.com"/>
    <hyperlink ref="C139" r:id="rId204" display="jobson-rodrigo.silva@suez.com"/>
    <hyperlink ref="F139" r:id="rId205" display="ronaldo.melo@suez.com"/>
    <hyperlink ref="C140" r:id="rId206" display="jobson-rodrigo.silva@suez.com"/>
    <hyperlink ref="F140" r:id="rId207" display="ronaldo.melo@suez.com"/>
    <hyperlink ref="C141" r:id="rId208" display="jobson-rodrigo.silva@suez.com"/>
    <hyperlink ref="F141" r:id="rId209" display="ronaldo.melo@suez.com"/>
    <hyperlink ref="C142" r:id="rId210" display="jobson-rodrigo.silva@suez.com"/>
    <hyperlink ref="F142" r:id="rId211" display="ronaldo.melo@suez.com"/>
    <hyperlink ref="C143" r:id="rId212" display="jobson-rodrigo.silva@suez.com"/>
    <hyperlink ref="F143" r:id="rId213" display="ronaldo.melo@suez.com"/>
    <hyperlink ref="C144" r:id="rId214" display="jobson-rodrigo.silva@suez.com"/>
    <hyperlink ref="F144" r:id="rId215" display="ronaldo.melo@suez.com"/>
    <hyperlink ref="C145" r:id="rId216" display="leonardo.goncalves@suez.com"/>
    <hyperlink ref="F145" r:id="rId217" display="leonardo.goncalves@suez.com"/>
    <hyperlink ref="C146" r:id="rId218" display="leonardo.goncalves@suez.com"/>
    <hyperlink ref="F146" r:id="rId219" display="leonardo.goncalves@suez.com"/>
    <hyperlink ref="C147" r:id="rId220" display="leonardo.goncalves@suez.com"/>
    <hyperlink ref="F147" r:id="rId221" display="leonardo.goncalves@suez.com"/>
    <hyperlink ref="C148" r:id="rId222" display="leonardo.goncalves@suez.com"/>
    <hyperlink ref="F148" r:id="rId223" display="leonardo.goncalves@suez.com"/>
    <hyperlink ref="C149" r:id="rId224" display="leonardo.goncalves@suez.com"/>
    <hyperlink ref="F149" r:id="rId225" display="leonardo.goncalves@suez.com"/>
    <hyperlink ref="C150" r:id="rId226" display="leonardo.goncalves@suez.com"/>
    <hyperlink ref="F150" r:id="rId227" display="leonardo.goncalves@suez.com"/>
    <hyperlink ref="C151" r:id="rId228" display="eduardo.mello@suez.com"/>
    <hyperlink ref="C152" r:id="rId229" display="eduardo.mello@suez.com"/>
    <hyperlink ref="C153" r:id="rId230" display="eduardo.mello@suez.com"/>
    <hyperlink ref="C154" r:id="rId231" display="eduardo.mello@suez.com"/>
    <hyperlink ref="C155" r:id="rId232" display="eduardo.mello@suez.com"/>
    <hyperlink ref="C156" r:id="rId233" display="eduardo.mello@suez.com"/>
    <hyperlink ref="C157" r:id="rId234" display="eduardo.mello@suez.com"/>
    <hyperlink ref="C158" r:id="rId235" display="eduardo.mello@suez.com"/>
    <hyperlink ref="C159" r:id="rId236" display="eduardo.mello@suez.com"/>
    <hyperlink ref="F159" r:id="rId237" display="ronaldo.melo@suez.com"/>
    <hyperlink ref="C160" r:id="rId238" display="eduardo.mello@suez.com"/>
    <hyperlink ref="F160" r:id="rId239" display="ronaldo.melo@suez.com"/>
    <hyperlink ref="C161" r:id="rId240" display="eduardo.mello@suez.com"/>
    <hyperlink ref="F161" r:id="rId241" display="ronaldo.melo@suez.com"/>
    <hyperlink ref="C162" r:id="rId242" display="fabiano.argolo@suez.com"/>
    <hyperlink ref="F162" r:id="rId243" display="miguel.frug@suez.com"/>
    <hyperlink ref="C163" r:id="rId244" display="luis-guillermo.freites@suez.com"/>
    <hyperlink ref="F163" r:id="rId245" display="luis-guillermo.freites@suez.com"/>
    <hyperlink ref="C164" r:id="rId246" display="luis-guillermo.freites@suez.com"/>
    <hyperlink ref="F164" r:id="rId247" display="luis-guillermo.freites@suez.com"/>
    <hyperlink ref="C165" r:id="rId248" display="thais.nunes@suez.com"/>
    <hyperlink ref="F165" r:id="rId249" display="paulo.corsete@suez.com"/>
    <hyperlink ref="F166" r:id="rId250" display="paulo.corsete@suez.com"/>
    <hyperlink ref="F167" r:id="rId251" display="paulo.corsete@suez.com"/>
    <hyperlink ref="F168" r:id="rId252" display="paulo.corsete@suez.com"/>
    <hyperlink ref="F169" r:id="rId253" display="paulo.corsete@suez.com"/>
    <hyperlink ref="C170" r:id="rId254" display="fernanda.kaiser@suez.com"/>
    <hyperlink ref="C180" r:id="rId255" display="fernanda.kaiser@suez.com"/>
    <hyperlink ref="C182" r:id="rId256" display="fernanda.kaiser@suez.com"/>
    <hyperlink ref="C183" r:id="rId257" display="fernanda.kaiser@suez.com"/>
    <hyperlink ref="C184" r:id="rId258" display="fernanda.kaiser@suez.com"/>
    <hyperlink ref="C185" r:id="rId259" display="fernanda.kaiser@suez.com"/>
    <hyperlink ref="C186" r:id="rId260" display="fernanda.kaiser@suez.com"/>
    <hyperlink ref="C187" r:id="rId261" display="fernanda.kaiser@suez.com"/>
    <hyperlink ref="C188" r:id="rId262" display="deivid.elias@suez.com"/>
    <hyperlink ref="F188" r:id="rId263" display="karla.perin@suez.com"/>
    <hyperlink ref="F189" r:id="rId264" display="karla.perin@suez.com"/>
    <hyperlink ref="F190" r:id="rId265" display="karla.perin@suez.com"/>
    <hyperlink ref="C191" r:id="rId266" display="deivid.elias@suez.com"/>
    <hyperlink ref="F191" r:id="rId267" display="karla.perin@suez.com"/>
    <hyperlink ref="C192" r:id="rId268" display="deivid.elias@suez.com"/>
    <hyperlink ref="F192" r:id="rId269" display="karla.perin@suez.com"/>
    <hyperlink ref="C193" r:id="rId270" display="deivid.elias@suez.com"/>
    <hyperlink ref="F193" r:id="rId271" display="karla.perin@suez.com"/>
    <hyperlink ref="C194" r:id="rId272" display="matheus.bahr@suez.com"/>
    <hyperlink ref="C195" r:id="rId273" display="matheus.bahr@suez.com"/>
    <hyperlink ref="C196" r:id="rId274" display="matheus.bahr@suez.com"/>
    <hyperlink ref="F196" r:id="rId275" display="rafael.nascimento@suez.com"/>
    <hyperlink ref="F197" r:id="rId276" display="rafael.nascimento@suez.com"/>
    <hyperlink ref="F198" r:id="rId277" display="rafael.nascimento@suez.com"/>
    <hyperlink ref="F199" r:id="rId278" display="rafael.nascimento@suez.com"/>
    <hyperlink ref="C200" r:id="rId279" display="matheus.bahr@suez.com"/>
    <hyperlink ref="F200" r:id="rId280" display="rafael.nascimento@suez.com"/>
    <hyperlink ref="C201" r:id="rId281" display="thiago.ferreiradasilva@suez.com"/>
    <hyperlink ref="F201" r:id="rId282" display="davi.santos@suez.com"/>
    <hyperlink ref="C202" r:id="rId283" display="thiago.ferreiradasilva@suez.com"/>
    <hyperlink ref="F202" r:id="rId284" display="davi.santos@suez.com"/>
    <hyperlink ref="C203" r:id="rId285" display="eduardo.zotto@suez.com"/>
    <hyperlink ref="F203" r:id="rId286" display="rafael.pietro@suez.com"/>
    <hyperlink ref="F204" r:id="rId287" display="vinicius.paula@suez.com"/>
    <hyperlink ref="F205" r:id="rId288" display="vinicius.paula@suez.com"/>
    <hyperlink ref="C206" r:id="rId289" display="rafaela.gomes@suez.com"/>
    <hyperlink ref="F206" r:id="rId290" display="vinicius.paula@suez.com"/>
    <hyperlink ref="F207" r:id="rId291" display="vinicius.paula@suez.com"/>
    <hyperlink ref="C208" r:id="rId292" display="sonia.jesus@suez.com"/>
    <hyperlink ref="F208" r:id="rId293" display="sonia.jesus@suez.com"/>
    <hyperlink ref="F211" r:id="rId294" display="sonia.jesus@suez.com"/>
    <hyperlink ref="C212" r:id="rId295" display="natalia.correa@suez.com"/>
    <hyperlink ref="F212" r:id="rId296" display="rafael.campos@suez.com"/>
    <hyperlink ref="C213" r:id="rId297" display="natalia.correa@suez.com"/>
    <hyperlink ref="F213" r:id="rId298" display="rafael.campos@suez.com"/>
    <hyperlink ref="F214" r:id="rId299" display="sonia.jesus@suez.com"/>
    <hyperlink ref="C215" r:id="rId300" display="flaminio.neto@suez.com"/>
    <hyperlink ref="F215" r:id="rId301" display="rafael.campos@suez.com"/>
    <hyperlink ref="C216" r:id="rId302" display="flaminio.neto@suez.com"/>
    <hyperlink ref="C217" r:id="rId303" display="flaminio.neto@suez.com"/>
    <hyperlink ref="F217" r:id="rId304" display="rafael.campos@suez.com"/>
    <hyperlink ref="C218" r:id="rId305" display="flaminio.neto@suez.com"/>
    <hyperlink ref="F218" r:id="rId306" display="rafael.campos@suez.com"/>
    <hyperlink ref="C219" r:id="rId307" display="natalia.correa@suez.com"/>
    <hyperlink ref="F219" r:id="rId308" display="rafael.campos@suez.com"/>
    <hyperlink ref="C221" r:id="rId309" display="raul.oliveira@suez.com"/>
    <hyperlink ref="C222" r:id="rId310" display="raul.oliveira@suez.com"/>
    <hyperlink ref="F223" r:id="rId311" display="rafael.campos@suez.com"/>
    <hyperlink ref="F224" r:id="rId312" display="rafael.campos@suez.com"/>
    <hyperlink ref="C225" r:id="rId313" display="braulio.herrera@suez.com"/>
    <hyperlink ref="F225" r:id="rId314" display="braulio.herrera@suez.com"/>
    <hyperlink ref="F226" r:id="rId315" display="rafael.campos@suez.com"/>
    <hyperlink ref="F227" r:id="rId316" display="rafael.campos@suez.com"/>
    <hyperlink ref="C228" r:id="rId317" display="braulio.herrera@suez.com"/>
    <hyperlink ref="F228" r:id="rId318" display="braulio.herrera@suez.com"/>
    <hyperlink ref="F229" r:id="rId319" display="rafael.campos@suez.com"/>
    <hyperlink ref="C230" r:id="rId320" display="braulio.herrera@suez.com"/>
    <hyperlink ref="F230" r:id="rId321" display="braulio.herrera@suez.com"/>
    <hyperlink ref="C231" r:id="rId322" display="rafael.campos@suez.com"/>
    <hyperlink ref="F231" r:id="rId323" display="rafael.campos@suez.com"/>
    <hyperlink ref="C232" r:id="rId324" display="leonardo.goncalves@suez.com"/>
    <hyperlink ref="C233" r:id="rId325" display="leonardo.goncalves@suez.com"/>
    <hyperlink ref="C235" r:id="rId326" display="leonardo.goncalves@suez.com"/>
    <hyperlink ref="C236" r:id="rId327" display="leonardo.goncalves@suez.com"/>
    <hyperlink ref="C237" r:id="rId328" display="leonardo.goncalves@suez.com"/>
    <hyperlink ref="C238" r:id="rId329" display="leonardo.goncalves@suez.com"/>
    <hyperlink ref="C239" r:id="rId330" display="leonardo.goncalves@suez.com"/>
    <hyperlink ref="F239" r:id="rId331" display="leonardo.goncalves@suez.com"/>
    <hyperlink ref="C240" r:id="rId332" display="leonardo.goncalves@suez.com"/>
    <hyperlink ref="F240" r:id="rId333" display="leonardo.goncalves@suez.com"/>
    <hyperlink ref="C241" r:id="rId334" display="leonardo.goncalves@suez.com"/>
    <hyperlink ref="C242" r:id="rId335" display="leonardo.goncalves@suez.com"/>
    <hyperlink ref="C243" r:id="rId336" display="leonardo.goncalves@suez.com"/>
    <hyperlink ref="C244" r:id="rId337" display="leonardo.goncalves@suez.com"/>
    <hyperlink ref="C245" r:id="rId338" display="leonardo.goncalves@suez.com"/>
    <hyperlink ref="C246" r:id="rId339" display="rubens.giglioli@suez.com"/>
    <hyperlink ref="C247" r:id="rId340" display="thiago.garcia@suez.com"/>
    <hyperlink ref="C248" r:id="rId341" display="thiago.garcia@suez.com"/>
    <hyperlink ref="C249" r:id="rId342" display="thiago.garcia@suez.com"/>
    <hyperlink ref="F249" r:id="rId343" display="renato.chialastri@suez.com"/>
    <hyperlink ref="C250" r:id="rId344" display="rodrigo.amaro@suez.com"/>
    <hyperlink ref="F250" r:id="rId345" display="renato.chialastri@suez.com"/>
    <hyperlink ref="C251" r:id="rId346" display="rodrigo.amaro@suez.com"/>
    <hyperlink ref="F251" r:id="rId347" display="renato.chialastri@suez.com"/>
    <hyperlink ref="C252" r:id="rId348" display="rodrigo.amaro@suez.com"/>
    <hyperlink ref="F252" r:id="rId349" display="renato.chialastri@suez.com"/>
    <hyperlink ref="C253" r:id="rId350" display="rodrigo.amaro@suez.com"/>
    <hyperlink ref="F253" r:id="rId351" display="renato.chialastri@suez.com"/>
    <hyperlink ref="C254" r:id="rId352" display="ulisses.sibia@suez.com"/>
    <hyperlink ref="F254" r:id="rId353" display="renato.chialastri@suez.com"/>
    <hyperlink ref="C255" r:id="rId354" display="ulisses.sibia@suez.com"/>
    <hyperlink ref="F256" r:id="rId355" display="renato.chialastri@suez.com"/>
    <hyperlink ref="C258" r:id="rId356" display="ulisses.sibia@suez.com"/>
    <hyperlink ref="C260" r:id="rId357" display="everton.delturqui@suez.com"/>
    <hyperlink ref="C261" r:id="rId358" display="everton.delturqui@suez.com"/>
    <hyperlink ref="C262" r:id="rId359" display="everton.delturqui@suez.com"/>
    <hyperlink ref="C263" r:id="rId360" display="everton.delturqui@suez.com"/>
    <hyperlink ref="F263" r:id="rId361" display="rodrigo.amaro@suez.com"/>
    <hyperlink ref="C264" r:id="rId362" display="everton.delturqui@suez.com"/>
    <hyperlink ref="C265" r:id="rId363" display="lucas.munhoz@suez.com"/>
    <hyperlink ref="F265" r:id="rId364" display="amadeu.peixoto@suez.com"/>
    <hyperlink ref="C266" r:id="rId365" display="lucas.munhoz@suez.com"/>
    <hyperlink ref="F266" r:id="rId366" display="amadeu.peixoto@suez.com"/>
    <hyperlink ref="C267" r:id="rId367" display="lucas.munhoz@suez.com"/>
    <hyperlink ref="F267" r:id="rId368" display="amadeu.peixoto@suez.com"/>
    <hyperlink ref="C268" r:id="rId369" display="lucas.munhoz@suez.com"/>
    <hyperlink ref="F268" r:id="rId370" display="amadeu.peixoto@suez.com"/>
    <hyperlink ref="C269" r:id="rId371" display="amadeu.peixoto@suez.com"/>
    <hyperlink ref="F269" r:id="rId372" display="amadeu.peixoto@suez.com"/>
    <hyperlink ref="C270" r:id="rId373" display="bianca.dossantos@suez.com"/>
    <hyperlink ref="F270" r:id="rId374" display="felipe.rokicki@suez.com"/>
    <hyperlink ref="C271" r:id="rId375" display="fabio.morais@suez.com"/>
    <hyperlink ref="F271" r:id="rId376" display="felipe.rokicki@suez.com"/>
    <hyperlink ref="C272" r:id="rId377" display="fabio.morais@suez.com"/>
    <hyperlink ref="F272" r:id="rId378" display="felipe.rokicki@suez.com"/>
    <hyperlink ref="C273" r:id="rId379" display="fabio.morais@suez.com"/>
    <hyperlink ref="F273" r:id="rId380" display="felipe.rokicki@suez.com"/>
    <hyperlink ref="C274" r:id="rId381" display="fabio.morais@suez.com"/>
    <hyperlink ref="F274" r:id="rId382" display="felipe.rokicki@suez.com"/>
    <hyperlink ref="C275" r:id="rId383" display="fabio.morais@suez.com"/>
    <hyperlink ref="F275" r:id="rId384" display="felipe.rokicki@suez.com"/>
    <hyperlink ref="C276" r:id="rId385" display="fabio.morais@suez.com"/>
    <hyperlink ref="F276" r:id="rId386" display="felipe.rokicki@suez.com"/>
    <hyperlink ref="C277" r:id="rId387" display="amanda.mendes@suez.com"/>
    <hyperlink ref="F277" r:id="rId388" display="rony.funes@suez.com"/>
    <hyperlink ref="C278" r:id="rId389" display="thiago.ferreiradasilva@suez.com"/>
    <hyperlink ref="C279" r:id="rId390" display="thiago.ferreiradasilva@suez.com"/>
    <hyperlink ref="C280" r:id="rId391" display="thiago.ferreiradasilva@suez.com"/>
    <hyperlink ref="C281" r:id="rId392" display="romildo.goncalves@suez.com"/>
    <hyperlink ref="F281" r:id="rId393" display="amadeu.peixoto@suez.com"/>
    <hyperlink ref="C282" r:id="rId394" display="lucas.munhoz@suez.com"/>
    <hyperlink ref="F282" r:id="rId395" display="amadeu.peixoto@suez.com"/>
    <hyperlink ref="C283" r:id="rId396" display="clovis.oliveira@suez.com"/>
    <hyperlink ref="F283" r:id="rId397" display="davi.santos@suez.com"/>
    <hyperlink ref="C284" r:id="rId398" display="davi.santos@suez.com"/>
    <hyperlink ref="F284" r:id="rId399" display="davi.santos@suez.com"/>
    <hyperlink ref="C287" r:id="rId400" display="clovis.oliveira@suez.com"/>
    <hyperlink ref="C289" r:id="rId401" display="clovis.oliveira@suez.com"/>
    <hyperlink ref="C290" r:id="rId402" display="clovis.oliveira@suez.com"/>
    <hyperlink ref="F290" r:id="rId403" display="davi.santos@suez.com"/>
    <hyperlink ref="C291" r:id="rId404" display="giovana.tardelli@suez.com"/>
    <hyperlink ref="F291" r:id="rId405" display="ana.oliveira@suez.com"/>
    <hyperlink ref="F292" r:id="rId406" display="ana.oliveira@suez.com"/>
    <hyperlink ref="C293" r:id="rId407" display="giovana.tardelli@suez.com"/>
    <hyperlink ref="F293" r:id="rId408" display="ana.oliveira@suez.com"/>
    <hyperlink ref="C305" r:id="rId409" display="humberto.junior@suez.com"/>
    <hyperlink ref="F305" r:id="rId410" display="gustavo.pereira@suez.com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41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2"/>
  <sheetViews>
    <sheetView showFormulas="false" showGridLines="true" showRowColHeaders="true" showZeros="true" rightToLeft="false" tabSelected="false" showOutlineSymbols="true" defaultGridColor="true" view="normal" topLeftCell="I1" colorId="64" zoomScale="90" zoomScaleNormal="90" zoomScalePageLayoutView="100" workbookViewId="0">
      <selection pane="topLeft" activeCell="M11" activeCellId="0" sqref="M11"/>
    </sheetView>
  </sheetViews>
  <sheetFormatPr defaultColWidth="8.5390625" defaultRowHeight="15" zeroHeight="false" outlineLevelRow="0" outlineLevelCol="0"/>
  <cols>
    <col collapsed="false" customWidth="true" hidden="false" outlineLevel="0" max="1" min="1" style="102" width="8"/>
    <col collapsed="false" customWidth="true" hidden="false" outlineLevel="0" max="2" min="2" style="102" width="19"/>
    <col collapsed="false" customWidth="true" hidden="false" outlineLevel="0" max="3" min="3" style="102" width="29"/>
    <col collapsed="false" customWidth="true" hidden="false" outlineLevel="0" max="4" min="4" style="102" width="15.14"/>
    <col collapsed="false" customWidth="true" hidden="false" outlineLevel="0" max="5" min="5" style="102" width="19"/>
    <col collapsed="false" customWidth="true" hidden="false" outlineLevel="0" max="6" min="6" style="102" width="29"/>
    <col collapsed="false" customWidth="true" hidden="false" outlineLevel="0" max="7" min="7" style="102" width="11.57"/>
    <col collapsed="false" customWidth="true" hidden="false" outlineLevel="0" max="8" min="8" style="102" width="8"/>
    <col collapsed="false" customWidth="true" hidden="false" outlineLevel="0" max="9" min="9" style="102" width="12.14"/>
    <col collapsed="false" customWidth="true" hidden="false" outlineLevel="0" max="10" min="10" style="103" width="9.71"/>
    <col collapsed="false" customWidth="true" hidden="false" outlineLevel="0" max="11" min="11" style="102" width="10.28"/>
    <col collapsed="false" customWidth="true" hidden="false" outlineLevel="0" max="12" min="12" style="102" width="25.85"/>
    <col collapsed="false" customWidth="true" hidden="false" outlineLevel="0" max="13" min="13" style="48" width="18.43"/>
    <col collapsed="false" customWidth="true" hidden="false" outlineLevel="0" max="14" min="14" style="102" width="21.85"/>
    <col collapsed="false" customWidth="true" hidden="true" outlineLevel="0" max="15" min="15" style="1" width="10.14"/>
    <col collapsed="false" customWidth="true" hidden="false" outlineLevel="0" max="16" min="16" style="1" width="13.14"/>
    <col collapsed="false" customWidth="false" hidden="false" outlineLevel="0" max="17" min="17" style="1" width="8.53"/>
    <col collapsed="false" customWidth="true" hidden="false" outlineLevel="0" max="18" min="18" style="1" width="13.14"/>
    <col collapsed="false" customWidth="true" hidden="false" outlineLevel="0" max="20" min="19" style="1" width="18.57"/>
    <col collapsed="false" customWidth="true" hidden="false" outlineLevel="0" max="21" min="21" style="1" width="13"/>
    <col collapsed="false" customWidth="true" hidden="true" outlineLevel="0" max="22" min="22" style="1" width="12.85"/>
    <col collapsed="false" customWidth="true" hidden="true" outlineLevel="0" max="25" min="23" style="0" width="9.14"/>
  </cols>
  <sheetData>
    <row r="1" customFormat="false" ht="25.5" hidden="false" customHeight="false" outlineLevel="0" collapsed="false">
      <c r="A1" s="104" t="s">
        <v>46</v>
      </c>
      <c r="B1" s="104" t="s">
        <v>47</v>
      </c>
      <c r="C1" s="104" t="s">
        <v>48</v>
      </c>
      <c r="D1" s="104" t="s">
        <v>49</v>
      </c>
      <c r="E1" s="104" t="s">
        <v>50</v>
      </c>
      <c r="F1" s="104" t="s">
        <v>51</v>
      </c>
      <c r="G1" s="104" t="s">
        <v>52</v>
      </c>
      <c r="H1" s="105" t="s">
        <v>53</v>
      </c>
      <c r="I1" s="104" t="s">
        <v>54</v>
      </c>
      <c r="J1" s="106" t="s">
        <v>55</v>
      </c>
      <c r="K1" s="104" t="s">
        <v>56</v>
      </c>
      <c r="L1" s="104" t="s">
        <v>57</v>
      </c>
      <c r="M1" s="105" t="s">
        <v>58</v>
      </c>
      <c r="N1" s="105" t="s">
        <v>59</v>
      </c>
      <c r="O1" s="108" t="s">
        <v>60</v>
      </c>
      <c r="P1" s="108" t="s">
        <v>61</v>
      </c>
      <c r="Q1" s="108" t="s">
        <v>62</v>
      </c>
      <c r="R1" s="105" t="s">
        <v>63</v>
      </c>
      <c r="S1" s="105" t="s">
        <v>64</v>
      </c>
      <c r="T1" s="105" t="s">
        <v>65</v>
      </c>
      <c r="U1" s="105" t="s">
        <v>66</v>
      </c>
      <c r="V1" s="105" t="s">
        <v>66</v>
      </c>
      <c r="W1" s="105" t="s">
        <v>32</v>
      </c>
      <c r="X1" s="105"/>
      <c r="Y1" s="105"/>
    </row>
    <row r="2" customFormat="false" ht="15" hidden="false" customHeight="false" outlineLevel="0" collapsed="false">
      <c r="A2" s="102" t="s">
        <v>67</v>
      </c>
      <c r="B2" s="102" t="s">
        <v>352</v>
      </c>
      <c r="C2" s="109" t="s">
        <v>353</v>
      </c>
      <c r="D2" s="102" t="s">
        <v>744</v>
      </c>
      <c r="E2" s="102" t="s">
        <v>339</v>
      </c>
      <c r="F2" s="109" t="s">
        <v>340</v>
      </c>
      <c r="G2" s="102" t="s">
        <v>346</v>
      </c>
      <c r="H2" s="102" t="s">
        <v>355</v>
      </c>
      <c r="I2" s="102" t="s">
        <v>745</v>
      </c>
      <c r="J2" s="110" t="s">
        <v>746</v>
      </c>
      <c r="K2" s="102" t="s">
        <v>140</v>
      </c>
      <c r="L2" s="102" t="s">
        <v>747</v>
      </c>
      <c r="M2" s="48" t="s">
        <v>357</v>
      </c>
      <c r="N2" s="102" t="s">
        <v>358</v>
      </c>
      <c r="O2" s="112" t="n">
        <v>44398</v>
      </c>
      <c r="P2" s="111" t="n">
        <f aca="false">IFERROR(VLOOKUP(J2,'Obs Tecnicas'!$D:$I,5,0),O2)</f>
        <v>44398</v>
      </c>
      <c r="Q2" s="111" t="str">
        <f aca="true">IF(P2&lt;&gt;"",IF(P2+365&gt;TODAY(),"Calibrado","Vencido"),"")</f>
        <v>Calibrado</v>
      </c>
      <c r="R2" s="102" t="n">
        <f aca="false">IFERROR(VLOOKUP(J2,'Obs Tecnicas'!$D:$G,2,0),"")</f>
        <v>13221</v>
      </c>
      <c r="S2" s="102" t="str">
        <f aca="false">IFERROR(VLOOKUP(J2,'Obs Tecnicas'!$D:$G,3,0),"Hexis")</f>
        <v>ER ANALITICA</v>
      </c>
      <c r="T2" s="143" t="n">
        <f aca="false">IFERROR(VLOOKUP(J2,'Obs Tecnicas'!$D:$G,4,0),"")</f>
        <v>0</v>
      </c>
      <c r="U2" s="1" t="s">
        <v>27</v>
      </c>
      <c r="V2" s="1" t="n">
        <f aca="false">IF(P2&lt;&gt;"",MONTH(P2),"")</f>
        <v>7</v>
      </c>
      <c r="W2" s="1" t="n">
        <v>9</v>
      </c>
      <c r="X2" s="1"/>
      <c r="Y2" s="1"/>
    </row>
    <row r="3" customFormat="false" ht="15" hidden="false" customHeight="false" outlineLevel="0" collapsed="false">
      <c r="A3" s="102" t="s">
        <v>67</v>
      </c>
      <c r="B3" s="102" t="s">
        <v>352</v>
      </c>
      <c r="C3" s="109" t="s">
        <v>353</v>
      </c>
      <c r="D3" s="102" t="s">
        <v>748</v>
      </c>
      <c r="E3" s="102" t="s">
        <v>339</v>
      </c>
      <c r="F3" s="109" t="s">
        <v>340</v>
      </c>
      <c r="G3" s="102" t="s">
        <v>346</v>
      </c>
      <c r="H3" s="102" t="s">
        <v>355</v>
      </c>
      <c r="I3" s="102" t="s">
        <v>745</v>
      </c>
      <c r="J3" s="110" t="s">
        <v>749</v>
      </c>
      <c r="K3" s="102" t="s">
        <v>140</v>
      </c>
      <c r="L3" s="102" t="s">
        <v>750</v>
      </c>
      <c r="M3" s="48" t="s">
        <v>357</v>
      </c>
      <c r="N3" s="102" t="s">
        <v>358</v>
      </c>
      <c r="O3" s="112" t="n">
        <v>44398</v>
      </c>
      <c r="P3" s="111" t="n">
        <f aca="false">IFERROR(VLOOKUP(J3,'Obs Tecnicas'!$D:$I,5,0),O3)</f>
        <v>44398</v>
      </c>
      <c r="Q3" s="111" t="str">
        <f aca="true">IF(P3&lt;&gt;"",IF(P3+365&gt;TODAY(),"Calibrado","Vencido"),"")</f>
        <v>Calibrado</v>
      </c>
      <c r="R3" s="102" t="n">
        <f aca="false">IFERROR(VLOOKUP(J3,'Obs Tecnicas'!$D:$G,2,0),"")</f>
        <v>13222</v>
      </c>
      <c r="S3" s="102" t="str">
        <f aca="false">IFERROR(VLOOKUP(J3,'Obs Tecnicas'!$D:$G,3,0),"Hexis")</f>
        <v>ER ANALITICA</v>
      </c>
      <c r="T3" s="143" t="n">
        <f aca="false">IFERROR(VLOOKUP(J3,'Obs Tecnicas'!$D:$G,4,0),"")</f>
        <v>0</v>
      </c>
      <c r="U3" s="1" t="s">
        <v>27</v>
      </c>
      <c r="V3" s="1" t="n">
        <f aca="false">IF(P3&lt;&gt;"",MONTH(P3),"")</f>
        <v>7</v>
      </c>
      <c r="W3" s="1" t="n">
        <v>7</v>
      </c>
      <c r="X3" s="1"/>
      <c r="Y3" s="1"/>
    </row>
    <row r="4" customFormat="false" ht="15" hidden="false" customHeight="false" outlineLevel="0" collapsed="false">
      <c r="A4" s="102" t="s">
        <v>67</v>
      </c>
      <c r="B4" s="102" t="s">
        <v>352</v>
      </c>
      <c r="C4" s="109" t="s">
        <v>353</v>
      </c>
      <c r="D4" s="102" t="s">
        <v>751</v>
      </c>
      <c r="E4" s="102" t="s">
        <v>339</v>
      </c>
      <c r="F4" s="109" t="s">
        <v>340</v>
      </c>
      <c r="G4" s="102" t="s">
        <v>346</v>
      </c>
      <c r="H4" s="102" t="s">
        <v>355</v>
      </c>
      <c r="I4" s="102" t="s">
        <v>752</v>
      </c>
      <c r="J4" s="110" t="s">
        <v>753</v>
      </c>
      <c r="K4" s="102" t="s">
        <v>140</v>
      </c>
      <c r="L4" s="102" t="s">
        <v>754</v>
      </c>
      <c r="M4" s="48" t="s">
        <v>357</v>
      </c>
      <c r="N4" s="102" t="s">
        <v>358</v>
      </c>
      <c r="O4" s="112" t="n">
        <v>44398</v>
      </c>
      <c r="P4" s="111" t="n">
        <f aca="false">IFERROR(VLOOKUP(J4,'Obs Tecnicas'!$D:$I,5,0),O4)</f>
        <v>44398</v>
      </c>
      <c r="Q4" s="111" t="str">
        <f aca="true">IF(P4&lt;&gt;"",IF(P4+365&gt;TODAY(),"Calibrado","Vencido"),"")</f>
        <v>Calibrado</v>
      </c>
      <c r="R4" s="102" t="n">
        <f aca="false">IFERROR(VLOOKUP(J4,'Obs Tecnicas'!$D:$G,2,0),"")</f>
        <v>13239</v>
      </c>
      <c r="S4" s="102" t="str">
        <f aca="false">IFERROR(VLOOKUP(J4,'Obs Tecnicas'!$D:$G,3,0),"Hexis")</f>
        <v>ER ANALITICA</v>
      </c>
      <c r="T4" s="143" t="n">
        <f aca="false">IFERROR(VLOOKUP(J4,'Obs Tecnicas'!$D:$G,4,0),"")</f>
        <v>0</v>
      </c>
      <c r="U4" s="1" t="s">
        <v>27</v>
      </c>
      <c r="V4" s="1" t="n">
        <f aca="false">IF(P4&lt;&gt;"",MONTH(P4),"")</f>
        <v>7</v>
      </c>
      <c r="W4" s="1" t="n">
        <v>10</v>
      </c>
      <c r="X4" s="1"/>
      <c r="Y4" s="1"/>
    </row>
    <row r="5" customFormat="false" ht="15" hidden="false" customHeight="false" outlineLevel="0" collapsed="false">
      <c r="A5" s="102" t="s">
        <v>67</v>
      </c>
      <c r="B5" s="102" t="s">
        <v>437</v>
      </c>
      <c r="C5" s="109" t="s">
        <v>438</v>
      </c>
      <c r="D5" s="102" t="s">
        <v>439</v>
      </c>
      <c r="E5" s="102" t="s">
        <v>437</v>
      </c>
      <c r="F5" s="109" t="s">
        <v>438</v>
      </c>
      <c r="G5" s="102" t="s">
        <v>440</v>
      </c>
      <c r="H5" s="102" t="s">
        <v>429</v>
      </c>
      <c r="I5" s="102" t="s">
        <v>752</v>
      </c>
      <c r="J5" s="110" t="n">
        <v>2542049</v>
      </c>
      <c r="K5" s="102" t="s">
        <v>755</v>
      </c>
      <c r="L5" s="102" t="s">
        <v>756</v>
      </c>
      <c r="M5" s="115" t="s">
        <v>431</v>
      </c>
      <c r="N5" s="102" t="s">
        <v>444</v>
      </c>
      <c r="O5" s="112" t="n">
        <v>44721</v>
      </c>
      <c r="P5" s="111" t="n">
        <f aca="false">IFERROR(VLOOKUP(J5,'Obs Tecnicas'!$D:$I,5,0),O5)</f>
        <v>44721</v>
      </c>
      <c r="Q5" s="111" t="str">
        <f aca="true">IF(P5&lt;&gt;"",IF(P5+365&gt;TODAY(),"Calibrado","Vencido"),"")</f>
        <v>Calibrado</v>
      </c>
      <c r="R5" s="102" t="n">
        <f aca="false">IFERROR(VLOOKUP(J5,'Obs Tecnicas'!$D:$G,2,0),"")</f>
        <v>16784</v>
      </c>
      <c r="S5" s="102" t="str">
        <f aca="false">IFERROR(VLOOKUP(J5,'Obs Tecnicas'!$D:$G,3,0),"Hexis")</f>
        <v>ER ANALITICA</v>
      </c>
      <c r="T5" s="143" t="str">
        <f aca="false">IFERROR(VLOOKUP(J5,'Obs Tecnicas'!$D:$G,4,0),"")</f>
        <v>Carcaça com avarias</v>
      </c>
      <c r="U5" s="1" t="s">
        <v>344</v>
      </c>
      <c r="V5" s="1" t="n">
        <f aca="false">IF(P5&lt;&gt;"",MONTH(P5),"")</f>
        <v>6</v>
      </c>
      <c r="W5" s="1" t="n">
        <v>6</v>
      </c>
      <c r="X5" s="1"/>
      <c r="Y5" s="1"/>
    </row>
    <row r="6" customFormat="false" ht="15" hidden="false" customHeight="false" outlineLevel="0" collapsed="false">
      <c r="A6" s="102" t="s">
        <v>67</v>
      </c>
      <c r="B6" s="102" t="s">
        <v>437</v>
      </c>
      <c r="C6" s="109" t="s">
        <v>438</v>
      </c>
      <c r="D6" s="102" t="s">
        <v>439</v>
      </c>
      <c r="E6" s="102" t="s">
        <v>437</v>
      </c>
      <c r="F6" s="109" t="s">
        <v>438</v>
      </c>
      <c r="G6" s="102" t="s">
        <v>440</v>
      </c>
      <c r="H6" s="102" t="s">
        <v>429</v>
      </c>
      <c r="I6" s="102" t="s">
        <v>752</v>
      </c>
      <c r="J6" s="110" t="s">
        <v>757</v>
      </c>
      <c r="K6" s="102" t="s">
        <v>758</v>
      </c>
      <c r="L6" s="102" t="s">
        <v>759</v>
      </c>
      <c r="M6" s="115" t="s">
        <v>431</v>
      </c>
      <c r="N6" s="102" t="s">
        <v>444</v>
      </c>
      <c r="O6" s="112" t="n">
        <v>44721</v>
      </c>
      <c r="P6" s="111" t="n">
        <f aca="false">IFERROR(VLOOKUP(J6,'Obs Tecnicas'!$D:$I,5,0),O6)</f>
        <v>44721</v>
      </c>
      <c r="Q6" s="111" t="str">
        <f aca="true">IF(P6&lt;&gt;"",IF(P6+365&gt;TODAY(),"Calibrado","Vencido"),"")</f>
        <v>Calibrado</v>
      </c>
      <c r="R6" s="102" t="n">
        <f aca="false">IFERROR(VLOOKUP(J6,'Obs Tecnicas'!$D:$G,2,0),"")</f>
        <v>16785</v>
      </c>
      <c r="S6" s="102" t="str">
        <f aca="false">IFERROR(VLOOKUP(J6,'Obs Tecnicas'!$D:$G,3,0),"Hexis")</f>
        <v>ER ANALITICA</v>
      </c>
      <c r="T6" s="143" t="n">
        <f aca="false">IFERROR(VLOOKUP(J6,'Obs Tecnicas'!$D:$G,4,0),"")</f>
        <v>0</v>
      </c>
      <c r="U6" s="1" t="s">
        <v>344</v>
      </c>
      <c r="V6" s="1" t="n">
        <f aca="false">IF(P6&lt;&gt;"",MONTH(P6),"")</f>
        <v>6</v>
      </c>
      <c r="W6" s="1" t="n">
        <v>6</v>
      </c>
      <c r="X6" s="1"/>
      <c r="Y6" s="1"/>
    </row>
    <row r="7" customFormat="false" ht="15" hidden="false" customHeight="false" outlineLevel="0" collapsed="false">
      <c r="A7" s="102" t="s">
        <v>67</v>
      </c>
      <c r="B7" s="102" t="s">
        <v>437</v>
      </c>
      <c r="C7" s="109" t="s">
        <v>438</v>
      </c>
      <c r="D7" s="102" t="s">
        <v>439</v>
      </c>
      <c r="E7" s="102" t="s">
        <v>437</v>
      </c>
      <c r="F7" s="109" t="s">
        <v>438</v>
      </c>
      <c r="G7" s="102" t="s">
        <v>440</v>
      </c>
      <c r="H7" s="102" t="s">
        <v>429</v>
      </c>
      <c r="I7" s="102" t="s">
        <v>752</v>
      </c>
      <c r="J7" s="110" t="n">
        <v>2542049</v>
      </c>
      <c r="K7" s="102" t="s">
        <v>758</v>
      </c>
      <c r="L7" s="102" t="s">
        <v>760</v>
      </c>
      <c r="M7" s="115" t="s">
        <v>431</v>
      </c>
      <c r="N7" s="102" t="s">
        <v>444</v>
      </c>
      <c r="O7" s="112" t="n">
        <v>44721</v>
      </c>
      <c r="P7" s="111" t="n">
        <f aca="false">IFERROR(VLOOKUP(J7,'Obs Tecnicas'!$D:$I,5,0),O7)</f>
        <v>44721</v>
      </c>
      <c r="Q7" s="111" t="str">
        <f aca="true">IF(P7&lt;&gt;"",IF(P7+365&gt;TODAY(),"Calibrado","Vencido"),"")</f>
        <v>Calibrado</v>
      </c>
      <c r="R7" s="102" t="n">
        <f aca="false">IFERROR(VLOOKUP(J7,'Obs Tecnicas'!$D:$G,2,0),"")</f>
        <v>16784</v>
      </c>
      <c r="S7" s="102" t="str">
        <f aca="false">IFERROR(VLOOKUP(J7,'Obs Tecnicas'!$D:$G,3,0),"Hexis")</f>
        <v>ER ANALITICA</v>
      </c>
      <c r="T7" s="143" t="str">
        <f aca="false">IFERROR(VLOOKUP(J7,'Obs Tecnicas'!$D:$G,4,0),"")</f>
        <v>Carcaça com avarias</v>
      </c>
      <c r="U7" s="1" t="s">
        <v>344</v>
      </c>
      <c r="V7" s="1" t="n">
        <f aca="false">IF(P7&lt;&gt;"",MONTH(P7),"")</f>
        <v>6</v>
      </c>
      <c r="W7" s="1" t="n">
        <v>6</v>
      </c>
      <c r="X7" s="1"/>
      <c r="Y7" s="1"/>
    </row>
    <row r="8" customFormat="false" ht="15" hidden="false" customHeight="false" outlineLevel="0" collapsed="false">
      <c r="A8" s="102" t="s">
        <v>67</v>
      </c>
      <c r="B8" s="102" t="s">
        <v>437</v>
      </c>
      <c r="C8" s="109" t="s">
        <v>438</v>
      </c>
      <c r="D8" s="102" t="s">
        <v>439</v>
      </c>
      <c r="E8" s="102" t="s">
        <v>437</v>
      </c>
      <c r="F8" s="109" t="s">
        <v>438</v>
      </c>
      <c r="G8" s="102" t="s">
        <v>440</v>
      </c>
      <c r="H8" s="102" t="s">
        <v>429</v>
      </c>
      <c r="I8" s="102" t="s">
        <v>752</v>
      </c>
      <c r="J8" s="110" t="s">
        <v>761</v>
      </c>
      <c r="K8" s="102" t="s">
        <v>758</v>
      </c>
      <c r="L8" s="102" t="s">
        <v>759</v>
      </c>
      <c r="M8" s="115" t="s">
        <v>431</v>
      </c>
      <c r="N8" s="102" t="s">
        <v>444</v>
      </c>
      <c r="O8" s="112" t="n">
        <v>44721</v>
      </c>
      <c r="P8" s="111" t="n">
        <f aca="false">IFERROR(VLOOKUP(J8,'Obs Tecnicas'!$D:$I,5,0),O8)</f>
        <v>44721</v>
      </c>
      <c r="Q8" s="111" t="str">
        <f aca="true">IF(P8&lt;&gt;"",IF(P8+365&gt;TODAY(),"Calibrado","Vencido"),"")</f>
        <v>Calibrado</v>
      </c>
      <c r="R8" s="102" t="n">
        <f aca="false">IFERROR(VLOOKUP(J8,'Obs Tecnicas'!$D:$G,2,0),"")</f>
        <v>16787</v>
      </c>
      <c r="S8" s="102" t="str">
        <f aca="false">IFERROR(VLOOKUP(J8,'Obs Tecnicas'!$D:$G,3,0),"Hexis")</f>
        <v>ER ANALITICA</v>
      </c>
      <c r="T8" s="143" t="n">
        <f aca="false">IFERROR(VLOOKUP(J8,'Obs Tecnicas'!$D:$G,4,0),"")</f>
        <v>0</v>
      </c>
      <c r="U8" s="1" t="s">
        <v>344</v>
      </c>
      <c r="V8" s="1" t="n">
        <f aca="false">IF(P8&lt;&gt;"",MONTH(P8),"")</f>
        <v>6</v>
      </c>
      <c r="W8" s="1" t="n">
        <v>6</v>
      </c>
      <c r="X8" s="1"/>
      <c r="Y8" s="1"/>
    </row>
    <row r="9" customFormat="false" ht="15" hidden="false" customHeight="false" outlineLevel="0" collapsed="false">
      <c r="A9" s="102" t="s">
        <v>67</v>
      </c>
      <c r="B9" s="102" t="s">
        <v>437</v>
      </c>
      <c r="C9" s="109" t="s">
        <v>438</v>
      </c>
      <c r="D9" s="102" t="s">
        <v>439</v>
      </c>
      <c r="E9" s="102" t="s">
        <v>437</v>
      </c>
      <c r="F9" s="109" t="s">
        <v>438</v>
      </c>
      <c r="G9" s="102" t="s">
        <v>440</v>
      </c>
      <c r="H9" s="102" t="s">
        <v>429</v>
      </c>
      <c r="I9" s="102" t="s">
        <v>752</v>
      </c>
      <c r="J9" s="110" t="n">
        <v>3561967</v>
      </c>
      <c r="K9" s="102" t="s">
        <v>758</v>
      </c>
      <c r="L9" s="102" t="s">
        <v>762</v>
      </c>
      <c r="M9" s="115" t="s">
        <v>431</v>
      </c>
      <c r="N9" s="102" t="s">
        <v>444</v>
      </c>
      <c r="O9" s="112" t="n">
        <v>44721</v>
      </c>
      <c r="P9" s="111" t="n">
        <f aca="false">IFERROR(VLOOKUP(J9,'Obs Tecnicas'!$D:$I,5,0),O9)</f>
        <v>44721</v>
      </c>
      <c r="Q9" s="111" t="str">
        <f aca="true">IF(P9&lt;&gt;"",IF(P9+365&gt;TODAY(),"Calibrado","Vencido"),"")</f>
        <v>Calibrado</v>
      </c>
      <c r="R9" s="102" t="n">
        <f aca="false">IFERROR(VLOOKUP(J9,'Obs Tecnicas'!$D:$G,2,0),"")</f>
        <v>16788</v>
      </c>
      <c r="S9" s="102" t="str">
        <f aca="false">IFERROR(VLOOKUP(J9,'Obs Tecnicas'!$D:$G,3,0),"Hexis")</f>
        <v>ER ANALITICA</v>
      </c>
      <c r="T9" s="143" t="n">
        <f aca="false">IFERROR(VLOOKUP(J9,'Obs Tecnicas'!$D:$G,4,0),"")</f>
        <v>0</v>
      </c>
      <c r="U9" s="1" t="s">
        <v>344</v>
      </c>
      <c r="V9" s="1" t="n">
        <f aca="false">IF(P9&lt;&gt;"",MONTH(P9),"")</f>
        <v>6</v>
      </c>
      <c r="W9" s="1" t="n">
        <v>6</v>
      </c>
      <c r="X9" s="1"/>
      <c r="Y9" s="1"/>
    </row>
    <row r="10" customFormat="false" ht="15" hidden="false" customHeight="false" outlineLevel="0" collapsed="false">
      <c r="A10" s="102" t="s">
        <v>67</v>
      </c>
      <c r="B10" s="102" t="s">
        <v>437</v>
      </c>
      <c r="C10" s="109" t="s">
        <v>438</v>
      </c>
      <c r="D10" s="102" t="s">
        <v>439</v>
      </c>
      <c r="E10" s="102" t="s">
        <v>437</v>
      </c>
      <c r="F10" s="109" t="s">
        <v>438</v>
      </c>
      <c r="G10" s="102" t="s">
        <v>440</v>
      </c>
      <c r="H10" s="102" t="s">
        <v>429</v>
      </c>
      <c r="I10" s="102" t="s">
        <v>752</v>
      </c>
      <c r="J10" s="110" t="n">
        <v>4280014</v>
      </c>
      <c r="K10" s="102" t="s">
        <v>758</v>
      </c>
      <c r="L10" s="102" t="s">
        <v>762</v>
      </c>
      <c r="M10" s="115" t="s">
        <v>431</v>
      </c>
      <c r="N10" s="102" t="s">
        <v>444</v>
      </c>
      <c r="O10" s="112" t="n">
        <v>44721</v>
      </c>
      <c r="P10" s="111" t="n">
        <f aca="false">IFERROR(VLOOKUP(J10,'Obs Tecnicas'!$D:$I,5,0),O10)</f>
        <v>44721</v>
      </c>
      <c r="Q10" s="111" t="str">
        <f aca="true">IF(P10&lt;&gt;"",IF(P10+365&gt;TODAY(),"Calibrado","Vencido"),"")</f>
        <v>Calibrado</v>
      </c>
      <c r="R10" s="102" t="n">
        <f aca="false">IFERROR(VLOOKUP(J10,'Obs Tecnicas'!$D:$G,2,0),"")</f>
        <v>16789</v>
      </c>
      <c r="S10" s="102" t="str">
        <f aca="false">IFERROR(VLOOKUP(J10,'Obs Tecnicas'!$D:$G,3,0),"Hexis")</f>
        <v>ER ANALITICA</v>
      </c>
      <c r="T10" s="143" t="n">
        <f aca="false">IFERROR(VLOOKUP(J10,'Obs Tecnicas'!$D:$G,4,0),"")</f>
        <v>0</v>
      </c>
      <c r="U10" s="1" t="s">
        <v>344</v>
      </c>
      <c r="V10" s="1" t="n">
        <f aca="false">IF(P10&lt;&gt;"",MONTH(P10),"")</f>
        <v>6</v>
      </c>
      <c r="W10" s="1" t="n">
        <v>6</v>
      </c>
      <c r="X10" s="1"/>
      <c r="Y10" s="1"/>
    </row>
    <row r="11" customFormat="false" ht="15" hidden="false" customHeight="false" outlineLevel="0" collapsed="false">
      <c r="A11" s="102" t="s">
        <v>67</v>
      </c>
      <c r="B11" s="102" t="s">
        <v>437</v>
      </c>
      <c r="C11" s="109" t="s">
        <v>438</v>
      </c>
      <c r="D11" s="102" t="s">
        <v>439</v>
      </c>
      <c r="E11" s="102" t="s">
        <v>437</v>
      </c>
      <c r="F11" s="109" t="s">
        <v>438</v>
      </c>
      <c r="G11" s="102" t="s">
        <v>440</v>
      </c>
      <c r="H11" s="102" t="s">
        <v>429</v>
      </c>
      <c r="I11" s="102" t="s">
        <v>752</v>
      </c>
      <c r="J11" s="110" t="s">
        <v>763</v>
      </c>
      <c r="K11" s="102" t="s">
        <v>755</v>
      </c>
      <c r="L11" s="102" t="s">
        <v>756</v>
      </c>
      <c r="M11" s="115" t="s">
        <v>431</v>
      </c>
      <c r="N11" s="102" t="s">
        <v>444</v>
      </c>
      <c r="O11" s="112" t="n">
        <v>44721</v>
      </c>
      <c r="P11" s="111" t="n">
        <f aca="false">IFERROR(VLOOKUP(J11,'Obs Tecnicas'!$D:$I,5,0),O11)</f>
        <v>44721</v>
      </c>
      <c r="Q11" s="111" t="str">
        <f aca="true">IF(P11&lt;&gt;"",IF(P11+365&gt;TODAY(),"Calibrado","Vencido"),"")</f>
        <v>Calibrado</v>
      </c>
      <c r="R11" s="102" t="n">
        <f aca="false">IFERROR(VLOOKUP(J11,'Obs Tecnicas'!$D:$G,2,0),"")</f>
        <v>16790</v>
      </c>
      <c r="S11" s="102" t="str">
        <f aca="false">IFERROR(VLOOKUP(J11,'Obs Tecnicas'!$D:$G,3,0),"Hexis")</f>
        <v>ER ANALITICA</v>
      </c>
      <c r="T11" s="143" t="n">
        <f aca="false">IFERROR(VLOOKUP(J11,'Obs Tecnicas'!$D:$G,4,0),"")</f>
        <v>0</v>
      </c>
      <c r="U11" s="1" t="s">
        <v>344</v>
      </c>
      <c r="V11" s="1" t="n">
        <f aca="false">IF(P11&lt;&gt;"",MONTH(P11),"")</f>
        <v>6</v>
      </c>
      <c r="W11" s="1" t="n">
        <v>6</v>
      </c>
      <c r="X11" s="1"/>
      <c r="Y11" s="1"/>
    </row>
    <row r="12" customFormat="false" ht="15" hidden="false" customHeight="false" outlineLevel="0" collapsed="false">
      <c r="A12" s="102" t="s">
        <v>67</v>
      </c>
      <c r="B12" s="102" t="s">
        <v>437</v>
      </c>
      <c r="C12" s="109" t="s">
        <v>438</v>
      </c>
      <c r="D12" s="102" t="s">
        <v>439</v>
      </c>
      <c r="E12" s="102" t="s">
        <v>437</v>
      </c>
      <c r="F12" s="109" t="s">
        <v>438</v>
      </c>
      <c r="G12" s="102" t="s">
        <v>440</v>
      </c>
      <c r="H12" s="102" t="s">
        <v>429</v>
      </c>
      <c r="I12" s="102" t="s">
        <v>752</v>
      </c>
      <c r="J12" s="110" t="s">
        <v>764</v>
      </c>
      <c r="K12" s="102" t="s">
        <v>56</v>
      </c>
      <c r="L12" s="102" t="s">
        <v>756</v>
      </c>
      <c r="M12" s="102" t="s">
        <v>431</v>
      </c>
      <c r="N12" s="102" t="s">
        <v>444</v>
      </c>
      <c r="O12" s="112" t="n">
        <v>44721</v>
      </c>
      <c r="P12" s="111" t="n">
        <f aca="false">IFERROR(VLOOKUP(J12,'Obs Tecnicas'!$D:$I,5,0),O12)</f>
        <v>44721</v>
      </c>
      <c r="Q12" s="111" t="str">
        <f aca="true">IF(P12&lt;&gt;"",IF(P12+365&gt;TODAY(),"Calibrado","Vencido"),"")</f>
        <v>Calibrado</v>
      </c>
      <c r="R12" s="102" t="n">
        <f aca="false">IFERROR(VLOOKUP(J12,'Obs Tecnicas'!$D:$G,2,0),"")</f>
        <v>16783</v>
      </c>
      <c r="S12" s="102" t="str">
        <f aca="false">IFERROR(VLOOKUP(J12,'Obs Tecnicas'!$D:$G,3,0),"Hexis")</f>
        <v>ER ANALITICA</v>
      </c>
      <c r="T12" s="143" t="n">
        <f aca="false">IFERROR(VLOOKUP(J12,'Obs Tecnicas'!$D:$G,4,0),"")</f>
        <v>0</v>
      </c>
      <c r="U12" s="1" t="s">
        <v>344</v>
      </c>
      <c r="V12" s="1" t="n">
        <f aca="false">IF(P12&lt;&gt;"",MONTH(P12),"")</f>
        <v>6</v>
      </c>
      <c r="W12" s="1" t="n">
        <v>6</v>
      </c>
      <c r="X12" s="1"/>
      <c r="Y12" s="1"/>
    </row>
    <row r="13" customFormat="false" ht="15" hidden="false" customHeight="false" outlineLevel="0" collapsed="false">
      <c r="A13" s="102" t="s">
        <v>67</v>
      </c>
      <c r="B13" s="102" t="s">
        <v>437</v>
      </c>
      <c r="C13" s="109" t="s">
        <v>438</v>
      </c>
      <c r="D13" s="102" t="s">
        <v>439</v>
      </c>
      <c r="E13" s="102" t="s">
        <v>437</v>
      </c>
      <c r="F13" s="109" t="s">
        <v>438</v>
      </c>
      <c r="G13" s="102" t="s">
        <v>440</v>
      </c>
      <c r="H13" s="102" t="s">
        <v>429</v>
      </c>
      <c r="I13" s="102" t="s">
        <v>752</v>
      </c>
      <c r="J13" s="110" t="s">
        <v>765</v>
      </c>
      <c r="K13" s="102" t="s">
        <v>56</v>
      </c>
      <c r="L13" s="102" t="s">
        <v>756</v>
      </c>
      <c r="M13" s="102" t="s">
        <v>431</v>
      </c>
      <c r="N13" s="102" t="s">
        <v>444</v>
      </c>
      <c r="O13" s="112" t="n">
        <v>44721</v>
      </c>
      <c r="P13" s="111" t="n">
        <f aca="false">IFERROR(VLOOKUP(J13,'Obs Tecnicas'!$D:$I,5,0),O13)</f>
        <v>44721</v>
      </c>
      <c r="Q13" s="111" t="str">
        <f aca="true">IF(P13&lt;&gt;"",IF(P13+365&gt;TODAY(),"Calibrado","Vencido"),"")</f>
        <v>Calibrado</v>
      </c>
      <c r="R13" s="102" t="n">
        <f aca="false">IFERROR(VLOOKUP(J13,'Obs Tecnicas'!$D:$G,2,0),"")</f>
        <v>16782</v>
      </c>
      <c r="S13" s="102" t="str">
        <f aca="false">IFERROR(VLOOKUP(J13,'Obs Tecnicas'!$D:$G,3,0),"Hexis")</f>
        <v>ER ANALITICA</v>
      </c>
      <c r="T13" s="143" t="n">
        <f aca="false">IFERROR(VLOOKUP(J13,'Obs Tecnicas'!$D:$G,4,0),"")</f>
        <v>0</v>
      </c>
      <c r="U13" s="1" t="s">
        <v>344</v>
      </c>
      <c r="V13" s="1" t="n">
        <f aca="false">IF(P13&lt;&gt;"",MONTH(P13),"")</f>
        <v>6</v>
      </c>
      <c r="W13" s="1" t="n">
        <v>9</v>
      </c>
      <c r="X13" s="1"/>
      <c r="Y13" s="1"/>
    </row>
    <row r="14" customFormat="false" ht="15" hidden="false" customHeight="false" outlineLevel="0" collapsed="false">
      <c r="A14" s="102" t="s">
        <v>67</v>
      </c>
      <c r="B14" s="102" t="s">
        <v>437</v>
      </c>
      <c r="C14" s="109" t="s">
        <v>438</v>
      </c>
      <c r="D14" s="102" t="s">
        <v>439</v>
      </c>
      <c r="E14" s="102" t="s">
        <v>437</v>
      </c>
      <c r="F14" s="109" t="s">
        <v>438</v>
      </c>
      <c r="H14" s="102" t="s">
        <v>532</v>
      </c>
      <c r="I14" s="102" t="s">
        <v>752</v>
      </c>
      <c r="J14" s="110" t="s">
        <v>766</v>
      </c>
      <c r="K14" s="102" t="s">
        <v>758</v>
      </c>
      <c r="M14" s="115" t="s">
        <v>548</v>
      </c>
      <c r="N14" s="102" t="s">
        <v>384</v>
      </c>
      <c r="O14" s="112" t="n">
        <v>44725</v>
      </c>
      <c r="P14" s="111" t="n">
        <f aca="false">IFERROR(VLOOKUP(J14,'Obs Tecnicas'!$D:$I,5,0),O14)</f>
        <v>44725</v>
      </c>
      <c r="Q14" s="111" t="str">
        <f aca="true">IF(P14&lt;&gt;"",IF(P14+365&gt;TODAY(),"Calibrado","Vencido"),"")</f>
        <v>Calibrado</v>
      </c>
      <c r="R14" s="102" t="n">
        <f aca="false">IFERROR(VLOOKUP(J14,'Obs Tecnicas'!$D:$G,2,0),"")</f>
        <v>16809</v>
      </c>
      <c r="S14" s="102" t="str">
        <f aca="false">IFERROR(VLOOKUP(J14,'Obs Tecnicas'!$D:$G,3,0),"Hexis")</f>
        <v>ER ANALITICA</v>
      </c>
      <c r="T14" s="143" t="n">
        <f aca="false">IFERROR(VLOOKUP(J14,'Obs Tecnicas'!$D:$G,4,0),"")</f>
        <v>0</v>
      </c>
      <c r="U14" s="1" t="s">
        <v>344</v>
      </c>
      <c r="V14" s="1" t="n">
        <f aca="false">IF(P14&lt;&gt;"",MONTH(P14),"")</f>
        <v>6</v>
      </c>
      <c r="W14" s="1" t="n">
        <v>7</v>
      </c>
      <c r="X14" s="1"/>
      <c r="Y14" s="1"/>
    </row>
    <row r="15" customFormat="false" ht="15" hidden="false" customHeight="false" outlineLevel="0" collapsed="false">
      <c r="A15" s="102" t="s">
        <v>67</v>
      </c>
      <c r="B15" s="102" t="s">
        <v>437</v>
      </c>
      <c r="C15" s="109" t="s">
        <v>438</v>
      </c>
      <c r="D15" s="102" t="s">
        <v>439</v>
      </c>
      <c r="E15" s="102" t="s">
        <v>437</v>
      </c>
      <c r="F15" s="109" t="s">
        <v>438</v>
      </c>
      <c r="G15" s="102" t="s">
        <v>440</v>
      </c>
      <c r="H15" s="102" t="s">
        <v>532</v>
      </c>
      <c r="I15" s="102" t="s">
        <v>752</v>
      </c>
      <c r="J15" s="110" t="s">
        <v>767</v>
      </c>
      <c r="K15" s="102" t="s">
        <v>768</v>
      </c>
      <c r="M15" s="115" t="s">
        <v>591</v>
      </c>
      <c r="N15" s="102" t="s">
        <v>554</v>
      </c>
      <c r="O15" s="112" t="n">
        <v>44333</v>
      </c>
      <c r="P15" s="111" t="n">
        <f aca="false">IFERROR(VLOOKUP(J15,'Obs Tecnicas'!$D:$I,5,0),O15)</f>
        <v>44333</v>
      </c>
      <c r="Q15" s="111" t="str">
        <f aca="true">IF(P15&lt;&gt;"",IF(P15+365&gt;TODAY(),"Calibrado","Vencido"),"")</f>
        <v>Vencido</v>
      </c>
      <c r="R15" s="102" t="n">
        <f aca="false">IFERROR(VLOOKUP(J15,'Obs Tecnicas'!$D:$G,2,0),"")</f>
        <v>12376</v>
      </c>
      <c r="S15" s="102" t="str">
        <f aca="false">IFERROR(VLOOKUP(J15,'Obs Tecnicas'!$D:$G,3,0),"Hexis")</f>
        <v>ER ANALITICA</v>
      </c>
      <c r="T15" s="143" t="n">
        <f aca="false">IFERROR(VLOOKUP(J15,'Obs Tecnicas'!$D:$G,4,0),"")</f>
        <v>0</v>
      </c>
      <c r="U15" s="1" t="s">
        <v>27</v>
      </c>
      <c r="V15" s="1" t="n">
        <f aca="false">IF(P15&lt;&gt;"",MONTH(P15),"")</f>
        <v>5</v>
      </c>
      <c r="W15" s="1" t="n">
        <v>6</v>
      </c>
      <c r="X15" s="1"/>
      <c r="Y15" s="1"/>
    </row>
    <row r="16" customFormat="false" ht="15" hidden="false" customHeight="false" outlineLevel="0" collapsed="false">
      <c r="A16" s="102" t="s">
        <v>67</v>
      </c>
      <c r="B16" s="102" t="s">
        <v>437</v>
      </c>
      <c r="C16" s="109" t="s">
        <v>438</v>
      </c>
      <c r="D16" s="102" t="s">
        <v>439</v>
      </c>
      <c r="E16" s="102" t="s">
        <v>437</v>
      </c>
      <c r="F16" s="109" t="s">
        <v>438</v>
      </c>
      <c r="G16" s="102" t="s">
        <v>440</v>
      </c>
      <c r="H16" s="102" t="s">
        <v>532</v>
      </c>
      <c r="I16" s="102" t="s">
        <v>752</v>
      </c>
      <c r="J16" s="110" t="s">
        <v>769</v>
      </c>
      <c r="K16" s="102" t="s">
        <v>768</v>
      </c>
      <c r="M16" s="115" t="s">
        <v>591</v>
      </c>
      <c r="N16" s="102" t="s">
        <v>554</v>
      </c>
      <c r="O16" s="112" t="n">
        <v>44333</v>
      </c>
      <c r="P16" s="111" t="n">
        <f aca="false">IFERROR(VLOOKUP(J16,'Obs Tecnicas'!$D:$I,5,0),O16)</f>
        <v>44333</v>
      </c>
      <c r="Q16" s="111" t="str">
        <f aca="true">IF(P16&lt;&gt;"",IF(P16+365&gt;TODAY(),"Calibrado","Vencido"),"")</f>
        <v>Vencido</v>
      </c>
      <c r="R16" s="102" t="n">
        <f aca="false">IFERROR(VLOOKUP(J16,'Obs Tecnicas'!$D:$G,2,0),"")</f>
        <v>12377</v>
      </c>
      <c r="S16" s="102" t="str">
        <f aca="false">IFERROR(VLOOKUP(J16,'Obs Tecnicas'!$D:$G,3,0),"Hexis")</f>
        <v>ER ANALITICA</v>
      </c>
      <c r="T16" s="143" t="n">
        <f aca="false">IFERROR(VLOOKUP(J16,'Obs Tecnicas'!$D:$G,4,0),"")</f>
        <v>0</v>
      </c>
      <c r="U16" s="1" t="s">
        <v>27</v>
      </c>
      <c r="V16" s="1" t="n">
        <f aca="false">IF(P16&lt;&gt;"",MONTH(P16),"")</f>
        <v>5</v>
      </c>
      <c r="W16" s="1" t="n">
        <v>6</v>
      </c>
      <c r="X16" s="1"/>
      <c r="Y16" s="1"/>
    </row>
    <row r="17" customFormat="false" ht="15" hidden="false" customHeight="false" outlineLevel="0" collapsed="false">
      <c r="A17" s="102" t="s">
        <v>67</v>
      </c>
      <c r="B17" s="102" t="s">
        <v>437</v>
      </c>
      <c r="C17" s="109" t="s">
        <v>438</v>
      </c>
      <c r="D17" s="102" t="s">
        <v>439</v>
      </c>
      <c r="E17" s="102" t="s">
        <v>437</v>
      </c>
      <c r="F17" s="109" t="s">
        <v>438</v>
      </c>
      <c r="G17" s="102" t="s">
        <v>440</v>
      </c>
      <c r="H17" s="102" t="s">
        <v>532</v>
      </c>
      <c r="I17" s="102" t="s">
        <v>752</v>
      </c>
      <c r="J17" s="110" t="s">
        <v>770</v>
      </c>
      <c r="K17" s="102" t="s">
        <v>56</v>
      </c>
      <c r="M17" s="115" t="s">
        <v>591</v>
      </c>
      <c r="N17" s="102" t="s">
        <v>554</v>
      </c>
      <c r="O17" s="112" t="n">
        <v>44333</v>
      </c>
      <c r="P17" s="111" t="n">
        <f aca="false">IFERROR(VLOOKUP(J17,'Obs Tecnicas'!$D:$I,5,0),O17)</f>
        <v>44333</v>
      </c>
      <c r="Q17" s="111" t="str">
        <f aca="true">IF(P17&lt;&gt;"",IF(P17+365&gt;TODAY(),"Calibrado","Vencido"),"")</f>
        <v>Vencido</v>
      </c>
      <c r="R17" s="102" t="n">
        <f aca="false">IFERROR(VLOOKUP(J17,'Obs Tecnicas'!$D:$G,2,0),"")</f>
        <v>12378</v>
      </c>
      <c r="S17" s="102" t="str">
        <f aca="false">IFERROR(VLOOKUP(J17,'Obs Tecnicas'!$D:$G,3,0),"Hexis")</f>
        <v>ER ANALITICA</v>
      </c>
      <c r="T17" s="143" t="n">
        <f aca="false">IFERROR(VLOOKUP(J17,'Obs Tecnicas'!$D:$G,4,0),"")</f>
        <v>0</v>
      </c>
      <c r="U17" s="1" t="s">
        <v>27</v>
      </c>
      <c r="V17" s="1" t="n">
        <f aca="false">IF(P17&lt;&gt;"",MONTH(P17),"")</f>
        <v>5</v>
      </c>
      <c r="W17" s="1" t="n">
        <v>6</v>
      </c>
      <c r="X17" s="1"/>
      <c r="Y17" s="1"/>
    </row>
    <row r="18" customFormat="false" ht="15" hidden="false" customHeight="false" outlineLevel="0" collapsed="false">
      <c r="A18" s="102" t="s">
        <v>67</v>
      </c>
      <c r="B18" s="102" t="s">
        <v>437</v>
      </c>
      <c r="C18" s="109" t="s">
        <v>438</v>
      </c>
      <c r="D18" s="102" t="s">
        <v>439</v>
      </c>
      <c r="E18" s="102" t="s">
        <v>437</v>
      </c>
      <c r="F18" s="109" t="s">
        <v>438</v>
      </c>
      <c r="G18" s="102" t="s">
        <v>440</v>
      </c>
      <c r="H18" s="102" t="s">
        <v>532</v>
      </c>
      <c r="I18" s="102" t="s">
        <v>752</v>
      </c>
      <c r="J18" s="110" t="s">
        <v>771</v>
      </c>
      <c r="K18" s="102" t="s">
        <v>56</v>
      </c>
      <c r="M18" s="115" t="s">
        <v>591</v>
      </c>
      <c r="N18" s="102" t="s">
        <v>554</v>
      </c>
      <c r="O18" s="112" t="n">
        <v>44333</v>
      </c>
      <c r="P18" s="111" t="n">
        <f aca="false">IFERROR(VLOOKUP(J18,'Obs Tecnicas'!$D:$I,5,0),O18)</f>
        <v>44333</v>
      </c>
      <c r="Q18" s="111" t="str">
        <f aca="true">IF(P18&lt;&gt;"",IF(P18+365&gt;TODAY(),"Calibrado","Vencido"),"")</f>
        <v>Vencido</v>
      </c>
      <c r="R18" s="102" t="n">
        <f aca="false">IFERROR(VLOOKUP(J18,'Obs Tecnicas'!$D:$G,2,0),"")</f>
        <v>12379</v>
      </c>
      <c r="S18" s="102" t="str">
        <f aca="false">IFERROR(VLOOKUP(J18,'Obs Tecnicas'!$D:$G,3,0),"Hexis")</f>
        <v>ER ANALITICA</v>
      </c>
      <c r="T18" s="143" t="n">
        <f aca="false">IFERROR(VLOOKUP(J18,'Obs Tecnicas'!$D:$G,4,0),"")</f>
        <v>0</v>
      </c>
      <c r="U18" s="1" t="s">
        <v>27</v>
      </c>
      <c r="V18" s="1" t="n">
        <f aca="false">IF(P18&lt;&gt;"",MONTH(P18),"")</f>
        <v>5</v>
      </c>
      <c r="W18" s="1" t="n">
        <v>6</v>
      </c>
      <c r="X18" s="1"/>
      <c r="Y18" s="1"/>
    </row>
    <row r="19" customFormat="false" ht="15" hidden="false" customHeight="false" outlineLevel="0" collapsed="false">
      <c r="A19" s="102" t="s">
        <v>67</v>
      </c>
      <c r="B19" s="102" t="s">
        <v>437</v>
      </c>
      <c r="C19" s="109" t="s">
        <v>438</v>
      </c>
      <c r="D19" s="102" t="s">
        <v>439</v>
      </c>
      <c r="E19" s="115" t="s">
        <v>437</v>
      </c>
      <c r="F19" s="109" t="s">
        <v>438</v>
      </c>
      <c r="G19" s="102" t="s">
        <v>440</v>
      </c>
      <c r="H19" s="102" t="s">
        <v>532</v>
      </c>
      <c r="I19" s="102" t="s">
        <v>752</v>
      </c>
      <c r="J19" s="110" t="s">
        <v>772</v>
      </c>
      <c r="K19" s="102" t="s">
        <v>758</v>
      </c>
      <c r="M19" s="115" t="s">
        <v>591</v>
      </c>
      <c r="N19" s="102" t="s">
        <v>554</v>
      </c>
      <c r="O19" s="112" t="n">
        <v>44333</v>
      </c>
      <c r="P19" s="111" t="n">
        <f aca="false">IFERROR(VLOOKUP(J19,'Obs Tecnicas'!$D:$I,5,0),O19)</f>
        <v>44333</v>
      </c>
      <c r="Q19" s="111" t="str">
        <f aca="true">IF(P19&lt;&gt;"",IF(P19+365&gt;TODAY(),"Calibrado","Vencido"),"")</f>
        <v>Vencido</v>
      </c>
      <c r="R19" s="102" t="n">
        <f aca="false">IFERROR(VLOOKUP(J19,'Obs Tecnicas'!$D:$G,2,0),"")</f>
        <v>12381</v>
      </c>
      <c r="S19" s="102" t="str">
        <f aca="false">IFERROR(VLOOKUP(J19,'Obs Tecnicas'!$D:$G,3,0),"Hexis")</f>
        <v>ER ANALITICA</v>
      </c>
      <c r="T19" s="143" t="n">
        <f aca="false">IFERROR(VLOOKUP(J19,'Obs Tecnicas'!$D:$G,4,0),"")</f>
        <v>0</v>
      </c>
      <c r="U19" s="1" t="s">
        <v>27</v>
      </c>
      <c r="V19" s="1" t="n">
        <f aca="false">IF(P19&lt;&gt;"",MONTH(P19),"")</f>
        <v>5</v>
      </c>
      <c r="W19" s="1" t="n">
        <v>6</v>
      </c>
      <c r="X19" s="1"/>
      <c r="Y19" s="1"/>
    </row>
    <row r="22" customFormat="false" ht="16.5" hidden="false" customHeight="false" outlineLevel="0" collapsed="false">
      <c r="D22" s="142"/>
    </row>
  </sheetData>
  <autoFilter ref="A1:Y1"/>
  <conditionalFormatting sqref="M1048279:M1048285 M1048288:M1048293 M5:M11 M14:M19">
    <cfRule type="colorScale" priority="2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E19 E1048293">
    <cfRule type="colorScale" priority="3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P1:P1048293">
    <cfRule type="expression" priority="4" aboveAverage="0" equalAverage="0" bottom="0" percent="0" rank="0" text="" dxfId="12">
      <formula>IF(O1&lt;=TODAY()-365,1)</formula>
    </cfRule>
    <cfRule type="expression" priority="5" aboveAverage="0" equalAverage="0" bottom="0" percent="0" rank="0" text="" dxfId="13">
      <formula>IF(O1&lt;(TODAY())-270,1)</formula>
    </cfRule>
    <cfRule type="expression" priority="6" aboveAverage="0" equalAverage="0" bottom="0" percent="0" rank="0" text="" dxfId="14">
      <formula>IF(O1&lt;(TODAY())+0,1)</formula>
    </cfRule>
  </conditionalFormatting>
  <conditionalFormatting sqref="Q1:Q1048293">
    <cfRule type="expression" priority="7" aboveAverage="0" equalAverage="0" bottom="0" percent="0" rank="0" text="" dxfId="15">
      <formula>IF(P1&lt;=TODAY()-365,1)</formula>
    </cfRule>
    <cfRule type="expression" priority="8" aboveAverage="0" equalAverage="0" bottom="0" percent="0" rank="0" text="" dxfId="16">
      <formula>IF(P1&lt;(TODAY())-270,1)</formula>
    </cfRule>
    <cfRule type="expression" priority="9" aboveAverage="0" equalAverage="0" bottom="0" percent="0" rank="0" text="" dxfId="17">
      <formula>IF(P1&lt;(TODAY())+0,1)</formula>
    </cfRule>
  </conditionalFormatting>
  <dataValidations count="2">
    <dataValidation allowBlank="true" operator="between" showDropDown="false" showErrorMessage="true" showInputMessage="true" sqref="T1:T19" type="list">
      <formula1>"ADICIONADO,REALIZADO,DESATIVADO,NÃO ENCONTRADO,AGENDADO,SEM RETORNO DO OWNER,EM CONTATO,CONTATO FEITO,EM CONSERTO INTERNO,AGUARDANDO RETORNO "</formula1>
      <formula2>0</formula2>
    </dataValidation>
    <dataValidation allowBlank="true" operator="between" showDropDown="false" showErrorMessage="true" showInputMessage="true" sqref="U1" type="list">
      <formula1>"ADICIONADO,REALIZADO,DESATIVADO,NÃO ENCONTRADO,AGENDADO,SEM RETORNO DO OWNER,EM CONTATO"</formula1>
      <formula2>0</formula2>
    </dataValidation>
  </dataValidation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27" activePane="bottomLeft" state="frozen"/>
      <selection pane="topLeft" activeCell="A1" activeCellId="0" sqref="A1"/>
      <selection pane="bottomLeft" activeCell="H343" activeCellId="0" sqref="H343"/>
    </sheetView>
  </sheetViews>
  <sheetFormatPr defaultColWidth="9.14453125" defaultRowHeight="15" zeroHeight="false" outlineLevelRow="0" outlineLevelCol="0"/>
  <cols>
    <col collapsed="false" customWidth="true" hidden="false" outlineLevel="0" max="1" min="1" style="144" width="16.14"/>
    <col collapsed="false" customWidth="true" hidden="false" outlineLevel="0" max="2" min="2" style="102" width="28"/>
    <col collapsed="false" customWidth="true" hidden="false" outlineLevel="0" max="3" min="3" style="102" width="17.85"/>
    <col collapsed="false" customWidth="true" hidden="false" outlineLevel="0" max="4" min="4" style="140" width="20.71"/>
    <col collapsed="false" customWidth="true" hidden="false" outlineLevel="0" max="5" min="5" style="102" width="8"/>
    <col collapsed="false" customWidth="true" hidden="false" outlineLevel="0" max="6" min="6" style="1" width="13.14"/>
    <col collapsed="false" customWidth="true" hidden="false" outlineLevel="0" max="7" min="7" style="1" width="28"/>
    <col collapsed="false" customWidth="true" hidden="false" outlineLevel="0" max="8" min="8" style="145" width="20.85"/>
    <col collapsed="false" customWidth="true" hidden="false" outlineLevel="0" max="9" min="9" style="1" width="5.71"/>
    <col collapsed="false" customWidth="true" hidden="false" outlineLevel="0" max="10" min="10" style="1" width="22.71"/>
    <col collapsed="false" customWidth="false" hidden="false" outlineLevel="0" max="1024" min="11" style="1" width="9.14"/>
  </cols>
  <sheetData>
    <row r="1" customFormat="false" ht="15" hidden="false" customHeight="false" outlineLevel="0" collapsed="false">
      <c r="A1" s="146" t="s">
        <v>773</v>
      </c>
      <c r="B1" s="115" t="s">
        <v>774</v>
      </c>
      <c r="C1" s="147" t="s">
        <v>56</v>
      </c>
      <c r="D1" s="148" t="s">
        <v>775</v>
      </c>
      <c r="E1" s="115" t="s">
        <v>776</v>
      </c>
      <c r="F1" s="128" t="s">
        <v>777</v>
      </c>
      <c r="G1" s="128" t="s">
        <v>778</v>
      </c>
      <c r="H1" s="149" t="s">
        <v>779</v>
      </c>
      <c r="I1" s="128" t="s">
        <v>780</v>
      </c>
      <c r="J1" s="104" t="s">
        <v>781</v>
      </c>
    </row>
    <row r="2" customFormat="false" ht="15" hidden="false" customHeight="false" outlineLevel="0" collapsed="false">
      <c r="A2" s="144" t="s">
        <v>782</v>
      </c>
      <c r="B2" s="102" t="s">
        <v>783</v>
      </c>
      <c r="C2" s="102" t="s">
        <v>81</v>
      </c>
      <c r="D2" s="110" t="s">
        <v>377</v>
      </c>
      <c r="E2" s="102" t="n">
        <v>16435</v>
      </c>
      <c r="F2" s="1" t="s">
        <v>784</v>
      </c>
      <c r="H2" s="145" t="n">
        <v>44697</v>
      </c>
      <c r="I2" s="1" t="n">
        <f aca="false">IF(H2&lt;&gt;"",MONTH(H2),"")</f>
        <v>5</v>
      </c>
      <c r="J2" s="1" t="str">
        <f aca="false">IFERROR(VLOOKUP(D2,'Controle de equipamento'!$J:$V,4,0),"Adicionado")</f>
        <v>Barcarena-PA</v>
      </c>
    </row>
    <row r="3" customFormat="false" ht="15" hidden="false" customHeight="false" outlineLevel="0" collapsed="false">
      <c r="A3" s="144" t="s">
        <v>782</v>
      </c>
      <c r="B3" s="102" t="s">
        <v>783</v>
      </c>
      <c r="C3" s="102" t="s">
        <v>81</v>
      </c>
      <c r="D3" s="110" t="n">
        <v>200710001808</v>
      </c>
      <c r="E3" s="102" t="n">
        <v>16436</v>
      </c>
      <c r="F3" s="1" t="s">
        <v>784</v>
      </c>
      <c r="H3" s="145" t="n">
        <v>44697</v>
      </c>
      <c r="I3" s="1" t="n">
        <f aca="false">IF(H3&lt;&gt;"",MONTH(H3),"")</f>
        <v>5</v>
      </c>
      <c r="J3" s="1" t="str">
        <f aca="false">IFERROR(VLOOKUP(D3,'Controle de equipamento'!$J:$V,4,0),"Adicionado")</f>
        <v>Barcarena-PA</v>
      </c>
    </row>
    <row r="4" customFormat="false" ht="15" hidden="false" customHeight="false" outlineLevel="0" collapsed="false">
      <c r="A4" s="144" t="s">
        <v>782</v>
      </c>
      <c r="B4" s="102" t="s">
        <v>785</v>
      </c>
      <c r="C4" s="102" t="s">
        <v>87</v>
      </c>
      <c r="D4" s="110" t="n">
        <v>68923</v>
      </c>
      <c r="E4" s="102" t="n">
        <v>16437</v>
      </c>
      <c r="F4" s="1" t="s">
        <v>784</v>
      </c>
      <c r="H4" s="145" t="n">
        <v>44697</v>
      </c>
      <c r="I4" s="1" t="n">
        <f aca="false">IF(H4&lt;&gt;"",MONTH(H4),"")</f>
        <v>5</v>
      </c>
      <c r="J4" s="1" t="str">
        <f aca="false">IFERROR(VLOOKUP(D4,'Controle de equipamento'!$J:$V,4,0),"Adicionado")</f>
        <v>Barcarena-PA</v>
      </c>
    </row>
    <row r="5" customFormat="false" ht="15" hidden="false" customHeight="false" outlineLevel="0" collapsed="false">
      <c r="A5" s="144" t="s">
        <v>782</v>
      </c>
      <c r="B5" s="102" t="s">
        <v>786</v>
      </c>
      <c r="C5" s="102" t="s">
        <v>87</v>
      </c>
      <c r="D5" s="110" t="n">
        <v>68768</v>
      </c>
      <c r="E5" s="102" t="n">
        <v>16438</v>
      </c>
      <c r="F5" s="1" t="s">
        <v>784</v>
      </c>
      <c r="H5" s="145" t="n">
        <v>44697</v>
      </c>
      <c r="I5" s="1" t="n">
        <f aca="false">IF(H5&lt;&gt;"",MONTH(H5),"")</f>
        <v>5</v>
      </c>
      <c r="J5" s="1" t="str">
        <f aca="false">IFERROR(VLOOKUP(D5,'Controle de equipamento'!$J:$V,4,0),"Adicionado")</f>
        <v>Barcarena-PA</v>
      </c>
    </row>
    <row r="6" customFormat="false" ht="15" hidden="false" customHeight="false" outlineLevel="0" collapsed="false">
      <c r="A6" s="144" t="s">
        <v>782</v>
      </c>
      <c r="B6" s="102" t="s">
        <v>787</v>
      </c>
      <c r="C6" s="102" t="s">
        <v>81</v>
      </c>
      <c r="D6" s="110" t="n">
        <v>1483372</v>
      </c>
      <c r="E6" s="102" t="n">
        <v>16440</v>
      </c>
      <c r="F6" s="1" t="s">
        <v>784</v>
      </c>
      <c r="G6" s="1" t="s">
        <v>788</v>
      </c>
      <c r="H6" s="145" t="n">
        <v>44697</v>
      </c>
      <c r="I6" s="1" t="n">
        <f aca="false">IF(H6&lt;&gt;"",MONTH(H6),"")</f>
        <v>5</v>
      </c>
      <c r="J6" s="1" t="str">
        <f aca="false">IFERROR(VLOOKUP(D6,'Controle de equipamento'!$J:$V,4,0),"Adicionado")</f>
        <v>Barcarena-PA</v>
      </c>
    </row>
    <row r="7" customFormat="false" ht="15" hidden="false" customHeight="false" outlineLevel="0" collapsed="false">
      <c r="A7" s="144" t="s">
        <v>782</v>
      </c>
      <c r="B7" s="102" t="s">
        <v>789</v>
      </c>
      <c r="C7" s="102" t="s">
        <v>81</v>
      </c>
      <c r="D7" s="110" t="n">
        <v>210710001430</v>
      </c>
      <c r="E7" s="102" t="n">
        <v>16441</v>
      </c>
      <c r="F7" s="1" t="s">
        <v>784</v>
      </c>
      <c r="H7" s="145" t="n">
        <v>44697</v>
      </c>
      <c r="I7" s="1" t="n">
        <f aca="false">IF(H7&lt;&gt;"",MONTH(H7),"")</f>
        <v>5</v>
      </c>
      <c r="J7" s="1" t="str">
        <f aca="false">IFERROR(VLOOKUP(D7,'Controle de equipamento'!$J:$V,4,0),"Adicionado")</f>
        <v>Barcarena-PA</v>
      </c>
    </row>
    <row r="8" customFormat="false" ht="15" hidden="false" customHeight="false" outlineLevel="0" collapsed="false">
      <c r="A8" s="144" t="s">
        <v>782</v>
      </c>
      <c r="B8" s="102" t="s">
        <v>790</v>
      </c>
      <c r="C8" s="102" t="s">
        <v>84</v>
      </c>
      <c r="D8" s="140" t="n">
        <v>6263666</v>
      </c>
      <c r="E8" s="102" t="n">
        <v>16556</v>
      </c>
      <c r="F8" s="1" t="s">
        <v>784</v>
      </c>
      <c r="H8" s="145" t="n">
        <v>44706</v>
      </c>
      <c r="I8" s="1" t="n">
        <f aca="false">IF(H8&lt;&gt;"",MONTH(H8),"")</f>
        <v>5</v>
      </c>
      <c r="J8" s="1" t="str">
        <f aca="false">IFERROR(VLOOKUP(D8,'Controle de equipamento'!$J:$V,4,0),"Adicionado")</f>
        <v>Caarapó-MS</v>
      </c>
    </row>
    <row r="9" customFormat="false" ht="15" hidden="false" customHeight="false" outlineLevel="0" collapsed="false">
      <c r="A9" s="144" t="s">
        <v>782</v>
      </c>
      <c r="B9" s="102" t="s">
        <v>791</v>
      </c>
      <c r="C9" s="102" t="s">
        <v>84</v>
      </c>
      <c r="D9" s="140" t="n">
        <v>4220746</v>
      </c>
      <c r="E9" s="102" t="n">
        <v>16557</v>
      </c>
      <c r="F9" s="1" t="s">
        <v>784</v>
      </c>
      <c r="H9" s="145" t="n">
        <v>44706</v>
      </c>
      <c r="I9" s="1" t="n">
        <f aca="false">IF(H9&lt;&gt;"",MONTH(H9),"")</f>
        <v>5</v>
      </c>
      <c r="J9" s="1" t="str">
        <f aca="false">IFERROR(VLOOKUP(D9,'Controle de equipamento'!$J:$V,4,0),"Adicionado")</f>
        <v>Caarapó-MS</v>
      </c>
    </row>
    <row r="10" customFormat="false" ht="15" hidden="false" customHeight="false" outlineLevel="0" collapsed="false">
      <c r="A10" s="144" t="s">
        <v>792</v>
      </c>
      <c r="B10" s="102" t="s">
        <v>793</v>
      </c>
      <c r="C10" s="102" t="s">
        <v>136</v>
      </c>
      <c r="D10" s="140" t="n">
        <v>688630</v>
      </c>
      <c r="E10" s="102" t="n">
        <v>14573</v>
      </c>
      <c r="F10" s="1" t="s">
        <v>784</v>
      </c>
      <c r="H10" s="145" t="n">
        <v>44711</v>
      </c>
      <c r="I10" s="1" t="n">
        <f aca="false">IF(H10&lt;&gt;"",MONTH(H10),"")</f>
        <v>5</v>
      </c>
      <c r="J10" s="1" t="str">
        <f aca="false">IFERROR(VLOOKUP(D10,'Controle de equipamento'!$J:$V,4,0),"Adicionado")</f>
        <v>Ouro Branco-MG</v>
      </c>
    </row>
    <row r="11" customFormat="false" ht="15" hidden="false" customHeight="false" outlineLevel="0" collapsed="false">
      <c r="A11" s="144" t="s">
        <v>794</v>
      </c>
      <c r="B11" s="102" t="s">
        <v>795</v>
      </c>
      <c r="C11" s="102" t="s">
        <v>81</v>
      </c>
      <c r="D11" s="140" t="s">
        <v>449</v>
      </c>
      <c r="E11" s="102" t="n">
        <v>16780</v>
      </c>
      <c r="F11" s="1" t="s">
        <v>784</v>
      </c>
      <c r="G11" s="1" t="s">
        <v>796</v>
      </c>
      <c r="H11" s="145" t="n">
        <v>44721</v>
      </c>
      <c r="I11" s="1" t="n">
        <f aca="false">IF(H11&lt;&gt;"",MONTH(H11),"")</f>
        <v>6</v>
      </c>
      <c r="J11" s="1" t="str">
        <f aca="false">IFERROR(VLOOKUP(D11,'Controle de equipamento'!$J:$V,4,0),"Adicionado")</f>
        <v>Duque de Caxias-RJ</v>
      </c>
    </row>
    <row r="12" customFormat="false" ht="15" hidden="false" customHeight="false" outlineLevel="0" collapsed="false">
      <c r="A12" s="144" t="s">
        <v>782</v>
      </c>
      <c r="B12" s="102" t="s">
        <v>797</v>
      </c>
      <c r="C12" s="102" t="s">
        <v>755</v>
      </c>
      <c r="D12" s="140" t="s">
        <v>765</v>
      </c>
      <c r="E12" s="102" t="n">
        <v>16782</v>
      </c>
      <c r="F12" s="1" t="s">
        <v>784</v>
      </c>
      <c r="H12" s="145" t="n">
        <v>44721</v>
      </c>
      <c r="I12" s="1" t="n">
        <f aca="false">IF(H12&lt;&gt;"",MONTH(H12),"")</f>
        <v>6</v>
      </c>
      <c r="J12" s="1" t="str">
        <f aca="false">IFERROR(VLOOKUP(D12,'Controle de equipamento'!$J:$V,4,0),"Adicionado")</f>
        <v>Adicionado</v>
      </c>
    </row>
    <row r="13" customFormat="false" ht="15" hidden="false" customHeight="false" outlineLevel="0" collapsed="false">
      <c r="A13" s="144" t="s">
        <v>782</v>
      </c>
      <c r="B13" s="102" t="s">
        <v>797</v>
      </c>
      <c r="C13" s="102" t="s">
        <v>755</v>
      </c>
      <c r="D13" s="140" t="s">
        <v>764</v>
      </c>
      <c r="E13" s="102" t="n">
        <v>16783</v>
      </c>
      <c r="F13" s="1" t="s">
        <v>784</v>
      </c>
      <c r="H13" s="145" t="n">
        <v>44721</v>
      </c>
      <c r="I13" s="1" t="n">
        <f aca="false">IF(H13&lt;&gt;"",MONTH(H13),"")</f>
        <v>6</v>
      </c>
      <c r="J13" s="1" t="str">
        <f aca="false">IFERROR(VLOOKUP(D13,'Controle de equipamento'!$J:$V,4,0),"Adicionado")</f>
        <v>Adicionado</v>
      </c>
    </row>
    <row r="14" customFormat="false" ht="15" hidden="false" customHeight="false" outlineLevel="0" collapsed="false">
      <c r="A14" s="144" t="s">
        <v>782</v>
      </c>
      <c r="B14" s="102" t="s">
        <v>798</v>
      </c>
      <c r="C14" s="102" t="s">
        <v>755</v>
      </c>
      <c r="D14" s="140" t="n">
        <v>2542049</v>
      </c>
      <c r="E14" s="102" t="n">
        <v>16784</v>
      </c>
      <c r="F14" s="1" t="s">
        <v>784</v>
      </c>
      <c r="G14" s="1" t="s">
        <v>799</v>
      </c>
      <c r="H14" s="145" t="n">
        <v>44721</v>
      </c>
      <c r="I14" s="1" t="n">
        <f aca="false">IF(H14&lt;&gt;"",MONTH(H14),"")</f>
        <v>6</v>
      </c>
      <c r="J14" s="1" t="str">
        <f aca="false">IFERROR(VLOOKUP(D14,'Controle de equipamento'!$J:$V,4,0),"Adicionado")</f>
        <v>Adicionado</v>
      </c>
    </row>
    <row r="15" customFormat="false" ht="15" hidden="false" customHeight="false" outlineLevel="0" collapsed="false">
      <c r="A15" s="144" t="s">
        <v>782</v>
      </c>
      <c r="B15" s="102" t="s">
        <v>800</v>
      </c>
      <c r="C15" s="102" t="s">
        <v>758</v>
      </c>
      <c r="D15" s="140" t="s">
        <v>757</v>
      </c>
      <c r="E15" s="102" t="n">
        <v>16785</v>
      </c>
      <c r="F15" s="1" t="s">
        <v>784</v>
      </c>
      <c r="H15" s="145" t="n">
        <v>44721</v>
      </c>
      <c r="I15" s="1" t="n">
        <f aca="false">IF(H15&lt;&gt;"",MONTH(H15),"")</f>
        <v>6</v>
      </c>
      <c r="J15" s="1" t="str">
        <f aca="false">IFERROR(VLOOKUP(D15,'Controle de equipamento'!$J:$V,4,0),"Adicionado")</f>
        <v>Adicionado</v>
      </c>
    </row>
    <row r="16" customFormat="false" ht="15" hidden="false" customHeight="false" outlineLevel="0" collapsed="false">
      <c r="A16" s="144" t="s">
        <v>782</v>
      </c>
      <c r="B16" s="102" t="s">
        <v>801</v>
      </c>
      <c r="C16" s="102" t="s">
        <v>758</v>
      </c>
      <c r="D16" s="140" t="n">
        <v>2542049</v>
      </c>
      <c r="E16" s="102" t="n">
        <v>16786</v>
      </c>
      <c r="F16" s="1" t="s">
        <v>784</v>
      </c>
      <c r="H16" s="145" t="n">
        <v>44721</v>
      </c>
      <c r="I16" s="1" t="n">
        <f aca="false">IF(H16&lt;&gt;"",MONTH(H16),"")</f>
        <v>6</v>
      </c>
      <c r="J16" s="1" t="str">
        <f aca="false">IFERROR(VLOOKUP(D16,'Controle de equipamento'!$J:$V,4,0),"Adicionado")</f>
        <v>Adicionado</v>
      </c>
    </row>
    <row r="17" customFormat="false" ht="15" hidden="false" customHeight="false" outlineLevel="0" collapsed="false">
      <c r="A17" s="144" t="s">
        <v>782</v>
      </c>
      <c r="B17" s="102" t="s">
        <v>801</v>
      </c>
      <c r="C17" s="102" t="s">
        <v>758</v>
      </c>
      <c r="D17" s="140" t="s">
        <v>761</v>
      </c>
      <c r="E17" s="102" t="n">
        <v>16787</v>
      </c>
      <c r="F17" s="1" t="s">
        <v>784</v>
      </c>
      <c r="H17" s="145" t="n">
        <v>44721</v>
      </c>
      <c r="I17" s="1" t="n">
        <f aca="false">IF(H17&lt;&gt;"",MONTH(H17),"")</f>
        <v>6</v>
      </c>
      <c r="J17" s="1" t="str">
        <f aca="false">IFERROR(VLOOKUP(D17,'Controle de equipamento'!$J:$V,4,0),"Adicionado")</f>
        <v>Adicionado</v>
      </c>
    </row>
    <row r="18" customFormat="false" ht="15" hidden="false" customHeight="false" outlineLevel="0" collapsed="false">
      <c r="A18" s="144" t="s">
        <v>782</v>
      </c>
      <c r="B18" s="102" t="s">
        <v>802</v>
      </c>
      <c r="C18" s="102" t="s">
        <v>758</v>
      </c>
      <c r="D18" s="140" t="n">
        <v>3561967</v>
      </c>
      <c r="E18" s="102" t="n">
        <v>16788</v>
      </c>
      <c r="F18" s="1" t="s">
        <v>784</v>
      </c>
      <c r="H18" s="145" t="n">
        <v>44721</v>
      </c>
      <c r="I18" s="1" t="n">
        <f aca="false">IF(H18&lt;&gt;"",MONTH(H18),"")</f>
        <v>6</v>
      </c>
      <c r="J18" s="1" t="str">
        <f aca="false">IFERROR(VLOOKUP(D18,'Controle de equipamento'!$J:$V,4,0),"Adicionado")</f>
        <v>Adicionado</v>
      </c>
    </row>
    <row r="19" customFormat="false" ht="15" hidden="false" customHeight="false" outlineLevel="0" collapsed="false">
      <c r="A19" s="144" t="s">
        <v>782</v>
      </c>
      <c r="B19" s="102" t="s">
        <v>803</v>
      </c>
      <c r="C19" s="102" t="s">
        <v>758</v>
      </c>
      <c r="D19" s="140" t="n">
        <v>4280014</v>
      </c>
      <c r="E19" s="102" t="n">
        <v>16789</v>
      </c>
      <c r="F19" s="1" t="s">
        <v>784</v>
      </c>
      <c r="H19" s="145" t="n">
        <v>44721</v>
      </c>
      <c r="I19" s="1" t="n">
        <f aca="false">IF(H19&lt;&gt;"",MONTH(H19),"")</f>
        <v>6</v>
      </c>
      <c r="J19" s="1" t="str">
        <f aca="false">IFERROR(VLOOKUP(D19,'Controle de equipamento'!$J:$V,4,0),"Adicionado")</f>
        <v>Adicionado</v>
      </c>
    </row>
    <row r="20" customFormat="false" ht="15" hidden="false" customHeight="false" outlineLevel="0" collapsed="false">
      <c r="A20" s="144" t="s">
        <v>782</v>
      </c>
      <c r="B20" s="102" t="s">
        <v>804</v>
      </c>
      <c r="C20" s="102" t="s">
        <v>755</v>
      </c>
      <c r="D20" s="140" t="s">
        <v>763</v>
      </c>
      <c r="E20" s="102" t="n">
        <v>16790</v>
      </c>
      <c r="F20" s="1" t="s">
        <v>784</v>
      </c>
      <c r="H20" s="145" t="n">
        <v>44721</v>
      </c>
      <c r="I20" s="1" t="n">
        <f aca="false">IF(H20&lt;&gt;"",MONTH(H20),"")</f>
        <v>6</v>
      </c>
      <c r="J20" s="1" t="str">
        <f aca="false">IFERROR(VLOOKUP(D20,'Controle de equipamento'!$J:$V,4,0),"Adicionado")</f>
        <v>Adicionado</v>
      </c>
    </row>
    <row r="21" customFormat="false" ht="15" hidden="false" customHeight="false" outlineLevel="0" collapsed="false">
      <c r="A21" s="144" t="s">
        <v>805</v>
      </c>
      <c r="B21" s="102" t="s">
        <v>806</v>
      </c>
      <c r="C21" s="102" t="s">
        <v>81</v>
      </c>
      <c r="D21" s="140" t="n">
        <v>1217253</v>
      </c>
      <c r="E21" s="102" t="n">
        <v>16781</v>
      </c>
      <c r="F21" s="1" t="s">
        <v>784</v>
      </c>
      <c r="H21" s="145" t="n">
        <v>44721</v>
      </c>
      <c r="I21" s="1" t="n">
        <f aca="false">IF(H21&lt;&gt;"",MONTH(H21),"")</f>
        <v>6</v>
      </c>
      <c r="J21" s="1" t="str">
        <f aca="false">IFERROR(VLOOKUP(D21,'Controle de equipamento'!$J:$V,4,0),"Adicionado")</f>
        <v>Duque de Caxias-RJ</v>
      </c>
    </row>
    <row r="22" customFormat="false" ht="15" hidden="false" customHeight="false" outlineLevel="0" collapsed="false">
      <c r="A22" s="144" t="s">
        <v>807</v>
      </c>
      <c r="B22" s="102" t="s">
        <v>808</v>
      </c>
      <c r="C22" s="102" t="s">
        <v>447</v>
      </c>
      <c r="D22" s="140" t="n">
        <v>1827001035259</v>
      </c>
      <c r="E22" s="102" t="n">
        <v>16779</v>
      </c>
      <c r="F22" s="1" t="s">
        <v>784</v>
      </c>
      <c r="H22" s="145" t="n">
        <v>44721</v>
      </c>
      <c r="I22" s="1" t="n">
        <f aca="false">IF(H22&lt;&gt;"",MONTH(H22),"")</f>
        <v>6</v>
      </c>
      <c r="J22" s="1" t="str">
        <f aca="false">IFERROR(VLOOKUP(D22,'Controle de equipamento'!$J:$V,4,0),"Adicionado")</f>
        <v>Duque de Caxias-RJ</v>
      </c>
    </row>
    <row r="23" customFormat="false" ht="15" hidden="false" customHeight="false" outlineLevel="0" collapsed="false">
      <c r="A23" s="144" t="s">
        <v>782</v>
      </c>
      <c r="B23" s="102" t="s">
        <v>809</v>
      </c>
      <c r="C23" s="102" t="s">
        <v>445</v>
      </c>
      <c r="D23" s="140" t="n">
        <v>28708450</v>
      </c>
      <c r="E23" s="102" t="n">
        <v>16730</v>
      </c>
      <c r="F23" s="1" t="s">
        <v>784</v>
      </c>
      <c r="H23" s="145" t="n">
        <v>44721</v>
      </c>
      <c r="I23" s="1" t="n">
        <f aca="false">IF(H23&lt;&gt;"",MONTH(H23),"")</f>
        <v>6</v>
      </c>
      <c r="J23" s="1" t="str">
        <f aca="false">IFERROR(VLOOKUP(D23,'Controle de equipamento'!$J:$V,4,0),"Adicionado")</f>
        <v>Duque de Caxias-RJ</v>
      </c>
    </row>
    <row r="24" customFormat="false" ht="15" hidden="false" customHeight="false" outlineLevel="0" collapsed="false">
      <c r="A24" s="144" t="s">
        <v>782</v>
      </c>
      <c r="B24" s="102" t="s">
        <v>810</v>
      </c>
      <c r="C24" s="102" t="s">
        <v>442</v>
      </c>
      <c r="D24" s="110" t="s">
        <v>441</v>
      </c>
      <c r="E24" s="102" t="n">
        <v>16777</v>
      </c>
      <c r="F24" s="1" t="s">
        <v>784</v>
      </c>
      <c r="H24" s="145" t="n">
        <v>44721</v>
      </c>
      <c r="I24" s="1" t="n">
        <f aca="false">IF(H24&lt;&gt;"",MONTH(H24),"")</f>
        <v>6</v>
      </c>
      <c r="J24" s="1" t="str">
        <f aca="false">IFERROR(VLOOKUP(D24,'Controle de equipamento'!$J:$V,4,0),"Adicionado")</f>
        <v>Duque de Caxias-RJ</v>
      </c>
    </row>
    <row r="25" customFormat="false" ht="15" hidden="false" customHeight="false" outlineLevel="0" collapsed="false">
      <c r="A25" s="144" t="s">
        <v>782</v>
      </c>
      <c r="B25" s="102" t="s">
        <v>811</v>
      </c>
      <c r="C25" s="102" t="s">
        <v>452</v>
      </c>
      <c r="D25" s="140" t="s">
        <v>451</v>
      </c>
      <c r="E25" s="102" t="n">
        <v>16778</v>
      </c>
      <c r="F25" s="1" t="s">
        <v>784</v>
      </c>
      <c r="H25" s="145" t="n">
        <v>44721</v>
      </c>
      <c r="I25" s="1" t="n">
        <f aca="false">IF(H25&lt;&gt;"",MONTH(H25),"")</f>
        <v>6</v>
      </c>
      <c r="J25" s="1" t="str">
        <f aca="false">IFERROR(VLOOKUP(D25,'Controle de equipamento'!$J:$V,4,0),"Adicionado")</f>
        <v>Duque de Caxias-RJ</v>
      </c>
    </row>
    <row r="26" customFormat="false" ht="15" hidden="false" customHeight="false" outlineLevel="0" collapsed="false">
      <c r="A26" s="144" t="s">
        <v>782</v>
      </c>
      <c r="B26" s="102" t="s">
        <v>812</v>
      </c>
      <c r="C26" s="102" t="s">
        <v>81</v>
      </c>
      <c r="D26" s="140" t="s">
        <v>728</v>
      </c>
      <c r="E26" s="102" t="n">
        <v>16810</v>
      </c>
      <c r="F26" s="1" t="s">
        <v>784</v>
      </c>
      <c r="H26" s="145" t="n">
        <v>44725</v>
      </c>
      <c r="I26" s="1" t="n">
        <f aca="false">IF(H26&lt;&gt;"",MONTH(H26),"")</f>
        <v>6</v>
      </c>
      <c r="J26" s="1" t="str">
        <f aca="false">IFERROR(VLOOKUP(D26,'Controle de equipamento'!$J:$V,4,0),"Adicionado")</f>
        <v>Sorocaba-SP</v>
      </c>
    </row>
    <row r="27" customFormat="false" ht="15" hidden="false" customHeight="false" outlineLevel="0" collapsed="false">
      <c r="A27" s="144" t="s">
        <v>782</v>
      </c>
      <c r="B27" s="102" t="s">
        <v>813</v>
      </c>
      <c r="C27" s="102" t="s">
        <v>447</v>
      </c>
      <c r="D27" s="140" t="n">
        <v>1912001002159</v>
      </c>
      <c r="E27" s="102" t="n">
        <v>16811</v>
      </c>
      <c r="F27" s="1" t="s">
        <v>784</v>
      </c>
      <c r="H27" s="145" t="n">
        <v>44725</v>
      </c>
      <c r="I27" s="1" t="n">
        <f aca="false">IF(H27&lt;&gt;"",MONTH(H27),"")</f>
        <v>6</v>
      </c>
      <c r="J27" s="1" t="str">
        <f aca="false">IFERROR(VLOOKUP(D27,'Controle de equipamento'!$J:$V,4,0),"Adicionado")</f>
        <v>Sorocaba-SP</v>
      </c>
    </row>
    <row r="28" customFormat="false" ht="15" hidden="false" customHeight="false" outlineLevel="0" collapsed="false">
      <c r="A28" s="144" t="s">
        <v>814</v>
      </c>
      <c r="B28" s="102" t="s">
        <v>815</v>
      </c>
      <c r="C28" s="102" t="s">
        <v>724</v>
      </c>
      <c r="D28" s="140" t="s">
        <v>723</v>
      </c>
      <c r="E28" s="102" t="n">
        <v>16812</v>
      </c>
      <c r="F28" s="1" t="s">
        <v>784</v>
      </c>
      <c r="H28" s="145" t="n">
        <v>44725</v>
      </c>
      <c r="I28" s="1" t="n">
        <f aca="false">IF(H28&lt;&gt;"",MONTH(H28),"")</f>
        <v>6</v>
      </c>
      <c r="J28" s="1" t="str">
        <f aca="false">IFERROR(VLOOKUP(D28,'Controle de equipamento'!$J:$V,4,0),"Adicionado")</f>
        <v>Sorocaba-SP</v>
      </c>
    </row>
    <row r="29" customFormat="false" ht="15" hidden="false" customHeight="false" outlineLevel="0" collapsed="false">
      <c r="A29" s="144" t="s">
        <v>782</v>
      </c>
      <c r="B29" s="102" t="s">
        <v>816</v>
      </c>
      <c r="C29" s="102" t="s">
        <v>117</v>
      </c>
      <c r="D29" s="140" t="s">
        <v>726</v>
      </c>
      <c r="E29" s="102" t="n">
        <v>16813</v>
      </c>
      <c r="F29" s="1" t="s">
        <v>784</v>
      </c>
      <c r="H29" s="145" t="n">
        <v>44725</v>
      </c>
      <c r="I29" s="1" t="n">
        <f aca="false">IF(H29&lt;&gt;"",MONTH(H29),"")</f>
        <v>6</v>
      </c>
      <c r="J29" s="1" t="str">
        <f aca="false">IFERROR(VLOOKUP(D29,'Controle de equipamento'!$J:$V,4,0),"Adicionado")</f>
        <v>Sorocaba-SP</v>
      </c>
    </row>
    <row r="30" customFormat="false" ht="15" hidden="false" customHeight="false" outlineLevel="0" collapsed="false">
      <c r="A30" s="144" t="s">
        <v>817</v>
      </c>
      <c r="B30" s="102" t="s">
        <v>818</v>
      </c>
      <c r="C30" s="102" t="s">
        <v>447</v>
      </c>
      <c r="D30" s="140" t="n">
        <v>1827001034324</v>
      </c>
      <c r="E30" s="102" t="n">
        <v>16814</v>
      </c>
      <c r="F30" s="1" t="s">
        <v>784</v>
      </c>
      <c r="H30" s="145" t="n">
        <v>44725</v>
      </c>
      <c r="I30" s="1" t="n">
        <f aca="false">IF(H30&lt;&gt;"",MONTH(H30),"")</f>
        <v>6</v>
      </c>
      <c r="J30" s="1" t="str">
        <f aca="false">IFERROR(VLOOKUP(D30,'Controle de equipamento'!$J:$V,4,0),"Adicionado")</f>
        <v>Sorocaba-SP</v>
      </c>
    </row>
    <row r="31" customFormat="false" ht="15" hidden="false" customHeight="false" outlineLevel="0" collapsed="false">
      <c r="A31" s="144" t="s">
        <v>819</v>
      </c>
      <c r="B31" s="102" t="s">
        <v>818</v>
      </c>
      <c r="C31" s="102" t="s">
        <v>447</v>
      </c>
      <c r="D31" s="140" t="n">
        <v>1827001034317</v>
      </c>
      <c r="E31" s="102" t="n">
        <v>16815</v>
      </c>
      <c r="F31" s="1" t="s">
        <v>784</v>
      </c>
      <c r="H31" s="145" t="n">
        <v>44725</v>
      </c>
      <c r="I31" s="1" t="n">
        <f aca="false">IF(H31&lt;&gt;"",MONTH(H31),"")</f>
        <v>6</v>
      </c>
      <c r="J31" s="1" t="str">
        <f aca="false">IFERROR(VLOOKUP(D31,'Controle de equipamento'!$J:$V,4,0),"Adicionado")</f>
        <v>Sorocaba-SP</v>
      </c>
    </row>
    <row r="32" customFormat="false" ht="15" hidden="false" customHeight="false" outlineLevel="0" collapsed="false">
      <c r="A32" s="144" t="s">
        <v>782</v>
      </c>
      <c r="B32" s="102" t="s">
        <v>820</v>
      </c>
      <c r="C32" s="102" t="s">
        <v>81</v>
      </c>
      <c r="D32" s="140" t="n">
        <v>1531607</v>
      </c>
      <c r="E32" s="102" t="n">
        <v>16816</v>
      </c>
      <c r="F32" s="1" t="s">
        <v>784</v>
      </c>
      <c r="H32" s="145" t="n">
        <v>44725</v>
      </c>
      <c r="I32" s="1" t="n">
        <f aca="false">IF(H32&lt;&gt;"",MONTH(H32),"")</f>
        <v>6</v>
      </c>
      <c r="J32" s="1" t="str">
        <f aca="false">IFERROR(VLOOKUP(D32,'Controle de equipamento'!$J:$V,4,0),"Adicionado")</f>
        <v>Sorocaba-SP</v>
      </c>
    </row>
    <row r="33" customFormat="false" ht="15" hidden="false" customHeight="false" outlineLevel="0" collapsed="false">
      <c r="A33" s="144" t="s">
        <v>782</v>
      </c>
      <c r="B33" s="102" t="s">
        <v>821</v>
      </c>
      <c r="C33" s="102" t="s">
        <v>81</v>
      </c>
      <c r="D33" s="140" t="s">
        <v>729</v>
      </c>
      <c r="E33" s="102" t="n">
        <v>16817</v>
      </c>
      <c r="F33" s="1" t="s">
        <v>784</v>
      </c>
      <c r="G33" s="1" t="s">
        <v>822</v>
      </c>
      <c r="H33" s="145" t="n">
        <v>44725</v>
      </c>
      <c r="I33" s="1" t="n">
        <f aca="false">IF(H33&lt;&gt;"",MONTH(H33),"")</f>
        <v>6</v>
      </c>
      <c r="J33" s="1" t="str">
        <f aca="false">IFERROR(VLOOKUP(D33,'Controle de equipamento'!$J:$V,4,0),"Adicionado")</f>
        <v>Sorocaba-SP</v>
      </c>
    </row>
    <row r="34" customFormat="false" ht="15" hidden="false" customHeight="false" outlineLevel="0" collapsed="false">
      <c r="A34" s="144" t="s">
        <v>782</v>
      </c>
      <c r="B34" s="102" t="s">
        <v>821</v>
      </c>
      <c r="C34" s="102" t="s">
        <v>81</v>
      </c>
      <c r="D34" s="140" t="s">
        <v>730</v>
      </c>
      <c r="E34" s="102" t="n">
        <v>16818</v>
      </c>
      <c r="F34" s="1" t="s">
        <v>784</v>
      </c>
      <c r="G34" s="1" t="s">
        <v>823</v>
      </c>
      <c r="H34" s="145" t="n">
        <v>44725</v>
      </c>
      <c r="I34" s="1" t="n">
        <f aca="false">IF(H34&lt;&gt;"",MONTH(H34),"")</f>
        <v>6</v>
      </c>
      <c r="J34" s="1" t="str">
        <f aca="false">IFERROR(VLOOKUP(D34,'Controle de equipamento'!$J:$V,4,0),"Adicionado")</f>
        <v>Sorocaba-SP</v>
      </c>
    </row>
    <row r="35" customFormat="false" ht="15" hidden="false" customHeight="false" outlineLevel="0" collapsed="false">
      <c r="A35" s="144" t="s">
        <v>824</v>
      </c>
      <c r="B35" s="102" t="s">
        <v>812</v>
      </c>
      <c r="C35" s="102" t="s">
        <v>81</v>
      </c>
      <c r="D35" s="140" t="s">
        <v>721</v>
      </c>
      <c r="E35" s="102" t="n">
        <v>16819</v>
      </c>
      <c r="F35" s="1" t="s">
        <v>784</v>
      </c>
      <c r="H35" s="145" t="n">
        <v>44725</v>
      </c>
      <c r="I35" s="1" t="n">
        <f aca="false">IF(H35&lt;&gt;"",MONTH(H35),"")</f>
        <v>6</v>
      </c>
      <c r="J35" s="1" t="str">
        <f aca="false">IFERROR(VLOOKUP(D35,'Controle de equipamento'!$J:$V,4,0),"Adicionado")</f>
        <v>Sorocaba-SP</v>
      </c>
    </row>
    <row r="36" customFormat="false" ht="15" hidden="false" customHeight="false" outlineLevel="0" collapsed="false">
      <c r="A36" s="144" t="s">
        <v>782</v>
      </c>
      <c r="B36" s="102" t="s">
        <v>825</v>
      </c>
      <c r="C36" s="102" t="s">
        <v>84</v>
      </c>
      <c r="D36" s="140" t="n">
        <v>4224376</v>
      </c>
      <c r="E36" s="102" t="n">
        <v>16820</v>
      </c>
      <c r="F36" s="1" t="s">
        <v>784</v>
      </c>
      <c r="H36" s="145" t="n">
        <v>44725</v>
      </c>
      <c r="I36" s="1" t="n">
        <f aca="false">IF(H36&lt;&gt;"",MONTH(H36),"")</f>
        <v>6</v>
      </c>
      <c r="J36" s="1" t="str">
        <f aca="false">IFERROR(VLOOKUP(D36,'Controle de equipamento'!$J:$V,4,0),"Adicionado")</f>
        <v>Sorocaba-SP</v>
      </c>
    </row>
    <row r="37" customFormat="false" ht="15" hidden="false" customHeight="false" outlineLevel="0" collapsed="false">
      <c r="A37" s="144" t="s">
        <v>782</v>
      </c>
      <c r="B37" s="102" t="s">
        <v>826</v>
      </c>
      <c r="C37" s="102" t="s">
        <v>136</v>
      </c>
      <c r="D37" s="140" t="n">
        <v>1584381</v>
      </c>
      <c r="E37" s="102" t="n">
        <v>16821</v>
      </c>
      <c r="F37" s="1" t="s">
        <v>784</v>
      </c>
      <c r="G37" s="1" t="s">
        <v>827</v>
      </c>
      <c r="H37" s="145" t="n">
        <v>44725</v>
      </c>
      <c r="I37" s="1" t="n">
        <f aca="false">IF(H37&lt;&gt;"",MONTH(H37),"")</f>
        <v>6</v>
      </c>
      <c r="J37" s="1" t="str">
        <f aca="false">IFERROR(VLOOKUP(D37,'Controle de equipamento'!$J:$V,4,0),"Adicionado")</f>
        <v>Sorocaba-SP</v>
      </c>
    </row>
    <row r="38" customFormat="false" ht="15" hidden="false" customHeight="false" outlineLevel="0" collapsed="false">
      <c r="A38" s="144" t="s">
        <v>782</v>
      </c>
      <c r="B38" s="102" t="s">
        <v>828</v>
      </c>
      <c r="C38" s="102" t="s">
        <v>733</v>
      </c>
      <c r="D38" s="140" t="s">
        <v>732</v>
      </c>
      <c r="E38" s="102" t="n">
        <v>16822</v>
      </c>
      <c r="F38" s="1" t="s">
        <v>784</v>
      </c>
      <c r="H38" s="145" t="n">
        <v>44725</v>
      </c>
      <c r="I38" s="1" t="n">
        <f aca="false">IF(H38&lt;&gt;"",MONTH(H38),"")</f>
        <v>6</v>
      </c>
      <c r="J38" s="1" t="str">
        <f aca="false">IFERROR(VLOOKUP(D38,'Controle de equipamento'!$J:$V,4,0),"Adicionado")</f>
        <v>Sorocaba-SP</v>
      </c>
    </row>
    <row r="39" customFormat="false" ht="15" hidden="false" customHeight="false" outlineLevel="0" collapsed="false">
      <c r="A39" s="144" t="s">
        <v>782</v>
      </c>
      <c r="B39" s="102" t="s">
        <v>825</v>
      </c>
      <c r="C39" s="102" t="s">
        <v>84</v>
      </c>
      <c r="D39" s="140" t="n">
        <v>4224035</v>
      </c>
      <c r="E39" s="102" t="n">
        <v>16878</v>
      </c>
      <c r="F39" s="1" t="s">
        <v>784</v>
      </c>
      <c r="H39" s="145" t="n">
        <v>44725</v>
      </c>
      <c r="I39" s="1" t="n">
        <f aca="false">IF(H39&lt;&gt;"",MONTH(H39),"")</f>
        <v>6</v>
      </c>
      <c r="J39" s="1" t="str">
        <f aca="false">IFERROR(VLOOKUP(D39,'Controle de equipamento'!$J:$V,4,0),"Adicionado")</f>
        <v>Sorocaba-SP</v>
      </c>
    </row>
    <row r="40" customFormat="false" ht="15" hidden="false" customHeight="false" outlineLevel="0" collapsed="false">
      <c r="A40" s="144" t="s">
        <v>829</v>
      </c>
      <c r="B40" s="102" t="s">
        <v>825</v>
      </c>
      <c r="C40" s="102" t="s">
        <v>830</v>
      </c>
      <c r="D40" s="140" t="n">
        <v>4211535</v>
      </c>
      <c r="E40" s="102" t="n">
        <v>16805</v>
      </c>
      <c r="F40" s="1" t="s">
        <v>784</v>
      </c>
      <c r="H40" s="145" t="n">
        <v>44725</v>
      </c>
      <c r="I40" s="1" t="n">
        <f aca="false">IF(H40&lt;&gt;"",MONTH(H40),"")</f>
        <v>6</v>
      </c>
      <c r="J40" s="1" t="str">
        <f aca="false">IFERROR(VLOOKUP(D40,'Controle de equipamento'!$J:$V,4,0),"Adicionado")</f>
        <v>Alumínio-SP</v>
      </c>
    </row>
    <row r="41" customFormat="false" ht="15" hidden="false" customHeight="false" outlineLevel="0" collapsed="false">
      <c r="A41" s="144" t="s">
        <v>782</v>
      </c>
      <c r="B41" s="102" t="s">
        <v>825</v>
      </c>
      <c r="C41" s="102" t="s">
        <v>830</v>
      </c>
      <c r="D41" s="140" t="n">
        <v>4220739</v>
      </c>
      <c r="E41" s="102" t="n">
        <v>16806</v>
      </c>
      <c r="F41" s="1" t="s">
        <v>784</v>
      </c>
      <c r="H41" s="145" t="n">
        <v>44725</v>
      </c>
      <c r="I41" s="1" t="n">
        <f aca="false">IF(H41&lt;&gt;"",MONTH(H41),"")</f>
        <v>6</v>
      </c>
      <c r="J41" s="1" t="str">
        <f aca="false">IFERROR(VLOOKUP(D41,'Controle de equipamento'!$J:$V,4,0),"Adicionado")</f>
        <v>Alumínio-SP</v>
      </c>
    </row>
    <row r="42" customFormat="false" ht="15" hidden="false" customHeight="false" outlineLevel="0" collapsed="false">
      <c r="A42" s="144" t="s">
        <v>782</v>
      </c>
      <c r="B42" s="102" t="s">
        <v>826</v>
      </c>
      <c r="C42" s="102" t="s">
        <v>136</v>
      </c>
      <c r="D42" s="140" t="n">
        <v>612331</v>
      </c>
      <c r="E42" s="102" t="n">
        <v>16808</v>
      </c>
      <c r="F42" s="1" t="s">
        <v>784</v>
      </c>
      <c r="G42" s="1" t="s">
        <v>831</v>
      </c>
      <c r="H42" s="145" t="n">
        <v>44725</v>
      </c>
      <c r="I42" s="1" t="n">
        <f aca="false">IF(H42&lt;&gt;"",MONTH(H42),"")</f>
        <v>6</v>
      </c>
      <c r="J42" s="1" t="str">
        <f aca="false">IFERROR(VLOOKUP(D42,'Controle de equipamento'!$J:$V,4,0),"Adicionado")</f>
        <v>Alumínio-SP</v>
      </c>
    </row>
    <row r="43" customFormat="false" ht="15" hidden="false" customHeight="false" outlineLevel="0" collapsed="false">
      <c r="A43" s="144" t="s">
        <v>782</v>
      </c>
      <c r="B43" s="102" t="s">
        <v>832</v>
      </c>
      <c r="C43" s="102" t="s">
        <v>758</v>
      </c>
      <c r="D43" s="140" t="s">
        <v>766</v>
      </c>
      <c r="E43" s="102" t="n">
        <v>16809</v>
      </c>
      <c r="F43" s="1" t="s">
        <v>784</v>
      </c>
      <c r="H43" s="145" t="n">
        <v>44725</v>
      </c>
      <c r="I43" s="1" t="n">
        <f aca="false">IF(H43&lt;&gt;"",MONTH(H43),"")</f>
        <v>6</v>
      </c>
      <c r="J43" s="1" t="str">
        <f aca="false">IFERROR(VLOOKUP(D43,'Controle de equipamento'!$J:$V,4,0),"Adicionado")</f>
        <v>Adicionado</v>
      </c>
    </row>
    <row r="44" customFormat="false" ht="15" hidden="false" customHeight="false" outlineLevel="0" collapsed="false">
      <c r="A44" s="144" t="s">
        <v>833</v>
      </c>
      <c r="B44" s="102" t="s">
        <v>812</v>
      </c>
      <c r="C44" s="102" t="s">
        <v>81</v>
      </c>
      <c r="D44" s="140" t="s">
        <v>680</v>
      </c>
      <c r="E44" s="102" t="n">
        <v>16837</v>
      </c>
      <c r="F44" s="1" t="s">
        <v>784</v>
      </c>
      <c r="G44" s="1" t="s">
        <v>834</v>
      </c>
      <c r="H44" s="145" t="n">
        <v>44727</v>
      </c>
      <c r="I44" s="1" t="n">
        <f aca="false">IF(H44&lt;&gt;"",MONTH(H44),"")</f>
        <v>6</v>
      </c>
      <c r="J44" s="1" t="str">
        <f aca="false">IFERROR(VLOOKUP(D44,'Controle de equipamento'!$J:$V,4,0),"Adicionado")</f>
        <v>Santo André-SP</v>
      </c>
    </row>
    <row r="45" customFormat="false" ht="15" hidden="false" customHeight="false" outlineLevel="0" collapsed="false">
      <c r="A45" s="144" t="s">
        <v>835</v>
      </c>
      <c r="B45" s="102" t="s">
        <v>836</v>
      </c>
      <c r="C45" s="102" t="s">
        <v>87</v>
      </c>
      <c r="D45" s="140" t="n">
        <v>52395</v>
      </c>
      <c r="E45" s="102" t="n">
        <v>16827</v>
      </c>
      <c r="F45" s="1" t="s">
        <v>784</v>
      </c>
      <c r="H45" s="145" t="n">
        <v>44727</v>
      </c>
      <c r="I45" s="1" t="n">
        <f aca="false">IF(H45&lt;&gt;"",MONTH(H45),"")</f>
        <v>6</v>
      </c>
      <c r="J45" s="1" t="str">
        <f aca="false">IFERROR(VLOOKUP(D45,'Controle de equipamento'!$J:$V,4,0),"Adicionado")</f>
        <v>São José dos Campos-SP</v>
      </c>
    </row>
    <row r="46" customFormat="false" ht="15" hidden="false" customHeight="false" outlineLevel="0" collapsed="false">
      <c r="A46" s="144" t="s">
        <v>782</v>
      </c>
      <c r="B46" s="102" t="s">
        <v>837</v>
      </c>
      <c r="C46" s="102" t="s">
        <v>87</v>
      </c>
      <c r="D46" s="140" t="n">
        <v>49334</v>
      </c>
      <c r="E46" s="102" t="n">
        <v>16830</v>
      </c>
      <c r="F46" s="1" t="s">
        <v>784</v>
      </c>
      <c r="H46" s="145" t="n">
        <v>44727</v>
      </c>
      <c r="I46" s="1" t="n">
        <f aca="false">IF(H46&lt;&gt;"",MONTH(H46),"")</f>
        <v>6</v>
      </c>
      <c r="J46" s="1" t="str">
        <f aca="false">IFERROR(VLOOKUP(D46,'Controle de equipamento'!$J:$V,4,0),"Adicionado")</f>
        <v>Santo André-SP</v>
      </c>
    </row>
    <row r="47" customFormat="false" ht="15" hidden="false" customHeight="false" outlineLevel="0" collapsed="false">
      <c r="A47" s="144" t="s">
        <v>838</v>
      </c>
      <c r="B47" s="102" t="s">
        <v>836</v>
      </c>
      <c r="C47" s="102" t="s">
        <v>87</v>
      </c>
      <c r="D47" s="140" t="n">
        <v>31520</v>
      </c>
      <c r="E47" s="102" t="n">
        <v>16831</v>
      </c>
      <c r="F47" s="1" t="s">
        <v>784</v>
      </c>
      <c r="H47" s="145" t="n">
        <v>44727</v>
      </c>
      <c r="I47" s="1" t="n">
        <f aca="false">IF(H47&lt;&gt;"",MONTH(H47),"")</f>
        <v>6</v>
      </c>
      <c r="J47" s="1" t="str">
        <f aca="false">IFERROR(VLOOKUP(D47,'Controle de equipamento'!$J:$V,4,0),"Adicionado")</f>
        <v>Santo André-SP</v>
      </c>
    </row>
    <row r="48" customFormat="false" ht="15" hidden="false" customHeight="false" outlineLevel="0" collapsed="false">
      <c r="A48" s="144" t="s">
        <v>782</v>
      </c>
      <c r="B48" s="102" t="s">
        <v>839</v>
      </c>
      <c r="C48" s="102" t="s">
        <v>81</v>
      </c>
      <c r="D48" s="140" t="n">
        <v>141490001004</v>
      </c>
      <c r="E48" s="102" t="n">
        <v>16832</v>
      </c>
      <c r="F48" s="1" t="s">
        <v>784</v>
      </c>
      <c r="H48" s="145" t="n">
        <v>44727</v>
      </c>
      <c r="I48" s="1" t="n">
        <f aca="false">IF(H48&lt;&gt;"",MONTH(H48),"")</f>
        <v>6</v>
      </c>
      <c r="J48" s="1" t="str">
        <f aca="false">IFERROR(VLOOKUP(D48,'Controle de equipamento'!$J:$V,4,0),"Adicionado")</f>
        <v>Santo André-SP</v>
      </c>
    </row>
    <row r="49" customFormat="false" ht="15" hidden="false" customHeight="false" outlineLevel="0" collapsed="false">
      <c r="A49" s="144" t="s">
        <v>782</v>
      </c>
      <c r="B49" s="102" t="s">
        <v>840</v>
      </c>
      <c r="C49" s="102" t="s">
        <v>534</v>
      </c>
      <c r="D49" s="140" t="n">
        <v>6261850</v>
      </c>
      <c r="E49" s="102" t="n">
        <v>16916</v>
      </c>
      <c r="F49" s="1" t="s">
        <v>784</v>
      </c>
      <c r="H49" s="145" t="n">
        <v>44732</v>
      </c>
      <c r="I49" s="1" t="n">
        <f aca="false">IF(H49&lt;&gt;"",MONTH(H49),"")</f>
        <v>6</v>
      </c>
      <c r="J49" s="1" t="str">
        <f aca="false">IFERROR(VLOOKUP(D49,'Controle de equipamento'!$J:$V,4,0),"Adicionado")</f>
        <v>Cotia -SP</v>
      </c>
    </row>
    <row r="50" customFormat="false" ht="15" hidden="false" customHeight="false" outlineLevel="0" collapsed="false">
      <c r="A50" s="144" t="s">
        <v>841</v>
      </c>
      <c r="B50" s="102" t="s">
        <v>842</v>
      </c>
      <c r="C50" s="102" t="s">
        <v>81</v>
      </c>
      <c r="D50" s="140" t="s">
        <v>598</v>
      </c>
      <c r="E50" s="102" t="n">
        <v>16914</v>
      </c>
      <c r="F50" s="1" t="s">
        <v>784</v>
      </c>
      <c r="H50" s="145" t="n">
        <v>44732</v>
      </c>
      <c r="I50" s="1" t="n">
        <f aca="false">IF(H50&lt;&gt;"",MONTH(H50),"")</f>
        <v>6</v>
      </c>
      <c r="J50" s="1" t="str">
        <f aca="false">IFERROR(VLOOKUP(D50,'Controle de equipamento'!$J:$V,4,0),"Adicionado")</f>
        <v>Cotia -SP</v>
      </c>
    </row>
    <row r="51" customFormat="false" ht="15" hidden="false" customHeight="false" outlineLevel="0" collapsed="false">
      <c r="A51" s="144" t="s">
        <v>843</v>
      </c>
      <c r="B51" s="102" t="s">
        <v>844</v>
      </c>
      <c r="C51" s="102" t="s">
        <v>81</v>
      </c>
      <c r="D51" s="140" t="n">
        <v>160110001009</v>
      </c>
      <c r="E51" s="102" t="n">
        <v>16619</v>
      </c>
      <c r="F51" s="1" t="s">
        <v>784</v>
      </c>
      <c r="H51" s="145" t="n">
        <v>44732</v>
      </c>
      <c r="I51" s="1" t="n">
        <f aca="false">IF(H51&lt;&gt;"",MONTH(H51),"")</f>
        <v>6</v>
      </c>
      <c r="J51" s="1" t="str">
        <f aca="false">IFERROR(VLOOKUP(D51,'Controle de equipamento'!$J:$V,4,0),"Adicionado")</f>
        <v>Cotia -SP</v>
      </c>
    </row>
    <row r="52" customFormat="false" ht="15" hidden="false" customHeight="false" outlineLevel="0" collapsed="false">
      <c r="A52" s="144" t="s">
        <v>782</v>
      </c>
      <c r="B52" s="102" t="s">
        <v>845</v>
      </c>
      <c r="C52" s="102" t="s">
        <v>84</v>
      </c>
      <c r="D52" s="140" t="n">
        <v>4240430</v>
      </c>
      <c r="E52" s="102" t="n">
        <v>16925</v>
      </c>
      <c r="F52" s="1" t="s">
        <v>784</v>
      </c>
      <c r="H52" s="145" t="n">
        <v>44732</v>
      </c>
      <c r="I52" s="1" t="n">
        <f aca="false">IF(H52&lt;&gt;"",MONTH(H52),"")</f>
        <v>6</v>
      </c>
      <c r="J52" s="1" t="str">
        <f aca="false">IFERROR(VLOOKUP(D52,'Controle de equipamento'!$J:$V,4,0),"Adicionado")</f>
        <v>São Paulo-SP</v>
      </c>
    </row>
    <row r="53" customFormat="false" ht="15" hidden="false" customHeight="false" outlineLevel="0" collapsed="false">
      <c r="A53" s="144" t="s">
        <v>782</v>
      </c>
      <c r="B53" s="102" t="s">
        <v>845</v>
      </c>
      <c r="C53" s="102" t="s">
        <v>84</v>
      </c>
      <c r="D53" s="140" t="n">
        <v>614031</v>
      </c>
      <c r="E53" s="102" t="n">
        <v>16924</v>
      </c>
      <c r="F53" s="1" t="s">
        <v>784</v>
      </c>
      <c r="H53" s="145" t="n">
        <v>44732</v>
      </c>
      <c r="I53" s="1" t="n">
        <f aca="false">IF(H53&lt;&gt;"",MONTH(H53),"")</f>
        <v>6</v>
      </c>
      <c r="J53" s="1" t="str">
        <f aca="false">IFERROR(VLOOKUP(D53,'Controle de equipamento'!$J:$V,4,0),"Adicionado")</f>
        <v>São Paulo-SP</v>
      </c>
    </row>
    <row r="54" customFormat="false" ht="15" hidden="false" customHeight="false" outlineLevel="0" collapsed="false">
      <c r="A54" s="144" t="s">
        <v>782</v>
      </c>
      <c r="B54" s="102" t="s">
        <v>846</v>
      </c>
      <c r="C54" s="102" t="s">
        <v>136</v>
      </c>
      <c r="D54" s="140" t="n">
        <v>2901959</v>
      </c>
      <c r="E54" s="102" t="n">
        <v>16922</v>
      </c>
      <c r="F54" s="1" t="s">
        <v>784</v>
      </c>
      <c r="H54" s="145" t="n">
        <v>44732</v>
      </c>
      <c r="I54" s="1" t="n">
        <f aca="false">IF(H54&lt;&gt;"",MONTH(H54),"")</f>
        <v>6</v>
      </c>
      <c r="J54" s="1" t="str">
        <f aca="false">IFERROR(VLOOKUP(D54,'Controle de equipamento'!$J:$V,4,0),"Adicionado")</f>
        <v>São Paulo-SP</v>
      </c>
    </row>
    <row r="55" customFormat="false" ht="15" hidden="false" customHeight="false" outlineLevel="0" collapsed="false">
      <c r="A55" s="144" t="s">
        <v>847</v>
      </c>
      <c r="B55" s="102" t="s">
        <v>848</v>
      </c>
      <c r="C55" s="102" t="s">
        <v>81</v>
      </c>
      <c r="D55" s="140" t="n">
        <v>1201020001</v>
      </c>
      <c r="E55" s="102" t="n">
        <v>16923</v>
      </c>
      <c r="F55" s="1" t="s">
        <v>784</v>
      </c>
      <c r="H55" s="145" t="n">
        <v>44732</v>
      </c>
      <c r="I55" s="1" t="n">
        <f aca="false">IF(H55&lt;&gt;"",MONTH(H55),"")</f>
        <v>6</v>
      </c>
      <c r="J55" s="1" t="str">
        <f aca="false">IFERROR(VLOOKUP(D55,'Controle de equipamento'!$J:$V,4,0),"Adicionado")</f>
        <v>São Paulo-SP</v>
      </c>
    </row>
    <row r="56" customFormat="false" ht="15" hidden="false" customHeight="false" outlineLevel="0" collapsed="false">
      <c r="A56" s="144" t="s">
        <v>782</v>
      </c>
      <c r="B56" s="102" t="s">
        <v>849</v>
      </c>
      <c r="C56" s="102" t="s">
        <v>136</v>
      </c>
      <c r="D56" s="140" t="n">
        <v>1584391</v>
      </c>
      <c r="E56" s="102" t="n">
        <v>16936</v>
      </c>
      <c r="F56" s="1" t="s">
        <v>784</v>
      </c>
      <c r="G56" s="1" t="s">
        <v>850</v>
      </c>
      <c r="H56" s="145" t="n">
        <v>44733</v>
      </c>
      <c r="I56" s="1" t="n">
        <f aca="false">IF(H56&lt;&gt;"",MONTH(H56),"")</f>
        <v>6</v>
      </c>
      <c r="J56" s="1" t="str">
        <f aca="false">IFERROR(VLOOKUP(D56,'Controle de equipamento'!$J:$V,4,0),"Adicionado")</f>
        <v>Santo André-SP</v>
      </c>
    </row>
    <row r="57" customFormat="false" ht="15" hidden="false" customHeight="false" outlineLevel="0" collapsed="false">
      <c r="A57" s="144" t="s">
        <v>782</v>
      </c>
      <c r="B57" s="102" t="s">
        <v>848</v>
      </c>
      <c r="C57" s="102" t="s">
        <v>81</v>
      </c>
      <c r="D57" s="140" t="n">
        <v>182180001013</v>
      </c>
      <c r="E57" s="102" t="n">
        <v>16937</v>
      </c>
      <c r="F57" s="1" t="s">
        <v>784</v>
      </c>
      <c r="H57" s="145" t="n">
        <v>44733</v>
      </c>
      <c r="I57" s="1" t="n">
        <f aca="false">IF(H57&lt;&gt;"",MONTH(H57),"")</f>
        <v>6</v>
      </c>
      <c r="J57" s="1" t="str">
        <f aca="false">IFERROR(VLOOKUP(D57,'Controle de equipamento'!$J:$V,4,0),"Adicionado")</f>
        <v>Santo André-SP</v>
      </c>
    </row>
    <row r="58" customFormat="false" ht="15" hidden="false" customHeight="false" outlineLevel="0" collapsed="false">
      <c r="A58" s="144" t="s">
        <v>782</v>
      </c>
      <c r="B58" s="102" t="s">
        <v>849</v>
      </c>
      <c r="C58" s="102" t="s">
        <v>136</v>
      </c>
      <c r="D58" s="140" t="n">
        <v>585193</v>
      </c>
      <c r="E58" s="102" t="n">
        <v>16933</v>
      </c>
      <c r="F58" s="1" t="s">
        <v>784</v>
      </c>
      <c r="H58" s="145" t="n">
        <v>44733</v>
      </c>
      <c r="I58" s="1" t="n">
        <f aca="false">IF(H58&lt;&gt;"",MONTH(H58),"")</f>
        <v>6</v>
      </c>
      <c r="J58" s="1" t="str">
        <f aca="false">IFERROR(VLOOKUP(D58,'Controle de equipamento'!$J:$V,4,0),"Adicionado")</f>
        <v>ABC-SP</v>
      </c>
    </row>
    <row r="59" customFormat="false" ht="15" hidden="false" customHeight="false" outlineLevel="0" collapsed="false">
      <c r="A59" s="144" t="s">
        <v>782</v>
      </c>
      <c r="B59" s="102" t="s">
        <v>845</v>
      </c>
      <c r="C59" s="102" t="s">
        <v>84</v>
      </c>
      <c r="D59" s="140" t="n">
        <v>410580</v>
      </c>
      <c r="E59" s="102" t="n">
        <v>16955</v>
      </c>
      <c r="F59" s="1" t="s">
        <v>784</v>
      </c>
      <c r="H59" s="145" t="n">
        <v>44733</v>
      </c>
      <c r="I59" s="1" t="n">
        <f aca="false">IF(H59&lt;&gt;"",MONTH(H59),"")</f>
        <v>6</v>
      </c>
      <c r="J59" s="1" t="str">
        <f aca="false">IFERROR(VLOOKUP(D59,'Controle de equipamento'!$J:$V,4,0),"Adicionado")</f>
        <v>ABC-SP</v>
      </c>
    </row>
    <row r="60" customFormat="false" ht="15" hidden="false" customHeight="false" outlineLevel="0" collapsed="false">
      <c r="A60" s="144" t="s">
        <v>782</v>
      </c>
      <c r="B60" s="102" t="s">
        <v>851</v>
      </c>
      <c r="C60" s="102" t="s">
        <v>81</v>
      </c>
      <c r="D60" s="140" t="n">
        <v>20390019932</v>
      </c>
      <c r="E60" s="102" t="n">
        <v>16953</v>
      </c>
      <c r="F60" s="1" t="s">
        <v>784</v>
      </c>
      <c r="G60" s="1" t="s">
        <v>852</v>
      </c>
      <c r="H60" s="145" t="n">
        <v>44733</v>
      </c>
      <c r="I60" s="1" t="n">
        <f aca="false">IF(H60&lt;&gt;"",MONTH(H60),"")</f>
        <v>6</v>
      </c>
      <c r="J60" s="1" t="str">
        <f aca="false">IFERROR(VLOOKUP(D60,'Controle de equipamento'!$J:$V,4,0),"Adicionado")</f>
        <v>Santo André-SP</v>
      </c>
    </row>
    <row r="61" customFormat="false" ht="15" hidden="false" customHeight="false" outlineLevel="0" collapsed="false">
      <c r="A61" s="144" t="s">
        <v>782</v>
      </c>
      <c r="B61" s="102" t="s">
        <v>848</v>
      </c>
      <c r="C61" s="102" t="s">
        <v>81</v>
      </c>
      <c r="D61" s="140" t="n">
        <v>182180001013</v>
      </c>
      <c r="E61" s="102" t="n">
        <v>16954</v>
      </c>
      <c r="F61" s="1" t="s">
        <v>784</v>
      </c>
      <c r="G61" s="1" t="s">
        <v>850</v>
      </c>
      <c r="H61" s="145" t="n">
        <v>44733</v>
      </c>
      <c r="I61" s="1" t="n">
        <f aca="false">IF(H61&lt;&gt;"",MONTH(H61),"")</f>
        <v>6</v>
      </c>
      <c r="J61" s="1" t="str">
        <f aca="false">IFERROR(VLOOKUP(D61,'Controle de equipamento'!$J:$V,4,0),"Adicionado")</f>
        <v>Santo André-SP</v>
      </c>
    </row>
    <row r="62" customFormat="false" ht="15" hidden="false" customHeight="false" outlineLevel="0" collapsed="false">
      <c r="J62" s="1" t="str">
        <f aca="false">IFERROR(VLOOKUP(D62,'Controle de equipamento'!$J:$V,4,0),"Adicionado")</f>
        <v>Adicionado</v>
      </c>
    </row>
    <row r="63" customFormat="false" ht="15" hidden="false" customHeight="false" outlineLevel="0" collapsed="false">
      <c r="J63" s="1" t="str">
        <f aca="false">IFERROR(VLOOKUP(D63,'Controle de equipamento'!$J:$V,4,0),"Adicionado")</f>
        <v>Adicionado</v>
      </c>
    </row>
    <row r="64" customFormat="false" ht="15" hidden="false" customHeight="false" outlineLevel="0" collapsed="false">
      <c r="J64" s="1" t="str">
        <f aca="false">IFERROR(VLOOKUP(D64,'Controle de equipamento'!$J:$V,4,0),"Adicionado")</f>
        <v>Adicionado</v>
      </c>
    </row>
    <row r="65" customFormat="false" ht="15" hidden="false" customHeight="false" outlineLevel="0" collapsed="false">
      <c r="J65" s="1" t="str">
        <f aca="false">IFERROR(VLOOKUP(D65,'Controle de equipamento'!$J:$V,4,0),"Adicionado")</f>
        <v>Adicionado</v>
      </c>
    </row>
    <row r="66" customFormat="false" ht="15" hidden="false" customHeight="false" outlineLevel="0" collapsed="false">
      <c r="J66" s="1" t="str">
        <f aca="false">IFERROR(VLOOKUP(D66,'Controle de equipamento'!$J:$V,4,0),"Adicionado")</f>
        <v>Adicionado</v>
      </c>
    </row>
    <row r="67" customFormat="false" ht="15" hidden="false" customHeight="false" outlineLevel="0" collapsed="false">
      <c r="J67" s="1" t="str">
        <f aca="false">IFERROR(VLOOKUP(D67,'Controle de equipamento'!$J:$V,4,0),"Adicionado")</f>
        <v>Adicionado</v>
      </c>
    </row>
    <row r="68" customFormat="false" ht="15" hidden="false" customHeight="false" outlineLevel="0" collapsed="false">
      <c r="A68" s="144" t="s">
        <v>853</v>
      </c>
      <c r="B68" s="102" t="s">
        <v>806</v>
      </c>
      <c r="C68" s="102" t="s">
        <v>854</v>
      </c>
      <c r="D68" s="110" t="n">
        <v>1358800</v>
      </c>
      <c r="E68" s="102" t="n">
        <v>12326</v>
      </c>
      <c r="F68" s="1" t="s">
        <v>784</v>
      </c>
      <c r="G68" s="1" t="s">
        <v>855</v>
      </c>
      <c r="H68" s="145" t="n">
        <v>44333</v>
      </c>
      <c r="I68" s="1" t="n">
        <f aca="false">IF(H68&lt;&gt;"",MONTH(H68),"")</f>
        <v>5</v>
      </c>
      <c r="J68" s="1" t="str">
        <f aca="false">IFERROR(VLOOKUP(D68,'Controle de equipamento'!$J:$V,4,0),"Adicionado")</f>
        <v>Alumínio-SP</v>
      </c>
    </row>
    <row r="69" customFormat="false" ht="15" hidden="false" customHeight="false" outlineLevel="0" collapsed="false">
      <c r="A69" s="144" t="s">
        <v>829</v>
      </c>
      <c r="B69" s="102" t="s">
        <v>856</v>
      </c>
      <c r="C69" s="102" t="s">
        <v>830</v>
      </c>
      <c r="D69" s="110" t="n">
        <v>4211535</v>
      </c>
      <c r="E69" s="102" t="n">
        <v>12317</v>
      </c>
      <c r="F69" s="1" t="s">
        <v>784</v>
      </c>
      <c r="H69" s="145" t="n">
        <v>44333</v>
      </c>
      <c r="I69" s="1" t="n">
        <f aca="false">IF(H69&lt;&gt;"",MONTH(H69),"")</f>
        <v>5</v>
      </c>
      <c r="J69" s="1" t="str">
        <f aca="false">IFERROR(VLOOKUP(D69,'Controle de equipamento'!$J:$V,4,0),"Adicionado")</f>
        <v>Alumínio-SP</v>
      </c>
    </row>
    <row r="70" customFormat="false" ht="15" hidden="false" customHeight="false" outlineLevel="0" collapsed="false">
      <c r="A70" s="144" t="s">
        <v>857</v>
      </c>
      <c r="B70" s="102" t="s">
        <v>856</v>
      </c>
      <c r="C70" s="102" t="s">
        <v>830</v>
      </c>
      <c r="D70" s="110" t="n">
        <v>4220739</v>
      </c>
      <c r="E70" s="102" t="n">
        <v>12337</v>
      </c>
      <c r="F70" s="1" t="s">
        <v>784</v>
      </c>
      <c r="H70" s="145" t="n">
        <v>44333</v>
      </c>
      <c r="I70" s="1" t="n">
        <f aca="false">IF(H70&lt;&gt;"",MONTH(H70),"")</f>
        <v>5</v>
      </c>
      <c r="J70" s="1" t="str">
        <f aca="false">IFERROR(VLOOKUP(D70,'Controle de equipamento'!$J:$V,4,0),"Adicionado")</f>
        <v>Alumínio-SP</v>
      </c>
    </row>
    <row r="71" customFormat="false" ht="15" hidden="false" customHeight="false" outlineLevel="0" collapsed="false">
      <c r="A71" s="144" t="s">
        <v>857</v>
      </c>
      <c r="B71" s="102" t="s">
        <v>745</v>
      </c>
      <c r="C71" s="102" t="s">
        <v>758</v>
      </c>
      <c r="D71" s="110" t="s">
        <v>766</v>
      </c>
      <c r="E71" s="102" t="n">
        <v>12343</v>
      </c>
      <c r="F71" s="1" t="s">
        <v>784</v>
      </c>
      <c r="H71" s="145" t="n">
        <v>44333</v>
      </c>
      <c r="I71" s="1" t="n">
        <f aca="false">IF(H71&lt;&gt;"",MONTH(H71),"")</f>
        <v>5</v>
      </c>
      <c r="J71" s="1" t="str">
        <f aca="false">IFERROR(VLOOKUP(D71,'Controle de equipamento'!$J:$V,4,0),"Adicionado")</f>
        <v>Adicionado</v>
      </c>
    </row>
    <row r="72" customFormat="false" ht="15" hidden="false" customHeight="false" outlineLevel="0" collapsed="false">
      <c r="A72" s="144" t="s">
        <v>857</v>
      </c>
      <c r="B72" s="102" t="s">
        <v>846</v>
      </c>
      <c r="C72" s="102" t="s">
        <v>858</v>
      </c>
      <c r="D72" s="110" t="n">
        <v>612331</v>
      </c>
      <c r="E72" s="102" t="n">
        <v>12321</v>
      </c>
      <c r="F72" s="1" t="s">
        <v>784</v>
      </c>
      <c r="H72" s="145" t="n">
        <v>44333</v>
      </c>
      <c r="I72" s="1" t="n">
        <f aca="false">IF(H72&lt;&gt;"",MONTH(H72),"")</f>
        <v>5</v>
      </c>
      <c r="J72" s="1" t="str">
        <f aca="false">IFERROR(VLOOKUP(D72,'Controle de equipamento'!$J:$V,4,0),"Adicionado")</f>
        <v>Alumínio-SP</v>
      </c>
    </row>
    <row r="73" customFormat="false" ht="15" hidden="false" customHeight="false" outlineLevel="0" collapsed="false">
      <c r="A73" s="144" t="s">
        <v>859</v>
      </c>
      <c r="B73" s="102" t="s">
        <v>860</v>
      </c>
      <c r="C73" s="102" t="s">
        <v>854</v>
      </c>
      <c r="D73" s="110" t="s">
        <v>602</v>
      </c>
      <c r="E73" s="102" t="n">
        <v>12319</v>
      </c>
      <c r="F73" s="1" t="s">
        <v>784</v>
      </c>
      <c r="G73" s="1" t="s">
        <v>861</v>
      </c>
      <c r="H73" s="145" t="n">
        <v>44333</v>
      </c>
      <c r="I73" s="1" t="n">
        <f aca="false">IF(H73&lt;&gt;"",MONTH(H73),"")</f>
        <v>5</v>
      </c>
      <c r="J73" s="1" t="str">
        <f aca="false">IFERROR(VLOOKUP(D73,'Controle de equipamento'!$J:$V,4,0),"Adicionado")</f>
        <v>Cotia -SP</v>
      </c>
    </row>
    <row r="74" customFormat="false" ht="15" hidden="false" customHeight="false" outlineLevel="0" collapsed="false">
      <c r="A74" s="144" t="s">
        <v>862</v>
      </c>
      <c r="B74" s="102" t="s">
        <v>806</v>
      </c>
      <c r="C74" s="102" t="s">
        <v>854</v>
      </c>
      <c r="D74" s="110" t="s">
        <v>600</v>
      </c>
      <c r="E74" s="102" t="n">
        <v>12331</v>
      </c>
      <c r="F74" s="1" t="s">
        <v>784</v>
      </c>
      <c r="G74" s="1" t="s">
        <v>863</v>
      </c>
      <c r="H74" s="145" t="n">
        <v>44333</v>
      </c>
      <c r="I74" s="1" t="n">
        <f aca="false">IF(H74&lt;&gt;"",MONTH(H74),"")</f>
        <v>5</v>
      </c>
      <c r="J74" s="1" t="str">
        <f aca="false">IFERROR(VLOOKUP(D74,'Controle de equipamento'!$J:$V,4,0),"Adicionado")</f>
        <v>Cotia -SP</v>
      </c>
    </row>
    <row r="75" customFormat="false" ht="15" hidden="false" customHeight="false" outlineLevel="0" collapsed="false">
      <c r="A75" s="144" t="s">
        <v>843</v>
      </c>
      <c r="B75" s="102" t="s">
        <v>844</v>
      </c>
      <c r="C75" s="102" t="s">
        <v>854</v>
      </c>
      <c r="D75" s="110" t="n">
        <v>160110001009</v>
      </c>
      <c r="E75" s="102" t="n">
        <v>12336</v>
      </c>
      <c r="F75" s="1" t="s">
        <v>784</v>
      </c>
      <c r="H75" s="145" t="n">
        <v>44333</v>
      </c>
      <c r="I75" s="1" t="n">
        <f aca="false">IF(H75&lt;&gt;"",MONTH(H75),"")</f>
        <v>5</v>
      </c>
      <c r="J75" s="1" t="str">
        <f aca="false">IFERROR(VLOOKUP(D75,'Controle de equipamento'!$J:$V,4,0),"Adicionado")</f>
        <v>Cotia -SP</v>
      </c>
    </row>
    <row r="76" customFormat="false" ht="15" hidden="false" customHeight="false" outlineLevel="0" collapsed="false">
      <c r="A76" s="144" t="s">
        <v>864</v>
      </c>
      <c r="B76" s="102" t="s">
        <v>865</v>
      </c>
      <c r="C76" s="102" t="s">
        <v>854</v>
      </c>
      <c r="D76" s="110" t="s">
        <v>601</v>
      </c>
      <c r="E76" s="102" t="n">
        <v>12335</v>
      </c>
      <c r="F76" s="1" t="s">
        <v>784</v>
      </c>
      <c r="H76" s="145" t="n">
        <v>44333</v>
      </c>
      <c r="I76" s="1" t="n">
        <f aca="false">IF(H76&lt;&gt;"",MONTH(H76),"")</f>
        <v>5</v>
      </c>
      <c r="J76" s="1" t="str">
        <f aca="false">IFERROR(VLOOKUP(D76,'Controle de equipamento'!$J:$V,4,0),"Adicionado")</f>
        <v>Cotia -SP</v>
      </c>
    </row>
    <row r="77" customFormat="false" ht="15.75" hidden="false" customHeight="false" outlineLevel="0" collapsed="false">
      <c r="A77" s="144" t="s">
        <v>866</v>
      </c>
      <c r="B77" s="102" t="s">
        <v>856</v>
      </c>
      <c r="C77" s="102" t="s">
        <v>830</v>
      </c>
      <c r="D77" s="110" t="s">
        <v>614</v>
      </c>
      <c r="E77" s="102" t="n">
        <v>12341</v>
      </c>
      <c r="F77" s="1" t="s">
        <v>784</v>
      </c>
      <c r="G77" s="150" t="s">
        <v>867</v>
      </c>
      <c r="H77" s="145" t="n">
        <v>44333</v>
      </c>
      <c r="I77" s="1" t="n">
        <f aca="false">IF(H77&lt;&gt;"",MONTH(H77),"")</f>
        <v>5</v>
      </c>
      <c r="J77" s="1" t="str">
        <f aca="false">IFERROR(VLOOKUP(D77,'Controle de equipamento'!$J:$V,4,0),"Adicionado")</f>
        <v>Cotia -SP</v>
      </c>
    </row>
    <row r="78" customFormat="false" ht="15" hidden="false" customHeight="false" outlineLevel="0" collapsed="false">
      <c r="A78" s="144" t="s">
        <v>857</v>
      </c>
      <c r="B78" s="102" t="s">
        <v>846</v>
      </c>
      <c r="C78" s="102" t="s">
        <v>858</v>
      </c>
      <c r="D78" s="110" t="n">
        <v>585193</v>
      </c>
      <c r="E78" s="102" t="n">
        <v>12322</v>
      </c>
      <c r="F78" s="1" t="s">
        <v>784</v>
      </c>
      <c r="H78" s="145" t="n">
        <v>44333</v>
      </c>
      <c r="I78" s="1" t="n">
        <f aca="false">IF(H78&lt;&gt;"",MONTH(H78),"")</f>
        <v>5</v>
      </c>
      <c r="J78" s="1" t="str">
        <f aca="false">IFERROR(VLOOKUP(D78,'Controle de equipamento'!$J:$V,4,0),"Adicionado")</f>
        <v>ABC-SP</v>
      </c>
    </row>
    <row r="79" customFormat="false" ht="15" hidden="false" customHeight="false" outlineLevel="0" collapsed="false">
      <c r="A79" s="144" t="s">
        <v>868</v>
      </c>
      <c r="B79" s="102" t="s">
        <v>846</v>
      </c>
      <c r="C79" s="102" t="s">
        <v>858</v>
      </c>
      <c r="D79" s="110" t="n">
        <v>2296242</v>
      </c>
      <c r="E79" s="102" t="n">
        <v>12334</v>
      </c>
      <c r="F79" s="1" t="s">
        <v>784</v>
      </c>
      <c r="G79" s="1" t="s">
        <v>869</v>
      </c>
      <c r="H79" s="145" t="n">
        <v>44333</v>
      </c>
      <c r="I79" s="1" t="n">
        <f aca="false">IF(H79&lt;&gt;"",MONTH(H79),"")</f>
        <v>5</v>
      </c>
      <c r="J79" s="1" t="str">
        <f aca="false">IFERROR(VLOOKUP(D79,'Controle de equipamento'!$J:$V,4,0),"Adicionado")</f>
        <v>Cotia -SP</v>
      </c>
    </row>
    <row r="80" customFormat="false" ht="15" hidden="false" customHeight="false" outlineLevel="0" collapsed="false">
      <c r="A80" s="144" t="s">
        <v>857</v>
      </c>
      <c r="B80" s="102" t="s">
        <v>856</v>
      </c>
      <c r="C80" s="102" t="s">
        <v>830</v>
      </c>
      <c r="D80" s="110" t="n">
        <v>4239606</v>
      </c>
      <c r="E80" s="102" t="n">
        <v>12342</v>
      </c>
      <c r="F80" s="1" t="s">
        <v>784</v>
      </c>
      <c r="H80" s="145" t="n">
        <v>44333</v>
      </c>
      <c r="I80" s="1" t="n">
        <f aca="false">IF(H80&lt;&gt;"",MONTH(H80),"")</f>
        <v>5</v>
      </c>
      <c r="J80" s="1" t="str">
        <f aca="false">IFERROR(VLOOKUP(D80,'Controle de equipamento'!$J:$V,4,0),"Adicionado")</f>
        <v>Cotia -SP</v>
      </c>
    </row>
    <row r="81" customFormat="false" ht="15" hidden="false" customHeight="false" outlineLevel="0" collapsed="false">
      <c r="A81" s="144" t="s">
        <v>870</v>
      </c>
      <c r="B81" s="102" t="s">
        <v>865</v>
      </c>
      <c r="C81" s="102" t="s">
        <v>854</v>
      </c>
      <c r="D81" s="110" t="s">
        <v>598</v>
      </c>
      <c r="E81" s="102" t="n">
        <v>12327</v>
      </c>
      <c r="F81" s="1" t="s">
        <v>784</v>
      </c>
      <c r="H81" s="145" t="n">
        <v>44333</v>
      </c>
      <c r="I81" s="1" t="n">
        <f aca="false">IF(H81&lt;&gt;"",MONTH(H81),"")</f>
        <v>5</v>
      </c>
      <c r="J81" s="1" t="str">
        <f aca="false">IFERROR(VLOOKUP(D81,'Controle de equipamento'!$J:$V,4,0),"Adicionado")</f>
        <v>Cotia -SP</v>
      </c>
    </row>
    <row r="82" customFormat="false" ht="15" hidden="false" customHeight="false" outlineLevel="0" collapsed="false">
      <c r="A82" s="144" t="s">
        <v>857</v>
      </c>
      <c r="B82" s="102" t="s">
        <v>856</v>
      </c>
      <c r="C82" s="102" t="s">
        <v>830</v>
      </c>
      <c r="D82" s="110" t="s">
        <v>706</v>
      </c>
      <c r="E82" s="102" t="n">
        <v>12348</v>
      </c>
      <c r="F82" s="1" t="s">
        <v>784</v>
      </c>
      <c r="H82" s="145" t="n">
        <v>44333</v>
      </c>
      <c r="I82" s="1" t="n">
        <f aca="false">IF(H82&lt;&gt;"",MONTH(H82),"")</f>
        <v>5</v>
      </c>
      <c r="J82" s="1" t="str">
        <f aca="false">IFERROR(VLOOKUP(D82,'Controle de equipamento'!$J:$V,4,0),"Adicionado")</f>
        <v>São Paulo-SP</v>
      </c>
    </row>
    <row r="83" customFormat="false" ht="15.75" hidden="false" customHeight="false" outlineLevel="0" collapsed="false">
      <c r="A83" s="144" t="s">
        <v>857</v>
      </c>
      <c r="B83" s="151" t="s">
        <v>856</v>
      </c>
      <c r="C83" s="151" t="s">
        <v>830</v>
      </c>
      <c r="D83" s="110" t="n">
        <v>614031</v>
      </c>
      <c r="E83" s="102" t="n">
        <v>12338</v>
      </c>
      <c r="F83" s="1" t="s">
        <v>784</v>
      </c>
      <c r="H83" s="145" t="n">
        <v>44333</v>
      </c>
      <c r="I83" s="1" t="n">
        <f aca="false">IF(H83&lt;&gt;"",MONTH(H83),"")</f>
        <v>5</v>
      </c>
      <c r="J83" s="1" t="str">
        <f aca="false">IFERROR(VLOOKUP(D83,'Controle de equipamento'!$J:$V,4,0),"Adicionado")</f>
        <v>São Paulo-SP</v>
      </c>
    </row>
    <row r="84" customFormat="false" ht="15" hidden="false" customHeight="false" outlineLevel="0" collapsed="false">
      <c r="A84" s="144" t="s">
        <v>857</v>
      </c>
      <c r="B84" s="102" t="s">
        <v>871</v>
      </c>
      <c r="C84" s="102" t="s">
        <v>858</v>
      </c>
      <c r="D84" s="110" t="n">
        <v>2901955</v>
      </c>
      <c r="E84" s="102" t="n">
        <v>12345</v>
      </c>
      <c r="F84" s="1" t="s">
        <v>784</v>
      </c>
      <c r="G84" s="1" t="s">
        <v>872</v>
      </c>
      <c r="H84" s="145" t="n">
        <v>44333</v>
      </c>
      <c r="I84" s="1" t="n">
        <f aca="false">IF(H84&lt;&gt;"",MONTH(H84),"")</f>
        <v>5</v>
      </c>
      <c r="J84" s="1" t="str">
        <f aca="false">IFERROR(VLOOKUP(D84,'Controle de equipamento'!$J:$V,4,0),"Adicionado")</f>
        <v>São Paulo-SP</v>
      </c>
    </row>
    <row r="85" customFormat="false" ht="15" hidden="false" customHeight="false" outlineLevel="0" collapsed="false">
      <c r="A85" s="144" t="s">
        <v>873</v>
      </c>
      <c r="B85" s="102" t="s">
        <v>874</v>
      </c>
      <c r="C85" s="102" t="s">
        <v>81</v>
      </c>
      <c r="D85" s="110" t="n">
        <v>142240001031</v>
      </c>
      <c r="E85" s="102" t="n">
        <v>12316</v>
      </c>
      <c r="F85" s="1" t="s">
        <v>784</v>
      </c>
      <c r="H85" s="145" t="n">
        <v>44333</v>
      </c>
      <c r="I85" s="1" t="n">
        <f aca="false">IF(H85&lt;&gt;"",MONTH(H85),"")</f>
        <v>5</v>
      </c>
      <c r="J85" s="1" t="str">
        <f aca="false">IFERROR(VLOOKUP(D85,'Controle de equipamento'!$J:$V,4,0),"Adicionado")</f>
        <v>Adicionado</v>
      </c>
    </row>
    <row r="86" customFormat="false" ht="15" hidden="false" customHeight="false" outlineLevel="0" collapsed="false">
      <c r="A86" s="144" t="s">
        <v>857</v>
      </c>
      <c r="B86" s="102" t="s">
        <v>871</v>
      </c>
      <c r="C86" s="102" t="s">
        <v>858</v>
      </c>
      <c r="D86" s="110" t="n">
        <v>2901959</v>
      </c>
      <c r="E86" s="102" t="n">
        <v>12340</v>
      </c>
      <c r="F86" s="1" t="s">
        <v>784</v>
      </c>
      <c r="H86" s="145" t="n">
        <v>44333</v>
      </c>
      <c r="I86" s="1" t="n">
        <f aca="false">IF(H86&lt;&gt;"",MONTH(H86),"")</f>
        <v>5</v>
      </c>
      <c r="J86" s="1" t="str">
        <f aca="false">IFERROR(VLOOKUP(D86,'Controle de equipamento'!$J:$V,4,0),"Adicionado")</f>
        <v>São Paulo-SP</v>
      </c>
    </row>
    <row r="87" customFormat="false" ht="15" hidden="false" customHeight="false" outlineLevel="0" collapsed="false">
      <c r="A87" s="144" t="s">
        <v>875</v>
      </c>
      <c r="B87" s="102" t="s">
        <v>874</v>
      </c>
      <c r="C87" s="102" t="s">
        <v>81</v>
      </c>
      <c r="D87" s="110" t="s">
        <v>594</v>
      </c>
      <c r="E87" s="102" t="n">
        <v>12332</v>
      </c>
      <c r="F87" s="1" t="s">
        <v>784</v>
      </c>
      <c r="H87" s="145" t="n">
        <v>44333</v>
      </c>
      <c r="I87" s="1" t="n">
        <f aca="false">IF(H87&lt;&gt;"",MONTH(H87),"")</f>
        <v>5</v>
      </c>
      <c r="J87" s="1" t="str">
        <f aca="false">IFERROR(VLOOKUP(D87,'Controle de equipamento'!$J:$V,4,0),"Adicionado")</f>
        <v>Cotia -SP</v>
      </c>
    </row>
    <row r="88" customFormat="false" ht="15" hidden="false" customHeight="false" outlineLevel="0" collapsed="false">
      <c r="A88" s="144" t="s">
        <v>857</v>
      </c>
      <c r="B88" s="102" t="s">
        <v>860</v>
      </c>
      <c r="C88" s="102" t="s">
        <v>81</v>
      </c>
      <c r="D88" s="110" t="s">
        <v>707</v>
      </c>
      <c r="E88" s="102" t="n">
        <v>12328</v>
      </c>
      <c r="F88" s="1" t="s">
        <v>784</v>
      </c>
      <c r="H88" s="145" t="n">
        <v>44333</v>
      </c>
      <c r="I88" s="1" t="n">
        <f aca="false">IF(H88&lt;&gt;"",MONTH(H88),"")</f>
        <v>5</v>
      </c>
      <c r="J88" s="1" t="str">
        <f aca="false">IFERROR(VLOOKUP(D88,'Controle de equipamento'!$J:$V,4,0),"Adicionado")</f>
        <v>São Paulo-SP</v>
      </c>
    </row>
    <row r="89" customFormat="false" ht="15" hidden="false" customHeight="false" outlineLevel="0" collapsed="false">
      <c r="A89" s="144" t="s">
        <v>876</v>
      </c>
      <c r="B89" s="102" t="s">
        <v>877</v>
      </c>
      <c r="C89" s="102" t="s">
        <v>878</v>
      </c>
      <c r="D89" s="110" t="s">
        <v>590</v>
      </c>
      <c r="E89" s="102" t="n">
        <v>12351</v>
      </c>
      <c r="F89" s="1" t="s">
        <v>784</v>
      </c>
      <c r="H89" s="145" t="n">
        <v>44333</v>
      </c>
      <c r="I89" s="1" t="n">
        <f aca="false">IF(H89&lt;&gt;"",MONTH(H89),"")</f>
        <v>5</v>
      </c>
      <c r="J89" s="1" t="str">
        <f aca="false">IFERROR(VLOOKUP(D89,'Controle de equipamento'!$J:$V,4,0),"Adicionado")</f>
        <v>Cotia -SP</v>
      </c>
    </row>
    <row r="90" customFormat="false" ht="15" hidden="false" customHeight="false" outlineLevel="0" collapsed="false">
      <c r="A90" s="144" t="s">
        <v>857</v>
      </c>
      <c r="B90" s="102" t="s">
        <v>879</v>
      </c>
      <c r="C90" s="102" t="s">
        <v>880</v>
      </c>
      <c r="D90" s="110" t="n">
        <v>4221160</v>
      </c>
      <c r="E90" s="102" t="n">
        <v>12366</v>
      </c>
      <c r="F90" s="1" t="s">
        <v>784</v>
      </c>
      <c r="G90" s="1" t="s">
        <v>881</v>
      </c>
      <c r="H90" s="145" t="n">
        <v>44333</v>
      </c>
      <c r="I90" s="1" t="n">
        <f aca="false">IF(H90&lt;&gt;"",MONTH(H90),"")</f>
        <v>5</v>
      </c>
      <c r="J90" s="1" t="str">
        <f aca="false">IFERROR(VLOOKUP(D90,'Controle de equipamento'!$J:$V,4,0),"Adicionado")</f>
        <v>Adicionado</v>
      </c>
    </row>
    <row r="91" customFormat="false" ht="15" hidden="false" customHeight="false" outlineLevel="0" collapsed="false">
      <c r="A91" s="144" t="s">
        <v>857</v>
      </c>
      <c r="B91" s="102" t="s">
        <v>879</v>
      </c>
      <c r="C91" s="102" t="s">
        <v>880</v>
      </c>
      <c r="D91" s="110" t="s">
        <v>615</v>
      </c>
      <c r="E91" s="102" t="n">
        <v>12339</v>
      </c>
      <c r="F91" s="1" t="s">
        <v>784</v>
      </c>
      <c r="G91" s="1" t="s">
        <v>882</v>
      </c>
      <c r="H91" s="145" t="n">
        <v>44333</v>
      </c>
      <c r="I91" s="1" t="n">
        <f aca="false">IF(H91&lt;&gt;"",MONTH(H91),"")</f>
        <v>5</v>
      </c>
      <c r="J91" s="1" t="str">
        <f aca="false">IFERROR(VLOOKUP(D91,'Controle de equipamento'!$J:$V,4,0),"Adicionado")</f>
        <v>Cotia -SP</v>
      </c>
    </row>
    <row r="92" customFormat="false" ht="15" hidden="false" customHeight="false" outlineLevel="0" collapsed="false">
      <c r="A92" s="144" t="s">
        <v>883</v>
      </c>
      <c r="B92" s="102" t="s">
        <v>884</v>
      </c>
      <c r="C92" s="102" t="s">
        <v>445</v>
      </c>
      <c r="D92" s="110" t="s">
        <v>603</v>
      </c>
      <c r="E92" s="102" t="n">
        <v>12356</v>
      </c>
      <c r="F92" s="1" t="s">
        <v>784</v>
      </c>
      <c r="H92" s="145" t="n">
        <v>44333</v>
      </c>
      <c r="I92" s="1" t="n">
        <f aca="false">IF(H92&lt;&gt;"",MONTH(H92),"")</f>
        <v>5</v>
      </c>
      <c r="J92" s="1" t="str">
        <f aca="false">IFERROR(VLOOKUP(D92,'Controle de equipamento'!$J:$V,4,0),"Adicionado")</f>
        <v>Cotia -SP</v>
      </c>
    </row>
    <row r="93" customFormat="false" ht="15" hidden="false" customHeight="false" outlineLevel="0" collapsed="false">
      <c r="A93" s="144" t="s">
        <v>885</v>
      </c>
      <c r="B93" s="102" t="s">
        <v>115</v>
      </c>
      <c r="C93" s="102" t="s">
        <v>878</v>
      </c>
      <c r="D93" s="110" t="s">
        <v>592</v>
      </c>
      <c r="E93" s="102" t="n">
        <v>12350</v>
      </c>
      <c r="F93" s="1" t="s">
        <v>784</v>
      </c>
      <c r="H93" s="145" t="n">
        <v>44333</v>
      </c>
      <c r="I93" s="1" t="n">
        <f aca="false">IF(H93&lt;&gt;"",MONTH(H93),"")</f>
        <v>5</v>
      </c>
      <c r="J93" s="1" t="str">
        <f aca="false">IFERROR(VLOOKUP(D93,'Controle de equipamento'!$J:$V,4,0),"Adicionado")</f>
        <v>Cotia -SP</v>
      </c>
    </row>
    <row r="94" s="152" customFormat="true" ht="15" hidden="false" customHeight="false" outlineLevel="0" collapsed="false">
      <c r="A94" s="144" t="s">
        <v>886</v>
      </c>
      <c r="B94" s="102" t="s">
        <v>115</v>
      </c>
      <c r="C94" s="102" t="s">
        <v>452</v>
      </c>
      <c r="D94" s="110" t="s">
        <v>604</v>
      </c>
      <c r="E94" s="102" t="n">
        <v>12354</v>
      </c>
      <c r="F94" s="1" t="s">
        <v>784</v>
      </c>
      <c r="G94" s="1"/>
      <c r="H94" s="145" t="n">
        <v>44333</v>
      </c>
      <c r="I94" s="1" t="n">
        <f aca="false">IF(H94&lt;&gt;"",MONTH(H94),"")</f>
        <v>5</v>
      </c>
      <c r="J94" s="1" t="str">
        <f aca="false">IFERROR(VLOOKUP(D94,'Controle de equipamento'!$J:$V,4,0),"Adicionado")</f>
        <v>Cotia -SP</v>
      </c>
    </row>
    <row r="95" s="152" customFormat="true" ht="15" hidden="false" customHeight="false" outlineLevel="0" collapsed="false">
      <c r="A95" s="144" t="s">
        <v>857</v>
      </c>
      <c r="B95" s="102" t="s">
        <v>884</v>
      </c>
      <c r="C95" s="102" t="s">
        <v>442</v>
      </c>
      <c r="D95" s="110" t="s">
        <v>605</v>
      </c>
      <c r="E95" s="102" t="n">
        <v>12353</v>
      </c>
      <c r="F95" s="1" t="s">
        <v>784</v>
      </c>
      <c r="G95" s="1"/>
      <c r="H95" s="145" t="n">
        <v>44333</v>
      </c>
      <c r="I95" s="1" t="n">
        <f aca="false">IF(H95&lt;&gt;"",MONTH(H95),"")</f>
        <v>5</v>
      </c>
      <c r="J95" s="1" t="str">
        <f aca="false">IFERROR(VLOOKUP(D95,'Controle de equipamento'!$J:$V,4,0),"Adicionado")</f>
        <v>Cotia -SP</v>
      </c>
    </row>
    <row r="96" customFormat="false" ht="15" hidden="false" customHeight="false" outlineLevel="0" collapsed="false">
      <c r="A96" s="144" t="s">
        <v>857</v>
      </c>
      <c r="B96" s="102" t="s">
        <v>884</v>
      </c>
      <c r="C96" s="102" t="s">
        <v>442</v>
      </c>
      <c r="D96" s="110" t="s">
        <v>441</v>
      </c>
      <c r="E96" s="102" t="n">
        <v>12355</v>
      </c>
      <c r="F96" s="1" t="s">
        <v>784</v>
      </c>
      <c r="H96" s="145" t="n">
        <v>44333</v>
      </c>
      <c r="I96" s="1" t="n">
        <f aca="false">IF(H96&lt;&gt;"",MONTH(H96),"")</f>
        <v>5</v>
      </c>
      <c r="J96" s="1" t="str">
        <f aca="false">IFERROR(VLOOKUP(D96,'Controle de equipamento'!$J:$V,4,0),"Adicionado")</f>
        <v>Duque de Caxias-RJ</v>
      </c>
    </row>
    <row r="97" customFormat="false" ht="15" hidden="false" customHeight="false" outlineLevel="0" collapsed="false">
      <c r="B97" s="102" t="s">
        <v>806</v>
      </c>
      <c r="C97" s="102" t="s">
        <v>81</v>
      </c>
      <c r="D97" s="110" t="n">
        <v>1217253</v>
      </c>
      <c r="E97" s="102" t="n">
        <v>12324</v>
      </c>
      <c r="F97" s="1" t="s">
        <v>784</v>
      </c>
      <c r="G97" s="1" t="s">
        <v>887</v>
      </c>
      <c r="H97" s="145" t="n">
        <v>44333</v>
      </c>
      <c r="I97" s="1" t="n">
        <f aca="false">IF(H97&lt;&gt;"",MONTH(H97),"")</f>
        <v>5</v>
      </c>
      <c r="J97" s="1" t="str">
        <f aca="false">IFERROR(VLOOKUP(D97,'Controle de equipamento'!$J:$V,4,0),"Adicionado")</f>
        <v>Duque de Caxias-RJ</v>
      </c>
    </row>
    <row r="98" customFormat="false" ht="15" hidden="false" customHeight="false" outlineLevel="0" collapsed="false">
      <c r="B98" s="102" t="s">
        <v>837</v>
      </c>
      <c r="C98" s="137" t="s">
        <v>447</v>
      </c>
      <c r="D98" s="110" t="n">
        <v>1827001035259</v>
      </c>
      <c r="E98" s="118" t="n">
        <v>12329</v>
      </c>
      <c r="F98" s="1" t="s">
        <v>784</v>
      </c>
      <c r="H98" s="145" t="n">
        <v>44333</v>
      </c>
      <c r="I98" s="1" t="n">
        <f aca="false">IF(H98&lt;&gt;"",MONTH(H98),"")</f>
        <v>5</v>
      </c>
      <c r="J98" s="1" t="str">
        <f aca="false">IFERROR(VLOOKUP(D98,'Controle de equipamento'!$J:$V,4,0),"Adicionado")</f>
        <v>Duque de Caxias-RJ</v>
      </c>
    </row>
    <row r="99" customFormat="false" ht="15" hidden="false" customHeight="false" outlineLevel="0" collapsed="false">
      <c r="B99" s="102" t="s">
        <v>888</v>
      </c>
      <c r="C99" s="137" t="s">
        <v>607</v>
      </c>
      <c r="D99" s="110" t="s">
        <v>606</v>
      </c>
      <c r="E99" s="118" t="n">
        <v>12347</v>
      </c>
      <c r="F99" s="1" t="s">
        <v>784</v>
      </c>
      <c r="H99" s="145" t="n">
        <v>44333</v>
      </c>
      <c r="I99" s="1" t="n">
        <f aca="false">IF(H99&lt;&gt;"",MONTH(H99),"")</f>
        <v>5</v>
      </c>
      <c r="J99" s="1" t="str">
        <f aca="false">IFERROR(VLOOKUP(D99,'Controle de equipamento'!$J:$V,4,0),"Adicionado")</f>
        <v>Cotia -SP</v>
      </c>
    </row>
    <row r="100" s="152" customFormat="true" ht="15" hidden="false" customHeight="false" outlineLevel="0" collapsed="false">
      <c r="A100" s="144"/>
      <c r="B100" s="102" t="s">
        <v>889</v>
      </c>
      <c r="C100" s="137" t="s">
        <v>445</v>
      </c>
      <c r="D100" s="110" t="n">
        <v>28708450</v>
      </c>
      <c r="E100" s="118" t="n">
        <v>12352</v>
      </c>
      <c r="F100" s="1" t="s">
        <v>784</v>
      </c>
      <c r="G100" s="1"/>
      <c r="H100" s="145" t="n">
        <v>44333</v>
      </c>
      <c r="I100" s="1" t="n">
        <f aca="false">IF(H100&lt;&gt;"",MONTH(H100),"")</f>
        <v>5</v>
      </c>
      <c r="J100" s="1" t="str">
        <f aca="false">IFERROR(VLOOKUP(D100,'Controle de equipamento'!$J:$V,4,0),"Adicionado")</f>
        <v>Duque de Caxias-RJ</v>
      </c>
    </row>
    <row r="101" customFormat="false" ht="15" hidden="false" customHeight="false" outlineLevel="0" collapsed="false">
      <c r="B101" s="102" t="s">
        <v>752</v>
      </c>
      <c r="C101" s="137" t="s">
        <v>768</v>
      </c>
      <c r="D101" s="110" t="s">
        <v>767</v>
      </c>
      <c r="E101" s="118" t="n">
        <v>12376</v>
      </c>
      <c r="F101" s="1" t="s">
        <v>784</v>
      </c>
      <c r="H101" s="145" t="n">
        <v>44333</v>
      </c>
      <c r="I101" s="1" t="n">
        <f aca="false">IF(H101&lt;&gt;"",MONTH(H101),"")</f>
        <v>5</v>
      </c>
      <c r="J101" s="1" t="str">
        <f aca="false">IFERROR(VLOOKUP(D101,'Controle de equipamento'!$J:$V,4,0),"Adicionado")</f>
        <v>Adicionado</v>
      </c>
    </row>
    <row r="102" customFormat="false" ht="15" hidden="false" customHeight="false" outlineLevel="0" collapsed="false">
      <c r="B102" s="102" t="s">
        <v>752</v>
      </c>
      <c r="C102" s="137" t="s">
        <v>768</v>
      </c>
      <c r="D102" s="110" t="s">
        <v>769</v>
      </c>
      <c r="E102" s="118" t="n">
        <v>12377</v>
      </c>
      <c r="F102" s="1" t="s">
        <v>784</v>
      </c>
      <c r="H102" s="145" t="n">
        <v>44333</v>
      </c>
      <c r="I102" s="1" t="n">
        <f aca="false">IF(H102&lt;&gt;"",MONTH(H102),"")</f>
        <v>5</v>
      </c>
      <c r="J102" s="1" t="str">
        <f aca="false">IFERROR(VLOOKUP(D102,'Controle de equipamento'!$J:$V,4,0),"Adicionado")</f>
        <v>Adicionado</v>
      </c>
    </row>
    <row r="103" customFormat="false" ht="15" hidden="false" customHeight="false" outlineLevel="0" collapsed="false">
      <c r="B103" s="102" t="s">
        <v>752</v>
      </c>
      <c r="C103" s="137" t="s">
        <v>56</v>
      </c>
      <c r="D103" s="110" t="s">
        <v>770</v>
      </c>
      <c r="E103" s="118" t="n">
        <v>12378</v>
      </c>
      <c r="F103" s="1" t="s">
        <v>784</v>
      </c>
      <c r="H103" s="145" t="n">
        <v>44333</v>
      </c>
      <c r="I103" s="1" t="n">
        <f aca="false">IF(H103&lt;&gt;"",MONTH(H103),"")</f>
        <v>5</v>
      </c>
      <c r="J103" s="1" t="str">
        <f aca="false">IFERROR(VLOOKUP(D103,'Controle de equipamento'!$J:$V,4,0),"Adicionado")</f>
        <v>Adicionado</v>
      </c>
    </row>
    <row r="104" customFormat="false" ht="15" hidden="false" customHeight="false" outlineLevel="0" collapsed="false">
      <c r="B104" s="102" t="s">
        <v>752</v>
      </c>
      <c r="C104" s="137" t="s">
        <v>56</v>
      </c>
      <c r="D104" s="110" t="s">
        <v>771</v>
      </c>
      <c r="E104" s="102" t="n">
        <v>12379</v>
      </c>
      <c r="F104" s="1" t="s">
        <v>784</v>
      </c>
      <c r="H104" s="145" t="n">
        <v>44333</v>
      </c>
      <c r="I104" s="1" t="n">
        <f aca="false">IF(H104&lt;&gt;"",MONTH(H104),"")</f>
        <v>5</v>
      </c>
      <c r="J104" s="1" t="str">
        <f aca="false">IFERROR(VLOOKUP(D104,'Controle de equipamento'!$J:$V,4,0),"Adicionado")</f>
        <v>Adicionado</v>
      </c>
    </row>
    <row r="105" customFormat="false" ht="15" hidden="false" customHeight="false" outlineLevel="0" collapsed="false">
      <c r="B105" s="102" t="s">
        <v>752</v>
      </c>
      <c r="C105" s="137" t="s">
        <v>758</v>
      </c>
      <c r="D105" s="110" t="s">
        <v>772</v>
      </c>
      <c r="E105" s="102" t="n">
        <v>12381</v>
      </c>
      <c r="F105" s="1" t="s">
        <v>784</v>
      </c>
      <c r="H105" s="145" t="n">
        <v>44333</v>
      </c>
      <c r="I105" s="1" t="n">
        <f aca="false">IF(H105&lt;&gt;"",MONTH(H105),"")</f>
        <v>5</v>
      </c>
      <c r="J105" s="1" t="str">
        <f aca="false">IFERROR(VLOOKUP(D105,'Controle de equipamento'!$J:$V,4,0),"Adicionado")</f>
        <v>Adicionado</v>
      </c>
    </row>
    <row r="106" customFormat="false" ht="15" hidden="false" customHeight="false" outlineLevel="0" collapsed="false">
      <c r="A106" s="144" t="s">
        <v>890</v>
      </c>
      <c r="B106" s="102" t="s">
        <v>891</v>
      </c>
      <c r="C106" s="102" t="s">
        <v>81</v>
      </c>
      <c r="D106" s="110" t="n">
        <v>1281250</v>
      </c>
      <c r="E106" s="102" t="n">
        <v>12299</v>
      </c>
      <c r="F106" s="1" t="s">
        <v>784</v>
      </c>
      <c r="H106" s="145" t="n">
        <v>44368</v>
      </c>
      <c r="I106" s="1" t="n">
        <f aca="false">IF(H106&lt;&gt;"",MONTH(H106),"")</f>
        <v>6</v>
      </c>
      <c r="J106" s="1" t="str">
        <f aca="false">IFERROR(VLOOKUP(D106,'Controle de equipamento'!$J:$V,4,0),"Adicionado")</f>
        <v>Jaboatão dos Guararapes-PE </v>
      </c>
    </row>
    <row r="107" customFormat="false" ht="15" hidden="false" customHeight="false" outlineLevel="0" collapsed="false">
      <c r="A107" s="144" t="s">
        <v>892</v>
      </c>
      <c r="B107" s="102" t="s">
        <v>893</v>
      </c>
      <c r="C107" s="102" t="s">
        <v>81</v>
      </c>
      <c r="D107" s="110" t="s">
        <v>894</v>
      </c>
      <c r="E107" s="102" t="n">
        <v>12620</v>
      </c>
      <c r="F107" s="1" t="s">
        <v>784</v>
      </c>
      <c r="H107" s="145" t="n">
        <v>44368</v>
      </c>
      <c r="I107" s="1" t="n">
        <f aca="false">IF(H107&lt;&gt;"",MONTH(H107),"")</f>
        <v>6</v>
      </c>
      <c r="J107" s="1" t="str">
        <f aca="false">IFERROR(VLOOKUP(D107,'Controle de equipamento'!$J:$V,4,0),"Adicionado")</f>
        <v>Adicionado</v>
      </c>
    </row>
    <row r="108" customFormat="false" ht="15" hidden="false" customHeight="false" outlineLevel="0" collapsed="false">
      <c r="A108" s="144" t="s">
        <v>895</v>
      </c>
      <c r="B108" s="102" t="s">
        <v>896</v>
      </c>
      <c r="C108" s="102" t="s">
        <v>447</v>
      </c>
      <c r="D108" s="110" t="n">
        <v>1912001002164</v>
      </c>
      <c r="E108" s="102" t="n">
        <v>12621</v>
      </c>
      <c r="F108" s="1" t="s">
        <v>784</v>
      </c>
      <c r="H108" s="145" t="n">
        <v>44368</v>
      </c>
      <c r="I108" s="1" t="n">
        <f aca="false">IF(H108&lt;&gt;"",MONTH(H108),"")</f>
        <v>6</v>
      </c>
      <c r="J108" s="1" t="str">
        <f aca="false">IFERROR(VLOOKUP(D108,'Controle de equipamento'!$J:$V,4,0),"Adicionado")</f>
        <v>Adicionado</v>
      </c>
    </row>
    <row r="109" customFormat="false" ht="15" hidden="false" customHeight="false" outlineLevel="0" collapsed="false">
      <c r="A109" s="144" t="s">
        <v>897</v>
      </c>
      <c r="B109" s="102" t="s">
        <v>101</v>
      </c>
      <c r="C109" s="102" t="s">
        <v>724</v>
      </c>
      <c r="D109" s="110" t="s">
        <v>898</v>
      </c>
      <c r="E109" s="102" t="n">
        <v>12622</v>
      </c>
      <c r="F109" s="1" t="s">
        <v>784</v>
      </c>
      <c r="H109" s="145" t="n">
        <v>44368</v>
      </c>
      <c r="I109" s="1" t="n">
        <f aca="false">IF(H109&lt;&gt;"",MONTH(H109),"")</f>
        <v>6</v>
      </c>
      <c r="J109" s="1" t="str">
        <f aca="false">IFERROR(VLOOKUP(D109,'Controle de equipamento'!$J:$V,4,0),"Adicionado")</f>
        <v>Adicionado</v>
      </c>
    </row>
    <row r="110" customFormat="false" ht="15" hidden="false" customHeight="false" outlineLevel="0" collapsed="false">
      <c r="A110" s="153" t="s">
        <v>782</v>
      </c>
      <c r="B110" s="154" t="s">
        <v>101</v>
      </c>
      <c r="C110" s="154" t="s">
        <v>81</v>
      </c>
      <c r="D110" s="110" t="s">
        <v>782</v>
      </c>
      <c r="E110" s="154" t="n">
        <v>12623</v>
      </c>
      <c r="F110" s="152" t="s">
        <v>784</v>
      </c>
      <c r="G110" s="152" t="s">
        <v>899</v>
      </c>
      <c r="H110" s="155" t="n">
        <v>44368</v>
      </c>
      <c r="I110" s="152" t="n">
        <f aca="false">IF(H110&lt;&gt;"",MONTH(H110),"")</f>
        <v>6</v>
      </c>
      <c r="J110" s="1" t="str">
        <f aca="false">IFERROR(VLOOKUP(D110,'Controle de equipamento'!$J:$V,4,0),"Adicionado")</f>
        <v>Adicionado</v>
      </c>
    </row>
    <row r="111" customFormat="false" ht="15" hidden="false" customHeight="false" outlineLevel="0" collapsed="false">
      <c r="A111" s="153" t="s">
        <v>900</v>
      </c>
      <c r="B111" s="154" t="s">
        <v>564</v>
      </c>
      <c r="C111" s="154" t="s">
        <v>724</v>
      </c>
      <c r="D111" s="110" t="s">
        <v>901</v>
      </c>
      <c r="E111" s="154" t="n">
        <v>12624</v>
      </c>
      <c r="F111" s="152" t="s">
        <v>784</v>
      </c>
      <c r="G111" s="152" t="s">
        <v>902</v>
      </c>
      <c r="H111" s="155" t="n">
        <v>44368</v>
      </c>
      <c r="I111" s="152" t="n">
        <f aca="false">IF(H111&lt;&gt;"",MONTH(H111),"")</f>
        <v>6</v>
      </c>
      <c r="J111" s="1" t="str">
        <f aca="false">IFERROR(VLOOKUP(D111,'Controle de equipamento'!$J:$V,4,0),"Adicionado")</f>
        <v>Adicionado</v>
      </c>
    </row>
    <row r="112" customFormat="false" ht="15" hidden="false" customHeight="false" outlineLevel="0" collapsed="false">
      <c r="A112" s="144" t="s">
        <v>903</v>
      </c>
      <c r="B112" s="102" t="s">
        <v>564</v>
      </c>
      <c r="C112" s="102" t="s">
        <v>117</v>
      </c>
      <c r="D112" s="110" t="s">
        <v>726</v>
      </c>
      <c r="E112" s="102" t="n">
        <v>12625</v>
      </c>
      <c r="F112" s="1" t="s">
        <v>784</v>
      </c>
      <c r="H112" s="145" t="n">
        <v>44368</v>
      </c>
      <c r="I112" s="1" t="n">
        <f aca="false">IF(H112&lt;&gt;"",MONTH(H112),"")</f>
        <v>6</v>
      </c>
      <c r="J112" s="1" t="str">
        <f aca="false">IFERROR(VLOOKUP(D112,'Controle de equipamento'!$J:$V,4,0),"Adicionado")</f>
        <v>Sorocaba-SP</v>
      </c>
    </row>
    <row r="113" customFormat="false" ht="15" hidden="false" customHeight="false" outlineLevel="0" collapsed="false">
      <c r="A113" s="144" t="s">
        <v>904</v>
      </c>
      <c r="B113" s="102" t="s">
        <v>564</v>
      </c>
      <c r="C113" s="102" t="s">
        <v>447</v>
      </c>
      <c r="D113" s="110" t="s">
        <v>905</v>
      </c>
      <c r="E113" s="102" t="n">
        <v>12626</v>
      </c>
      <c r="F113" s="1" t="s">
        <v>784</v>
      </c>
      <c r="G113" s="144"/>
      <c r="H113" s="145" t="n">
        <v>44368</v>
      </c>
      <c r="I113" s="1" t="n">
        <f aca="false">IF(H113&lt;&gt;"",MONTH(H113),"")</f>
        <v>6</v>
      </c>
      <c r="J113" s="1" t="str">
        <f aca="false">IFERROR(VLOOKUP(D113,'Controle de equipamento'!$J:$V,4,0),"Adicionado")</f>
        <v>Adicionado</v>
      </c>
    </row>
    <row r="114" customFormat="false" ht="15" hidden="false" customHeight="false" outlineLevel="0" collapsed="false">
      <c r="A114" s="144" t="s">
        <v>906</v>
      </c>
      <c r="B114" s="102" t="s">
        <v>564</v>
      </c>
      <c r="C114" s="102" t="s">
        <v>447</v>
      </c>
      <c r="D114" s="110" t="s">
        <v>907</v>
      </c>
      <c r="E114" s="102" t="n">
        <v>12627</v>
      </c>
      <c r="F114" s="1" t="s">
        <v>784</v>
      </c>
      <c r="H114" s="145" t="n">
        <v>44368</v>
      </c>
      <c r="I114" s="1" t="n">
        <f aca="false">IF(H114&lt;&gt;"",MONTH(H114),"")</f>
        <v>6</v>
      </c>
      <c r="J114" s="1" t="str">
        <f aca="false">IFERROR(VLOOKUP(D114,'Controle de equipamento'!$J:$V,4,0),"Adicionado")</f>
        <v>Sorocaba-SP</v>
      </c>
    </row>
    <row r="115" customFormat="false" ht="15" hidden="false" customHeight="false" outlineLevel="0" collapsed="false">
      <c r="A115" s="144" t="s">
        <v>782</v>
      </c>
      <c r="B115" s="102" t="s">
        <v>908</v>
      </c>
      <c r="C115" s="102" t="s">
        <v>136</v>
      </c>
      <c r="D115" s="110" t="n">
        <v>768951</v>
      </c>
      <c r="E115" s="102" t="n">
        <v>12661</v>
      </c>
      <c r="F115" s="1" t="s">
        <v>784</v>
      </c>
      <c r="H115" s="145" t="n">
        <v>44370</v>
      </c>
      <c r="I115" s="1" t="n">
        <f aca="false">IF(H115&lt;&gt;"",MONTH(H115),"")</f>
        <v>6</v>
      </c>
      <c r="J115" s="1" t="str">
        <f aca="false">IFERROR(VLOOKUP(D115,'Controle de equipamento'!$J:$V,4,0),"Adicionado")</f>
        <v>Adicionado</v>
      </c>
    </row>
    <row r="116" customFormat="false" ht="15" hidden="false" customHeight="false" outlineLevel="0" collapsed="false">
      <c r="A116" s="153" t="s">
        <v>782</v>
      </c>
      <c r="B116" s="154" t="s">
        <v>909</v>
      </c>
      <c r="C116" s="154" t="s">
        <v>910</v>
      </c>
      <c r="D116" s="110" t="n">
        <v>756690243</v>
      </c>
      <c r="E116" s="154" t="n">
        <v>12662</v>
      </c>
      <c r="F116" s="152" t="s">
        <v>784</v>
      </c>
      <c r="G116" s="152" t="s">
        <v>911</v>
      </c>
      <c r="H116" s="155" t="n">
        <v>44370</v>
      </c>
      <c r="I116" s="1" t="n">
        <f aca="false">IF(H116&lt;&gt;"",MONTH(H116),"")</f>
        <v>6</v>
      </c>
      <c r="J116" s="1" t="str">
        <f aca="false">IFERROR(VLOOKUP(D116,'Controle de equipamento'!$J:$V,4,0),"Adicionado")</f>
        <v>Adicionado</v>
      </c>
    </row>
    <row r="117" customFormat="false" ht="15" hidden="false" customHeight="false" outlineLevel="0" collapsed="false">
      <c r="A117" s="144" t="s">
        <v>912</v>
      </c>
      <c r="B117" s="102" t="s">
        <v>913</v>
      </c>
      <c r="C117" s="102" t="s">
        <v>81</v>
      </c>
      <c r="D117" s="110" t="s">
        <v>671</v>
      </c>
      <c r="E117" s="102" t="n">
        <v>12663</v>
      </c>
      <c r="F117" s="1" t="s">
        <v>784</v>
      </c>
      <c r="H117" s="145" t="n">
        <v>44370</v>
      </c>
      <c r="I117" s="1" t="n">
        <f aca="false">IF(H117&lt;&gt;"",MONTH(H117),"")</f>
        <v>6</v>
      </c>
      <c r="J117" s="1" t="str">
        <f aca="false">IFERROR(VLOOKUP(D117,'Controle de equipamento'!$J:$V,4,0),"Adicionado")</f>
        <v>Santo André-SP</v>
      </c>
    </row>
    <row r="118" customFormat="false" ht="15" hidden="false" customHeight="false" outlineLevel="0" collapsed="false">
      <c r="A118" s="144" t="s">
        <v>914</v>
      </c>
      <c r="B118" s="102" t="s">
        <v>915</v>
      </c>
      <c r="C118" s="102" t="s">
        <v>87</v>
      </c>
      <c r="D118" s="110" t="s">
        <v>916</v>
      </c>
      <c r="E118" s="102" t="n">
        <v>12664</v>
      </c>
      <c r="F118" s="1" t="s">
        <v>784</v>
      </c>
      <c r="H118" s="145" t="n">
        <v>44370</v>
      </c>
      <c r="I118" s="1" t="n">
        <f aca="false">IF(H118&lt;&gt;"",MONTH(H118),"")</f>
        <v>6</v>
      </c>
      <c r="J118" s="1" t="str">
        <f aca="false">IFERROR(VLOOKUP(D118,'Controle de equipamento'!$J:$V,4,0),"Adicionado")</f>
        <v>São José dos Campos-SP</v>
      </c>
    </row>
    <row r="119" customFormat="false" ht="15" hidden="false" customHeight="false" outlineLevel="0" collapsed="false">
      <c r="A119" s="144" t="s">
        <v>782</v>
      </c>
      <c r="B119" s="102" t="s">
        <v>917</v>
      </c>
      <c r="C119" s="102" t="s">
        <v>81</v>
      </c>
      <c r="D119" s="110" t="s">
        <v>697</v>
      </c>
      <c r="E119" s="102" t="n">
        <v>12665</v>
      </c>
      <c r="F119" s="1" t="s">
        <v>784</v>
      </c>
      <c r="H119" s="145" t="n">
        <v>44370</v>
      </c>
      <c r="I119" s="1" t="n">
        <f aca="false">IF(H119&lt;&gt;"",MONTH(H119),"")</f>
        <v>6</v>
      </c>
      <c r="J119" s="1" t="str">
        <f aca="false">IFERROR(VLOOKUP(D119,'Controle de equipamento'!$J:$V,4,0),"Adicionado")</f>
        <v>São José dos Campos-SP</v>
      </c>
    </row>
    <row r="120" customFormat="false" ht="15" hidden="false" customHeight="false" outlineLevel="0" collapsed="false">
      <c r="A120" s="144" t="s">
        <v>782</v>
      </c>
      <c r="B120" s="102" t="s">
        <v>918</v>
      </c>
      <c r="C120" s="102" t="s">
        <v>919</v>
      </c>
      <c r="D120" s="110" t="n">
        <v>12587</v>
      </c>
      <c r="E120" s="102" t="n">
        <v>12666</v>
      </c>
      <c r="F120" s="1" t="s">
        <v>784</v>
      </c>
      <c r="H120" s="145" t="n">
        <v>44370</v>
      </c>
      <c r="I120" s="1" t="n">
        <f aca="false">IF(H120&lt;&gt;"",MONTH(H120),"")</f>
        <v>6</v>
      </c>
      <c r="J120" s="1" t="str">
        <f aca="false">IFERROR(VLOOKUP(D120,'Controle de equipamento'!$J:$V,4,0),"Adicionado")</f>
        <v>Adicionado</v>
      </c>
    </row>
    <row r="121" customFormat="false" ht="15" hidden="false" customHeight="false" outlineLevel="0" collapsed="false">
      <c r="A121" s="144" t="s">
        <v>782</v>
      </c>
      <c r="B121" s="102" t="s">
        <v>920</v>
      </c>
      <c r="C121" s="102" t="s">
        <v>921</v>
      </c>
      <c r="D121" s="110" t="s">
        <v>922</v>
      </c>
      <c r="E121" s="102" t="n">
        <v>12667</v>
      </c>
      <c r="F121" s="1" t="s">
        <v>784</v>
      </c>
      <c r="H121" s="145" t="n">
        <v>44370</v>
      </c>
      <c r="I121" s="152" t="n">
        <f aca="false">IF(H121&lt;&gt;"",MONTH(H121),"")</f>
        <v>6</v>
      </c>
      <c r="J121" s="1" t="str">
        <f aca="false">IFERROR(VLOOKUP(D121,'Controle de equipamento'!$J:$V,4,0),"Adicionado")</f>
        <v>Adicionado</v>
      </c>
    </row>
    <row r="122" customFormat="false" ht="15" hidden="false" customHeight="false" outlineLevel="0" collapsed="false">
      <c r="A122" s="144" t="s">
        <v>782</v>
      </c>
      <c r="B122" s="102" t="s">
        <v>917</v>
      </c>
      <c r="C122" s="102" t="s">
        <v>81</v>
      </c>
      <c r="D122" s="110" t="s">
        <v>923</v>
      </c>
      <c r="E122" s="102" t="n">
        <v>12668</v>
      </c>
      <c r="F122" s="1" t="s">
        <v>784</v>
      </c>
      <c r="G122" s="1" t="s">
        <v>924</v>
      </c>
      <c r="H122" s="145" t="n">
        <v>44370</v>
      </c>
      <c r="I122" s="152" t="n">
        <f aca="false">IF(H122&lt;&gt;"",MONTH(H122),"")</f>
        <v>6</v>
      </c>
      <c r="J122" s="1" t="str">
        <f aca="false">IFERROR(VLOOKUP(D122,'Controle de equipamento'!$J:$V,4,0),"Adicionado")</f>
        <v>Adicionado</v>
      </c>
    </row>
    <row r="123" customFormat="false" ht="15" hidden="false" customHeight="false" outlineLevel="0" collapsed="false">
      <c r="A123" s="144" t="s">
        <v>782</v>
      </c>
      <c r="B123" s="102" t="s">
        <v>925</v>
      </c>
      <c r="C123" s="102" t="s">
        <v>87</v>
      </c>
      <c r="D123" s="110" t="s">
        <v>926</v>
      </c>
      <c r="E123" s="102" t="n">
        <v>12669</v>
      </c>
      <c r="F123" s="1" t="s">
        <v>784</v>
      </c>
      <c r="H123" s="145" t="n">
        <v>44370</v>
      </c>
      <c r="I123" s="1" t="n">
        <f aca="false">IF(H123&lt;&gt;"",MONTH(H123),"")</f>
        <v>6</v>
      </c>
      <c r="J123" s="1" t="str">
        <f aca="false">IFERROR(VLOOKUP(D123,'Controle de equipamento'!$J:$V,4,0),"Adicionado")</f>
        <v>Santo André-SP</v>
      </c>
    </row>
    <row r="124" customFormat="false" ht="15" hidden="false" customHeight="false" outlineLevel="0" collapsed="false">
      <c r="A124" s="144" t="s">
        <v>927</v>
      </c>
      <c r="B124" s="102" t="s">
        <v>928</v>
      </c>
      <c r="C124" s="102" t="s">
        <v>81</v>
      </c>
      <c r="D124" s="110" t="s">
        <v>669</v>
      </c>
      <c r="E124" s="102" t="n">
        <v>12670</v>
      </c>
      <c r="F124" s="1" t="s">
        <v>784</v>
      </c>
      <c r="G124" s="1" t="s">
        <v>929</v>
      </c>
      <c r="H124" s="145" t="n">
        <v>44370</v>
      </c>
      <c r="I124" s="1" t="n">
        <f aca="false">IF(H124&lt;&gt;"",MONTH(H124),"")</f>
        <v>6</v>
      </c>
      <c r="J124" s="1" t="str">
        <f aca="false">IFERROR(VLOOKUP(D124,'Controle de equipamento'!$J:$V,4,0),"Adicionado")</f>
        <v>Santo André-SP</v>
      </c>
    </row>
    <row r="125" customFormat="false" ht="15" hidden="false" customHeight="false" outlineLevel="0" collapsed="false">
      <c r="A125" s="144" t="s">
        <v>782</v>
      </c>
      <c r="B125" s="102" t="s">
        <v>930</v>
      </c>
      <c r="C125" s="102" t="s">
        <v>87</v>
      </c>
      <c r="D125" s="110" t="s">
        <v>931</v>
      </c>
      <c r="E125" s="102" t="n">
        <v>12671</v>
      </c>
      <c r="F125" s="1" t="s">
        <v>784</v>
      </c>
      <c r="H125" s="145" t="n">
        <v>44370</v>
      </c>
      <c r="I125" s="1" t="n">
        <f aca="false">IF(H125&lt;&gt;"",MONTH(H125),"")</f>
        <v>6</v>
      </c>
      <c r="J125" s="1" t="str">
        <f aca="false">IFERROR(VLOOKUP(D125,'Controle de equipamento'!$J:$V,4,0),"Adicionado")</f>
        <v>Santo André-SP</v>
      </c>
    </row>
    <row r="126" customFormat="false" ht="15" hidden="false" customHeight="false" outlineLevel="0" collapsed="false">
      <c r="A126" s="144" t="s">
        <v>932</v>
      </c>
      <c r="B126" s="102" t="s">
        <v>933</v>
      </c>
      <c r="C126" s="102" t="s">
        <v>81</v>
      </c>
      <c r="D126" s="110" t="s">
        <v>934</v>
      </c>
      <c r="E126" s="102" t="n">
        <v>12672</v>
      </c>
      <c r="F126" s="1" t="s">
        <v>784</v>
      </c>
      <c r="G126" s="1" t="s">
        <v>935</v>
      </c>
      <c r="H126" s="145" t="n">
        <v>44370</v>
      </c>
      <c r="I126" s="1" t="n">
        <f aca="false">IF(H126&lt;&gt;"",MONTH(H126),"")</f>
        <v>6</v>
      </c>
      <c r="J126" s="1" t="str">
        <f aca="false">IFERROR(VLOOKUP(D126,'Controle de equipamento'!$J:$V,4,0),"Adicionado")</f>
        <v>Santo André-SP</v>
      </c>
    </row>
    <row r="127" customFormat="false" ht="15" hidden="false" customHeight="false" outlineLevel="0" collapsed="false">
      <c r="A127" s="144" t="s">
        <v>936</v>
      </c>
      <c r="B127" s="102" t="s">
        <v>937</v>
      </c>
      <c r="C127" s="102" t="s">
        <v>938</v>
      </c>
      <c r="D127" s="110" t="s">
        <v>939</v>
      </c>
      <c r="E127" s="102" t="n">
        <v>12673</v>
      </c>
      <c r="F127" s="1" t="s">
        <v>784</v>
      </c>
      <c r="G127" s="1" t="s">
        <v>940</v>
      </c>
      <c r="H127" s="145" t="n">
        <v>44370</v>
      </c>
      <c r="I127" s="1" t="n">
        <f aca="false">IF(H127&lt;&gt;"",MONTH(H127),"")</f>
        <v>6</v>
      </c>
      <c r="J127" s="1" t="str">
        <f aca="false">IFERROR(VLOOKUP(D127,'Controle de equipamento'!$J:$V,4,0),"Adicionado")</f>
        <v>Adicionado</v>
      </c>
    </row>
    <row r="128" customFormat="false" ht="15" hidden="false" customHeight="false" outlineLevel="0" collapsed="false">
      <c r="A128" s="144" t="s">
        <v>833</v>
      </c>
      <c r="B128" s="102" t="s">
        <v>928</v>
      </c>
      <c r="C128" s="102" t="s">
        <v>81</v>
      </c>
      <c r="D128" s="110" t="s">
        <v>680</v>
      </c>
      <c r="E128" s="102" t="n">
        <v>12674</v>
      </c>
      <c r="F128" s="1" t="s">
        <v>784</v>
      </c>
      <c r="G128" s="1" t="s">
        <v>941</v>
      </c>
      <c r="H128" s="145" t="n">
        <v>44370</v>
      </c>
      <c r="I128" s="1" t="n">
        <f aca="false">IF(H128&lt;&gt;"",MONTH(H128),"")</f>
        <v>6</v>
      </c>
      <c r="J128" s="1" t="str">
        <f aca="false">IFERROR(VLOOKUP(D128,'Controle de equipamento'!$J:$V,4,0),"Adicionado")</f>
        <v>Santo André-SP</v>
      </c>
    </row>
    <row r="129" customFormat="false" ht="15" hidden="false" customHeight="false" outlineLevel="0" collapsed="false">
      <c r="A129" s="144" t="s">
        <v>942</v>
      </c>
      <c r="B129" s="102" t="s">
        <v>943</v>
      </c>
      <c r="C129" s="102" t="s">
        <v>87</v>
      </c>
      <c r="D129" s="110" t="s">
        <v>944</v>
      </c>
      <c r="E129" s="102" t="n">
        <v>12675</v>
      </c>
      <c r="F129" s="1" t="s">
        <v>784</v>
      </c>
      <c r="H129" s="145" t="n">
        <v>44371</v>
      </c>
      <c r="I129" s="1" t="n">
        <f aca="false">IF(H129&lt;&gt;"",MONTH(H129),"")</f>
        <v>6</v>
      </c>
      <c r="J129" s="1" t="str">
        <f aca="false">IFERROR(VLOOKUP(D129,'Controle de equipamento'!$J:$V,4,0),"Adicionado")</f>
        <v>Adicionado</v>
      </c>
    </row>
    <row r="130" customFormat="false" ht="15" hidden="false" customHeight="false" outlineLevel="0" collapsed="false">
      <c r="A130" s="144" t="s">
        <v>782</v>
      </c>
      <c r="B130" s="102" t="s">
        <v>943</v>
      </c>
      <c r="C130" s="102" t="s">
        <v>87</v>
      </c>
      <c r="D130" s="110" t="s">
        <v>782</v>
      </c>
      <c r="E130" s="102" t="n">
        <v>12676</v>
      </c>
      <c r="F130" s="1" t="s">
        <v>784</v>
      </c>
      <c r="H130" s="145" t="n">
        <v>44371</v>
      </c>
      <c r="I130" s="1" t="n">
        <f aca="false">IF(H130&lt;&gt;"",MONTH(H130),"")</f>
        <v>6</v>
      </c>
      <c r="J130" s="1" t="str">
        <f aca="false">IFERROR(VLOOKUP(D130,'Controle de equipamento'!$J:$V,4,0),"Adicionado")</f>
        <v>Adicionado</v>
      </c>
    </row>
    <row r="131" customFormat="false" ht="15" hidden="false" customHeight="false" outlineLevel="0" collapsed="false">
      <c r="A131" s="144" t="s">
        <v>782</v>
      </c>
      <c r="B131" s="102" t="s">
        <v>874</v>
      </c>
      <c r="C131" s="102" t="s">
        <v>81</v>
      </c>
      <c r="D131" s="110" t="s">
        <v>421</v>
      </c>
      <c r="E131" s="102" t="n">
        <v>12677</v>
      </c>
      <c r="F131" s="1" t="s">
        <v>784</v>
      </c>
      <c r="H131" s="145" t="n">
        <v>44371</v>
      </c>
      <c r="I131" s="1" t="n">
        <f aca="false">IF(H131&lt;&gt;"",MONTH(H131),"")</f>
        <v>6</v>
      </c>
      <c r="J131" s="1" t="str">
        <f aca="false">IFERROR(VLOOKUP(D131,'Controle de equipamento'!$J:$V,4,0),"Adicionado")</f>
        <v>Ponta Grossa-PR</v>
      </c>
    </row>
    <row r="132" customFormat="false" ht="15" hidden="false" customHeight="false" outlineLevel="0" collapsed="false">
      <c r="A132" s="144" t="s">
        <v>782</v>
      </c>
      <c r="B132" s="102" t="s">
        <v>564</v>
      </c>
      <c r="C132" s="102" t="s">
        <v>265</v>
      </c>
      <c r="D132" s="110" t="s">
        <v>426</v>
      </c>
      <c r="E132" s="102" t="n">
        <v>12678</v>
      </c>
      <c r="F132" s="1" t="s">
        <v>784</v>
      </c>
      <c r="G132" s="1" t="s">
        <v>945</v>
      </c>
      <c r="H132" s="145" t="n">
        <v>44371</v>
      </c>
      <c r="I132" s="1" t="n">
        <f aca="false">IF(H132&lt;&gt;"",MONTH(H132),"")</f>
        <v>6</v>
      </c>
      <c r="J132" s="1" t="str">
        <f aca="false">IFERROR(VLOOKUP(D132,'Controle de equipamento'!$J:$V,4,0),"Adicionado")</f>
        <v>Ponta Grossa-PR</v>
      </c>
    </row>
    <row r="133" customFormat="false" ht="15" hidden="false" customHeight="false" outlineLevel="0" collapsed="false">
      <c r="A133" s="144" t="s">
        <v>782</v>
      </c>
      <c r="B133" s="102" t="s">
        <v>896</v>
      </c>
      <c r="C133" s="102" t="s">
        <v>265</v>
      </c>
      <c r="D133" s="110" t="s">
        <v>424</v>
      </c>
      <c r="E133" s="102" t="n">
        <v>12679</v>
      </c>
      <c r="F133" s="1" t="s">
        <v>784</v>
      </c>
      <c r="G133" s="1" t="s">
        <v>946</v>
      </c>
      <c r="H133" s="145" t="n">
        <v>44371</v>
      </c>
      <c r="I133" s="1" t="n">
        <f aca="false">IF(H133&lt;&gt;"",MONTH(H133),"")</f>
        <v>6</v>
      </c>
      <c r="J133" s="1" t="str">
        <f aca="false">IFERROR(VLOOKUP(D133,'Controle de equipamento'!$J:$V,4,0),"Adicionado")</f>
        <v>Ponta Grossa-PR</v>
      </c>
    </row>
    <row r="134" customFormat="false" ht="15" hidden="false" customHeight="false" outlineLevel="0" collapsed="false">
      <c r="A134" s="144" t="s">
        <v>782</v>
      </c>
      <c r="B134" s="102" t="s">
        <v>947</v>
      </c>
      <c r="C134" s="102" t="s">
        <v>830</v>
      </c>
      <c r="D134" s="110" t="s">
        <v>425</v>
      </c>
      <c r="E134" s="102" t="n">
        <v>12710</v>
      </c>
      <c r="F134" s="1" t="s">
        <v>784</v>
      </c>
      <c r="H134" s="145" t="n">
        <v>44371</v>
      </c>
      <c r="I134" s="1" t="n">
        <f aca="false">IF(H134&lt;&gt;"",MONTH(H134),"")</f>
        <v>6</v>
      </c>
      <c r="J134" s="1" t="str">
        <f aca="false">IFERROR(VLOOKUP(D134,'Controle de equipamento'!$J:$V,4,0),"Adicionado")</f>
        <v>Ponta Grossa-PR</v>
      </c>
    </row>
    <row r="135" customFormat="false" ht="15" hidden="false" customHeight="false" outlineLevel="0" collapsed="false">
      <c r="A135" s="144" t="s">
        <v>948</v>
      </c>
      <c r="B135" s="102" t="s">
        <v>949</v>
      </c>
      <c r="C135" s="102" t="s">
        <v>81</v>
      </c>
      <c r="D135" s="110" t="s">
        <v>950</v>
      </c>
      <c r="E135" s="102" t="n">
        <v>12717</v>
      </c>
      <c r="F135" s="1" t="s">
        <v>784</v>
      </c>
      <c r="G135" s="1" t="s">
        <v>951</v>
      </c>
      <c r="H135" s="145" t="n">
        <v>44372</v>
      </c>
      <c r="I135" s="1" t="n">
        <f aca="false">IF(H135&lt;&gt;"",MONTH(H135),"")</f>
        <v>6</v>
      </c>
      <c r="J135" s="1" t="str">
        <f aca="false">IFERROR(VLOOKUP(D135,'Controle de equipamento'!$J:$V,4,0),"Adicionado")</f>
        <v>Adicionado</v>
      </c>
    </row>
    <row r="136" customFormat="false" ht="15" hidden="false" customHeight="false" outlineLevel="0" collapsed="false">
      <c r="A136" s="144" t="s">
        <v>952</v>
      </c>
      <c r="B136" s="102" t="s">
        <v>101</v>
      </c>
      <c r="C136" s="102" t="s">
        <v>81</v>
      </c>
      <c r="D136" s="110" t="s">
        <v>953</v>
      </c>
      <c r="E136" s="102" t="n">
        <v>12718</v>
      </c>
      <c r="F136" s="1" t="s">
        <v>784</v>
      </c>
      <c r="H136" s="145" t="n">
        <v>44372</v>
      </c>
      <c r="I136" s="1" t="n">
        <f aca="false">IF(H136&lt;&gt;"",MONTH(H136),"")</f>
        <v>6</v>
      </c>
      <c r="J136" s="1" t="str">
        <f aca="false">IFERROR(VLOOKUP(D136,'Controle de equipamento'!$J:$V,4,0),"Adicionado")</f>
        <v>São Paulo-SP</v>
      </c>
    </row>
    <row r="137" customFormat="false" ht="15" hidden="false" customHeight="false" outlineLevel="0" collapsed="false">
      <c r="A137" s="144" t="s">
        <v>954</v>
      </c>
      <c r="B137" s="102" t="s">
        <v>564</v>
      </c>
      <c r="C137" s="102" t="s">
        <v>136</v>
      </c>
      <c r="D137" s="110" t="s">
        <v>955</v>
      </c>
      <c r="E137" s="102" t="n">
        <v>12719</v>
      </c>
      <c r="F137" s="1" t="s">
        <v>784</v>
      </c>
      <c r="H137" s="145" t="n">
        <v>44372</v>
      </c>
      <c r="I137" s="1" t="n">
        <f aca="false">IF(H137&lt;&gt;"",MONTH(H137),"")</f>
        <v>6</v>
      </c>
      <c r="J137" s="1" t="str">
        <f aca="false">IFERROR(VLOOKUP(D137,'Controle de equipamento'!$J:$V,4,0),"Adicionado")</f>
        <v>Adicionado</v>
      </c>
    </row>
    <row r="138" customFormat="false" ht="15" hidden="false" customHeight="false" outlineLevel="0" collapsed="false">
      <c r="A138" s="144" t="s">
        <v>782</v>
      </c>
      <c r="B138" s="102" t="s">
        <v>949</v>
      </c>
      <c r="C138" s="102" t="s">
        <v>81</v>
      </c>
      <c r="D138" s="110" t="s">
        <v>518</v>
      </c>
      <c r="E138" s="102" t="n">
        <v>12612</v>
      </c>
      <c r="F138" s="1" t="s">
        <v>784</v>
      </c>
      <c r="H138" s="145" t="n">
        <v>44369</v>
      </c>
      <c r="I138" s="1" t="n">
        <f aca="false">IF(H138&lt;&gt;"",MONTH(H138),"")</f>
        <v>6</v>
      </c>
      <c r="J138" s="1" t="str">
        <f aca="false">IFERROR(VLOOKUP(D138,'Controle de equipamento'!$J:$V,4,0),"Adicionado")</f>
        <v>Jaraguá do Sul-SC</v>
      </c>
    </row>
    <row r="139" customFormat="false" ht="15" hidden="false" customHeight="false" outlineLevel="0" collapsed="false">
      <c r="A139" s="144" t="s">
        <v>782</v>
      </c>
      <c r="B139" s="102" t="s">
        <v>896</v>
      </c>
      <c r="C139" s="102" t="s">
        <v>830</v>
      </c>
      <c r="D139" s="110" t="s">
        <v>521</v>
      </c>
      <c r="E139" s="102" t="n">
        <v>12613</v>
      </c>
      <c r="F139" s="1" t="s">
        <v>784</v>
      </c>
      <c r="H139" s="145" t="n">
        <v>44369</v>
      </c>
      <c r="I139" s="1" t="n">
        <f aca="false">IF(H139&lt;&gt;"",MONTH(H139),"")</f>
        <v>6</v>
      </c>
      <c r="J139" s="1" t="str">
        <f aca="false">IFERROR(VLOOKUP(D139,'Controle de equipamento'!$J:$V,4,0),"Adicionado")</f>
        <v>Jaraguá do Sul-SC</v>
      </c>
    </row>
    <row r="140" customFormat="false" ht="15" hidden="false" customHeight="false" outlineLevel="0" collapsed="false">
      <c r="A140" s="144" t="s">
        <v>782</v>
      </c>
      <c r="B140" s="102" t="s">
        <v>947</v>
      </c>
      <c r="C140" s="102" t="s">
        <v>830</v>
      </c>
      <c r="D140" s="110" t="s">
        <v>522</v>
      </c>
      <c r="E140" s="102" t="n">
        <v>12614</v>
      </c>
      <c r="F140" s="1" t="s">
        <v>784</v>
      </c>
      <c r="H140" s="145" t="n">
        <v>44369</v>
      </c>
      <c r="I140" s="1" t="n">
        <f aca="false">IF(H140&lt;&gt;"",MONTH(H140),"")</f>
        <v>6</v>
      </c>
      <c r="J140" s="1" t="str">
        <f aca="false">IFERROR(VLOOKUP(D140,'Controle de equipamento'!$J:$V,4,0),"Adicionado")</f>
        <v>Jaraguá do Sul-SC</v>
      </c>
    </row>
    <row r="141" customFormat="false" ht="15" hidden="false" customHeight="false" outlineLevel="0" collapsed="false">
      <c r="A141" s="144" t="s">
        <v>782</v>
      </c>
      <c r="B141" s="102" t="s">
        <v>947</v>
      </c>
      <c r="C141" s="102" t="s">
        <v>830</v>
      </c>
      <c r="D141" s="110" t="s">
        <v>526</v>
      </c>
      <c r="E141" s="102" t="n">
        <v>12615</v>
      </c>
      <c r="F141" s="1" t="s">
        <v>784</v>
      </c>
      <c r="H141" s="145" t="n">
        <v>44369</v>
      </c>
      <c r="I141" s="1" t="n">
        <f aca="false">IF(H141&lt;&gt;"",MONTH(H141),"")</f>
        <v>6</v>
      </c>
      <c r="J141" s="1" t="str">
        <f aca="false">IFERROR(VLOOKUP(D141,'Controle de equipamento'!$J:$V,4,0),"Adicionado")</f>
        <v>Jaraguá do Sul-SC</v>
      </c>
    </row>
    <row r="142" customFormat="false" ht="15" hidden="false" customHeight="false" outlineLevel="0" collapsed="false">
      <c r="A142" s="144" t="s">
        <v>782</v>
      </c>
      <c r="B142" s="102" t="s">
        <v>947</v>
      </c>
      <c r="C142" s="102" t="s">
        <v>830</v>
      </c>
      <c r="D142" s="110" t="s">
        <v>525</v>
      </c>
      <c r="E142" s="102" t="n">
        <v>12616</v>
      </c>
      <c r="F142" s="1" t="s">
        <v>784</v>
      </c>
      <c r="G142" s="1" t="s">
        <v>956</v>
      </c>
      <c r="H142" s="145" t="n">
        <v>44369</v>
      </c>
      <c r="I142" s="1" t="n">
        <f aca="false">IF(H142&lt;&gt;"",MONTH(H142),"")</f>
        <v>6</v>
      </c>
      <c r="J142" s="1" t="str">
        <f aca="false">IFERROR(VLOOKUP(D142,'Controle de equipamento'!$J:$V,4,0),"Adicionado")</f>
        <v>Jaraguá do Sul-SC</v>
      </c>
    </row>
    <row r="143" customFormat="false" ht="15" hidden="false" customHeight="false" outlineLevel="0" collapsed="false">
      <c r="A143" s="144" t="s">
        <v>782</v>
      </c>
      <c r="B143" s="102" t="s">
        <v>947</v>
      </c>
      <c r="C143" s="102" t="s">
        <v>830</v>
      </c>
      <c r="D143" s="110" t="s">
        <v>523</v>
      </c>
      <c r="E143" s="102" t="n">
        <v>12617</v>
      </c>
      <c r="F143" s="1" t="s">
        <v>784</v>
      </c>
      <c r="H143" s="145" t="n">
        <v>44369</v>
      </c>
      <c r="I143" s="1" t="n">
        <f aca="false">IF(H143&lt;&gt;"",MONTH(H143),"")</f>
        <v>6</v>
      </c>
      <c r="J143" s="1" t="str">
        <f aca="false">IFERROR(VLOOKUP(D143,'Controle de equipamento'!$J:$V,4,0),"Adicionado")</f>
        <v>Jaraguá do Sul-SC</v>
      </c>
    </row>
    <row r="144" customFormat="false" ht="15" hidden="false" customHeight="false" outlineLevel="0" collapsed="false">
      <c r="A144" s="144" t="s">
        <v>782</v>
      </c>
      <c r="B144" s="102" t="s">
        <v>947</v>
      </c>
      <c r="C144" s="102" t="s">
        <v>830</v>
      </c>
      <c r="D144" s="110" t="s">
        <v>524</v>
      </c>
      <c r="E144" s="102" t="n">
        <v>12618</v>
      </c>
      <c r="F144" s="1" t="s">
        <v>784</v>
      </c>
      <c r="H144" s="145" t="n">
        <v>44369</v>
      </c>
      <c r="I144" s="1" t="n">
        <f aca="false">IF(H144&lt;&gt;"",MONTH(H144),"")</f>
        <v>6</v>
      </c>
      <c r="J144" s="1" t="str">
        <f aca="false">IFERROR(VLOOKUP(D144,'Controle de equipamento'!$J:$V,4,0),"Adicionado")</f>
        <v>Jaraguá do Sul-SC</v>
      </c>
    </row>
    <row r="145" customFormat="false" ht="15" hidden="false" customHeight="false" outlineLevel="0" collapsed="false">
      <c r="A145" s="156" t="s">
        <v>782</v>
      </c>
      <c r="B145" s="147" t="s">
        <v>957</v>
      </c>
      <c r="C145" s="147" t="s">
        <v>117</v>
      </c>
      <c r="D145" s="110" t="s">
        <v>958</v>
      </c>
      <c r="E145" s="102" t="n">
        <v>13163</v>
      </c>
      <c r="F145" s="1" t="s">
        <v>784</v>
      </c>
      <c r="H145" s="145" t="n">
        <v>44397</v>
      </c>
      <c r="I145" s="1" t="n">
        <f aca="false">IF(H145&lt;&gt;"",MONTH(H145),"")</f>
        <v>7</v>
      </c>
      <c r="J145" s="1" t="str">
        <f aca="false">IFERROR(VLOOKUP(D145,'Controle de equipamento'!$J:$V,4,0),"Adicionado")</f>
        <v>Adicionado</v>
      </c>
    </row>
    <row r="146" customFormat="false" ht="15" hidden="false" customHeight="false" outlineLevel="0" collapsed="false">
      <c r="A146" s="156" t="s">
        <v>959</v>
      </c>
      <c r="B146" s="147" t="s">
        <v>960</v>
      </c>
      <c r="C146" s="147" t="s">
        <v>81</v>
      </c>
      <c r="D146" s="110" t="s">
        <v>961</v>
      </c>
      <c r="E146" s="157" t="n">
        <v>13165</v>
      </c>
      <c r="F146" s="1" t="s">
        <v>784</v>
      </c>
      <c r="H146" s="145" t="n">
        <v>44397</v>
      </c>
      <c r="I146" s="1" t="n">
        <f aca="false">IF(H146&lt;&gt;"",MONTH(H146),"")</f>
        <v>7</v>
      </c>
      <c r="J146" s="1" t="str">
        <f aca="false">IFERROR(VLOOKUP(D146,'Controle de equipamento'!$J:$V,4,0),"Adicionado")</f>
        <v>Adicionado</v>
      </c>
    </row>
    <row r="147" customFormat="false" ht="15" hidden="false" customHeight="false" outlineLevel="0" collapsed="false">
      <c r="A147" s="144" t="s">
        <v>962</v>
      </c>
      <c r="B147" s="147" t="s">
        <v>963</v>
      </c>
      <c r="C147" s="147" t="s">
        <v>964</v>
      </c>
      <c r="D147" s="110" t="s">
        <v>965</v>
      </c>
      <c r="E147" s="157" t="n">
        <v>13164</v>
      </c>
      <c r="F147" s="1" t="s">
        <v>784</v>
      </c>
      <c r="H147" s="145" t="n">
        <v>44397</v>
      </c>
      <c r="I147" s="1" t="n">
        <f aca="false">IF(H147&lt;&gt;"",MONTH(H147),"")</f>
        <v>7</v>
      </c>
      <c r="J147" s="1" t="str">
        <f aca="false">IFERROR(VLOOKUP(D147,'Controle de equipamento'!$J:$V,4,0),"Adicionado")</f>
        <v>Adicionado</v>
      </c>
    </row>
    <row r="148" customFormat="false" ht="15" hidden="false" customHeight="false" outlineLevel="0" collapsed="false">
      <c r="A148" s="156" t="s">
        <v>966</v>
      </c>
      <c r="B148" s="147" t="s">
        <v>967</v>
      </c>
      <c r="C148" s="147" t="s">
        <v>964</v>
      </c>
      <c r="D148" s="110" t="s">
        <v>968</v>
      </c>
      <c r="E148" s="157" t="n">
        <v>13166</v>
      </c>
      <c r="F148" s="1" t="s">
        <v>784</v>
      </c>
      <c r="H148" s="145" t="n">
        <v>44397</v>
      </c>
      <c r="I148" s="1" t="n">
        <f aca="false">IF(H148&lt;&gt;"",MONTH(H148),"")</f>
        <v>7</v>
      </c>
      <c r="J148" s="1" t="str">
        <f aca="false">IFERROR(VLOOKUP(D148,'Controle de equipamento'!$J:$V,4,0),"Adicionado")</f>
        <v>Adicionado</v>
      </c>
    </row>
    <row r="149" customFormat="false" ht="15" hidden="false" customHeight="false" outlineLevel="0" collapsed="false">
      <c r="A149" s="144" t="s">
        <v>782</v>
      </c>
      <c r="B149" s="102" t="s">
        <v>917</v>
      </c>
      <c r="C149" s="102" t="s">
        <v>81</v>
      </c>
      <c r="D149" s="110" t="s">
        <v>327</v>
      </c>
      <c r="E149" s="102" t="n">
        <v>13244</v>
      </c>
      <c r="F149" s="1" t="s">
        <v>784</v>
      </c>
      <c r="G149" s="1" t="s">
        <v>969</v>
      </c>
      <c r="H149" s="145" t="n">
        <v>44404</v>
      </c>
      <c r="I149" s="1" t="n">
        <f aca="false">IF(H149&lt;&gt;"",MONTH(H149),"")</f>
        <v>7</v>
      </c>
      <c r="J149" s="1" t="str">
        <f aca="false">IFERROR(VLOOKUP(D149,'Controle de equipamento'!$J:$V,4,0),"Adicionado")</f>
        <v>Uberlândia-MG</v>
      </c>
    </row>
    <row r="150" customFormat="false" ht="64.5" hidden="false" customHeight="false" outlineLevel="0" collapsed="false">
      <c r="A150" s="144" t="s">
        <v>782</v>
      </c>
      <c r="B150" s="102" t="s">
        <v>970</v>
      </c>
      <c r="C150" s="102" t="s">
        <v>81</v>
      </c>
      <c r="D150" s="110" t="s">
        <v>331</v>
      </c>
      <c r="E150" s="102" t="n">
        <v>13247</v>
      </c>
      <c r="F150" s="1" t="s">
        <v>784</v>
      </c>
      <c r="G150" s="158" t="s">
        <v>971</v>
      </c>
      <c r="H150" s="145" t="n">
        <v>44404</v>
      </c>
      <c r="I150" s="1" t="n">
        <f aca="false">IF(H150&lt;&gt;"",MONTH(H150),"")</f>
        <v>7</v>
      </c>
      <c r="J150" s="1" t="str">
        <f aca="false">IFERROR(VLOOKUP(D150,'Controle de equipamento'!$J:$V,4,0),"Adicionado")</f>
        <v>Uberlândia-MG</v>
      </c>
    </row>
    <row r="151" customFormat="false" ht="15" hidden="false" customHeight="false" outlineLevel="0" collapsed="false">
      <c r="A151" s="144" t="s">
        <v>782</v>
      </c>
      <c r="B151" s="102" t="s">
        <v>972</v>
      </c>
      <c r="C151" s="102" t="s">
        <v>830</v>
      </c>
      <c r="D151" s="110" t="s">
        <v>334</v>
      </c>
      <c r="E151" s="102" t="n">
        <v>13246</v>
      </c>
      <c r="F151" s="1" t="s">
        <v>784</v>
      </c>
      <c r="H151" s="145" t="n">
        <v>44404</v>
      </c>
      <c r="I151" s="1" t="n">
        <f aca="false">IF(H151&lt;&gt;"",MONTH(H151),"")</f>
        <v>7</v>
      </c>
      <c r="J151" s="1" t="str">
        <f aca="false">IFERROR(VLOOKUP(D151,'Controle de equipamento'!$J:$V,4,0),"Adicionado")</f>
        <v>Uberlândia-MG</v>
      </c>
    </row>
    <row r="152" customFormat="false" ht="15" hidden="false" customHeight="false" outlineLevel="0" collapsed="false">
      <c r="A152" s="144" t="s">
        <v>782</v>
      </c>
      <c r="B152" s="102" t="s">
        <v>973</v>
      </c>
      <c r="C152" s="102" t="s">
        <v>81</v>
      </c>
      <c r="D152" s="110" t="s">
        <v>335</v>
      </c>
      <c r="E152" s="102" t="n">
        <v>13245</v>
      </c>
      <c r="F152" s="1" t="s">
        <v>784</v>
      </c>
      <c r="H152" s="145" t="n">
        <v>44404</v>
      </c>
      <c r="I152" s="1" t="n">
        <f aca="false">IF(H152&lt;&gt;"",MONTH(H152),"")</f>
        <v>7</v>
      </c>
      <c r="J152" s="1" t="str">
        <f aca="false">IFERROR(VLOOKUP(D152,'Controle de equipamento'!$J:$V,4,0),"Adicionado")</f>
        <v>Uberlândia-MG</v>
      </c>
    </row>
    <row r="153" customFormat="false" ht="15" hidden="false" customHeight="false" outlineLevel="0" collapsed="false">
      <c r="A153" s="144" t="s">
        <v>782</v>
      </c>
      <c r="B153" s="102" t="s">
        <v>970</v>
      </c>
      <c r="C153" s="102" t="s">
        <v>81</v>
      </c>
      <c r="D153" s="110" t="s">
        <v>356</v>
      </c>
      <c r="E153" s="102" t="n">
        <v>13217</v>
      </c>
      <c r="F153" s="1" t="s">
        <v>784</v>
      </c>
      <c r="H153" s="145" t="n">
        <v>44398</v>
      </c>
      <c r="I153" s="1" t="n">
        <f aca="false">IF(H153&lt;&gt;"",MONTH(H153),"")</f>
        <v>7</v>
      </c>
      <c r="J153" s="1" t="str">
        <f aca="false">IFERROR(VLOOKUP(D153,'Controle de equipamento'!$J:$V,4,0),"Adicionado")</f>
        <v>Nova Olimpia-MT</v>
      </c>
    </row>
    <row r="154" customFormat="false" ht="15" hidden="false" customHeight="false" outlineLevel="0" collapsed="false">
      <c r="A154" s="144" t="s">
        <v>782</v>
      </c>
      <c r="B154" s="102" t="s">
        <v>851</v>
      </c>
      <c r="C154" s="102" t="s">
        <v>81</v>
      </c>
      <c r="D154" s="110" t="s">
        <v>361</v>
      </c>
      <c r="E154" s="102" t="n">
        <v>13218</v>
      </c>
      <c r="F154" s="1" t="s">
        <v>784</v>
      </c>
      <c r="H154" s="145" t="n">
        <v>44398</v>
      </c>
      <c r="I154" s="1" t="n">
        <f aca="false">IF(H154&lt;&gt;"",MONTH(H154),"")</f>
        <v>7</v>
      </c>
      <c r="J154" s="1" t="str">
        <f aca="false">IFERROR(VLOOKUP(D154,'Controle de equipamento'!$J:$V,4,0),"Adicionado")</f>
        <v>Nova Olimpia-MT</v>
      </c>
    </row>
    <row r="155" customFormat="false" ht="15" hidden="false" customHeight="false" outlineLevel="0" collapsed="false">
      <c r="A155" s="144" t="s">
        <v>782</v>
      </c>
      <c r="B155" s="102" t="s">
        <v>974</v>
      </c>
      <c r="C155" s="102" t="s">
        <v>975</v>
      </c>
      <c r="D155" s="110" t="s">
        <v>363</v>
      </c>
      <c r="E155" s="102" t="n">
        <v>13219</v>
      </c>
      <c r="F155" s="1" t="s">
        <v>784</v>
      </c>
      <c r="H155" s="145" t="n">
        <v>44398</v>
      </c>
      <c r="I155" s="1" t="n">
        <f aca="false">IF(H155&lt;&gt;"",MONTH(H155),"")</f>
        <v>7</v>
      </c>
      <c r="J155" s="1" t="str">
        <f aca="false">IFERROR(VLOOKUP(D155,'Controle de equipamento'!$J:$V,4,0),"Adicionado")</f>
        <v>Nova Olimpia-MT</v>
      </c>
    </row>
    <row r="156" customFormat="false" ht="15" hidden="false" customHeight="false" outlineLevel="0" collapsed="false">
      <c r="A156" s="144" t="s">
        <v>782</v>
      </c>
      <c r="B156" s="102" t="s">
        <v>976</v>
      </c>
      <c r="C156" s="102" t="s">
        <v>975</v>
      </c>
      <c r="D156" s="110" t="s">
        <v>366</v>
      </c>
      <c r="E156" s="102" t="n">
        <v>13220</v>
      </c>
      <c r="F156" s="1" t="s">
        <v>784</v>
      </c>
      <c r="H156" s="145" t="n">
        <v>44398</v>
      </c>
      <c r="I156" s="1" t="n">
        <f aca="false">IF(H156&lt;&gt;"",MONTH(H156),"")</f>
        <v>7</v>
      </c>
      <c r="J156" s="1" t="str">
        <f aca="false">IFERROR(VLOOKUP(D156,'Controle de equipamento'!$J:$V,4,0),"Adicionado")</f>
        <v>Nova Olimpia-MT</v>
      </c>
    </row>
    <row r="157" customFormat="false" ht="15" hidden="false" customHeight="false" outlineLevel="0" collapsed="false">
      <c r="A157" s="144" t="s">
        <v>782</v>
      </c>
      <c r="B157" s="102" t="s">
        <v>977</v>
      </c>
      <c r="C157" s="102" t="s">
        <v>607</v>
      </c>
      <c r="D157" s="110" t="s">
        <v>746</v>
      </c>
      <c r="E157" s="102" t="n">
        <v>13221</v>
      </c>
      <c r="F157" s="1" t="s">
        <v>784</v>
      </c>
      <c r="H157" s="145" t="n">
        <v>44398</v>
      </c>
      <c r="I157" s="1" t="n">
        <f aca="false">IF(H157&lt;&gt;"",MONTH(H157),"")</f>
        <v>7</v>
      </c>
      <c r="J157" s="1" t="str">
        <f aca="false">IFERROR(VLOOKUP(D157,'Controle de equipamento'!$J:$V,4,0),"Adicionado")</f>
        <v>Adicionado</v>
      </c>
    </row>
    <row r="158" customFormat="false" ht="15" hidden="false" customHeight="false" outlineLevel="0" collapsed="false">
      <c r="A158" s="144" t="s">
        <v>782</v>
      </c>
      <c r="B158" s="102" t="s">
        <v>977</v>
      </c>
      <c r="C158" s="102" t="s">
        <v>607</v>
      </c>
      <c r="D158" s="110" t="s">
        <v>749</v>
      </c>
      <c r="E158" s="102" t="n">
        <v>13222</v>
      </c>
      <c r="F158" s="1" t="s">
        <v>784</v>
      </c>
      <c r="H158" s="145" t="n">
        <v>44398</v>
      </c>
      <c r="I158" s="1" t="n">
        <f aca="false">IF(H158&lt;&gt;"",MONTH(H158),"")</f>
        <v>7</v>
      </c>
      <c r="J158" s="1" t="str">
        <f aca="false">IFERROR(VLOOKUP(D158,'Controle de equipamento'!$J:$V,4,0),"Adicionado")</f>
        <v>Adicionado</v>
      </c>
    </row>
    <row r="159" customFormat="false" ht="15" hidden="false" customHeight="false" outlineLevel="0" collapsed="false">
      <c r="A159" s="144" t="s">
        <v>782</v>
      </c>
      <c r="B159" s="102" t="s">
        <v>752</v>
      </c>
      <c r="C159" s="102" t="s">
        <v>607</v>
      </c>
      <c r="D159" s="110" t="s">
        <v>753</v>
      </c>
      <c r="E159" s="102" t="n">
        <v>13239</v>
      </c>
      <c r="F159" s="1" t="s">
        <v>784</v>
      </c>
      <c r="H159" s="145" t="n">
        <v>44398</v>
      </c>
      <c r="I159" s="1" t="n">
        <f aca="false">IF(H159&lt;&gt;"",MONTH(H159),"")</f>
        <v>7</v>
      </c>
      <c r="J159" s="1" t="str">
        <f aca="false">IFERROR(VLOOKUP(D159,'Controle de equipamento'!$J:$V,4,0),"Adicionado")</f>
        <v>Adicionado</v>
      </c>
    </row>
    <row r="160" customFormat="false" ht="15" hidden="false" customHeight="false" outlineLevel="0" collapsed="false">
      <c r="A160" s="144" t="s">
        <v>782</v>
      </c>
      <c r="B160" s="102" t="s">
        <v>978</v>
      </c>
      <c r="C160" s="102" t="s">
        <v>979</v>
      </c>
      <c r="D160" s="110" t="s">
        <v>214</v>
      </c>
      <c r="E160" s="102" t="n">
        <v>13270</v>
      </c>
      <c r="F160" s="1" t="s">
        <v>784</v>
      </c>
      <c r="H160" s="145" t="n">
        <v>44406</v>
      </c>
      <c r="I160" s="1" t="n">
        <f aca="false">IF(H160&lt;&gt;"",MONTH(H160),"")</f>
        <v>7</v>
      </c>
      <c r="J160" s="1" t="str">
        <f aca="false">IFERROR(VLOOKUP(D160,'Controle de equipamento'!$J:$V,4,0),"Adicionado")</f>
        <v>Serra-ES</v>
      </c>
    </row>
    <row r="161" customFormat="false" ht="15" hidden="false" customHeight="false" outlineLevel="0" collapsed="false">
      <c r="A161" s="144" t="s">
        <v>782</v>
      </c>
      <c r="B161" s="102" t="s">
        <v>891</v>
      </c>
      <c r="C161" s="102" t="s">
        <v>81</v>
      </c>
      <c r="D161" s="110" t="n">
        <v>1199043</v>
      </c>
      <c r="E161" s="102" t="n">
        <v>13271</v>
      </c>
      <c r="F161" s="1" t="s">
        <v>784</v>
      </c>
      <c r="G161" s="1" t="s">
        <v>980</v>
      </c>
      <c r="H161" s="145" t="n">
        <v>44406</v>
      </c>
      <c r="I161" s="1" t="n">
        <f aca="false">IF(H161&lt;&gt;"",MONTH(H161),"")</f>
        <v>7</v>
      </c>
      <c r="J161" s="1" t="str">
        <f aca="false">IFERROR(VLOOKUP(D161,'Controle de equipamento'!$J:$V,4,0),"Adicionado")</f>
        <v>Serra-ES</v>
      </c>
    </row>
    <row r="162" customFormat="false" ht="15" hidden="false" customHeight="false" outlineLevel="0" collapsed="false">
      <c r="A162" s="144" t="s">
        <v>981</v>
      </c>
      <c r="B162" s="102" t="s">
        <v>982</v>
      </c>
      <c r="C162" s="102" t="s">
        <v>830</v>
      </c>
      <c r="D162" s="110" t="s">
        <v>218</v>
      </c>
      <c r="E162" s="102" t="n">
        <v>13272</v>
      </c>
      <c r="F162" s="1" t="s">
        <v>784</v>
      </c>
      <c r="H162" s="145" t="n">
        <v>44406</v>
      </c>
      <c r="I162" s="1" t="n">
        <f aca="false">IF(H162&lt;&gt;"",MONTH(H162),"")</f>
        <v>7</v>
      </c>
      <c r="J162" s="1" t="str">
        <f aca="false">IFERROR(VLOOKUP(D162,'Controle de equipamento'!$J:$V,4,0),"Adicionado")</f>
        <v>Serra-ES</v>
      </c>
    </row>
    <row r="163" customFormat="false" ht="15" hidden="false" customHeight="false" outlineLevel="0" collapsed="false">
      <c r="A163" s="144" t="s">
        <v>782</v>
      </c>
      <c r="B163" s="102" t="s">
        <v>983</v>
      </c>
      <c r="C163" s="102" t="s">
        <v>830</v>
      </c>
      <c r="D163" s="110" t="s">
        <v>220</v>
      </c>
      <c r="E163" s="102" t="n">
        <v>13273</v>
      </c>
      <c r="F163" s="1" t="s">
        <v>784</v>
      </c>
      <c r="H163" s="145" t="n">
        <v>44406</v>
      </c>
      <c r="I163" s="1" t="n">
        <f aca="false">IF(H163&lt;&gt;"",MONTH(H163),"")</f>
        <v>7</v>
      </c>
      <c r="J163" s="1" t="str">
        <f aca="false">IFERROR(VLOOKUP(D163,'Controle de equipamento'!$J:$V,4,0),"Adicionado")</f>
        <v>Serra-ES</v>
      </c>
    </row>
    <row r="164" customFormat="false" ht="15" hidden="false" customHeight="false" outlineLevel="0" collapsed="false">
      <c r="A164" s="144" t="s">
        <v>782</v>
      </c>
      <c r="B164" s="102" t="s">
        <v>984</v>
      </c>
      <c r="C164" s="102" t="s">
        <v>87</v>
      </c>
      <c r="D164" s="110" t="s">
        <v>221</v>
      </c>
      <c r="E164" s="102" t="n">
        <v>13274</v>
      </c>
      <c r="F164" s="1" t="s">
        <v>784</v>
      </c>
      <c r="H164" s="145" t="n">
        <v>44406</v>
      </c>
      <c r="I164" s="1" t="n">
        <f aca="false">IF(H164&lt;&gt;"",MONTH(H164),"")</f>
        <v>7</v>
      </c>
      <c r="J164" s="1" t="str">
        <f aca="false">IFERROR(VLOOKUP(D164,'Controle de equipamento'!$J:$V,4,0),"Adicionado")</f>
        <v>Serra-ES</v>
      </c>
    </row>
    <row r="165" customFormat="false" ht="15" hidden="false" customHeight="false" outlineLevel="0" collapsed="false">
      <c r="A165" s="144" t="s">
        <v>782</v>
      </c>
      <c r="B165" s="102" t="s">
        <v>893</v>
      </c>
      <c r="C165" s="102" t="s">
        <v>985</v>
      </c>
      <c r="D165" s="110" t="s">
        <v>223</v>
      </c>
      <c r="E165" s="102" t="n">
        <v>13276</v>
      </c>
      <c r="F165" s="1" t="s">
        <v>784</v>
      </c>
      <c r="G165" s="1" t="s">
        <v>986</v>
      </c>
      <c r="H165" s="145" t="n">
        <v>44406</v>
      </c>
      <c r="I165" s="1" t="n">
        <f aca="false">IF(H165&lt;&gt;"",MONTH(H165),"")</f>
        <v>7</v>
      </c>
      <c r="J165" s="1" t="str">
        <f aca="false">IFERROR(VLOOKUP(D165,'Controle de equipamento'!$J:$V,4,0),"Adicionado")</f>
        <v>Serra-ES</v>
      </c>
    </row>
    <row r="166" customFormat="false" ht="15" hidden="false" customHeight="false" outlineLevel="0" collapsed="false">
      <c r="A166" s="144" t="s">
        <v>782</v>
      </c>
      <c r="B166" s="102" t="s">
        <v>987</v>
      </c>
      <c r="C166" s="102" t="s">
        <v>87</v>
      </c>
      <c r="D166" s="110" t="s">
        <v>226</v>
      </c>
      <c r="E166" s="102" t="n">
        <v>13277</v>
      </c>
      <c r="F166" s="1" t="s">
        <v>784</v>
      </c>
      <c r="H166" s="145" t="n">
        <v>44406</v>
      </c>
      <c r="I166" s="1" t="n">
        <f aca="false">IF(H166&lt;&gt;"",MONTH(H166),"")</f>
        <v>7</v>
      </c>
      <c r="J166" s="1" t="str">
        <f aca="false">IFERROR(VLOOKUP(D166,'Controle de equipamento'!$J:$V,4,0),"Adicionado")</f>
        <v>Serra-ES</v>
      </c>
    </row>
    <row r="167" customFormat="false" ht="15" hidden="false" customHeight="false" outlineLevel="0" collapsed="false">
      <c r="A167" s="144" t="s">
        <v>782</v>
      </c>
      <c r="B167" s="102" t="s">
        <v>988</v>
      </c>
      <c r="C167" s="102" t="s">
        <v>452</v>
      </c>
      <c r="D167" s="110" t="s">
        <v>228</v>
      </c>
      <c r="E167" s="102" t="n">
        <v>13278</v>
      </c>
      <c r="F167" s="1" t="s">
        <v>784</v>
      </c>
      <c r="G167" s="1" t="s">
        <v>989</v>
      </c>
      <c r="H167" s="145" t="n">
        <v>44406</v>
      </c>
      <c r="I167" s="1" t="n">
        <f aca="false">IF(H167&lt;&gt;"",MONTH(H167),"")</f>
        <v>7</v>
      </c>
      <c r="J167" s="1" t="str">
        <f aca="false">IFERROR(VLOOKUP(D167,'Controle de equipamento'!$J:$V,4,0),"Adicionado")</f>
        <v>Serra-ES</v>
      </c>
    </row>
    <row r="168" customFormat="false" ht="15" hidden="false" customHeight="false" outlineLevel="0" collapsed="false">
      <c r="A168" s="144" t="s">
        <v>990</v>
      </c>
      <c r="B168" s="102" t="s">
        <v>821</v>
      </c>
      <c r="C168" s="102" t="s">
        <v>991</v>
      </c>
      <c r="D168" s="110" t="s">
        <v>232</v>
      </c>
      <c r="E168" s="102" t="n">
        <v>13279</v>
      </c>
      <c r="F168" s="1" t="s">
        <v>784</v>
      </c>
      <c r="H168" s="145" t="n">
        <v>44406</v>
      </c>
      <c r="I168" s="1" t="n">
        <f aca="false">IF(H168&lt;&gt;"",MONTH(H168),"")</f>
        <v>7</v>
      </c>
      <c r="J168" s="1" t="str">
        <f aca="false">IFERROR(VLOOKUP(D168,'Controle de equipamento'!$J:$V,4,0),"Adicionado")</f>
        <v>Serra-ES</v>
      </c>
    </row>
    <row r="169" customFormat="false" ht="15" hidden="false" customHeight="false" outlineLevel="0" collapsed="false">
      <c r="A169" s="144" t="s">
        <v>782</v>
      </c>
      <c r="B169" s="102" t="s">
        <v>844</v>
      </c>
      <c r="C169" s="102" t="s">
        <v>991</v>
      </c>
      <c r="D169" s="110" t="s">
        <v>653</v>
      </c>
      <c r="E169" s="102" t="n">
        <v>13283</v>
      </c>
      <c r="F169" s="1" t="s">
        <v>784</v>
      </c>
      <c r="H169" s="145" t="n">
        <v>44406</v>
      </c>
      <c r="I169" s="1" t="n">
        <f aca="false">IF(H169&lt;&gt;"",MONTH(H169),"")</f>
        <v>7</v>
      </c>
      <c r="J169" s="1" t="str">
        <f aca="false">IFERROR(VLOOKUP(D169,'Controle de equipamento'!$J:$V,4,0),"Adicionado")</f>
        <v>Rio Claro-SP</v>
      </c>
    </row>
    <row r="170" customFormat="false" ht="15" hidden="false" customHeight="false" outlineLevel="0" collapsed="false">
      <c r="A170" s="144" t="s">
        <v>782</v>
      </c>
      <c r="B170" s="102" t="s">
        <v>992</v>
      </c>
      <c r="C170" s="102" t="s">
        <v>81</v>
      </c>
      <c r="D170" s="110" t="s">
        <v>656</v>
      </c>
      <c r="E170" s="102" t="n">
        <v>13284</v>
      </c>
      <c r="F170" s="1" t="s">
        <v>784</v>
      </c>
      <c r="G170" s="1" t="s">
        <v>993</v>
      </c>
      <c r="H170" s="145" t="n">
        <v>44406</v>
      </c>
      <c r="I170" s="1" t="n">
        <f aca="false">IF(H170&lt;&gt;"",MONTH(H170),"")</f>
        <v>7</v>
      </c>
      <c r="J170" s="1" t="str">
        <f aca="false">IFERROR(VLOOKUP(D170,'Controle de equipamento'!$J:$V,4,0),"Adicionado")</f>
        <v>Rio Claro-SP</v>
      </c>
    </row>
    <row r="171" customFormat="false" ht="15" hidden="false" customHeight="false" outlineLevel="0" collapsed="false">
      <c r="A171" s="144" t="s">
        <v>782</v>
      </c>
      <c r="B171" s="102" t="s">
        <v>994</v>
      </c>
      <c r="C171" s="102" t="s">
        <v>830</v>
      </c>
      <c r="D171" s="110" t="s">
        <v>658</v>
      </c>
      <c r="E171" s="102" t="n">
        <v>13285</v>
      </c>
      <c r="F171" s="1" t="s">
        <v>784</v>
      </c>
      <c r="H171" s="145" t="n">
        <v>44406</v>
      </c>
      <c r="I171" s="1" t="n">
        <f aca="false">IF(H171&lt;&gt;"",MONTH(H171),"")</f>
        <v>7</v>
      </c>
      <c r="J171" s="1" t="str">
        <f aca="false">IFERROR(VLOOKUP(D171,'Controle de equipamento'!$J:$V,4,0),"Adicionado")</f>
        <v>Rio Claro-SP</v>
      </c>
    </row>
    <row r="172" customFormat="false" ht="15" hidden="false" customHeight="false" outlineLevel="0" collapsed="false">
      <c r="A172" s="144" t="s">
        <v>782</v>
      </c>
      <c r="B172" s="102" t="s">
        <v>995</v>
      </c>
      <c r="C172" s="102" t="s">
        <v>996</v>
      </c>
      <c r="D172" s="110" t="s">
        <v>659</v>
      </c>
      <c r="E172" s="102" t="n">
        <v>13369</v>
      </c>
      <c r="F172" s="1" t="s">
        <v>784</v>
      </c>
      <c r="G172" s="158"/>
      <c r="H172" s="145" t="n">
        <v>44406</v>
      </c>
      <c r="I172" s="1" t="n">
        <f aca="false">IF(H172&lt;&gt;"",MONTH(H172),"")</f>
        <v>7</v>
      </c>
      <c r="J172" s="1" t="str">
        <f aca="false">IFERROR(VLOOKUP(D172,'Controle de equipamento'!$J:$V,4,0),"Adicionado")</f>
        <v>Rio Claro-SP</v>
      </c>
    </row>
    <row r="173" customFormat="false" ht="15" hidden="false" customHeight="false" outlineLevel="0" collapsed="false">
      <c r="A173" s="144" t="s">
        <v>782</v>
      </c>
      <c r="B173" s="61" t="s">
        <v>795</v>
      </c>
      <c r="C173" s="102" t="s">
        <v>81</v>
      </c>
      <c r="D173" s="110" t="s">
        <v>660</v>
      </c>
      <c r="E173" s="102" t="n">
        <v>13287</v>
      </c>
      <c r="F173" s="1" t="s">
        <v>784</v>
      </c>
      <c r="H173" s="145" t="n">
        <v>44406</v>
      </c>
      <c r="I173" s="1" t="n">
        <f aca="false">IF(H173&lt;&gt;"",MONTH(H173),"")</f>
        <v>7</v>
      </c>
      <c r="J173" s="1" t="str">
        <f aca="false">IFERROR(VLOOKUP(D173,'Controle de equipamento'!$J:$V,4,0),"Adicionado")</f>
        <v>Rio Claro-SP</v>
      </c>
    </row>
    <row r="174" customFormat="false" ht="15" hidden="false" customHeight="false" outlineLevel="0" collapsed="false">
      <c r="A174" s="144" t="s">
        <v>782</v>
      </c>
      <c r="B174" s="102" t="s">
        <v>997</v>
      </c>
      <c r="C174" s="102" t="s">
        <v>87</v>
      </c>
      <c r="D174" s="110" t="s">
        <v>556</v>
      </c>
      <c r="E174" s="102" t="n">
        <v>13310</v>
      </c>
      <c r="F174" s="1" t="s">
        <v>784</v>
      </c>
      <c r="G174" s="1" t="s">
        <v>998</v>
      </c>
      <c r="H174" s="145" t="n">
        <v>44407</v>
      </c>
      <c r="I174" s="1" t="n">
        <f aca="false">IF(H174&lt;&gt;"",MONTH(H174),"")</f>
        <v>7</v>
      </c>
      <c r="J174" s="1" t="str">
        <f aca="false">IFERROR(VLOOKUP(D174,'Controle de equipamento'!$J:$V,4,0),"Adicionado")</f>
        <v>Araraquara-SP</v>
      </c>
    </row>
    <row r="175" customFormat="false" ht="15" hidden="false" customHeight="false" outlineLevel="0" collapsed="false">
      <c r="A175" s="144" t="s">
        <v>999</v>
      </c>
      <c r="B175" s="102" t="s">
        <v>1000</v>
      </c>
      <c r="C175" s="102" t="s">
        <v>830</v>
      </c>
      <c r="D175" s="110" t="s">
        <v>555</v>
      </c>
      <c r="E175" s="102" t="n">
        <v>13312</v>
      </c>
      <c r="F175" s="1" t="s">
        <v>784</v>
      </c>
      <c r="H175" s="145" t="n">
        <v>44407</v>
      </c>
      <c r="I175" s="1" t="n">
        <f aca="false">IF(H175&lt;&gt;"",MONTH(H175),"")</f>
        <v>7</v>
      </c>
      <c r="J175" s="1" t="str">
        <f aca="false">IFERROR(VLOOKUP(D175,'Controle de equipamento'!$J:$V,4,0),"Adicionado")</f>
        <v>Araraquara-SP</v>
      </c>
    </row>
    <row r="176" customFormat="false" ht="15" hidden="false" customHeight="false" outlineLevel="0" collapsed="false">
      <c r="A176" s="144" t="s">
        <v>1001</v>
      </c>
      <c r="B176" s="102" t="s">
        <v>1002</v>
      </c>
      <c r="C176" s="102" t="s">
        <v>81</v>
      </c>
      <c r="D176" s="110" t="s">
        <v>552</v>
      </c>
      <c r="E176" s="102" t="n">
        <v>13313</v>
      </c>
      <c r="F176" s="1" t="s">
        <v>784</v>
      </c>
      <c r="H176" s="145" t="n">
        <v>44407</v>
      </c>
      <c r="I176" s="1" t="n">
        <f aca="false">IF(H176&lt;&gt;"",MONTH(H176),"")</f>
        <v>7</v>
      </c>
      <c r="J176" s="1" t="str">
        <f aca="false">IFERROR(VLOOKUP(D176,'Controle de equipamento'!$J:$V,4,0),"Adicionado")</f>
        <v>Araraquara-SP</v>
      </c>
    </row>
    <row r="177" customFormat="false" ht="15" hidden="false" customHeight="false" outlineLevel="0" collapsed="false">
      <c r="A177" s="144" t="s">
        <v>782</v>
      </c>
      <c r="B177" s="102" t="s">
        <v>908</v>
      </c>
      <c r="C177" s="102" t="s">
        <v>1003</v>
      </c>
      <c r="D177" s="110" t="n">
        <v>2902019</v>
      </c>
      <c r="E177" s="102" t="n">
        <v>13316</v>
      </c>
      <c r="F177" s="1" t="s">
        <v>784</v>
      </c>
      <c r="H177" s="145" t="n">
        <v>44407</v>
      </c>
      <c r="I177" s="1" t="n">
        <f aca="false">IF(H177&lt;&gt;"",MONTH(H177),"")</f>
        <v>7</v>
      </c>
      <c r="J177" s="1" t="str">
        <f aca="false">IFERROR(VLOOKUP(D177,'Controle de equipamento'!$J:$V,4,0),"Adicionado")</f>
        <v>Araraquara-SP</v>
      </c>
    </row>
    <row r="178" customFormat="false" ht="15" hidden="false" customHeight="false" outlineLevel="0" collapsed="false">
      <c r="A178" s="144" t="s">
        <v>782</v>
      </c>
      <c r="B178" s="61" t="s">
        <v>908</v>
      </c>
      <c r="C178" s="61" t="s">
        <v>136</v>
      </c>
      <c r="D178" s="110" t="n">
        <v>2983032</v>
      </c>
      <c r="E178" s="61" t="n">
        <v>13317</v>
      </c>
      <c r="F178" s="1" t="s">
        <v>784</v>
      </c>
      <c r="H178" s="145" t="n">
        <v>44407</v>
      </c>
      <c r="I178" s="1" t="n">
        <f aca="false">IF(H178&lt;&gt;"",MONTH(H178),"")</f>
        <v>7</v>
      </c>
      <c r="J178" s="1" t="str">
        <f aca="false">IFERROR(VLOOKUP(D178,'Controle de equipamento'!$J:$V,4,0),"Adicionado")</f>
        <v>Araraquara-SP</v>
      </c>
    </row>
    <row r="179" customFormat="false" ht="15" hidden="false" customHeight="false" outlineLevel="0" collapsed="false">
      <c r="A179" s="144" t="s">
        <v>1004</v>
      </c>
      <c r="B179" s="102" t="s">
        <v>1005</v>
      </c>
      <c r="C179" s="102" t="s">
        <v>1006</v>
      </c>
      <c r="D179" s="110" t="s">
        <v>575</v>
      </c>
      <c r="E179" s="102" t="n">
        <v>13318</v>
      </c>
      <c r="F179" s="1" t="s">
        <v>784</v>
      </c>
      <c r="H179" s="145" t="n">
        <v>44407</v>
      </c>
      <c r="I179" s="1" t="n">
        <f aca="false">IF(H179&lt;&gt;"",MONTH(H179),"")</f>
        <v>7</v>
      </c>
      <c r="J179" s="1" t="str">
        <f aca="false">IFERROR(VLOOKUP(D179,'Controle de equipamento'!$J:$V,4,0),"Adicionado")</f>
        <v>Araraquara-SP</v>
      </c>
    </row>
    <row r="180" customFormat="false" ht="15" hidden="false" customHeight="false" outlineLevel="0" collapsed="false">
      <c r="A180" s="144" t="s">
        <v>782</v>
      </c>
      <c r="B180" s="102" t="s">
        <v>1005</v>
      </c>
      <c r="C180" s="61" t="s">
        <v>830</v>
      </c>
      <c r="D180" s="110" t="n">
        <v>4240437</v>
      </c>
      <c r="E180" s="61" t="n">
        <v>13319</v>
      </c>
      <c r="F180" s="1" t="s">
        <v>784</v>
      </c>
      <c r="H180" s="145" t="n">
        <v>44407</v>
      </c>
      <c r="I180" s="1" t="n">
        <f aca="false">IF(H180&lt;&gt;"",MONTH(H180),"")</f>
        <v>7</v>
      </c>
      <c r="J180" s="1" t="str">
        <f aca="false">IFERROR(VLOOKUP(D180,'Controle de equipamento'!$J:$V,4,0),"Adicionado")</f>
        <v>Araraquara-SP</v>
      </c>
    </row>
    <row r="181" customFormat="false" ht="15" hidden="false" customHeight="false" outlineLevel="0" collapsed="false">
      <c r="A181" s="144" t="s">
        <v>782</v>
      </c>
      <c r="B181" s="102" t="s">
        <v>806</v>
      </c>
      <c r="C181" s="102" t="s">
        <v>991</v>
      </c>
      <c r="D181" s="110" t="s">
        <v>562</v>
      </c>
      <c r="E181" s="61" t="n">
        <v>13320</v>
      </c>
      <c r="F181" s="1" t="s">
        <v>784</v>
      </c>
      <c r="G181" s="1" t="s">
        <v>1007</v>
      </c>
      <c r="H181" s="145" t="n">
        <v>44407</v>
      </c>
      <c r="I181" s="1" t="n">
        <f aca="false">IF(H181&lt;&gt;"",MONTH(H181),"")</f>
        <v>7</v>
      </c>
      <c r="J181" s="1" t="str">
        <f aca="false">IFERROR(VLOOKUP(D181,'Controle de equipamento'!$J:$V,4,0),"Adicionado")</f>
        <v>Araraquara-SP</v>
      </c>
    </row>
    <row r="182" customFormat="false" ht="15" hidden="false" customHeight="false" outlineLevel="0" collapsed="false">
      <c r="A182" s="144" t="s">
        <v>782</v>
      </c>
      <c r="B182" s="61" t="s">
        <v>1008</v>
      </c>
      <c r="C182" s="61" t="s">
        <v>81</v>
      </c>
      <c r="D182" s="110" t="s">
        <v>738</v>
      </c>
      <c r="E182" s="61" t="n">
        <v>13345</v>
      </c>
      <c r="F182" s="1" t="s">
        <v>784</v>
      </c>
      <c r="G182" s="1" t="s">
        <v>1009</v>
      </c>
      <c r="H182" s="145" t="n">
        <v>44421</v>
      </c>
      <c r="I182" s="1" t="n">
        <f aca="false">IF(H182&lt;&gt;"",MONTH(H182),"")</f>
        <v>8</v>
      </c>
      <c r="J182" s="1" t="str">
        <f aca="false">IFERROR(VLOOKUP(D182,'Controle de equipamento'!$J:$V,4,0),"Adicionado")</f>
        <v>Varzea Paulista-SP</v>
      </c>
    </row>
    <row r="183" customFormat="false" ht="15" hidden="false" customHeight="false" outlineLevel="0" collapsed="false">
      <c r="A183" s="144" t="s">
        <v>1010</v>
      </c>
      <c r="B183" s="61" t="s">
        <v>845</v>
      </c>
      <c r="C183" s="61" t="s">
        <v>830</v>
      </c>
      <c r="D183" s="110" t="s">
        <v>741</v>
      </c>
      <c r="E183" s="61" t="n">
        <v>13346</v>
      </c>
      <c r="F183" s="1" t="s">
        <v>784</v>
      </c>
      <c r="H183" s="145" t="n">
        <v>44421</v>
      </c>
      <c r="I183" s="1" t="n">
        <f aca="false">IF(H183&lt;&gt;"",MONTH(H183),"")</f>
        <v>8</v>
      </c>
      <c r="J183" s="1" t="str">
        <f aca="false">IFERROR(VLOOKUP(D183,'Controle de equipamento'!$J:$V,4,0),"Adicionado")</f>
        <v>Varzea Paulista-SP</v>
      </c>
    </row>
    <row r="184" customFormat="false" ht="15" hidden="false" customHeight="false" outlineLevel="0" collapsed="false">
      <c r="A184" s="144" t="s">
        <v>782</v>
      </c>
      <c r="B184" s="102" t="s">
        <v>806</v>
      </c>
      <c r="C184" s="61" t="s">
        <v>81</v>
      </c>
      <c r="D184" s="110" t="s">
        <v>621</v>
      </c>
      <c r="E184" s="61" t="n">
        <v>13347</v>
      </c>
      <c r="F184" s="1" t="s">
        <v>784</v>
      </c>
      <c r="G184" s="1" t="s">
        <v>1011</v>
      </c>
      <c r="H184" s="145" t="n">
        <v>44421</v>
      </c>
      <c r="I184" s="1" t="n">
        <f aca="false">IF(H184&lt;&gt;"",MONTH(H184),"")</f>
        <v>8</v>
      </c>
      <c r="J184" s="1" t="str">
        <f aca="false">IFERROR(VLOOKUP(D184,'Controle de equipamento'!$J:$V,4,0),"Adicionado")</f>
        <v>Lençois Paulista-SP</v>
      </c>
    </row>
    <row r="185" customFormat="false" ht="15" hidden="false" customHeight="false" outlineLevel="0" collapsed="false">
      <c r="A185" s="144" t="s">
        <v>782</v>
      </c>
      <c r="B185" s="102" t="s">
        <v>806</v>
      </c>
      <c r="C185" s="61" t="s">
        <v>81</v>
      </c>
      <c r="D185" s="110" t="s">
        <v>742</v>
      </c>
      <c r="E185" s="61" t="n">
        <v>13348</v>
      </c>
      <c r="F185" s="1" t="s">
        <v>784</v>
      </c>
      <c r="G185" s="1" t="s">
        <v>1012</v>
      </c>
      <c r="H185" s="145" t="n">
        <v>44421</v>
      </c>
      <c r="I185" s="1" t="n">
        <f aca="false">IF(H185&lt;&gt;"",MONTH(H185),"")</f>
        <v>8</v>
      </c>
      <c r="J185" s="1" t="str">
        <f aca="false">IFERROR(VLOOKUP(D185,'Controle de equipamento'!$J:$V,4,0),"Adicionado")</f>
        <v>Varzea Paulista-SP</v>
      </c>
    </row>
    <row r="186" customFormat="false" ht="15" hidden="false" customHeight="false" outlineLevel="0" collapsed="false">
      <c r="A186" s="144" t="s">
        <v>782</v>
      </c>
      <c r="B186" s="61" t="s">
        <v>908</v>
      </c>
      <c r="C186" s="61" t="s">
        <v>136</v>
      </c>
      <c r="D186" s="110" t="s">
        <v>743</v>
      </c>
      <c r="E186" s="61" t="n">
        <v>13349</v>
      </c>
      <c r="F186" s="1" t="s">
        <v>784</v>
      </c>
      <c r="H186" s="145" t="n">
        <v>44421</v>
      </c>
      <c r="I186" s="1" t="n">
        <f aca="false">IF(H186&lt;&gt;"",MONTH(H186),"")</f>
        <v>8</v>
      </c>
      <c r="J186" s="1" t="str">
        <f aca="false">IFERROR(VLOOKUP(D186,'Controle de equipamento'!$J:$V,4,0),"Adicionado")</f>
        <v>Varzea Paulista-SP</v>
      </c>
    </row>
    <row r="187" customFormat="false" ht="15" hidden="false" customHeight="false" outlineLevel="0" collapsed="false">
      <c r="A187" s="144" t="s">
        <v>782</v>
      </c>
      <c r="B187" s="61" t="s">
        <v>896</v>
      </c>
      <c r="C187" s="102" t="s">
        <v>133</v>
      </c>
      <c r="D187" s="110" t="n">
        <v>179</v>
      </c>
      <c r="E187" s="61" t="n">
        <v>13301</v>
      </c>
      <c r="F187" s="1" t="s">
        <v>784</v>
      </c>
      <c r="G187" s="1" t="s">
        <v>1013</v>
      </c>
      <c r="H187" s="145" t="n">
        <v>44420</v>
      </c>
      <c r="I187" s="1" t="n">
        <f aca="false">IF(H187&lt;&gt;"",MONTH(H187),"")</f>
        <v>8</v>
      </c>
      <c r="J187" s="1" t="str">
        <f aca="false">IFERROR(VLOOKUP(D187,'Controle de equipamento'!$J:$V,4,0),"Adicionado")</f>
        <v>Adicionado</v>
      </c>
    </row>
    <row r="188" customFormat="false" ht="15" hidden="false" customHeight="false" outlineLevel="0" collapsed="false">
      <c r="A188" s="144" t="s">
        <v>1014</v>
      </c>
      <c r="B188" s="61" t="s">
        <v>844</v>
      </c>
      <c r="C188" s="102" t="s">
        <v>81</v>
      </c>
      <c r="D188" s="110" t="s">
        <v>540</v>
      </c>
      <c r="E188" s="61" t="n">
        <v>13302</v>
      </c>
      <c r="F188" s="1" t="s">
        <v>784</v>
      </c>
      <c r="G188" s="1" t="s">
        <v>1015</v>
      </c>
      <c r="H188" s="145" t="n">
        <v>44420</v>
      </c>
      <c r="I188" s="1" t="n">
        <f aca="false">IF(H188&lt;&gt;"",MONTH(H188),"")</f>
        <v>8</v>
      </c>
      <c r="J188" s="1" t="str">
        <f aca="false">IFERROR(VLOOKUP(D188,'Controle de equipamento'!$J:$V,4,0),"Adicionado")</f>
        <v>Agudos-SP</v>
      </c>
    </row>
    <row r="189" customFormat="false" ht="15" hidden="false" customHeight="false" outlineLevel="0" collapsed="false">
      <c r="A189" s="144" t="s">
        <v>782</v>
      </c>
      <c r="B189" s="61" t="s">
        <v>848</v>
      </c>
      <c r="C189" s="61" t="s">
        <v>81</v>
      </c>
      <c r="D189" s="110" t="s">
        <v>172</v>
      </c>
      <c r="E189" s="61" t="n">
        <v>13480</v>
      </c>
      <c r="F189" s="1" t="s">
        <v>784</v>
      </c>
      <c r="H189" s="145" t="n">
        <v>44425</v>
      </c>
      <c r="I189" s="1" t="n">
        <f aca="false">IF(H189&lt;&gt;"",MONTH(H189),"")</f>
        <v>8</v>
      </c>
      <c r="J189" s="1" t="str">
        <f aca="false">IFERROR(VLOOKUP(D189,'Controle de equipamento'!$J:$V,4,0),"Adicionado")</f>
        <v>Fortaleza-CE</v>
      </c>
    </row>
    <row r="190" customFormat="false" ht="15" hidden="false" customHeight="false" outlineLevel="0" collapsed="false">
      <c r="A190" s="144" t="s">
        <v>782</v>
      </c>
      <c r="B190" s="61" t="s">
        <v>915</v>
      </c>
      <c r="C190" s="61" t="s">
        <v>87</v>
      </c>
      <c r="D190" s="110" t="s">
        <v>175</v>
      </c>
      <c r="E190" s="61" t="n">
        <v>13481</v>
      </c>
      <c r="F190" s="1" t="s">
        <v>784</v>
      </c>
      <c r="G190" s="1" t="s">
        <v>1016</v>
      </c>
      <c r="H190" s="145" t="n">
        <v>44425</v>
      </c>
      <c r="I190" s="1" t="n">
        <f aca="false">IF(H190&lt;&gt;"",MONTH(H190),"")</f>
        <v>8</v>
      </c>
      <c r="J190" s="1" t="str">
        <f aca="false">IFERROR(VLOOKUP(D190,'Controle de equipamento'!$J:$V,4,0),"Adicionado")</f>
        <v>Fortaleza-CE</v>
      </c>
    </row>
    <row r="191" customFormat="false" ht="15" hidden="false" customHeight="false" outlineLevel="0" collapsed="false">
      <c r="A191" s="144" t="s">
        <v>782</v>
      </c>
      <c r="B191" s="61" t="s">
        <v>1017</v>
      </c>
      <c r="C191" s="61" t="s">
        <v>87</v>
      </c>
      <c r="D191" s="110" t="s">
        <v>176</v>
      </c>
      <c r="E191" s="61" t="n">
        <v>13482</v>
      </c>
      <c r="F191" s="1" t="s">
        <v>784</v>
      </c>
      <c r="H191" s="145" t="n">
        <v>44425</v>
      </c>
      <c r="I191" s="1" t="n">
        <f aca="false">IF(H191&lt;&gt;"",MONTH(H191),"")</f>
        <v>8</v>
      </c>
      <c r="J191" s="1" t="str">
        <f aca="false">IFERROR(VLOOKUP(D191,'Controle de equipamento'!$J:$V,4,0),"Adicionado")</f>
        <v>Fortaleza-CE</v>
      </c>
    </row>
    <row r="192" customFormat="false" ht="15" hidden="false" customHeight="false" outlineLevel="0" collapsed="false">
      <c r="A192" s="144" t="s">
        <v>782</v>
      </c>
      <c r="B192" s="61" t="s">
        <v>1018</v>
      </c>
      <c r="C192" s="61" t="s">
        <v>196</v>
      </c>
      <c r="D192" s="110" t="s">
        <v>195</v>
      </c>
      <c r="E192" s="61" t="n">
        <v>13483</v>
      </c>
      <c r="F192" s="1" t="s">
        <v>784</v>
      </c>
      <c r="H192" s="145" t="n">
        <v>44426</v>
      </c>
      <c r="I192" s="1" t="n">
        <f aca="false">IF(H192&lt;&gt;"",MONTH(H192),"")</f>
        <v>8</v>
      </c>
      <c r="J192" s="1" t="str">
        <f aca="false">IFERROR(VLOOKUP(D192,'Controle de equipamento'!$J:$V,4,0),"Adicionado")</f>
        <v>Pecém-CE</v>
      </c>
    </row>
    <row r="193" customFormat="false" ht="15" hidden="false" customHeight="false" outlineLevel="0" collapsed="false">
      <c r="A193" s="144" t="s">
        <v>782</v>
      </c>
      <c r="B193" s="61" t="s">
        <v>1019</v>
      </c>
      <c r="C193" s="61" t="s">
        <v>87</v>
      </c>
      <c r="D193" s="110" t="s">
        <v>180</v>
      </c>
      <c r="E193" s="61" t="n">
        <v>13484</v>
      </c>
      <c r="F193" s="1" t="s">
        <v>784</v>
      </c>
      <c r="G193" s="1" t="s">
        <v>1020</v>
      </c>
      <c r="H193" s="145" t="n">
        <v>44426</v>
      </c>
      <c r="I193" s="1" t="n">
        <f aca="false">IF(H193&lt;&gt;"",MONTH(H193),"")</f>
        <v>8</v>
      </c>
      <c r="J193" s="1" t="str">
        <f aca="false">IFERROR(VLOOKUP(D193,'Controle de equipamento'!$J:$V,4,0),"Adicionado")</f>
        <v>Maracanaú-CE </v>
      </c>
    </row>
    <row r="194" customFormat="false" ht="15" hidden="false" customHeight="false" outlineLevel="0" collapsed="false">
      <c r="A194" s="144" t="s">
        <v>782</v>
      </c>
      <c r="B194" s="61" t="s">
        <v>820</v>
      </c>
      <c r="C194" s="61" t="s">
        <v>81</v>
      </c>
      <c r="D194" s="110" t="s">
        <v>198</v>
      </c>
      <c r="E194" s="61" t="n">
        <v>13485</v>
      </c>
      <c r="F194" s="1" t="s">
        <v>784</v>
      </c>
      <c r="G194" s="1" t="s">
        <v>1021</v>
      </c>
      <c r="H194" s="145" t="n">
        <v>44426</v>
      </c>
      <c r="I194" s="1" t="n">
        <f aca="false">IF(H194&lt;&gt;"",MONTH(H194),"")</f>
        <v>8</v>
      </c>
      <c r="J194" s="1" t="str">
        <f aca="false">IFERROR(VLOOKUP(D194,'Controle de equipamento'!$J:$V,4,0),"Adicionado")</f>
        <v>Pecém-CE</v>
      </c>
    </row>
    <row r="195" customFormat="false" ht="15" hidden="false" customHeight="false" outlineLevel="0" collapsed="false">
      <c r="A195" s="144" t="s">
        <v>1022</v>
      </c>
      <c r="B195" s="61" t="s">
        <v>1023</v>
      </c>
      <c r="C195" s="61" t="s">
        <v>81</v>
      </c>
      <c r="D195" s="110" t="s">
        <v>204</v>
      </c>
      <c r="E195" s="61" t="n">
        <v>13486</v>
      </c>
      <c r="F195" s="1" t="s">
        <v>784</v>
      </c>
      <c r="G195" s="1" t="s">
        <v>1024</v>
      </c>
      <c r="H195" s="145" t="n">
        <v>44426</v>
      </c>
      <c r="I195" s="1" t="n">
        <f aca="false">IF(H195&lt;&gt;"",MONTH(H195),"")</f>
        <v>8</v>
      </c>
      <c r="J195" s="1" t="str">
        <f aca="false">IFERROR(VLOOKUP(D195,'Controle de equipamento'!$J:$V,4,0),"Adicionado")</f>
        <v>Quixeré-CE</v>
      </c>
    </row>
    <row r="196" customFormat="false" ht="15" hidden="false" customHeight="false" outlineLevel="0" collapsed="false">
      <c r="A196" s="144" t="s">
        <v>1025</v>
      </c>
      <c r="B196" s="61" t="s">
        <v>984</v>
      </c>
      <c r="C196" s="61" t="s">
        <v>87</v>
      </c>
      <c r="D196" s="110" t="s">
        <v>183</v>
      </c>
      <c r="E196" s="61" t="n">
        <v>13487</v>
      </c>
      <c r="F196" s="1" t="s">
        <v>784</v>
      </c>
      <c r="G196" s="1" t="s">
        <v>1026</v>
      </c>
      <c r="H196" s="145" t="n">
        <v>44426</v>
      </c>
      <c r="I196" s="1" t="n">
        <f aca="false">IF(H196&lt;&gt;"",MONTH(H196),"")</f>
        <v>8</v>
      </c>
      <c r="J196" s="1" t="str">
        <f aca="false">IFERROR(VLOOKUP(D196,'Controle de equipamento'!$J:$V,4,0),"Adicionado")</f>
        <v>Maracanaú-CE </v>
      </c>
    </row>
    <row r="197" customFormat="false" ht="15" hidden="false" customHeight="false" outlineLevel="0" collapsed="false">
      <c r="A197" s="144" t="s">
        <v>782</v>
      </c>
      <c r="B197" s="61" t="s">
        <v>1027</v>
      </c>
      <c r="C197" s="61" t="s">
        <v>87</v>
      </c>
      <c r="D197" s="110" t="s">
        <v>186</v>
      </c>
      <c r="E197" s="61" t="n">
        <v>13488</v>
      </c>
      <c r="F197" s="1" t="s">
        <v>784</v>
      </c>
      <c r="G197" s="1" t="s">
        <v>1024</v>
      </c>
      <c r="H197" s="145" t="n">
        <v>44426</v>
      </c>
      <c r="I197" s="1" t="n">
        <f aca="false">IF(H197&lt;&gt;"",MONTH(H197),"")</f>
        <v>8</v>
      </c>
      <c r="J197" s="1" t="str">
        <f aca="false">IFERROR(VLOOKUP(D197,'Controle de equipamento'!$J:$V,4,0),"Adicionado")</f>
        <v>Pecém-CE</v>
      </c>
    </row>
    <row r="198" customFormat="false" ht="15" hidden="false" customHeight="false" outlineLevel="0" collapsed="false">
      <c r="A198" s="144" t="s">
        <v>782</v>
      </c>
      <c r="B198" s="61" t="s">
        <v>840</v>
      </c>
      <c r="C198" s="61" t="s">
        <v>830</v>
      </c>
      <c r="D198" s="110" t="s">
        <v>488</v>
      </c>
      <c r="E198" s="61" t="n">
        <v>13564</v>
      </c>
      <c r="F198" s="1" t="s">
        <v>784</v>
      </c>
      <c r="H198" s="145" t="n">
        <v>44426</v>
      </c>
      <c r="I198" s="1" t="n">
        <f aca="false">IF(H198&lt;&gt;"",MONTH(H198),"")</f>
        <v>8</v>
      </c>
      <c r="J198" s="1" t="str">
        <f aca="false">IFERROR(VLOOKUP(D198,'Controle de equipamento'!$J:$V,4,0),"Adicionado")</f>
        <v>Porto Alegre-RS</v>
      </c>
    </row>
    <row r="199" customFormat="false" ht="15" hidden="false" customHeight="false" outlineLevel="0" collapsed="false">
      <c r="A199" s="144" t="s">
        <v>782</v>
      </c>
      <c r="B199" s="61" t="s">
        <v>840</v>
      </c>
      <c r="C199" s="61" t="s">
        <v>830</v>
      </c>
      <c r="D199" s="110" t="s">
        <v>490</v>
      </c>
      <c r="E199" s="61" t="n">
        <v>13439</v>
      </c>
      <c r="F199" s="1" t="s">
        <v>784</v>
      </c>
      <c r="H199" s="145" t="n">
        <v>44426</v>
      </c>
      <c r="I199" s="1" t="n">
        <f aca="false">IF(H199&lt;&gt;"",MONTH(H199),"")</f>
        <v>8</v>
      </c>
      <c r="J199" s="1" t="str">
        <f aca="false">IFERROR(VLOOKUP(D199,'Controle de equipamento'!$J:$V,4,0),"Adicionado")</f>
        <v>Porto Alegre-RS</v>
      </c>
    </row>
    <row r="200" customFormat="false" ht="15" hidden="false" customHeight="false" outlineLevel="0" collapsed="false">
      <c r="A200" s="144" t="s">
        <v>782</v>
      </c>
      <c r="B200" s="61" t="s">
        <v>874</v>
      </c>
      <c r="C200" s="61" t="s">
        <v>81</v>
      </c>
      <c r="D200" s="110" t="s">
        <v>491</v>
      </c>
      <c r="E200" s="61" t="n">
        <v>13436</v>
      </c>
      <c r="F200" s="1" t="s">
        <v>784</v>
      </c>
      <c r="H200" s="145" t="n">
        <v>44426</v>
      </c>
      <c r="I200" s="1" t="n">
        <f aca="false">IF(H200&lt;&gt;"",MONTH(H200),"")</f>
        <v>8</v>
      </c>
      <c r="J200" s="1" t="str">
        <f aca="false">IFERROR(VLOOKUP(D200,'Controle de equipamento'!$J:$V,4,0),"Adicionado")</f>
        <v>Porto Alegre-RS</v>
      </c>
    </row>
    <row r="201" customFormat="false" ht="15" hidden="false" customHeight="false" outlineLevel="0" collapsed="false">
      <c r="A201" s="144" t="s">
        <v>782</v>
      </c>
      <c r="B201" s="61" t="s">
        <v>1008</v>
      </c>
      <c r="C201" s="61" t="s">
        <v>81</v>
      </c>
      <c r="D201" s="110" t="s">
        <v>486</v>
      </c>
      <c r="E201" s="61" t="n">
        <v>13440</v>
      </c>
      <c r="F201" s="1" t="s">
        <v>784</v>
      </c>
      <c r="H201" s="145" t="n">
        <v>44426</v>
      </c>
      <c r="I201" s="1" t="n">
        <f aca="false">IF(H201&lt;&gt;"",MONTH(H201),"")</f>
        <v>8</v>
      </c>
      <c r="J201" s="1" t="str">
        <f aca="false">IFERROR(VLOOKUP(D201,'Controle de equipamento'!$J:$V,4,0),"Adicionado")</f>
        <v>Porto Alegre-RS</v>
      </c>
    </row>
    <row r="202" customFormat="false" ht="15" hidden="false" customHeight="false" outlineLevel="0" collapsed="false">
      <c r="A202" s="144" t="s">
        <v>782</v>
      </c>
      <c r="B202" s="61" t="s">
        <v>1028</v>
      </c>
      <c r="C202" s="61" t="s">
        <v>136</v>
      </c>
      <c r="D202" s="110" t="s">
        <v>492</v>
      </c>
      <c r="E202" s="61" t="n">
        <v>13565</v>
      </c>
      <c r="F202" s="1" t="s">
        <v>784</v>
      </c>
      <c r="G202" s="1" t="s">
        <v>1029</v>
      </c>
      <c r="H202" s="145" t="n">
        <v>44426</v>
      </c>
      <c r="I202" s="1" t="n">
        <f aca="false">IF(H202&lt;&gt;"",MONTH(H202),"")</f>
        <v>8</v>
      </c>
      <c r="J202" s="1" t="str">
        <f aca="false">IFERROR(VLOOKUP(D202,'Controle de equipamento'!$J:$V,4,0),"Adicionado")</f>
        <v>Porto Alegre-RS</v>
      </c>
    </row>
    <row r="203" customFormat="false" ht="15" hidden="false" customHeight="false" outlineLevel="0" collapsed="false">
      <c r="A203" s="144" t="s">
        <v>782</v>
      </c>
      <c r="B203" s="61" t="s">
        <v>1030</v>
      </c>
      <c r="C203" s="61" t="s">
        <v>878</v>
      </c>
      <c r="D203" s="110" t="n">
        <v>1228420502</v>
      </c>
      <c r="E203" s="61" t="n">
        <v>13443</v>
      </c>
      <c r="F203" s="1" t="s">
        <v>784</v>
      </c>
      <c r="H203" s="145" t="n">
        <v>44426</v>
      </c>
      <c r="I203" s="1" t="n">
        <f aca="false">IF(H203&lt;&gt;"",MONTH(H203),"")</f>
        <v>8</v>
      </c>
      <c r="J203" s="1" t="str">
        <f aca="false">IFERROR(VLOOKUP(D203,'Controle de equipamento'!$J:$V,4,0),"Adicionado")</f>
        <v>Triunfo-RS</v>
      </c>
    </row>
    <row r="204" customFormat="false" ht="15" hidden="false" customHeight="false" outlineLevel="0" collapsed="false">
      <c r="A204" s="144" t="s">
        <v>782</v>
      </c>
      <c r="B204" s="61" t="s">
        <v>806</v>
      </c>
      <c r="C204" s="61" t="s">
        <v>81</v>
      </c>
      <c r="D204" s="110" t="n">
        <v>1401857</v>
      </c>
      <c r="E204" s="61" t="n">
        <v>13950</v>
      </c>
      <c r="F204" s="1" t="s">
        <v>784</v>
      </c>
      <c r="H204" s="145" t="n">
        <v>44453</v>
      </c>
      <c r="I204" s="1" t="n">
        <f aca="false">IF(H204&lt;&gt;"",MONTH(H204),"")</f>
        <v>9</v>
      </c>
      <c r="J204" s="1" t="str">
        <f aca="false">IFERROR(VLOOKUP(D204,'Controle de equipamento'!$J:$V,4,0),"Adicionado")</f>
        <v>Triunfo-RS</v>
      </c>
    </row>
    <row r="205" customFormat="false" ht="15" hidden="false" customHeight="false" outlineLevel="0" collapsed="false">
      <c r="A205" s="144" t="s">
        <v>1031</v>
      </c>
      <c r="B205" s="61" t="s">
        <v>842</v>
      </c>
      <c r="C205" s="61" t="s">
        <v>81</v>
      </c>
      <c r="D205" s="110" t="s">
        <v>501</v>
      </c>
      <c r="E205" s="61" t="n">
        <v>13455</v>
      </c>
      <c r="F205" s="1" t="s">
        <v>784</v>
      </c>
      <c r="H205" s="145" t="n">
        <v>44426</v>
      </c>
      <c r="I205" s="1" t="n">
        <f aca="false">IF(H205&lt;&gt;"",MONTH(H205),"")</f>
        <v>8</v>
      </c>
      <c r="J205" s="1" t="str">
        <f aca="false">IFERROR(VLOOKUP(D205,'Controle de equipamento'!$J:$V,4,0),"Adicionado")</f>
        <v>Triunfo-RS</v>
      </c>
    </row>
    <row r="206" customFormat="false" ht="15" hidden="false" customHeight="false" outlineLevel="0" collapsed="false">
      <c r="A206" s="144" t="s">
        <v>1032</v>
      </c>
      <c r="B206" s="61" t="s">
        <v>845</v>
      </c>
      <c r="C206" s="61" t="s">
        <v>830</v>
      </c>
      <c r="D206" s="110" t="n">
        <v>4223906</v>
      </c>
      <c r="E206" s="61" t="n">
        <v>13446</v>
      </c>
      <c r="F206" s="1" t="s">
        <v>784</v>
      </c>
      <c r="H206" s="145" t="n">
        <v>44424</v>
      </c>
      <c r="I206" s="1" t="n">
        <f aca="false">IF(H206&lt;&gt;"",MONTH(H206),"")</f>
        <v>8</v>
      </c>
      <c r="J206" s="1" t="str">
        <f aca="false">IFERROR(VLOOKUP(D206,'Controle de equipamento'!$J:$V,4,0),"Adicionado")</f>
        <v>Triunfo-RS</v>
      </c>
    </row>
    <row r="207" customFormat="false" ht="15" hidden="false" customHeight="false" outlineLevel="0" collapsed="false">
      <c r="A207" s="144" t="s">
        <v>1033</v>
      </c>
      <c r="B207" s="61" t="s">
        <v>845</v>
      </c>
      <c r="C207" s="61" t="s">
        <v>830</v>
      </c>
      <c r="D207" s="110" t="n">
        <v>4212781</v>
      </c>
      <c r="E207" s="61" t="n">
        <v>13447</v>
      </c>
      <c r="F207" s="1" t="s">
        <v>784</v>
      </c>
      <c r="H207" s="145" t="n">
        <v>44424</v>
      </c>
      <c r="I207" s="1" t="n">
        <f aca="false">IF(H207&lt;&gt;"",MONTH(H207),"")</f>
        <v>8</v>
      </c>
      <c r="J207" s="1" t="str">
        <f aca="false">IFERROR(VLOOKUP(D207,'Controle de equipamento'!$J:$V,4,0),"Adicionado")</f>
        <v>Triunfo-RS</v>
      </c>
    </row>
    <row r="208" customFormat="false" ht="15" hidden="false" customHeight="false" outlineLevel="0" collapsed="false">
      <c r="A208" s="144" t="s">
        <v>1034</v>
      </c>
      <c r="B208" s="61" t="s">
        <v>874</v>
      </c>
      <c r="C208" s="61" t="s">
        <v>81</v>
      </c>
      <c r="D208" s="110" t="n">
        <v>133570002031</v>
      </c>
      <c r="E208" s="61" t="n">
        <v>13444</v>
      </c>
      <c r="F208" s="1" t="s">
        <v>784</v>
      </c>
      <c r="H208" s="145" t="n">
        <v>44424</v>
      </c>
      <c r="I208" s="1" t="n">
        <f aca="false">IF(H208&lt;&gt;"",MONTH(H208),"")</f>
        <v>8</v>
      </c>
      <c r="J208" s="1" t="str">
        <f aca="false">IFERROR(VLOOKUP(D208,'Controle de equipamento'!$J:$V,4,0),"Adicionado")</f>
        <v>Triunfo-RS</v>
      </c>
    </row>
    <row r="209" customFormat="false" ht="15" hidden="false" customHeight="false" outlineLevel="0" collapsed="false">
      <c r="A209" s="144" t="s">
        <v>1035</v>
      </c>
      <c r="B209" s="61" t="s">
        <v>1028</v>
      </c>
      <c r="C209" s="61" t="s">
        <v>136</v>
      </c>
      <c r="D209" s="110" t="n">
        <v>728690</v>
      </c>
      <c r="E209" s="61" t="n">
        <v>13438</v>
      </c>
      <c r="F209" s="1" t="s">
        <v>784</v>
      </c>
      <c r="G209" s="1" t="s">
        <v>1036</v>
      </c>
      <c r="H209" s="145" t="n">
        <v>44424</v>
      </c>
      <c r="I209" s="1" t="n">
        <f aca="false">IF(H209&lt;&gt;"",MONTH(H209),"")</f>
        <v>8</v>
      </c>
      <c r="J209" s="1" t="str">
        <f aca="false">IFERROR(VLOOKUP(D209,'Controle de equipamento'!$J:$V,4,0),"Adicionado")</f>
        <v>Triunfo-RS</v>
      </c>
    </row>
    <row r="210" customFormat="false" ht="15" hidden="false" customHeight="false" outlineLevel="0" collapsed="false">
      <c r="A210" s="144" t="s">
        <v>782</v>
      </c>
      <c r="B210" s="61" t="s">
        <v>1028</v>
      </c>
      <c r="C210" s="61" t="s">
        <v>136</v>
      </c>
      <c r="D210" s="110" t="n">
        <v>2905626</v>
      </c>
      <c r="E210" s="61" t="n">
        <v>13450</v>
      </c>
      <c r="F210" s="1" t="s">
        <v>784</v>
      </c>
      <c r="H210" s="145" t="n">
        <v>44424</v>
      </c>
      <c r="I210" s="1" t="n">
        <f aca="false">IF(H210&lt;&gt;"",MONTH(H210),"")</f>
        <v>8</v>
      </c>
      <c r="J210" s="1" t="str">
        <f aca="false">IFERROR(VLOOKUP(D210,'Controle de equipamento'!$J:$V,4,0),"Adicionado")</f>
        <v>Triunfo-RS</v>
      </c>
    </row>
    <row r="211" customFormat="false" ht="15" hidden="false" customHeight="false" outlineLevel="0" collapsed="false">
      <c r="A211" s="144" t="s">
        <v>1037</v>
      </c>
      <c r="B211" s="61" t="s">
        <v>1028</v>
      </c>
      <c r="C211" s="61" t="s">
        <v>136</v>
      </c>
      <c r="D211" s="110" t="n">
        <v>2068717</v>
      </c>
      <c r="E211" s="61" t="n">
        <v>13451</v>
      </c>
      <c r="F211" s="1" t="s">
        <v>784</v>
      </c>
      <c r="G211" s="1" t="s">
        <v>1036</v>
      </c>
      <c r="H211" s="145" t="n">
        <v>44424</v>
      </c>
      <c r="I211" s="1" t="n">
        <f aca="false">IF(H211&lt;&gt;"",MONTH(H211),"")</f>
        <v>8</v>
      </c>
      <c r="J211" s="1" t="str">
        <f aca="false">IFERROR(VLOOKUP(D211,'Controle de equipamento'!$J:$V,4,0),"Adicionado")</f>
        <v>Triunfo-RS</v>
      </c>
    </row>
    <row r="212" customFormat="false" ht="15" hidden="false" customHeight="false" outlineLevel="0" collapsed="false">
      <c r="A212" s="144" t="s">
        <v>782</v>
      </c>
      <c r="B212" s="61" t="s">
        <v>1028</v>
      </c>
      <c r="C212" s="61" t="s">
        <v>136</v>
      </c>
      <c r="D212" s="110" t="n">
        <v>2068764</v>
      </c>
      <c r="E212" s="61" t="n">
        <v>13452</v>
      </c>
      <c r="F212" s="1" t="s">
        <v>784</v>
      </c>
      <c r="G212" s="1" t="s">
        <v>1038</v>
      </c>
      <c r="H212" s="145" t="n">
        <v>44424</v>
      </c>
      <c r="I212" s="1" t="n">
        <f aca="false">IF(H212&lt;&gt;"",MONTH(H212),"")</f>
        <v>8</v>
      </c>
      <c r="J212" s="1" t="str">
        <f aca="false">IFERROR(VLOOKUP(D212,'Controle de equipamento'!$J:$V,4,0),"Adicionado")</f>
        <v>Triunfo-RS</v>
      </c>
    </row>
    <row r="213" customFormat="false" ht="15" hidden="false" customHeight="false" outlineLevel="0" collapsed="false">
      <c r="A213" s="144" t="s">
        <v>782</v>
      </c>
      <c r="B213" s="61" t="s">
        <v>1028</v>
      </c>
      <c r="C213" s="61" t="s">
        <v>136</v>
      </c>
      <c r="D213" s="110" t="n">
        <v>2905620</v>
      </c>
      <c r="E213" s="61" t="n">
        <v>13454</v>
      </c>
      <c r="F213" s="1" t="s">
        <v>784</v>
      </c>
      <c r="H213" s="145" t="n">
        <v>44424</v>
      </c>
      <c r="I213" s="1" t="n">
        <f aca="false">IF(H213&lt;&gt;"",MONTH(H213),"")</f>
        <v>8</v>
      </c>
      <c r="J213" s="1" t="str">
        <f aca="false">IFERROR(VLOOKUP(D213,'Controle de equipamento'!$J:$V,4,0),"Adicionado")</f>
        <v>Triunfo-RS</v>
      </c>
    </row>
    <row r="214" customFormat="false" ht="15" hidden="false" customHeight="false" outlineLevel="0" collapsed="false">
      <c r="A214" s="144" t="s">
        <v>782</v>
      </c>
      <c r="B214" s="61" t="s">
        <v>1039</v>
      </c>
      <c r="C214" s="61" t="s">
        <v>81</v>
      </c>
      <c r="D214" s="110" t="n">
        <v>13034</v>
      </c>
      <c r="E214" s="61" t="n">
        <v>13453</v>
      </c>
      <c r="F214" s="1" t="s">
        <v>784</v>
      </c>
      <c r="H214" s="145" t="n">
        <v>44424</v>
      </c>
      <c r="I214" s="1" t="n">
        <f aca="false">IF(H214&lt;&gt;"",MONTH(H214),"")</f>
        <v>8</v>
      </c>
      <c r="J214" s="1" t="str">
        <f aca="false">IFERROR(VLOOKUP(D214,'Controle de equipamento'!$J:$V,4,0),"Adicionado")</f>
        <v>Triunfo-RS</v>
      </c>
    </row>
    <row r="215" customFormat="false" ht="15" hidden="false" customHeight="false" outlineLevel="0" collapsed="false">
      <c r="A215" s="144" t="s">
        <v>782</v>
      </c>
      <c r="B215" s="61" t="s">
        <v>874</v>
      </c>
      <c r="C215" s="61" t="s">
        <v>81</v>
      </c>
      <c r="D215" s="110" t="n">
        <v>141160002025</v>
      </c>
      <c r="E215" s="61" t="n">
        <v>13445</v>
      </c>
      <c r="F215" s="1" t="s">
        <v>784</v>
      </c>
      <c r="H215" s="145" t="n">
        <v>44424</v>
      </c>
      <c r="I215" s="1" t="n">
        <f aca="false">IF(H215&lt;&gt;"",MONTH(H215),"")</f>
        <v>8</v>
      </c>
      <c r="J215" s="1" t="str">
        <f aca="false">IFERROR(VLOOKUP(D215,'Controle de equipamento'!$J:$V,4,0),"Adicionado")</f>
        <v>Triunfo-RS</v>
      </c>
    </row>
    <row r="216" customFormat="false" ht="15" hidden="false" customHeight="false" outlineLevel="0" collapsed="false">
      <c r="A216" s="144" t="s">
        <v>782</v>
      </c>
      <c r="B216" s="61" t="s">
        <v>1040</v>
      </c>
      <c r="C216" s="61" t="s">
        <v>1041</v>
      </c>
      <c r="D216" s="110" t="n">
        <v>10003036</v>
      </c>
      <c r="E216" s="61" t="n">
        <v>13449</v>
      </c>
      <c r="F216" s="1" t="s">
        <v>784</v>
      </c>
      <c r="H216" s="145" t="n">
        <v>44424</v>
      </c>
      <c r="I216" s="1" t="n">
        <f aca="false">IF(H216&lt;&gt;"",MONTH(H216),"")</f>
        <v>8</v>
      </c>
      <c r="J216" s="1" t="str">
        <f aca="false">IFERROR(VLOOKUP(D216,'Controle de equipamento'!$J:$V,4,0),"Adicionado")</f>
        <v>Triunfo-RS</v>
      </c>
    </row>
    <row r="217" customFormat="false" ht="15" hidden="false" customHeight="false" outlineLevel="0" collapsed="false">
      <c r="A217" s="144" t="s">
        <v>1042</v>
      </c>
      <c r="B217" s="61" t="s">
        <v>1028</v>
      </c>
      <c r="C217" s="61" t="s">
        <v>136</v>
      </c>
      <c r="D217" s="110" t="n">
        <v>2068786</v>
      </c>
      <c r="E217" s="61" t="n">
        <v>13456</v>
      </c>
      <c r="F217" s="1" t="s">
        <v>784</v>
      </c>
      <c r="H217" s="145" t="n">
        <v>44424</v>
      </c>
      <c r="I217" s="1" t="n">
        <f aca="false">IF(H217&lt;&gt;"",MONTH(H217),"")</f>
        <v>8</v>
      </c>
      <c r="J217" s="1" t="str">
        <f aca="false">IFERROR(VLOOKUP(D217,'Controle de equipamento'!$J:$V,4,0),"Adicionado")</f>
        <v>Triunfo-RS</v>
      </c>
    </row>
    <row r="218" customFormat="false" ht="15" hidden="false" customHeight="false" outlineLevel="0" collapsed="false">
      <c r="A218" s="144" t="s">
        <v>782</v>
      </c>
      <c r="B218" s="61" t="s">
        <v>1028</v>
      </c>
      <c r="C218" s="61" t="s">
        <v>136</v>
      </c>
      <c r="D218" s="110" t="n">
        <v>2901943</v>
      </c>
      <c r="E218" s="61" t="n">
        <v>13457</v>
      </c>
      <c r="F218" s="1" t="s">
        <v>784</v>
      </c>
      <c r="G218" s="1" t="s">
        <v>1038</v>
      </c>
      <c r="H218" s="145" t="n">
        <v>44424</v>
      </c>
      <c r="I218" s="1" t="n">
        <f aca="false">IF(H218&lt;&gt;"",MONTH(H218),"")</f>
        <v>8</v>
      </c>
      <c r="J218" s="1" t="str">
        <f aca="false">IFERROR(VLOOKUP(D218,'Controle de equipamento'!$J:$V,4,0),"Adicionado")</f>
        <v>Adicionado</v>
      </c>
    </row>
    <row r="219" customFormat="false" ht="15" hidden="false" customHeight="false" outlineLevel="0" collapsed="false">
      <c r="A219" s="144" t="s">
        <v>782</v>
      </c>
      <c r="B219" s="61" t="s">
        <v>1028</v>
      </c>
      <c r="C219" s="61" t="s">
        <v>136</v>
      </c>
      <c r="D219" s="110" t="n">
        <v>2224284</v>
      </c>
      <c r="E219" s="61" t="n">
        <v>13458</v>
      </c>
      <c r="F219" s="1" t="s">
        <v>784</v>
      </c>
      <c r="G219" s="1" t="s">
        <v>1043</v>
      </c>
      <c r="H219" s="145" t="n">
        <v>44424</v>
      </c>
      <c r="I219" s="1" t="n">
        <f aca="false">IF(H219&lt;&gt;"",MONTH(H219),"")</f>
        <v>8</v>
      </c>
      <c r="J219" s="1" t="str">
        <f aca="false">IFERROR(VLOOKUP(D219,'Controle de equipamento'!$J:$V,4,0),"Adicionado")</f>
        <v>Triunfo-RS</v>
      </c>
    </row>
    <row r="220" customFormat="false" ht="15" hidden="false" customHeight="false" outlineLevel="0" collapsed="false">
      <c r="A220" s="144" t="s">
        <v>782</v>
      </c>
      <c r="B220" s="61" t="s">
        <v>840</v>
      </c>
      <c r="C220" s="61" t="s">
        <v>830</v>
      </c>
      <c r="D220" s="110" t="n">
        <v>6263410</v>
      </c>
      <c r="E220" s="61" t="n">
        <v>13437</v>
      </c>
      <c r="F220" s="1" t="s">
        <v>784</v>
      </c>
      <c r="G220" s="1" t="s">
        <v>1044</v>
      </c>
      <c r="H220" s="145" t="n">
        <v>44424</v>
      </c>
      <c r="I220" s="1" t="n">
        <f aca="false">IF(H220&lt;&gt;"",MONTH(H220),"")</f>
        <v>8</v>
      </c>
      <c r="J220" s="1" t="str">
        <f aca="false">IFERROR(VLOOKUP(D220,'Controle de equipamento'!$J:$V,4,0),"Adicionado")</f>
        <v>Triunfo-RS</v>
      </c>
    </row>
    <row r="221" customFormat="false" ht="15" hidden="false" customHeight="false" outlineLevel="0" collapsed="false">
      <c r="A221" s="144" t="s">
        <v>782</v>
      </c>
      <c r="B221" s="61" t="s">
        <v>1002</v>
      </c>
      <c r="C221" s="61" t="s">
        <v>81</v>
      </c>
      <c r="D221" s="110" t="s">
        <v>233</v>
      </c>
      <c r="E221" s="61" t="n">
        <v>13513</v>
      </c>
      <c r="F221" s="1" t="s">
        <v>784</v>
      </c>
      <c r="G221" s="1" t="s">
        <v>1043</v>
      </c>
      <c r="H221" s="145" t="n">
        <v>44424</v>
      </c>
      <c r="I221" s="1" t="n">
        <f aca="false">IF(H221&lt;&gt;"",MONTH(H221),"")</f>
        <v>8</v>
      </c>
      <c r="J221" s="1" t="str">
        <f aca="false">IFERROR(VLOOKUP(D221,'Controle de equipamento'!$J:$V,4,0),"Adicionado")</f>
        <v>Serra-ES</v>
      </c>
    </row>
    <row r="222" customFormat="false" ht="15" hidden="false" customHeight="false" outlineLevel="0" collapsed="false">
      <c r="A222" s="144" t="s">
        <v>1045</v>
      </c>
      <c r="B222" s="61" t="s">
        <v>806</v>
      </c>
      <c r="C222" s="61" t="s">
        <v>81</v>
      </c>
      <c r="D222" s="110" t="n">
        <v>1397596</v>
      </c>
      <c r="E222" s="61" t="n">
        <v>13448</v>
      </c>
      <c r="F222" s="1" t="s">
        <v>784</v>
      </c>
      <c r="G222" s="1" t="s">
        <v>1046</v>
      </c>
      <c r="H222" s="145" t="n">
        <v>44424</v>
      </c>
      <c r="I222" s="1" t="n">
        <f aca="false">IF(H222&lt;&gt;"",MONTH(H222),"")</f>
        <v>8</v>
      </c>
      <c r="J222" s="1" t="str">
        <f aca="false">IFERROR(VLOOKUP(D222,'Controle de equipamento'!$J:$V,4,0),"Adicionado")</f>
        <v>Triunfo-RS</v>
      </c>
    </row>
    <row r="223" customFormat="false" ht="15" hidden="false" customHeight="false" outlineLevel="0" collapsed="false">
      <c r="A223" s="144" t="s">
        <v>1047</v>
      </c>
      <c r="B223" s="61" t="s">
        <v>844</v>
      </c>
      <c r="C223" s="61" t="s">
        <v>81</v>
      </c>
      <c r="D223" s="110" t="n">
        <v>150580001012</v>
      </c>
      <c r="E223" s="61" t="n">
        <v>13512</v>
      </c>
      <c r="F223" s="1" t="s">
        <v>784</v>
      </c>
      <c r="G223" s="1" t="s">
        <v>1043</v>
      </c>
      <c r="H223" s="145" t="n">
        <v>44424</v>
      </c>
      <c r="I223" s="1" t="n">
        <f aca="false">IF(H223&lt;&gt;"",MONTH(H223),"")</f>
        <v>8</v>
      </c>
      <c r="J223" s="1" t="str">
        <f aca="false">IFERROR(VLOOKUP(D223,'Controle de equipamento'!$J:$V,4,0),"Adicionado")</f>
        <v>Uruguaiana-RS</v>
      </c>
    </row>
    <row r="224" customFormat="false" ht="15" hidden="false" customHeight="false" outlineLevel="0" collapsed="false">
      <c r="A224" s="144" t="s">
        <v>1048</v>
      </c>
      <c r="B224" s="61" t="s">
        <v>845</v>
      </c>
      <c r="C224" s="61" t="s">
        <v>830</v>
      </c>
      <c r="D224" s="110" t="n">
        <v>4222113</v>
      </c>
      <c r="E224" s="61" t="n">
        <v>13441</v>
      </c>
      <c r="F224" s="1" t="s">
        <v>784</v>
      </c>
      <c r="H224" s="145" t="n">
        <v>44424</v>
      </c>
      <c r="I224" s="1" t="n">
        <f aca="false">IF(H224&lt;&gt;"",MONTH(H224),"")</f>
        <v>8</v>
      </c>
      <c r="J224" s="1" t="str">
        <f aca="false">IFERROR(VLOOKUP(D224,'Controle de equipamento'!$J:$V,4,0),"Adicionado")</f>
        <v>Adicionado</v>
      </c>
    </row>
    <row r="225" customFormat="false" ht="15" hidden="false" customHeight="false" outlineLevel="0" collapsed="false">
      <c r="A225" s="144" t="s">
        <v>782</v>
      </c>
      <c r="B225" s="102" t="s">
        <v>1049</v>
      </c>
      <c r="C225" s="102" t="s">
        <v>87</v>
      </c>
      <c r="D225" s="110" t="n">
        <v>48564</v>
      </c>
      <c r="E225" s="61" t="n">
        <v>13389</v>
      </c>
      <c r="F225" s="1" t="s">
        <v>784</v>
      </c>
      <c r="H225" s="145" t="n">
        <v>44418</v>
      </c>
      <c r="I225" s="1" t="n">
        <f aca="false">IF(H225&lt;&gt;"",MONTH(H225),"")</f>
        <v>8</v>
      </c>
      <c r="J225" s="1" t="str">
        <f aca="false">IFERROR(VLOOKUP(D225,'Controle de equipamento'!$J:$V,4,0),"Adicionado")</f>
        <v>Santo André-SP</v>
      </c>
    </row>
    <row r="226" customFormat="false" ht="15" hidden="false" customHeight="false" outlineLevel="0" collapsed="false">
      <c r="A226" s="144" t="s">
        <v>782</v>
      </c>
      <c r="B226" s="102" t="s">
        <v>908</v>
      </c>
      <c r="C226" s="102" t="s">
        <v>136</v>
      </c>
      <c r="D226" s="110" t="n">
        <v>1584391</v>
      </c>
      <c r="E226" s="61" t="n">
        <v>13390</v>
      </c>
      <c r="F226" s="1" t="s">
        <v>784</v>
      </c>
      <c r="H226" s="145" t="n">
        <v>44418</v>
      </c>
      <c r="I226" s="1" t="n">
        <f aca="false">IF(H226&lt;&gt;"",MONTH(H226),"")</f>
        <v>8</v>
      </c>
      <c r="J226" s="1" t="str">
        <f aca="false">IFERROR(VLOOKUP(D226,'Controle de equipamento'!$J:$V,4,0),"Adicionado")</f>
        <v>Santo André-SP</v>
      </c>
    </row>
    <row r="227" customFormat="false" ht="15" hidden="false" customHeight="false" outlineLevel="0" collapsed="false">
      <c r="A227" s="144" t="s">
        <v>782</v>
      </c>
      <c r="B227" s="102" t="s">
        <v>874</v>
      </c>
      <c r="C227" s="61" t="s">
        <v>81</v>
      </c>
      <c r="D227" s="110" t="n">
        <v>182180001013</v>
      </c>
      <c r="E227" s="61" t="n">
        <v>13391</v>
      </c>
      <c r="F227" s="1" t="s">
        <v>784</v>
      </c>
      <c r="H227" s="145" t="n">
        <v>44418</v>
      </c>
      <c r="I227" s="1" t="n">
        <f aca="false">IF(H227&lt;&gt;"",MONTH(H227),"")</f>
        <v>8</v>
      </c>
      <c r="J227" s="1" t="str">
        <f aca="false">IFERROR(VLOOKUP(D227,'Controle de equipamento'!$J:$V,4,0),"Adicionado")</f>
        <v>Santo André-SP</v>
      </c>
    </row>
    <row r="228" customFormat="false" ht="15" hidden="false" customHeight="false" outlineLevel="0" collapsed="false">
      <c r="A228" s="144" t="s">
        <v>1050</v>
      </c>
      <c r="B228" s="61" t="s">
        <v>851</v>
      </c>
      <c r="C228" s="102" t="s">
        <v>81</v>
      </c>
      <c r="D228" s="110" t="s">
        <v>280</v>
      </c>
      <c r="E228" s="61" t="n">
        <v>13504</v>
      </c>
      <c r="F228" s="1" t="s">
        <v>784</v>
      </c>
      <c r="G228" s="1" t="s">
        <v>1051</v>
      </c>
      <c r="H228" s="145" t="n">
        <v>44432</v>
      </c>
      <c r="I228" s="1" t="n">
        <f aca="false">IF(H228&lt;&gt;"",MONTH(H228),"")</f>
        <v>8</v>
      </c>
      <c r="J228" s="1" t="str">
        <f aca="false">IFERROR(VLOOKUP(D228,'Controle de equipamento'!$J:$V,4,0),"Adicionado")</f>
        <v>Juiz de Fora-MG</v>
      </c>
    </row>
    <row r="229" customFormat="false" ht="15" hidden="false" customHeight="false" outlineLevel="0" collapsed="false">
      <c r="A229" s="144" t="s">
        <v>782</v>
      </c>
      <c r="B229" s="102" t="s">
        <v>1052</v>
      </c>
      <c r="C229" s="102" t="s">
        <v>1053</v>
      </c>
      <c r="D229" s="110" t="s">
        <v>287</v>
      </c>
      <c r="E229" s="61" t="n">
        <v>13505</v>
      </c>
      <c r="F229" s="1" t="s">
        <v>784</v>
      </c>
      <c r="H229" s="145" t="n">
        <v>44432</v>
      </c>
      <c r="I229" s="1" t="n">
        <f aca="false">IF(H229&lt;&gt;"",MONTH(H229),"")</f>
        <v>8</v>
      </c>
      <c r="J229" s="1" t="str">
        <f aca="false">IFERROR(VLOOKUP(D229,'Controle de equipamento'!$J:$V,4,0),"Adicionado")</f>
        <v>Juiz de Fora-MG</v>
      </c>
    </row>
    <row r="230" customFormat="false" ht="15" hidden="false" customHeight="false" outlineLevel="0" collapsed="false">
      <c r="A230" s="144" t="s">
        <v>782</v>
      </c>
      <c r="B230" s="102" t="s">
        <v>1054</v>
      </c>
      <c r="C230" s="102" t="s">
        <v>87</v>
      </c>
      <c r="D230" s="110" t="n">
        <v>63259</v>
      </c>
      <c r="E230" s="61" t="n">
        <v>13506</v>
      </c>
      <c r="F230" s="1" t="s">
        <v>784</v>
      </c>
      <c r="H230" s="145" t="n">
        <v>44432</v>
      </c>
      <c r="I230" s="1" t="n">
        <f aca="false">IF(H230&lt;&gt;"",MONTH(H230),"")</f>
        <v>8</v>
      </c>
      <c r="J230" s="1" t="str">
        <f aca="false">IFERROR(VLOOKUP(D230,'Controle de equipamento'!$J:$V,4,0),"Adicionado")</f>
        <v>Juiz de Fora-MG</v>
      </c>
    </row>
    <row r="231" customFormat="false" ht="15" hidden="false" customHeight="false" outlineLevel="0" collapsed="false">
      <c r="A231" s="144" t="s">
        <v>1055</v>
      </c>
      <c r="B231" s="61" t="s">
        <v>1056</v>
      </c>
      <c r="C231" s="61" t="s">
        <v>81</v>
      </c>
      <c r="D231" s="110" t="n">
        <v>341053</v>
      </c>
      <c r="E231" s="61" t="n">
        <v>13507</v>
      </c>
      <c r="F231" s="1" t="s">
        <v>784</v>
      </c>
      <c r="H231" s="145" t="n">
        <v>44432</v>
      </c>
      <c r="I231" s="1" t="n">
        <f aca="false">IF(H231&lt;&gt;"",MONTH(H231),"")</f>
        <v>8</v>
      </c>
      <c r="J231" s="1" t="str">
        <f aca="false">IFERROR(VLOOKUP(D231,'Controle de equipamento'!$J:$V,4,0),"Adicionado")</f>
        <v>Juiz de Fora-MG</v>
      </c>
    </row>
    <row r="232" customFormat="false" ht="15" hidden="false" customHeight="false" outlineLevel="0" collapsed="false">
      <c r="A232" s="144" t="s">
        <v>1057</v>
      </c>
      <c r="B232" s="61" t="s">
        <v>1058</v>
      </c>
      <c r="C232" s="61" t="s">
        <v>224</v>
      </c>
      <c r="D232" s="110" t="n">
        <v>1646</v>
      </c>
      <c r="E232" s="61" t="n">
        <v>13508</v>
      </c>
      <c r="F232" s="1" t="s">
        <v>784</v>
      </c>
      <c r="H232" s="145" t="n">
        <v>44432</v>
      </c>
      <c r="I232" s="1" t="n">
        <f aca="false">IF(H232&lt;&gt;"",MONTH(H232),"")</f>
        <v>8</v>
      </c>
      <c r="J232" s="1" t="str">
        <f aca="false">IFERROR(VLOOKUP(D232,'Controle de equipamento'!$J:$V,4,0),"Adicionado")</f>
        <v>Juiz de Fora-MG</v>
      </c>
    </row>
    <row r="233" customFormat="false" ht="15" hidden="false" customHeight="false" outlineLevel="0" collapsed="false">
      <c r="A233" s="144" t="s">
        <v>782</v>
      </c>
      <c r="B233" s="61" t="s">
        <v>851</v>
      </c>
      <c r="C233" s="61" t="s">
        <v>81</v>
      </c>
      <c r="D233" s="110" t="s">
        <v>286</v>
      </c>
      <c r="E233" s="61" t="n">
        <v>13509</v>
      </c>
      <c r="F233" s="1" t="s">
        <v>784</v>
      </c>
      <c r="H233" s="145" t="n">
        <v>44432</v>
      </c>
      <c r="I233" s="1" t="n">
        <f aca="false">IF(H233&lt;&gt;"",MONTH(H233),"")</f>
        <v>8</v>
      </c>
      <c r="J233" s="1" t="str">
        <f aca="false">IFERROR(VLOOKUP(D233,'Controle de equipamento'!$J:$V,4,0),"Adicionado")</f>
        <v>Juiz de Fora-MG</v>
      </c>
    </row>
    <row r="234" customFormat="false" ht="15" hidden="false" customHeight="false" outlineLevel="0" collapsed="false">
      <c r="A234" s="144" t="s">
        <v>1059</v>
      </c>
      <c r="B234" s="61" t="s">
        <v>1060</v>
      </c>
      <c r="C234" s="61" t="s">
        <v>1061</v>
      </c>
      <c r="D234" s="110" t="s">
        <v>282</v>
      </c>
      <c r="E234" s="61" t="n">
        <v>13510</v>
      </c>
      <c r="F234" s="1" t="s">
        <v>784</v>
      </c>
      <c r="H234" s="145" t="n">
        <v>44432</v>
      </c>
      <c r="I234" s="1" t="n">
        <f aca="false">IF(H234&lt;&gt;"",MONTH(H234),"")</f>
        <v>8</v>
      </c>
      <c r="J234" s="1" t="str">
        <f aca="false">IFERROR(VLOOKUP(D234,'Controle de equipamento'!$J:$V,4,0),"Adicionado")</f>
        <v>Juiz de Fora-MG</v>
      </c>
    </row>
    <row r="235" customFormat="false" ht="15" hidden="false" customHeight="false" outlineLevel="0" collapsed="false">
      <c r="A235" s="144" t="s">
        <v>782</v>
      </c>
      <c r="B235" s="61" t="s">
        <v>848</v>
      </c>
      <c r="C235" s="61" t="s">
        <v>81</v>
      </c>
      <c r="D235" s="110" t="s">
        <v>255</v>
      </c>
      <c r="E235" s="61" t="n">
        <v>13651</v>
      </c>
      <c r="F235" s="1" t="s">
        <v>784</v>
      </c>
      <c r="H235" s="145" t="n">
        <v>44433</v>
      </c>
      <c r="I235" s="1" t="n">
        <f aca="false">IF(H235&lt;&gt;"",MONTH(H235),"")</f>
        <v>8</v>
      </c>
      <c r="J235" s="1" t="str">
        <f aca="false">IFERROR(VLOOKUP(D235,'Controle de equipamento'!$J:$V,4,0),"Adicionado")</f>
        <v>Divinópolis-MG </v>
      </c>
    </row>
    <row r="236" customFormat="false" ht="15" hidden="false" customHeight="false" outlineLevel="0" collapsed="false">
      <c r="A236" s="144" t="s">
        <v>782</v>
      </c>
      <c r="B236" s="61" t="s">
        <v>1062</v>
      </c>
      <c r="C236" s="61" t="s">
        <v>1063</v>
      </c>
      <c r="D236" s="110" t="s">
        <v>256</v>
      </c>
      <c r="E236" s="61" t="n">
        <v>13652</v>
      </c>
      <c r="F236" s="1" t="s">
        <v>784</v>
      </c>
      <c r="H236" s="145" t="n">
        <v>44433</v>
      </c>
      <c r="I236" s="1" t="n">
        <f aca="false">IF(H236&lt;&gt;"",MONTH(H236),"")</f>
        <v>8</v>
      </c>
      <c r="J236" s="1" t="str">
        <f aca="false">IFERROR(VLOOKUP(D236,'Controle de equipamento'!$J:$V,4,0),"Adicionado")</f>
        <v>Divinópolis-MG </v>
      </c>
    </row>
    <row r="237" customFormat="false" ht="15" hidden="false" customHeight="false" outlineLevel="0" collapsed="false">
      <c r="A237" s="144" t="s">
        <v>782</v>
      </c>
      <c r="B237" s="61" t="s">
        <v>1064</v>
      </c>
      <c r="C237" s="61" t="s">
        <v>81</v>
      </c>
      <c r="D237" s="110" t="s">
        <v>253</v>
      </c>
      <c r="E237" s="61" t="n">
        <v>13660</v>
      </c>
      <c r="F237" s="1" t="s">
        <v>784</v>
      </c>
      <c r="H237" s="145" t="n">
        <v>44433</v>
      </c>
      <c r="I237" s="1" t="n">
        <f aca="false">IF(H237&lt;&gt;"",MONTH(H237),"")</f>
        <v>8</v>
      </c>
      <c r="J237" s="1" t="str">
        <f aca="false">IFERROR(VLOOKUP(D237,'Controle de equipamento'!$J:$V,4,0),"Adicionado")</f>
        <v>Divinópolis-MG </v>
      </c>
    </row>
    <row r="238" customFormat="false" ht="15" hidden="false" customHeight="false" outlineLevel="0" collapsed="false">
      <c r="A238" s="144" t="s">
        <v>782</v>
      </c>
      <c r="B238" s="61" t="s">
        <v>1062</v>
      </c>
      <c r="C238" s="61" t="s">
        <v>1063</v>
      </c>
      <c r="D238" s="110" t="s">
        <v>258</v>
      </c>
      <c r="E238" s="61" t="n">
        <v>13661</v>
      </c>
      <c r="F238" s="1" t="s">
        <v>784</v>
      </c>
      <c r="H238" s="145" t="n">
        <v>44433</v>
      </c>
      <c r="I238" s="1" t="n">
        <f aca="false">IF(H238&lt;&gt;"",MONTH(H238),"")</f>
        <v>8</v>
      </c>
      <c r="J238" s="1" t="str">
        <f aca="false">IFERROR(VLOOKUP(D238,'Controle de equipamento'!$J:$V,4,0),"Adicionado")</f>
        <v>Divinópolis-MG </v>
      </c>
    </row>
    <row r="239" customFormat="false" ht="15" hidden="false" customHeight="false" outlineLevel="0" collapsed="false">
      <c r="A239" s="144" t="s">
        <v>782</v>
      </c>
      <c r="B239" s="61" t="s">
        <v>1065</v>
      </c>
      <c r="C239" s="61" t="s">
        <v>81</v>
      </c>
      <c r="D239" s="110" t="s">
        <v>259</v>
      </c>
      <c r="E239" s="61" t="n">
        <v>13668</v>
      </c>
      <c r="F239" s="1" t="s">
        <v>784</v>
      </c>
      <c r="G239" s="1" t="s">
        <v>1066</v>
      </c>
      <c r="H239" s="145" t="n">
        <v>44433</v>
      </c>
      <c r="I239" s="1" t="n">
        <f aca="false">IF(H239&lt;&gt;"",MONTH(H239),"")</f>
        <v>8</v>
      </c>
      <c r="J239" s="1" t="str">
        <f aca="false">IFERROR(VLOOKUP(D239,'Controle de equipamento'!$J:$V,4,0),"Adicionado")</f>
        <v>Divinópolis-MG </v>
      </c>
    </row>
    <row r="240" customFormat="false" ht="15" hidden="false" customHeight="false" outlineLevel="0" collapsed="false">
      <c r="A240" s="144" t="s">
        <v>1067</v>
      </c>
      <c r="B240" s="61" t="s">
        <v>83</v>
      </c>
      <c r="C240" s="61" t="s">
        <v>87</v>
      </c>
      <c r="D240" s="110" t="n">
        <v>21883</v>
      </c>
      <c r="E240" s="61" t="n">
        <v>13689</v>
      </c>
      <c r="F240" s="1" t="s">
        <v>784</v>
      </c>
      <c r="H240" s="145" t="n">
        <v>44442</v>
      </c>
      <c r="I240" s="1" t="n">
        <f aca="false">IF(H240&lt;&gt;"",MONTH(H240),"")</f>
        <v>9</v>
      </c>
      <c r="J240" s="1" t="str">
        <f aca="false">IFERROR(VLOOKUP(D240,'Controle de equipamento'!$J:$V,4,0),"Adicionado")</f>
        <v>Uruguaiana-RS</v>
      </c>
    </row>
    <row r="241" customFormat="false" ht="15" hidden="false" customHeight="false" outlineLevel="0" collapsed="false">
      <c r="A241" s="144" t="s">
        <v>1068</v>
      </c>
      <c r="B241" s="61" t="s">
        <v>564</v>
      </c>
      <c r="C241" s="61" t="s">
        <v>510</v>
      </c>
      <c r="D241" s="110" t="s">
        <v>512</v>
      </c>
      <c r="E241" s="61" t="n">
        <v>13690</v>
      </c>
      <c r="F241" s="1" t="s">
        <v>784</v>
      </c>
      <c r="G241" s="1" t="s">
        <v>1069</v>
      </c>
      <c r="H241" s="145" t="n">
        <v>44442</v>
      </c>
      <c r="I241" s="1" t="n">
        <f aca="false">IF(H241&lt;&gt;"",MONTH(H241),"")</f>
        <v>9</v>
      </c>
      <c r="J241" s="1" t="str">
        <f aca="false">IFERROR(VLOOKUP(D241,'Controle de equipamento'!$J:$V,4,0),"Adicionado")</f>
        <v>Uruguaiana-RS</v>
      </c>
    </row>
    <row r="242" customFormat="false" ht="15" hidden="false" customHeight="false" outlineLevel="0" collapsed="false">
      <c r="A242" s="144" t="s">
        <v>1070</v>
      </c>
      <c r="B242" s="61" t="s">
        <v>564</v>
      </c>
      <c r="C242" s="61" t="s">
        <v>510</v>
      </c>
      <c r="D242" s="110" t="s">
        <v>509</v>
      </c>
      <c r="E242" s="61" t="n">
        <v>13691</v>
      </c>
      <c r="F242" s="1" t="s">
        <v>784</v>
      </c>
      <c r="H242" s="145" t="n">
        <v>44442</v>
      </c>
      <c r="I242" s="1" t="n">
        <f aca="false">IF(H242&lt;&gt;"",MONTH(H242),"")</f>
        <v>9</v>
      </c>
      <c r="J242" s="1" t="str">
        <f aca="false">IFERROR(VLOOKUP(D242,'Controle de equipamento'!$J:$V,4,0),"Adicionado")</f>
        <v>Uruguaiana-RS</v>
      </c>
    </row>
    <row r="243" customFormat="false" ht="15" hidden="false" customHeight="false" outlineLevel="0" collapsed="false">
      <c r="A243" s="144" t="s">
        <v>782</v>
      </c>
      <c r="B243" s="61" t="s">
        <v>101</v>
      </c>
      <c r="C243" s="61" t="s">
        <v>81</v>
      </c>
      <c r="D243" s="110" t="n">
        <v>200930003006</v>
      </c>
      <c r="E243" s="61" t="n">
        <v>13693</v>
      </c>
      <c r="F243" s="1" t="s">
        <v>784</v>
      </c>
      <c r="H243" s="145" t="n">
        <v>44442</v>
      </c>
      <c r="I243" s="1" t="n">
        <f aca="false">IF(H243&lt;&gt;"",MONTH(H243),"")</f>
        <v>9</v>
      </c>
      <c r="J243" s="1" t="str">
        <f aca="false">IFERROR(VLOOKUP(D243,'Controle de equipamento'!$J:$V,4,0),"Adicionado")</f>
        <v>Uruguaiana-RS</v>
      </c>
    </row>
    <row r="244" customFormat="false" ht="15" hidden="false" customHeight="false" outlineLevel="0" collapsed="false">
      <c r="A244" s="144" t="s">
        <v>782</v>
      </c>
      <c r="B244" s="61" t="s">
        <v>1071</v>
      </c>
      <c r="C244" s="61" t="s">
        <v>1061</v>
      </c>
      <c r="D244" s="110" t="n">
        <v>6253970</v>
      </c>
      <c r="E244" s="61" t="n">
        <v>13694</v>
      </c>
      <c r="F244" s="1" t="s">
        <v>784</v>
      </c>
      <c r="G244" s="1" t="s">
        <v>1072</v>
      </c>
      <c r="H244" s="145" t="n">
        <v>44442</v>
      </c>
      <c r="I244" s="1" t="n">
        <f aca="false">IF(H244&lt;&gt;"",MONTH(H244),"")</f>
        <v>9</v>
      </c>
      <c r="J244" s="1" t="str">
        <f aca="false">IFERROR(VLOOKUP(D244,'Controle de equipamento'!$J:$V,4,0),"Adicionado")</f>
        <v>Alegrete-RS</v>
      </c>
    </row>
    <row r="245" customFormat="false" ht="15" hidden="false" customHeight="false" outlineLevel="0" collapsed="false">
      <c r="A245" s="144" t="s">
        <v>782</v>
      </c>
      <c r="B245" s="61" t="s">
        <v>851</v>
      </c>
      <c r="C245" s="61" t="s">
        <v>81</v>
      </c>
      <c r="D245" s="110" t="s">
        <v>480</v>
      </c>
      <c r="E245" s="61" t="n">
        <v>13758</v>
      </c>
      <c r="F245" s="1" t="s">
        <v>784</v>
      </c>
      <c r="G245" s="1" t="s">
        <v>1073</v>
      </c>
      <c r="H245" s="145" t="n">
        <v>44442</v>
      </c>
      <c r="I245" s="1" t="n">
        <f aca="false">IF(H245&lt;&gt;"",MONTH(H245),"")</f>
        <v>9</v>
      </c>
      <c r="J245" s="1" t="str">
        <f aca="false">IFERROR(VLOOKUP(D245,'Controle de equipamento'!$J:$V,4,0),"Adicionado")</f>
        <v>Alegrete-RS</v>
      </c>
    </row>
    <row r="246" customFormat="false" ht="15" hidden="false" customHeight="false" outlineLevel="0" collapsed="false">
      <c r="A246" s="144" t="s">
        <v>782</v>
      </c>
      <c r="B246" s="61" t="s">
        <v>851</v>
      </c>
      <c r="C246" s="61" t="s">
        <v>81</v>
      </c>
      <c r="D246" s="110" t="s">
        <v>415</v>
      </c>
      <c r="E246" s="61" t="n">
        <v>13759</v>
      </c>
      <c r="F246" s="1" t="s">
        <v>784</v>
      </c>
      <c r="G246" s="1" t="s">
        <v>1073</v>
      </c>
      <c r="H246" s="145" t="n">
        <v>44442</v>
      </c>
      <c r="I246" s="1" t="n">
        <f aca="false">IF(H246&lt;&gt;"",MONTH(H246),"")</f>
        <v>9</v>
      </c>
      <c r="J246" s="1" t="str">
        <f aca="false">IFERROR(VLOOKUP(D246,'Controle de equipamento'!$J:$V,4,0),"Adicionado")</f>
        <v>Astorga-PR</v>
      </c>
    </row>
    <row r="247" customFormat="false" ht="15" hidden="false" customHeight="false" outlineLevel="0" collapsed="false">
      <c r="A247" s="144" t="s">
        <v>782</v>
      </c>
      <c r="B247" s="61" t="s">
        <v>851</v>
      </c>
      <c r="C247" s="61" t="s">
        <v>1061</v>
      </c>
      <c r="D247" s="110" t="n">
        <v>4239783</v>
      </c>
      <c r="E247" s="61" t="n">
        <v>13760</v>
      </c>
      <c r="F247" s="1" t="s">
        <v>784</v>
      </c>
      <c r="H247" s="145" t="n">
        <v>44442</v>
      </c>
      <c r="I247" s="1" t="n">
        <f aca="false">IF(H247&lt;&gt;"",MONTH(H247),"")</f>
        <v>9</v>
      </c>
      <c r="J247" s="1" t="str">
        <f aca="false">IFERROR(VLOOKUP(D247,'Controle de equipamento'!$J:$V,4,0),"Adicionado")</f>
        <v>Uruguaiana-RS</v>
      </c>
    </row>
    <row r="248" customFormat="false" ht="15" hidden="false" customHeight="false" outlineLevel="0" collapsed="false">
      <c r="A248" s="144" t="s">
        <v>1074</v>
      </c>
      <c r="B248" s="61" t="s">
        <v>75</v>
      </c>
      <c r="C248" s="61" t="s">
        <v>1075</v>
      </c>
      <c r="D248" s="110" t="n">
        <v>3652</v>
      </c>
      <c r="E248" s="61" t="n">
        <v>13669</v>
      </c>
      <c r="F248" s="1" t="s">
        <v>784</v>
      </c>
      <c r="G248" s="1" t="s">
        <v>1076</v>
      </c>
      <c r="H248" s="145" t="n">
        <v>44447</v>
      </c>
      <c r="I248" s="1" t="n">
        <f aca="false">IF(H248&lt;&gt;"",MONTH(H248),"")</f>
        <v>9</v>
      </c>
      <c r="J248" s="1" t="str">
        <f aca="false">IFERROR(VLOOKUP(D248,'Controle de equipamento'!$J:$V,4,0),"Adicionado")</f>
        <v>Maceió-AL</v>
      </c>
    </row>
    <row r="249" customFormat="false" ht="15" hidden="false" customHeight="false" outlineLevel="0" collapsed="false">
      <c r="A249" s="144" t="s">
        <v>782</v>
      </c>
      <c r="B249" s="61" t="s">
        <v>821</v>
      </c>
      <c r="C249" s="61" t="s">
        <v>81</v>
      </c>
      <c r="D249" s="110" t="s">
        <v>80</v>
      </c>
      <c r="E249" s="61" t="n">
        <v>13670</v>
      </c>
      <c r="F249" s="1" t="s">
        <v>784</v>
      </c>
      <c r="G249" s="1" t="s">
        <v>1077</v>
      </c>
      <c r="H249" s="145" t="n">
        <v>44447</v>
      </c>
      <c r="I249" s="1" t="n">
        <f aca="false">IF(H249&lt;&gt;"",MONTH(H249),"")</f>
        <v>9</v>
      </c>
      <c r="J249" s="1" t="str">
        <f aca="false">IFERROR(VLOOKUP(D249,'Controle de equipamento'!$J:$V,4,0),"Adicionado")</f>
        <v>Maceió-AL</v>
      </c>
    </row>
    <row r="250" customFormat="false" ht="15" hidden="false" customHeight="false" outlineLevel="0" collapsed="false">
      <c r="A250" s="144" t="s">
        <v>782</v>
      </c>
      <c r="B250" s="61" t="s">
        <v>1078</v>
      </c>
      <c r="C250" s="61" t="s">
        <v>830</v>
      </c>
      <c r="D250" s="110" t="n">
        <v>4210981</v>
      </c>
      <c r="E250" s="61" t="n">
        <v>13671</v>
      </c>
      <c r="F250" s="1" t="s">
        <v>784</v>
      </c>
      <c r="H250" s="145" t="n">
        <v>44447</v>
      </c>
      <c r="I250" s="1" t="n">
        <f aca="false">IF(H250&lt;&gt;"",MONTH(H250),"")</f>
        <v>9</v>
      </c>
      <c r="J250" s="1" t="str">
        <f aca="false">IFERROR(VLOOKUP(D250,'Controle de equipamento'!$J:$V,4,0),"Adicionado")</f>
        <v>Maceió-AL</v>
      </c>
    </row>
    <row r="251" customFormat="false" ht="15" hidden="false" customHeight="false" outlineLevel="0" collapsed="false">
      <c r="A251" s="144" t="s">
        <v>782</v>
      </c>
      <c r="B251" s="61" t="s">
        <v>984</v>
      </c>
      <c r="C251" s="61" t="s">
        <v>87</v>
      </c>
      <c r="D251" s="110" t="n">
        <v>49433</v>
      </c>
      <c r="E251" s="102" t="n">
        <v>13672</v>
      </c>
      <c r="F251" s="1" t="s">
        <v>784</v>
      </c>
      <c r="H251" s="145" t="n">
        <v>44447</v>
      </c>
      <c r="I251" s="1" t="n">
        <f aca="false">IF(H251&lt;&gt;"",MONTH(H251),"")</f>
        <v>9</v>
      </c>
      <c r="J251" s="1" t="str">
        <f aca="false">IFERROR(VLOOKUP(D251,'Controle de equipamento'!$J:$V,4,0),"Adicionado")</f>
        <v>Maceió-AL</v>
      </c>
    </row>
    <row r="252" customFormat="false" ht="15" hidden="false" customHeight="false" outlineLevel="0" collapsed="false">
      <c r="A252" s="144" t="s">
        <v>782</v>
      </c>
      <c r="B252" s="61" t="s">
        <v>1079</v>
      </c>
      <c r="C252" s="61" t="s">
        <v>81</v>
      </c>
      <c r="D252" s="110" t="s">
        <v>90</v>
      </c>
      <c r="E252" s="102" t="n">
        <v>13809</v>
      </c>
      <c r="F252" s="1" t="s">
        <v>784</v>
      </c>
      <c r="H252" s="145" t="n">
        <v>44557</v>
      </c>
      <c r="I252" s="1" t="n">
        <f aca="false">IF(H252&lt;&gt;"",MONTH(H252),"")</f>
        <v>12</v>
      </c>
      <c r="J252" s="1" t="str">
        <f aca="false">IFERROR(VLOOKUP(D252,'Controle de equipamento'!$J:$V,4,0),"Adicionado")</f>
        <v>Maceió-AL</v>
      </c>
    </row>
    <row r="253" customFormat="false" ht="15" hidden="false" customHeight="false" outlineLevel="0" collapsed="false">
      <c r="A253" s="144" t="s">
        <v>782</v>
      </c>
      <c r="B253" s="61" t="s">
        <v>1080</v>
      </c>
      <c r="C253" s="61" t="s">
        <v>81</v>
      </c>
      <c r="D253" s="110" t="n">
        <v>182190001020</v>
      </c>
      <c r="E253" s="102" t="n">
        <v>13674</v>
      </c>
      <c r="F253" s="1" t="s">
        <v>784</v>
      </c>
      <c r="G253" s="1" t="s">
        <v>1081</v>
      </c>
      <c r="H253" s="145" t="n">
        <v>44447</v>
      </c>
      <c r="I253" s="1" t="n">
        <f aca="false">IF(H253&lt;&gt;"",MONTH(H253),"")</f>
        <v>9</v>
      </c>
      <c r="J253" s="1" t="str">
        <f aca="false">IFERROR(VLOOKUP(D253,'Controle de equipamento'!$J:$V,4,0),"Adicionado")</f>
        <v>Adicionado</v>
      </c>
    </row>
    <row r="254" customFormat="false" ht="15" hidden="false" customHeight="false" outlineLevel="0" collapsed="false">
      <c r="A254" s="144" t="s">
        <v>1082</v>
      </c>
      <c r="B254" s="61" t="s">
        <v>1083</v>
      </c>
      <c r="C254" s="102" t="s">
        <v>1061</v>
      </c>
      <c r="D254" s="110" t="n">
        <v>4222730</v>
      </c>
      <c r="E254" s="61" t="n">
        <v>13761</v>
      </c>
      <c r="F254" s="1" t="s">
        <v>784</v>
      </c>
      <c r="H254" s="145" t="n">
        <v>44455</v>
      </c>
      <c r="I254" s="1" t="n">
        <f aca="false">IF(H254&lt;&gt;"",MONTH(H254),"")</f>
        <v>9</v>
      </c>
      <c r="J254" s="1" t="str">
        <f aca="false">IFERROR(VLOOKUP(D254,'Controle de equipamento'!$J:$V,4,0),"Adicionado")</f>
        <v>Manaus-AM</v>
      </c>
    </row>
    <row r="255" customFormat="false" ht="15" hidden="false" customHeight="false" outlineLevel="0" collapsed="false">
      <c r="A255" s="144" t="s">
        <v>782</v>
      </c>
      <c r="B255" s="102" t="s">
        <v>1084</v>
      </c>
      <c r="C255" s="102" t="s">
        <v>105</v>
      </c>
      <c r="D255" s="110" t="s">
        <v>104</v>
      </c>
      <c r="E255" s="61" t="n">
        <v>13762</v>
      </c>
      <c r="F255" s="1" t="s">
        <v>784</v>
      </c>
      <c r="H255" s="145" t="n">
        <v>44455</v>
      </c>
      <c r="I255" s="1" t="n">
        <f aca="false">IF(H255&lt;&gt;"",MONTH(H255),"")</f>
        <v>9</v>
      </c>
      <c r="J255" s="1" t="str">
        <f aca="false">IFERROR(VLOOKUP(D255,'Controle de equipamento'!$J:$V,4,0),"Adicionado")</f>
        <v>Manaus-AM</v>
      </c>
    </row>
    <row r="256" customFormat="false" ht="15" hidden="false" customHeight="false" outlineLevel="0" collapsed="false">
      <c r="A256" s="144" t="s">
        <v>782</v>
      </c>
      <c r="B256" s="102" t="s">
        <v>1085</v>
      </c>
      <c r="C256" s="102" t="s">
        <v>288</v>
      </c>
      <c r="D256" s="110" t="s">
        <v>107</v>
      </c>
      <c r="E256" s="61" t="n">
        <v>13763</v>
      </c>
      <c r="F256" s="1" t="s">
        <v>784</v>
      </c>
      <c r="H256" s="145" t="n">
        <v>44455</v>
      </c>
      <c r="I256" s="1" t="n">
        <f aca="false">IF(H256&lt;&gt;"",MONTH(H256),"")</f>
        <v>9</v>
      </c>
      <c r="J256" s="1" t="str">
        <f aca="false">IFERROR(VLOOKUP(D256,'Controle de equipamento'!$J:$V,4,0),"Adicionado")</f>
        <v>Manaus-AM</v>
      </c>
    </row>
    <row r="257" customFormat="false" ht="15" hidden="false" customHeight="false" outlineLevel="0" collapsed="false">
      <c r="A257" s="144" t="s">
        <v>782</v>
      </c>
      <c r="B257" s="102" t="s">
        <v>970</v>
      </c>
      <c r="C257" s="102" t="s">
        <v>81</v>
      </c>
      <c r="D257" s="110" t="s">
        <v>102</v>
      </c>
      <c r="E257" s="61" t="n">
        <v>13764</v>
      </c>
      <c r="F257" s="1" t="s">
        <v>784</v>
      </c>
      <c r="H257" s="145" t="n">
        <v>44455</v>
      </c>
      <c r="I257" s="1" t="n">
        <f aca="false">IF(H257&lt;&gt;"",MONTH(H257),"")</f>
        <v>9</v>
      </c>
      <c r="J257" s="1" t="str">
        <f aca="false">IFERROR(VLOOKUP(D257,'Controle de equipamento'!$J:$V,4,0),"Adicionado")</f>
        <v>Manaus-AM</v>
      </c>
    </row>
    <row r="258" customFormat="false" ht="15" hidden="false" customHeight="false" outlineLevel="0" collapsed="false">
      <c r="A258" s="144" t="s">
        <v>782</v>
      </c>
      <c r="B258" s="61" t="s">
        <v>450</v>
      </c>
      <c r="C258" s="102" t="s">
        <v>452</v>
      </c>
      <c r="D258" s="110" t="s">
        <v>451</v>
      </c>
      <c r="E258" s="102" t="n">
        <v>13907</v>
      </c>
      <c r="F258" s="1" t="s">
        <v>784</v>
      </c>
      <c r="H258" s="145" t="n">
        <v>44461</v>
      </c>
      <c r="I258" s="1" t="n">
        <f aca="false">IF(H258&lt;&gt;"",MONTH(H258),"")</f>
        <v>9</v>
      </c>
      <c r="J258" s="1" t="str">
        <f aca="false">IFERROR(VLOOKUP(D258,'Controle de equipamento'!$J:$V,4,0),"Adicionado")</f>
        <v>Duque de Caxias-RJ</v>
      </c>
    </row>
    <row r="259" customFormat="false" ht="15" hidden="false" customHeight="false" outlineLevel="0" collapsed="false">
      <c r="A259" s="144" t="s">
        <v>782</v>
      </c>
      <c r="B259" s="102" t="s">
        <v>1086</v>
      </c>
      <c r="C259" s="61" t="s">
        <v>87</v>
      </c>
      <c r="D259" s="110" t="n">
        <v>49483</v>
      </c>
      <c r="E259" s="102" t="n">
        <v>13822</v>
      </c>
      <c r="F259" s="1" t="s">
        <v>784</v>
      </c>
      <c r="H259" s="145" t="n">
        <v>44459</v>
      </c>
      <c r="I259" s="1" t="n">
        <f aca="false">IF(H259&lt;&gt;"",MONTH(H259),"")</f>
        <v>9</v>
      </c>
      <c r="J259" s="1" t="str">
        <f aca="false">IFERROR(VLOOKUP(D259,'Controle de equipamento'!$J:$V,4,0),"Adicionado")</f>
        <v>Camaçari-BA</v>
      </c>
    </row>
    <row r="260" customFormat="false" ht="15" hidden="false" customHeight="false" outlineLevel="0" collapsed="false">
      <c r="A260" s="144" t="s">
        <v>782</v>
      </c>
      <c r="B260" s="102" t="s">
        <v>1079</v>
      </c>
      <c r="C260" s="102" t="s">
        <v>81</v>
      </c>
      <c r="D260" s="110" t="s">
        <v>155</v>
      </c>
      <c r="E260" s="102" t="n">
        <v>13823</v>
      </c>
      <c r="F260" s="1" t="s">
        <v>784</v>
      </c>
      <c r="H260" s="145" t="n">
        <v>44459</v>
      </c>
      <c r="I260" s="1" t="n">
        <f aca="false">IF(H260&lt;&gt;"",MONTH(H260),"")</f>
        <v>9</v>
      </c>
      <c r="J260" s="1" t="str">
        <f aca="false">IFERROR(VLOOKUP(D260,'Controle de equipamento'!$J:$V,4,0),"Adicionado")</f>
        <v>Camaçari-BA</v>
      </c>
    </row>
    <row r="261" customFormat="false" ht="15" hidden="false" customHeight="false" outlineLevel="0" collapsed="false">
      <c r="A261" s="144" t="s">
        <v>782</v>
      </c>
      <c r="B261" s="102" t="s">
        <v>785</v>
      </c>
      <c r="C261" s="102" t="s">
        <v>87</v>
      </c>
      <c r="D261" s="110" t="n">
        <v>49441</v>
      </c>
      <c r="E261" s="102" t="n">
        <v>13824</v>
      </c>
      <c r="F261" s="1" t="s">
        <v>784</v>
      </c>
      <c r="H261" s="145" t="n">
        <v>44459</v>
      </c>
      <c r="I261" s="1" t="n">
        <f aca="false">IF(H261&lt;&gt;"",MONTH(H261),"")</f>
        <v>9</v>
      </c>
      <c r="J261" s="1" t="str">
        <f aca="false">IFERROR(VLOOKUP(D261,'Controle de equipamento'!$J:$V,4,0),"Adicionado")</f>
        <v>Camaçari-BA</v>
      </c>
    </row>
    <row r="262" customFormat="false" ht="15" hidden="false" customHeight="false" outlineLevel="0" collapsed="false">
      <c r="A262" s="144" t="s">
        <v>1087</v>
      </c>
      <c r="B262" s="102" t="s">
        <v>1088</v>
      </c>
      <c r="C262" s="102" t="s">
        <v>991</v>
      </c>
      <c r="D262" s="110" t="s">
        <v>157</v>
      </c>
      <c r="E262" s="102" t="n">
        <v>13825</v>
      </c>
      <c r="F262" s="1" t="s">
        <v>784</v>
      </c>
      <c r="H262" s="145" t="n">
        <v>44459</v>
      </c>
      <c r="I262" s="1" t="n">
        <f aca="false">IF(H262&lt;&gt;"",MONTH(H262),"")</f>
        <v>9</v>
      </c>
      <c r="J262" s="1" t="str">
        <f aca="false">IFERROR(VLOOKUP(D262,'Controle de equipamento'!$J:$V,4,0),"Adicionado")</f>
        <v>Camaçari-BA</v>
      </c>
    </row>
    <row r="263" customFormat="false" ht="15" hidden="false" customHeight="false" outlineLevel="0" collapsed="false">
      <c r="A263" s="144" t="s">
        <v>1089</v>
      </c>
      <c r="B263" s="102" t="s">
        <v>1090</v>
      </c>
      <c r="C263" s="102" t="s">
        <v>964</v>
      </c>
      <c r="D263" s="110" t="s">
        <v>135</v>
      </c>
      <c r="E263" s="102" t="n">
        <v>13826</v>
      </c>
      <c r="F263" s="1" t="s">
        <v>784</v>
      </c>
      <c r="H263" s="145" t="n">
        <v>44459</v>
      </c>
      <c r="I263" s="1" t="n">
        <f aca="false">IF(H263&lt;&gt;"",MONTH(H263),"")</f>
        <v>9</v>
      </c>
      <c r="J263" s="1" t="str">
        <f aca="false">IFERROR(VLOOKUP(D263,'Controle de equipamento'!$J:$V,4,0),"Adicionado")</f>
        <v>Camaçari-BA</v>
      </c>
    </row>
    <row r="264" customFormat="false" ht="15" hidden="false" customHeight="false" outlineLevel="0" collapsed="false">
      <c r="A264" s="144" t="s">
        <v>1091</v>
      </c>
      <c r="B264" s="102" t="s">
        <v>1092</v>
      </c>
      <c r="C264" s="102" t="s">
        <v>117</v>
      </c>
      <c r="D264" s="110" t="s">
        <v>116</v>
      </c>
      <c r="E264" s="102" t="n">
        <v>13827</v>
      </c>
      <c r="F264" s="1" t="s">
        <v>784</v>
      </c>
      <c r="H264" s="145" t="n">
        <v>44459</v>
      </c>
      <c r="I264" s="1" t="n">
        <f aca="false">IF(H264&lt;&gt;"",MONTH(H264),"")</f>
        <v>9</v>
      </c>
      <c r="J264" s="1" t="str">
        <f aca="false">IFERROR(VLOOKUP(D264,'Controle de equipamento'!$J:$V,4,0),"Adicionado")</f>
        <v>Camaçari-BA</v>
      </c>
    </row>
    <row r="265" customFormat="false" ht="15" hidden="false" customHeight="false" outlineLevel="0" collapsed="false">
      <c r="A265" s="144" t="s">
        <v>1093</v>
      </c>
      <c r="B265" s="102" t="s">
        <v>1094</v>
      </c>
      <c r="C265" s="102" t="s">
        <v>81</v>
      </c>
      <c r="D265" s="110" t="s">
        <v>142</v>
      </c>
      <c r="E265" s="102" t="n">
        <v>13828</v>
      </c>
      <c r="F265" s="1" t="s">
        <v>784</v>
      </c>
      <c r="H265" s="145" t="n">
        <v>44459</v>
      </c>
      <c r="I265" s="1" t="n">
        <f aca="false">IF(H265&lt;&gt;"",MONTH(H265),"")</f>
        <v>9</v>
      </c>
      <c r="J265" s="1" t="str">
        <f aca="false">IFERROR(VLOOKUP(D265,'Controle de equipamento'!$J:$V,4,0),"Adicionado")</f>
        <v>Camaçari-BA</v>
      </c>
    </row>
    <row r="266" customFormat="false" ht="15" hidden="false" customHeight="false" outlineLevel="0" collapsed="false">
      <c r="A266" s="144" t="s">
        <v>782</v>
      </c>
      <c r="B266" s="102" t="s">
        <v>1079</v>
      </c>
      <c r="C266" s="102" t="s">
        <v>81</v>
      </c>
      <c r="D266" s="110" t="s">
        <v>124</v>
      </c>
      <c r="E266" s="102" t="n">
        <v>13829</v>
      </c>
      <c r="F266" s="1" t="s">
        <v>784</v>
      </c>
      <c r="H266" s="145" t="n">
        <v>44459</v>
      </c>
      <c r="I266" s="1" t="n">
        <f aca="false">IF(H266&lt;&gt;"",MONTH(H266),"")</f>
        <v>9</v>
      </c>
      <c r="J266" s="1" t="str">
        <f aca="false">IFERROR(VLOOKUP(D266,'Controle de equipamento'!$J:$V,4,0),"Adicionado")</f>
        <v>Camaçari-BA</v>
      </c>
    </row>
    <row r="267" customFormat="false" ht="15" hidden="false" customHeight="false" outlineLevel="0" collapsed="false">
      <c r="A267" s="144" t="s">
        <v>1095</v>
      </c>
      <c r="B267" s="102" t="s">
        <v>1088</v>
      </c>
      <c r="C267" s="102" t="s">
        <v>81</v>
      </c>
      <c r="D267" s="110" t="s">
        <v>154</v>
      </c>
      <c r="E267" s="102" t="n">
        <v>13830</v>
      </c>
      <c r="F267" s="1" t="s">
        <v>784</v>
      </c>
      <c r="H267" s="145" t="n">
        <v>44459</v>
      </c>
      <c r="I267" s="1" t="n">
        <f aca="false">IF(H267&lt;&gt;"",MONTH(H267),"")</f>
        <v>9</v>
      </c>
      <c r="J267" s="1" t="str">
        <f aca="false">IFERROR(VLOOKUP(D267,'Controle de equipamento'!$J:$V,4,0),"Adicionado")</f>
        <v>Camaçari-BA</v>
      </c>
    </row>
    <row r="268" customFormat="false" ht="15" hidden="false" customHeight="false" outlineLevel="0" collapsed="false">
      <c r="A268" s="144" t="s">
        <v>782</v>
      </c>
      <c r="B268" s="102" t="s">
        <v>891</v>
      </c>
      <c r="C268" s="102" t="s">
        <v>81</v>
      </c>
      <c r="D268" s="110" t="n">
        <v>1426206</v>
      </c>
      <c r="E268" s="102" t="n">
        <v>13831</v>
      </c>
      <c r="F268" s="1" t="s">
        <v>784</v>
      </c>
      <c r="G268" s="1" t="s">
        <v>1096</v>
      </c>
      <c r="H268" s="145" t="n">
        <v>44459</v>
      </c>
      <c r="I268" s="1" t="n">
        <f aca="false">IF(H268&lt;&gt;"",MONTH(H268),"")</f>
        <v>9</v>
      </c>
      <c r="J268" s="1" t="str">
        <f aca="false">IFERROR(VLOOKUP(D268,'Controle de equipamento'!$J:$V,4,0),"Adicionado")</f>
        <v>Camaçari-BA</v>
      </c>
    </row>
    <row r="269" customFormat="false" ht="15" hidden="false" customHeight="false" outlineLevel="0" collapsed="false">
      <c r="A269" s="144" t="s">
        <v>1097</v>
      </c>
      <c r="B269" s="61" t="s">
        <v>1098</v>
      </c>
      <c r="C269" s="102" t="s">
        <v>81</v>
      </c>
      <c r="D269" s="110" t="s">
        <v>122</v>
      </c>
      <c r="E269" s="102" t="n">
        <v>13832</v>
      </c>
      <c r="F269" s="1" t="s">
        <v>784</v>
      </c>
      <c r="G269" s="1" t="s">
        <v>1099</v>
      </c>
      <c r="H269" s="145" t="n">
        <v>44459</v>
      </c>
      <c r="I269" s="1" t="n">
        <f aca="false">IF(H269&lt;&gt;"",MONTH(H269),"")</f>
        <v>9</v>
      </c>
      <c r="J269" s="1" t="str">
        <f aca="false">IFERROR(VLOOKUP(D269,'Controle de equipamento'!$J:$V,4,0),"Adicionado")</f>
        <v>Camaçari-BA</v>
      </c>
    </row>
    <row r="270" customFormat="false" ht="15" hidden="false" customHeight="false" outlineLevel="0" collapsed="false">
      <c r="A270" s="144" t="s">
        <v>1100</v>
      </c>
      <c r="B270" s="102" t="s">
        <v>1092</v>
      </c>
      <c r="C270" s="102" t="s">
        <v>117</v>
      </c>
      <c r="D270" s="110" t="s">
        <v>128</v>
      </c>
      <c r="E270" s="102" t="n">
        <v>13833</v>
      </c>
      <c r="F270" s="1" t="s">
        <v>784</v>
      </c>
      <c r="H270" s="145" t="n">
        <v>44459</v>
      </c>
      <c r="I270" s="1" t="n">
        <f aca="false">IF(H270&lt;&gt;"",MONTH(H270),"")</f>
        <v>9</v>
      </c>
      <c r="J270" s="1" t="str">
        <f aca="false">IFERROR(VLOOKUP(D270,'Controle de equipamento'!$J:$V,4,0),"Adicionado")</f>
        <v>Camaçari-BA</v>
      </c>
    </row>
    <row r="271" customFormat="false" ht="15" hidden="false" customHeight="false" outlineLevel="0" collapsed="false">
      <c r="A271" s="144" t="s">
        <v>1101</v>
      </c>
      <c r="B271" s="61" t="s">
        <v>1102</v>
      </c>
      <c r="C271" s="102" t="s">
        <v>1103</v>
      </c>
      <c r="D271" s="110" t="s">
        <v>139</v>
      </c>
      <c r="E271" s="102" t="n">
        <v>13834</v>
      </c>
      <c r="F271" s="1" t="s">
        <v>784</v>
      </c>
      <c r="H271" s="145" t="n">
        <v>44459</v>
      </c>
      <c r="I271" s="1" t="n">
        <f aca="false">IF(H271&lt;&gt;"",MONTH(H271),"")</f>
        <v>9</v>
      </c>
      <c r="J271" s="1" t="str">
        <f aca="false">IFERROR(VLOOKUP(D271,'Controle de equipamento'!$J:$V,4,0),"Adicionado")</f>
        <v>Camaçari-BA</v>
      </c>
    </row>
    <row r="272" customFormat="false" ht="15" hidden="false" customHeight="false" outlineLevel="0" collapsed="false">
      <c r="A272" s="144" t="s">
        <v>1104</v>
      </c>
      <c r="B272" s="61" t="s">
        <v>1079</v>
      </c>
      <c r="C272" s="102" t="s">
        <v>991</v>
      </c>
      <c r="D272" s="110" t="s">
        <v>145</v>
      </c>
      <c r="E272" s="102" t="n">
        <v>13835</v>
      </c>
      <c r="F272" s="1" t="s">
        <v>784</v>
      </c>
      <c r="G272" s="1" t="s">
        <v>1105</v>
      </c>
      <c r="H272" s="145" t="n">
        <v>44459</v>
      </c>
      <c r="I272" s="1" t="n">
        <f aca="false">IF(H272&lt;&gt;"",MONTH(H272),"")</f>
        <v>9</v>
      </c>
      <c r="J272" s="1" t="str">
        <f aca="false">IFERROR(VLOOKUP(D272,'Controle de equipamento'!$J:$V,4,0),"Adicionado")</f>
        <v>Camaçari-BA</v>
      </c>
    </row>
    <row r="273" customFormat="false" ht="15" hidden="false" customHeight="false" outlineLevel="0" collapsed="false">
      <c r="A273" s="144" t="s">
        <v>1106</v>
      </c>
      <c r="B273" s="102" t="s">
        <v>820</v>
      </c>
      <c r="C273" s="102" t="s">
        <v>991</v>
      </c>
      <c r="D273" s="110" t="s">
        <v>147</v>
      </c>
      <c r="E273" s="102" t="n">
        <v>13836</v>
      </c>
      <c r="F273" s="1" t="s">
        <v>784</v>
      </c>
      <c r="G273" s="1" t="s">
        <v>1105</v>
      </c>
      <c r="H273" s="145" t="n">
        <v>44459</v>
      </c>
      <c r="I273" s="1" t="n">
        <f aca="false">IF(H273&lt;&gt;"",MONTH(H273),"")</f>
        <v>9</v>
      </c>
      <c r="J273" s="1" t="str">
        <f aca="false">IFERROR(VLOOKUP(D273,'Controle de equipamento'!$J:$V,4,0),"Adicionado")</f>
        <v>Camaçari-BA</v>
      </c>
    </row>
    <row r="274" customFormat="false" ht="15" hidden="false" customHeight="false" outlineLevel="0" collapsed="false">
      <c r="A274" s="144" t="s">
        <v>1107</v>
      </c>
      <c r="B274" s="102" t="s">
        <v>1090</v>
      </c>
      <c r="C274" s="102" t="s">
        <v>1103</v>
      </c>
      <c r="D274" s="110" t="s">
        <v>132</v>
      </c>
      <c r="E274" s="102" t="n">
        <v>13837</v>
      </c>
      <c r="F274" s="1" t="s">
        <v>784</v>
      </c>
      <c r="H274" s="145" t="n">
        <v>44459</v>
      </c>
      <c r="I274" s="1" t="n">
        <f aca="false">IF(H274&lt;&gt;"",MONTH(H274),"")</f>
        <v>9</v>
      </c>
      <c r="J274" s="1" t="str">
        <f aca="false">IFERROR(VLOOKUP(D274,'Controle de equipamento'!$J:$V,4,0),"Adicionado")</f>
        <v>Camaçari-BA</v>
      </c>
    </row>
    <row r="275" customFormat="false" ht="15" hidden="false" customHeight="false" outlineLevel="0" collapsed="false">
      <c r="A275" s="144" t="s">
        <v>1108</v>
      </c>
      <c r="B275" s="102" t="s">
        <v>1109</v>
      </c>
      <c r="C275" s="102" t="s">
        <v>117</v>
      </c>
      <c r="D275" s="110" t="n">
        <v>51302520</v>
      </c>
      <c r="E275" s="102" t="n">
        <v>13838</v>
      </c>
      <c r="F275" s="1" t="s">
        <v>784</v>
      </c>
      <c r="H275" s="145" t="n">
        <v>44459</v>
      </c>
      <c r="I275" s="1" t="n">
        <f aca="false">IF(H275&lt;&gt;"",MONTH(H275),"")</f>
        <v>9</v>
      </c>
      <c r="J275" s="1" t="str">
        <f aca="false">IFERROR(VLOOKUP(D275,'Controle de equipamento'!$J:$V,4,0),"Adicionado")</f>
        <v>Camaçari-BA</v>
      </c>
    </row>
    <row r="276" customFormat="false" ht="15" hidden="false" customHeight="false" outlineLevel="0" collapsed="false">
      <c r="A276" s="144" t="s">
        <v>1110</v>
      </c>
      <c r="B276" s="102" t="s">
        <v>1088</v>
      </c>
      <c r="C276" s="102" t="s">
        <v>991</v>
      </c>
      <c r="D276" s="110" t="s">
        <v>152</v>
      </c>
      <c r="E276" s="102" t="n">
        <v>13906</v>
      </c>
      <c r="F276" s="1" t="s">
        <v>784</v>
      </c>
      <c r="H276" s="145" t="n">
        <v>44459</v>
      </c>
      <c r="I276" s="1" t="n">
        <f aca="false">IF(H276&lt;&gt;"",MONTH(H276),"")</f>
        <v>9</v>
      </c>
      <c r="J276" s="1" t="str">
        <f aca="false">IFERROR(VLOOKUP(D276,'Controle de equipamento'!$J:$V,4,0),"Adicionado")</f>
        <v>Camaçari-BA</v>
      </c>
    </row>
    <row r="277" customFormat="false" ht="15" hidden="false" customHeight="false" outlineLevel="0" collapsed="false">
      <c r="A277" s="144" t="s">
        <v>782</v>
      </c>
      <c r="B277" s="102" t="s">
        <v>1111</v>
      </c>
      <c r="C277" s="102" t="s">
        <v>1112</v>
      </c>
      <c r="D277" s="110" t="s">
        <v>150</v>
      </c>
      <c r="E277" s="102" t="n">
        <v>13925</v>
      </c>
      <c r="F277" s="1" t="s">
        <v>784</v>
      </c>
      <c r="H277" s="145" t="n">
        <v>44459</v>
      </c>
      <c r="I277" s="1" t="n">
        <f aca="false">IF(H277&lt;&gt;"",MONTH(H277),"")</f>
        <v>9</v>
      </c>
      <c r="J277" s="1" t="str">
        <f aca="false">IFERROR(VLOOKUP(D277,'Controle de equipamento'!$J:$V,4,0),"Adicionado")</f>
        <v>Camaçari-BA</v>
      </c>
    </row>
    <row r="278" customFormat="false" ht="15" hidden="false" customHeight="false" outlineLevel="0" collapsed="false">
      <c r="A278" s="144" t="s">
        <v>782</v>
      </c>
      <c r="B278" s="102" t="s">
        <v>1111</v>
      </c>
      <c r="C278" s="102" t="s">
        <v>1112</v>
      </c>
      <c r="D278" s="110" t="n">
        <v>893769</v>
      </c>
      <c r="E278" s="102" t="n">
        <v>13926</v>
      </c>
      <c r="F278" s="1" t="s">
        <v>784</v>
      </c>
      <c r="H278" s="145" t="n">
        <v>44459</v>
      </c>
      <c r="I278" s="1" t="n">
        <f aca="false">IF(H278&lt;&gt;"",MONTH(H278),"")</f>
        <v>9</v>
      </c>
      <c r="J278" s="1" t="str">
        <f aca="false">IFERROR(VLOOKUP(D278,'Controle de equipamento'!$J:$V,4,0),"Adicionado")</f>
        <v>Camaçari-BA</v>
      </c>
    </row>
    <row r="279" customFormat="false" ht="15" hidden="false" customHeight="false" outlineLevel="0" collapsed="false">
      <c r="A279" s="144" t="s">
        <v>782</v>
      </c>
      <c r="B279" s="102" t="s">
        <v>1111</v>
      </c>
      <c r="C279" s="102" t="s">
        <v>1112</v>
      </c>
      <c r="D279" s="110" t="n">
        <v>2062585</v>
      </c>
      <c r="E279" s="102" t="n">
        <v>13927</v>
      </c>
      <c r="F279" s="1" t="s">
        <v>784</v>
      </c>
      <c r="H279" s="145" t="n">
        <v>44459</v>
      </c>
      <c r="I279" s="1" t="n">
        <f aca="false">IF(H279&lt;&gt;"",MONTH(H279),"")</f>
        <v>9</v>
      </c>
      <c r="J279" s="1" t="str">
        <f aca="false">IFERROR(VLOOKUP(D279,'Controle de equipamento'!$J:$V,4,0),"Adicionado")</f>
        <v>Adicionado</v>
      </c>
    </row>
    <row r="280" customFormat="false" ht="15" hidden="false" customHeight="false" outlineLevel="0" collapsed="false">
      <c r="A280" s="144" t="s">
        <v>782</v>
      </c>
      <c r="B280" s="61" t="s">
        <v>1113</v>
      </c>
      <c r="C280" s="61" t="s">
        <v>1114</v>
      </c>
      <c r="D280" s="110" t="s">
        <v>131</v>
      </c>
      <c r="E280" s="102" t="n">
        <v>13928</v>
      </c>
      <c r="F280" s="1" t="s">
        <v>784</v>
      </c>
      <c r="H280" s="145" t="n">
        <v>44459</v>
      </c>
      <c r="I280" s="1" t="n">
        <f aca="false">IF(H280&lt;&gt;"",MONTH(H280),"")</f>
        <v>9</v>
      </c>
      <c r="J280" s="1" t="str">
        <f aca="false">IFERROR(VLOOKUP(D280,'Controle de equipamento'!$J:$V,4,0),"Adicionado")</f>
        <v>Camaçari-BA</v>
      </c>
    </row>
    <row r="281" customFormat="false" ht="15" hidden="false" customHeight="false" outlineLevel="0" collapsed="false">
      <c r="A281" s="144" t="s">
        <v>1115</v>
      </c>
      <c r="B281" s="61" t="s">
        <v>1088</v>
      </c>
      <c r="C281" s="102" t="s">
        <v>81</v>
      </c>
      <c r="D281" s="110" t="s">
        <v>163</v>
      </c>
      <c r="E281" s="102" t="n">
        <v>13839</v>
      </c>
      <c r="F281" s="1" t="s">
        <v>784</v>
      </c>
      <c r="H281" s="145" t="n">
        <v>44462</v>
      </c>
      <c r="I281" s="1" t="n">
        <f aca="false">IF(H281&lt;&gt;"",MONTH(H281),"")</f>
        <v>9</v>
      </c>
      <c r="J281" s="1" t="str">
        <f aca="false">IFERROR(VLOOKUP(D281,'Controle de equipamento'!$J:$V,4,0),"Adicionado")</f>
        <v>Ilheus -BA</v>
      </c>
    </row>
    <row r="282" customFormat="false" ht="15" hidden="false" customHeight="false" outlineLevel="0" collapsed="false">
      <c r="A282" s="144" t="s">
        <v>1116</v>
      </c>
      <c r="B282" s="102" t="s">
        <v>1117</v>
      </c>
      <c r="C282" s="102" t="s">
        <v>938</v>
      </c>
      <c r="D282" s="110" t="n">
        <v>4212228</v>
      </c>
      <c r="E282" s="102" t="n">
        <v>13840</v>
      </c>
      <c r="F282" s="1" t="s">
        <v>784</v>
      </c>
      <c r="H282" s="145" t="n">
        <v>44462</v>
      </c>
      <c r="I282" s="1" t="n">
        <f aca="false">IF(H282&lt;&gt;"",MONTH(H282),"")</f>
        <v>9</v>
      </c>
      <c r="J282" s="1" t="str">
        <f aca="false">IFERROR(VLOOKUP(D282,'Controle de equipamento'!$J:$V,4,0),"Adicionado")</f>
        <v>Ilheus -BA</v>
      </c>
    </row>
    <row r="283" customFormat="false" ht="15" hidden="false" customHeight="false" outlineLevel="0" collapsed="false">
      <c r="A283" s="144" t="s">
        <v>782</v>
      </c>
      <c r="B283" s="102" t="s">
        <v>86</v>
      </c>
      <c r="C283" s="102" t="s">
        <v>136</v>
      </c>
      <c r="D283" s="110" t="n">
        <v>799046</v>
      </c>
      <c r="E283" s="102" t="n">
        <v>13841</v>
      </c>
      <c r="F283" s="1" t="s">
        <v>784</v>
      </c>
      <c r="H283" s="145" t="n">
        <v>44462</v>
      </c>
      <c r="I283" s="1" t="n">
        <f aca="false">IF(H283&lt;&gt;"",MONTH(H283),"")</f>
        <v>9</v>
      </c>
      <c r="J283" s="1" t="str">
        <f aca="false">IFERROR(VLOOKUP(D283,'Controle de equipamento'!$J:$V,4,0),"Adicionado")</f>
        <v>Ilheus -BA</v>
      </c>
    </row>
    <row r="284" customFormat="false" ht="15" hidden="false" customHeight="false" outlineLevel="0" collapsed="false">
      <c r="A284" s="144" t="s">
        <v>1118</v>
      </c>
      <c r="B284" s="102" t="s">
        <v>89</v>
      </c>
      <c r="C284" s="102" t="s">
        <v>224</v>
      </c>
      <c r="D284" s="110" t="s">
        <v>315</v>
      </c>
      <c r="E284" s="102" t="n">
        <v>13962</v>
      </c>
      <c r="F284" s="1" t="s">
        <v>784</v>
      </c>
      <c r="H284" s="145" t="n">
        <v>44469</v>
      </c>
      <c r="I284" s="1" t="n">
        <f aca="false">IF(H284&lt;&gt;"",MONTH(H284),"")</f>
        <v>9</v>
      </c>
      <c r="J284" s="1" t="str">
        <f aca="false">IFERROR(VLOOKUP(D284,'Controle de equipamento'!$J:$V,4,0),"Adicionado")</f>
        <v>Ouro Branco-MG</v>
      </c>
    </row>
    <row r="285" customFormat="false" ht="15" hidden="false" customHeight="false" outlineLevel="0" collapsed="false">
      <c r="A285" s="144" t="s">
        <v>782</v>
      </c>
      <c r="B285" s="102" t="s">
        <v>83</v>
      </c>
      <c r="C285" s="102" t="s">
        <v>1119</v>
      </c>
      <c r="D285" s="110" t="s">
        <v>316</v>
      </c>
      <c r="E285" s="102" t="n">
        <v>13963</v>
      </c>
      <c r="F285" s="1" t="s">
        <v>784</v>
      </c>
      <c r="H285" s="145" t="n">
        <v>44469</v>
      </c>
      <c r="I285" s="1" t="n">
        <f aca="false">IF(H285&lt;&gt;"",MONTH(H285),"")</f>
        <v>9</v>
      </c>
      <c r="J285" s="1" t="str">
        <f aca="false">IFERROR(VLOOKUP(D285,'Controle de equipamento'!$J:$V,4,0),"Adicionado")</f>
        <v>Ouro Branco-MG</v>
      </c>
    </row>
    <row r="286" customFormat="false" ht="15" hidden="false" customHeight="false" outlineLevel="0" collapsed="false">
      <c r="A286" s="144" t="s">
        <v>1120</v>
      </c>
      <c r="B286" s="102" t="s">
        <v>83</v>
      </c>
      <c r="C286" s="102" t="s">
        <v>1119</v>
      </c>
      <c r="D286" s="110" t="s">
        <v>317</v>
      </c>
      <c r="E286" s="102" t="n">
        <v>13964</v>
      </c>
      <c r="F286" s="1" t="s">
        <v>784</v>
      </c>
      <c r="H286" s="145" t="n">
        <v>44469</v>
      </c>
      <c r="I286" s="1" t="n">
        <f aca="false">IF(H286&lt;&gt;"",MONTH(H286),"")</f>
        <v>9</v>
      </c>
      <c r="J286" s="1" t="str">
        <f aca="false">IFERROR(VLOOKUP(D286,'Controle de equipamento'!$J:$V,4,0),"Adicionado")</f>
        <v>Ouro Branco-MG</v>
      </c>
    </row>
    <row r="287" customFormat="false" ht="15" hidden="false" customHeight="false" outlineLevel="0" collapsed="false">
      <c r="A287" s="144" t="s">
        <v>782</v>
      </c>
      <c r="B287" s="102" t="s">
        <v>83</v>
      </c>
      <c r="C287" s="102" t="s">
        <v>1119</v>
      </c>
      <c r="D287" s="110" t="s">
        <v>319</v>
      </c>
      <c r="E287" s="102" t="n">
        <v>13965</v>
      </c>
      <c r="F287" s="1" t="s">
        <v>784</v>
      </c>
      <c r="H287" s="145" t="n">
        <v>44469</v>
      </c>
      <c r="I287" s="1" t="n">
        <f aca="false">IF(H287&lt;&gt;"",MONTH(H287),"")</f>
        <v>9</v>
      </c>
      <c r="J287" s="1" t="str">
        <f aca="false">IFERROR(VLOOKUP(D287,'Controle de equipamento'!$J:$V,4,0),"Adicionado")</f>
        <v>Ouro Branco-MG</v>
      </c>
    </row>
    <row r="288" customFormat="false" ht="15" hidden="false" customHeight="false" outlineLevel="0" collapsed="false">
      <c r="A288" s="144" t="s">
        <v>782</v>
      </c>
      <c r="B288" s="61" t="s">
        <v>83</v>
      </c>
      <c r="C288" s="61" t="s">
        <v>87</v>
      </c>
      <c r="D288" s="110" t="s">
        <v>302</v>
      </c>
      <c r="E288" s="61" t="n">
        <v>13874</v>
      </c>
      <c r="F288" s="1" t="s">
        <v>784</v>
      </c>
      <c r="H288" s="145" t="n">
        <v>44469</v>
      </c>
      <c r="I288" s="1" t="n">
        <f aca="false">IF(H288&lt;&gt;"",MONTH(H288),"")</f>
        <v>9</v>
      </c>
      <c r="J288" s="1" t="str">
        <f aca="false">IFERROR(VLOOKUP(D288,'Controle de equipamento'!$J:$V,4,0),"Adicionado")</f>
        <v>Ouro Branco-MG</v>
      </c>
    </row>
    <row r="289" customFormat="false" ht="15" hidden="false" customHeight="false" outlineLevel="0" collapsed="false">
      <c r="A289" s="144" t="s">
        <v>1121</v>
      </c>
      <c r="B289" s="61" t="s">
        <v>83</v>
      </c>
      <c r="C289" s="61" t="s">
        <v>1122</v>
      </c>
      <c r="D289" s="110" t="s">
        <v>304</v>
      </c>
      <c r="E289" s="102" t="n">
        <v>13875</v>
      </c>
      <c r="F289" s="1" t="s">
        <v>784</v>
      </c>
      <c r="H289" s="145" t="n">
        <v>44469</v>
      </c>
      <c r="I289" s="1" t="n">
        <f aca="false">IF(H289&lt;&gt;"",MONTH(H289),"")</f>
        <v>9</v>
      </c>
      <c r="J289" s="1" t="str">
        <f aca="false">IFERROR(VLOOKUP(D289,'Controle de equipamento'!$J:$V,4,0),"Adicionado")</f>
        <v>Ouro Branco-MG</v>
      </c>
    </row>
    <row r="290" customFormat="false" ht="15" hidden="false" customHeight="false" outlineLevel="0" collapsed="false">
      <c r="A290" s="144" t="s">
        <v>1123</v>
      </c>
      <c r="B290" s="61" t="s">
        <v>101</v>
      </c>
      <c r="C290" s="61" t="s">
        <v>81</v>
      </c>
      <c r="D290" s="110" t="s">
        <v>305</v>
      </c>
      <c r="E290" s="102" t="n">
        <v>13878</v>
      </c>
      <c r="F290" s="1" t="s">
        <v>784</v>
      </c>
      <c r="H290" s="145" t="n">
        <v>44469</v>
      </c>
      <c r="I290" s="1" t="n">
        <f aca="false">IF(H290&lt;&gt;"",MONTH(H290),"")</f>
        <v>9</v>
      </c>
      <c r="J290" s="1" t="str">
        <f aca="false">IFERROR(VLOOKUP(D290,'Controle de equipamento'!$J:$V,4,0),"Adicionado")</f>
        <v>Ouro Branco-MG</v>
      </c>
    </row>
    <row r="291" customFormat="false" ht="15" hidden="false" customHeight="false" outlineLevel="0" collapsed="false">
      <c r="A291" s="144" t="s">
        <v>1124</v>
      </c>
      <c r="B291" s="61" t="s">
        <v>1071</v>
      </c>
      <c r="C291" s="61" t="s">
        <v>81</v>
      </c>
      <c r="D291" s="110" t="s">
        <v>306</v>
      </c>
      <c r="E291" s="102" t="n">
        <v>13879</v>
      </c>
      <c r="F291" s="1" t="s">
        <v>784</v>
      </c>
      <c r="H291" s="145" t="n">
        <v>44469</v>
      </c>
      <c r="I291" s="1" t="n">
        <f aca="false">IF(H291&lt;&gt;"",MONTH(H291),"")</f>
        <v>9</v>
      </c>
      <c r="J291" s="1" t="str">
        <f aca="false">IFERROR(VLOOKUP(D291,'Controle de equipamento'!$J:$V,4,0),"Adicionado")</f>
        <v>Ouro Branco-MG</v>
      </c>
    </row>
    <row r="292" customFormat="false" ht="15" hidden="false" customHeight="false" outlineLevel="0" collapsed="false">
      <c r="A292" s="144" t="s">
        <v>782</v>
      </c>
      <c r="B292" s="102" t="s">
        <v>101</v>
      </c>
      <c r="C292" s="102" t="s">
        <v>81</v>
      </c>
      <c r="D292" s="110" t="n">
        <v>1531607</v>
      </c>
      <c r="E292" s="61" t="n">
        <v>14282</v>
      </c>
      <c r="F292" s="1" t="s">
        <v>784</v>
      </c>
      <c r="G292" s="1" t="s">
        <v>1125</v>
      </c>
      <c r="H292" s="145" t="n">
        <v>44498</v>
      </c>
      <c r="I292" s="1" t="n">
        <f aca="false">IF(H292&lt;&gt;"",MONTH(H292),"")</f>
        <v>10</v>
      </c>
      <c r="J292" s="1" t="str">
        <f aca="false">IFERROR(VLOOKUP(D292,'Controle de equipamento'!$J:$V,4,0),"Adicionado")</f>
        <v>Sorocaba-SP</v>
      </c>
    </row>
    <row r="293" customFormat="false" ht="15" hidden="false" customHeight="false" outlineLevel="0" collapsed="false">
      <c r="A293" s="144" t="s">
        <v>782</v>
      </c>
      <c r="B293" s="102" t="s">
        <v>1126</v>
      </c>
      <c r="C293" s="102" t="s">
        <v>321</v>
      </c>
      <c r="D293" s="110" t="s">
        <v>322</v>
      </c>
      <c r="E293" s="102" t="n">
        <v>14168</v>
      </c>
      <c r="F293" s="1" t="s">
        <v>784</v>
      </c>
      <c r="H293" s="145" t="n">
        <v>44497</v>
      </c>
      <c r="I293" s="1" t="n">
        <f aca="false">IF(H293&lt;&gt;"",MONTH(H293),"")</f>
        <v>10</v>
      </c>
      <c r="J293" s="1" t="str">
        <f aca="false">IFERROR(VLOOKUP(D293,'Controle de equipamento'!$J:$V,4,0),"Adicionado")</f>
        <v>Ouro Branco-MG</v>
      </c>
    </row>
    <row r="294" customFormat="false" ht="15" hidden="false" customHeight="false" outlineLevel="0" collapsed="false">
      <c r="A294" s="144" t="s">
        <v>1127</v>
      </c>
      <c r="B294" s="102" t="s">
        <v>1128</v>
      </c>
      <c r="C294" s="102" t="s">
        <v>309</v>
      </c>
      <c r="D294" s="110" t="s">
        <v>308</v>
      </c>
      <c r="E294" s="102" t="n">
        <v>14169</v>
      </c>
      <c r="F294" s="1" t="s">
        <v>784</v>
      </c>
      <c r="H294" s="145" t="n">
        <v>44497</v>
      </c>
      <c r="I294" s="1" t="n">
        <f aca="false">IF(H294&lt;&gt;"",MONTH(H294),"")</f>
        <v>10</v>
      </c>
      <c r="J294" s="1" t="str">
        <f aca="false">IFERROR(VLOOKUP(D294,'Controle de equipamento'!$J:$V,4,0),"Adicionado")</f>
        <v>Ouro Branco-MG</v>
      </c>
    </row>
    <row r="295" customFormat="false" ht="15" hidden="false" customHeight="false" outlineLevel="0" collapsed="false">
      <c r="A295" s="144" t="s">
        <v>1129</v>
      </c>
      <c r="B295" s="102" t="s">
        <v>795</v>
      </c>
      <c r="C295" s="102" t="s">
        <v>81</v>
      </c>
      <c r="D295" s="110" t="s">
        <v>311</v>
      </c>
      <c r="E295" s="102" t="n">
        <v>14171</v>
      </c>
      <c r="F295" s="1" t="s">
        <v>784</v>
      </c>
      <c r="H295" s="145" t="n">
        <v>44497</v>
      </c>
      <c r="I295" s="1" t="n">
        <f aca="false">IF(H295&lt;&gt;"",MONTH(H295),"")</f>
        <v>10</v>
      </c>
      <c r="J295" s="1" t="str">
        <f aca="false">IFERROR(VLOOKUP(D295,'Controle de equipamento'!$J:$V,4,0),"Adicionado")</f>
        <v>Ouro Branco-MG</v>
      </c>
    </row>
    <row r="296" customFormat="false" ht="15" hidden="false" customHeight="false" outlineLevel="0" collapsed="false">
      <c r="A296" s="144" t="s">
        <v>782</v>
      </c>
      <c r="B296" s="102" t="s">
        <v>1126</v>
      </c>
      <c r="C296" s="102" t="s">
        <v>321</v>
      </c>
      <c r="D296" s="110" t="s">
        <v>320</v>
      </c>
      <c r="E296" s="102" t="n">
        <v>13971</v>
      </c>
      <c r="F296" s="1" t="s">
        <v>784</v>
      </c>
      <c r="H296" s="145" t="n">
        <v>44497</v>
      </c>
      <c r="I296" s="1" t="n">
        <f aca="false">IF(H296&lt;&gt;"",MONTH(H296),"")</f>
        <v>10</v>
      </c>
      <c r="J296" s="1" t="str">
        <f aca="false">IFERROR(VLOOKUP(D296,'Controle de equipamento'!$J:$V,4,0),"Adicionado")</f>
        <v>Ouro Branco-MG</v>
      </c>
    </row>
    <row r="297" customFormat="false" ht="15" hidden="false" customHeight="false" outlineLevel="0" collapsed="false">
      <c r="A297" s="144" t="s">
        <v>782</v>
      </c>
      <c r="B297" s="102" t="s">
        <v>795</v>
      </c>
      <c r="C297" s="102" t="s">
        <v>81</v>
      </c>
      <c r="D297" s="110" t="s">
        <v>409</v>
      </c>
      <c r="E297" s="102" t="n">
        <v>14291</v>
      </c>
      <c r="F297" s="1" t="s">
        <v>784</v>
      </c>
      <c r="H297" s="145" t="n">
        <v>44523</v>
      </c>
      <c r="I297" s="1" t="n">
        <f aca="false">IF(H297&lt;&gt;"",MONTH(H297),"")</f>
        <v>11</v>
      </c>
      <c r="J297" s="1" t="str">
        <f aca="false">IFERROR(VLOOKUP(D297,'Controle de equipamento'!$J:$V,4,0),"Adicionado")</f>
        <v>Astorga-PR</v>
      </c>
    </row>
    <row r="298" customFormat="false" ht="15" hidden="false" customHeight="false" outlineLevel="0" collapsed="false">
      <c r="A298" s="144" t="s">
        <v>782</v>
      </c>
      <c r="B298" s="61" t="s">
        <v>101</v>
      </c>
      <c r="C298" s="102" t="s">
        <v>81</v>
      </c>
      <c r="D298" s="110" t="s">
        <v>1130</v>
      </c>
      <c r="E298" s="102" t="n">
        <v>13932</v>
      </c>
      <c r="F298" s="1" t="s">
        <v>784</v>
      </c>
      <c r="H298" s="145" t="n">
        <v>44523</v>
      </c>
      <c r="I298" s="1" t="n">
        <f aca="false">IF(H298&lt;&gt;"",MONTH(H298),"")</f>
        <v>11</v>
      </c>
      <c r="J298" s="1" t="str">
        <f aca="false">IFERROR(VLOOKUP(D298,'Controle de equipamento'!$J:$V,4,0),"Adicionado")</f>
        <v>Astorga-PR</v>
      </c>
    </row>
    <row r="299" customFormat="false" ht="15" hidden="false" customHeight="false" outlineLevel="0" collapsed="false">
      <c r="A299" s="144" t="s">
        <v>782</v>
      </c>
      <c r="B299" s="102" t="s">
        <v>846</v>
      </c>
      <c r="C299" s="102" t="s">
        <v>105</v>
      </c>
      <c r="D299" s="110" t="s">
        <v>412</v>
      </c>
      <c r="E299" s="102" t="n">
        <v>14626</v>
      </c>
      <c r="F299" s="1" t="s">
        <v>784</v>
      </c>
      <c r="H299" s="145" t="n">
        <v>44523</v>
      </c>
      <c r="I299" s="1" t="n">
        <f aca="false">IF(H299&lt;&gt;"",MONTH(H299),"")</f>
        <v>11</v>
      </c>
      <c r="J299" s="1" t="str">
        <f aca="false">IFERROR(VLOOKUP(D299,'Controle de equipamento'!$J:$V,4,0),"Adicionado")</f>
        <v>Astorga-PR</v>
      </c>
    </row>
    <row r="300" customFormat="false" ht="15" hidden="false" customHeight="false" outlineLevel="0" collapsed="false">
      <c r="A300" s="144" t="s">
        <v>782</v>
      </c>
      <c r="B300" s="102" t="s">
        <v>846</v>
      </c>
      <c r="C300" s="102" t="s">
        <v>136</v>
      </c>
      <c r="D300" s="110" t="s">
        <v>347</v>
      </c>
      <c r="E300" s="102" t="n">
        <v>14620</v>
      </c>
      <c r="F300" s="1" t="s">
        <v>784</v>
      </c>
      <c r="G300" s="1" t="s">
        <v>1131</v>
      </c>
      <c r="H300" s="145" t="n">
        <v>44523</v>
      </c>
      <c r="I300" s="1" t="n">
        <f aca="false">IF(H300&lt;&gt;"",MONTH(H300),"")</f>
        <v>11</v>
      </c>
      <c r="J300" s="1" t="str">
        <f aca="false">IFERROR(VLOOKUP(D300,'Controle de equipamento'!$J:$V,4,0),"Adicionado")</f>
        <v>Dourados-MS</v>
      </c>
    </row>
    <row r="301" customFormat="false" ht="15" hidden="false" customHeight="false" outlineLevel="0" collapsed="false">
      <c r="A301" s="144" t="s">
        <v>782</v>
      </c>
      <c r="B301" s="102" t="s">
        <v>1132</v>
      </c>
      <c r="C301" s="102" t="s">
        <v>830</v>
      </c>
      <c r="D301" s="110" t="s">
        <v>408</v>
      </c>
      <c r="E301" s="102" t="n">
        <v>14624</v>
      </c>
      <c r="F301" s="1" t="s">
        <v>784</v>
      </c>
      <c r="G301" s="1" t="s">
        <v>1131</v>
      </c>
      <c r="H301" s="145" t="n">
        <v>44523</v>
      </c>
      <c r="I301" s="1" t="n">
        <f aca="false">IF(H301&lt;&gt;"",MONTH(H301),"")</f>
        <v>11</v>
      </c>
      <c r="J301" s="1" t="str">
        <f aca="false">IFERROR(VLOOKUP(D301,'Controle de equipamento'!$J:$V,4,0),"Adicionado")</f>
        <v>Astorga-PR</v>
      </c>
    </row>
    <row r="302" customFormat="false" ht="15" hidden="false" customHeight="false" outlineLevel="0" collapsed="false">
      <c r="A302" s="144" t="s">
        <v>782</v>
      </c>
      <c r="B302" s="102" t="s">
        <v>1132</v>
      </c>
      <c r="C302" s="102" t="s">
        <v>830</v>
      </c>
      <c r="D302" s="110" t="s">
        <v>414</v>
      </c>
      <c r="E302" s="102" t="n">
        <v>14625</v>
      </c>
      <c r="F302" s="1" t="s">
        <v>784</v>
      </c>
      <c r="H302" s="145" t="n">
        <v>44523</v>
      </c>
      <c r="I302" s="1" t="n">
        <f aca="false">IF(H302&lt;&gt;"",MONTH(H302),"")</f>
        <v>11</v>
      </c>
      <c r="J302" s="1" t="str">
        <f aca="false">IFERROR(VLOOKUP(D302,'Controle de equipamento'!$J:$V,4,0),"Adicionado")</f>
        <v>Astorga-PR</v>
      </c>
    </row>
    <row r="303" customFormat="false" ht="15" hidden="false" customHeight="false" outlineLevel="0" collapsed="false">
      <c r="A303" s="144" t="s">
        <v>782</v>
      </c>
      <c r="B303" s="102" t="s">
        <v>1132</v>
      </c>
      <c r="C303" s="102" t="s">
        <v>830</v>
      </c>
      <c r="D303" s="110" t="s">
        <v>411</v>
      </c>
      <c r="E303" s="102" t="n">
        <v>14286</v>
      </c>
      <c r="F303" s="1" t="s">
        <v>784</v>
      </c>
      <c r="H303" s="145" t="n">
        <v>44523</v>
      </c>
      <c r="I303" s="1" t="n">
        <f aca="false">IF(H303&lt;&gt;"",MONTH(H303),"")</f>
        <v>11</v>
      </c>
      <c r="J303" s="1" t="str">
        <f aca="false">IFERROR(VLOOKUP(D303,'Controle de equipamento'!$J:$V,4,0),"Adicionado")</f>
        <v>Astorga-PR</v>
      </c>
    </row>
    <row r="304" customFormat="false" ht="15" hidden="false" customHeight="false" outlineLevel="0" collapsed="false">
      <c r="A304" s="144" t="s">
        <v>782</v>
      </c>
      <c r="B304" s="102" t="s">
        <v>1132</v>
      </c>
      <c r="C304" s="102" t="s">
        <v>830</v>
      </c>
      <c r="D304" s="110" t="s">
        <v>403</v>
      </c>
      <c r="E304" s="102" t="n">
        <v>14621</v>
      </c>
      <c r="F304" s="1" t="s">
        <v>784</v>
      </c>
      <c r="G304" s="1" t="s">
        <v>1131</v>
      </c>
      <c r="H304" s="145" t="n">
        <v>44523</v>
      </c>
      <c r="I304" s="1" t="n">
        <f aca="false">IF(H304&lt;&gt;"",MONTH(H304),"")</f>
        <v>11</v>
      </c>
      <c r="J304" s="1" t="str">
        <f aca="false">IFERROR(VLOOKUP(D304,'Controle de equipamento'!$J:$V,4,0),"Adicionado")</f>
        <v>Astorga-PR</v>
      </c>
    </row>
    <row r="305" customFormat="false" ht="15" hidden="false" customHeight="false" outlineLevel="0" collapsed="false">
      <c r="A305" s="144" t="s">
        <v>782</v>
      </c>
      <c r="B305" s="102" t="s">
        <v>1005</v>
      </c>
      <c r="C305" s="102" t="s">
        <v>830</v>
      </c>
      <c r="D305" s="110" t="s">
        <v>410</v>
      </c>
      <c r="E305" s="102" t="n">
        <v>14292</v>
      </c>
      <c r="F305" s="1" t="s">
        <v>784</v>
      </c>
      <c r="H305" s="145" t="n">
        <v>44523</v>
      </c>
      <c r="I305" s="1" t="n">
        <f aca="false">IF(H305&lt;&gt;"",MONTH(H305),"")</f>
        <v>11</v>
      </c>
      <c r="J305" s="1" t="str">
        <f aca="false">IFERROR(VLOOKUP(D305,'Controle de equipamento'!$J:$V,4,0),"Adicionado")</f>
        <v>Astorga-PR</v>
      </c>
    </row>
    <row r="306" customFormat="false" ht="15" hidden="false" customHeight="false" outlineLevel="0" collapsed="false">
      <c r="A306" s="144" t="s">
        <v>782</v>
      </c>
      <c r="B306" s="102" t="s">
        <v>1133</v>
      </c>
      <c r="C306" s="102" t="s">
        <v>1134</v>
      </c>
      <c r="D306" s="110" t="s">
        <v>407</v>
      </c>
      <c r="E306" s="102" t="n">
        <v>13237</v>
      </c>
      <c r="F306" s="1" t="s">
        <v>784</v>
      </c>
      <c r="H306" s="145" t="n">
        <v>44523</v>
      </c>
      <c r="I306" s="1" t="n">
        <f aca="false">IF(H306&lt;&gt;"",MONTH(H306),"")</f>
        <v>11</v>
      </c>
      <c r="J306" s="1" t="str">
        <f aca="false">IFERROR(VLOOKUP(D306,'Controle de equipamento'!$J:$V,4,0),"Adicionado")</f>
        <v>Astorga-PR</v>
      </c>
    </row>
    <row r="307" customFormat="false" ht="15" hidden="false" customHeight="false" outlineLevel="0" collapsed="false">
      <c r="A307" s="144" t="s">
        <v>782</v>
      </c>
      <c r="B307" s="61" t="s">
        <v>101</v>
      </c>
      <c r="C307" s="102" t="s">
        <v>1134</v>
      </c>
      <c r="D307" s="110" t="s">
        <v>406</v>
      </c>
      <c r="E307" s="102" t="n">
        <v>14288</v>
      </c>
      <c r="F307" s="1" t="s">
        <v>784</v>
      </c>
      <c r="G307" s="1" t="s">
        <v>1135</v>
      </c>
      <c r="H307" s="145" t="n">
        <v>44523</v>
      </c>
      <c r="I307" s="1" t="n">
        <f aca="false">IF(H307&lt;&gt;"",MONTH(H307),"")</f>
        <v>11</v>
      </c>
      <c r="J307" s="1" t="str">
        <f aca="false">IFERROR(VLOOKUP(D307,'Controle de equipamento'!$J:$V,4,0),"Adicionado")</f>
        <v>Astorga-PR</v>
      </c>
    </row>
    <row r="308" customFormat="false" ht="15" hidden="false" customHeight="false" outlineLevel="0" collapsed="false">
      <c r="A308" s="144" t="s">
        <v>782</v>
      </c>
      <c r="B308" s="102" t="s">
        <v>917</v>
      </c>
      <c r="C308" s="102" t="s">
        <v>1134</v>
      </c>
      <c r="D308" s="110" t="s">
        <v>676</v>
      </c>
      <c r="E308" s="102" t="n">
        <v>14868</v>
      </c>
      <c r="F308" s="1" t="s">
        <v>784</v>
      </c>
      <c r="H308" s="145" t="n">
        <v>44531</v>
      </c>
      <c r="I308" s="1" t="n">
        <f aca="false">IF(H308&lt;&gt;"",MONTH(H308),"")</f>
        <v>12</v>
      </c>
      <c r="J308" s="1" t="str">
        <f aca="false">IFERROR(VLOOKUP(D308,'Controle de equipamento'!$J:$V,4,0),"Adicionado")</f>
        <v>Santo André-SP</v>
      </c>
    </row>
    <row r="309" customFormat="false" ht="15" hidden="false" customHeight="false" outlineLevel="0" collapsed="false">
      <c r="A309" s="144" t="s">
        <v>782</v>
      </c>
      <c r="B309" s="102" t="s">
        <v>1136</v>
      </c>
      <c r="C309" s="102" t="s">
        <v>1134</v>
      </c>
      <c r="D309" s="110" t="s">
        <v>294</v>
      </c>
      <c r="E309" s="102" t="n">
        <v>15235</v>
      </c>
      <c r="F309" s="1" t="s">
        <v>784</v>
      </c>
      <c r="H309" s="145" t="n">
        <v>44578</v>
      </c>
      <c r="I309" s="1" t="n">
        <f aca="false">IF(H309&lt;&gt;"",MONTH(H309),"")</f>
        <v>1</v>
      </c>
      <c r="J309" s="1" t="str">
        <f aca="false">IFERROR(VLOOKUP(D309,'Controle de equipamento'!$J:$V,4,0),"Adicionado")</f>
        <v>Montes Claros-MG</v>
      </c>
    </row>
    <row r="310" customFormat="false" ht="15" hidden="false" customHeight="false" outlineLevel="0" collapsed="false">
      <c r="A310" s="144" t="s">
        <v>782</v>
      </c>
      <c r="B310" s="102" t="s">
        <v>821</v>
      </c>
      <c r="C310" s="102" t="s">
        <v>81</v>
      </c>
      <c r="D310" s="110" t="s">
        <v>247</v>
      </c>
      <c r="E310" s="102" t="n">
        <v>15644</v>
      </c>
      <c r="F310" s="1" t="s">
        <v>784</v>
      </c>
      <c r="G310" s="1" t="s">
        <v>1137</v>
      </c>
      <c r="H310" s="145" t="n">
        <v>44623</v>
      </c>
      <c r="I310" s="1" t="n">
        <f aca="false">IF(H310&lt;&gt;"",MONTH(H310),"")</f>
        <v>3</v>
      </c>
      <c r="J310" s="1" t="str">
        <f aca="false">IFERROR(VLOOKUP(D310,'Controle de equipamento'!$J:$V,4,0),"Adicionado")</f>
        <v>Belo Horizonte-MG</v>
      </c>
    </row>
    <row r="311" customFormat="false" ht="15" hidden="false" customHeight="false" outlineLevel="0" collapsed="false">
      <c r="A311" s="144" t="s">
        <v>782</v>
      </c>
      <c r="B311" s="102" t="s">
        <v>983</v>
      </c>
      <c r="C311" s="102" t="s">
        <v>830</v>
      </c>
      <c r="D311" s="110" t="n">
        <v>6273835</v>
      </c>
      <c r="E311" s="102" t="n">
        <v>15642</v>
      </c>
      <c r="F311" s="1" t="s">
        <v>784</v>
      </c>
      <c r="H311" s="145" t="n">
        <v>44623</v>
      </c>
      <c r="I311" s="1" t="n">
        <f aca="false">IF(H311&lt;&gt;"",MONTH(H311),"")</f>
        <v>3</v>
      </c>
      <c r="J311" s="1" t="str">
        <f aca="false">IFERROR(VLOOKUP(D311,'Controle de equipamento'!$J:$V,4,0),"Adicionado")</f>
        <v>Belo Horizonte-MG</v>
      </c>
    </row>
    <row r="312" customFormat="false" ht="15" hidden="false" customHeight="false" outlineLevel="0" collapsed="false">
      <c r="A312" s="144" t="s">
        <v>782</v>
      </c>
      <c r="B312" s="102" t="s">
        <v>1080</v>
      </c>
      <c r="C312" s="102" t="s">
        <v>81</v>
      </c>
      <c r="D312" s="110" t="s">
        <v>249</v>
      </c>
      <c r="E312" s="102" t="n">
        <v>15645</v>
      </c>
      <c r="F312" s="1" t="s">
        <v>784</v>
      </c>
      <c r="H312" s="145" t="n">
        <v>44623</v>
      </c>
      <c r="I312" s="1" t="n">
        <f aca="false">IF(H312&lt;&gt;"",MONTH(H312),"")</f>
        <v>3</v>
      </c>
      <c r="J312" s="1" t="str">
        <f aca="false">IFERROR(VLOOKUP(D312,'Controle de equipamento'!$J:$V,4,0),"Adicionado")</f>
        <v>Belo Horizonte-MG</v>
      </c>
    </row>
    <row r="313" customFormat="false" ht="15" hidden="false" customHeight="false" outlineLevel="0" collapsed="false">
      <c r="A313" s="144" t="s">
        <v>782</v>
      </c>
      <c r="B313" s="102" t="s">
        <v>1138</v>
      </c>
      <c r="C313" s="102" t="s">
        <v>265</v>
      </c>
      <c r="D313" s="110" t="s">
        <v>264</v>
      </c>
      <c r="E313" s="102" t="n">
        <v>15641</v>
      </c>
      <c r="F313" s="1" t="s">
        <v>784</v>
      </c>
      <c r="H313" s="145" t="n">
        <v>44623</v>
      </c>
      <c r="I313" s="1" t="n">
        <f aca="false">IF(H313&lt;&gt;"",MONTH(H313),"")</f>
        <v>3</v>
      </c>
      <c r="J313" s="1" t="str">
        <f aca="false">IFERROR(VLOOKUP(D313,'Controle de equipamento'!$J:$V,4,0),"Adicionado")</f>
        <v>Juatuba -MG</v>
      </c>
    </row>
    <row r="314" customFormat="false" ht="15" hidden="false" customHeight="false" outlineLevel="0" collapsed="false">
      <c r="A314" s="144" t="s">
        <v>782</v>
      </c>
      <c r="B314" s="102" t="s">
        <v>1139</v>
      </c>
      <c r="C314" s="102" t="s">
        <v>265</v>
      </c>
      <c r="D314" s="110" t="s">
        <v>269</v>
      </c>
      <c r="E314" s="102" t="n">
        <v>15643</v>
      </c>
      <c r="F314" s="1" t="s">
        <v>784</v>
      </c>
      <c r="G314" s="1" t="s">
        <v>1140</v>
      </c>
      <c r="H314" s="145" t="n">
        <v>44623</v>
      </c>
      <c r="I314" s="1" t="n">
        <f aca="false">IF(H314&lt;&gt;"",MONTH(H314),"")</f>
        <v>3</v>
      </c>
      <c r="J314" s="1" t="str">
        <f aca="false">IFERROR(VLOOKUP(D314,'Controle de equipamento'!$J:$V,4,0),"Adicionado")</f>
        <v>Juatuba -MG</v>
      </c>
    </row>
    <row r="315" customFormat="false" ht="15" hidden="false" customHeight="false" outlineLevel="0" collapsed="false">
      <c r="A315" s="144" t="s">
        <v>782</v>
      </c>
      <c r="B315" s="102" t="s">
        <v>1080</v>
      </c>
      <c r="C315" s="102" t="s">
        <v>81</v>
      </c>
      <c r="D315" s="110" t="n">
        <v>142870001022</v>
      </c>
      <c r="E315" s="102" t="n">
        <v>15646</v>
      </c>
      <c r="F315" s="1" t="s">
        <v>784</v>
      </c>
      <c r="H315" s="145" t="n">
        <v>44623</v>
      </c>
      <c r="I315" s="1" t="n">
        <f aca="false">IF(H315&lt;&gt;"",MONTH(H315),"")</f>
        <v>3</v>
      </c>
      <c r="J315" s="1" t="str">
        <f aca="false">IFERROR(VLOOKUP(D315,'Controle de equipamento'!$J:$V,4,0),"Adicionado")</f>
        <v>Juatuba -MG</v>
      </c>
    </row>
    <row r="316" customFormat="false" ht="15" hidden="false" customHeight="false" outlineLevel="0" collapsed="false">
      <c r="A316" s="144" t="s">
        <v>1141</v>
      </c>
      <c r="B316" s="102" t="s">
        <v>1142</v>
      </c>
      <c r="C316" s="102" t="s">
        <v>609</v>
      </c>
      <c r="D316" s="110" t="s">
        <v>608</v>
      </c>
      <c r="E316" s="102" t="n">
        <v>15707</v>
      </c>
      <c r="F316" s="1" t="s">
        <v>784</v>
      </c>
      <c r="H316" s="145" t="n">
        <v>44629</v>
      </c>
      <c r="I316" s="1" t="n">
        <f aca="false">IF(H316&lt;&gt;"",MONTH(H316),"")</f>
        <v>3</v>
      </c>
      <c r="J316" s="1" t="str">
        <f aca="false">IFERROR(VLOOKUP(D316,'Controle de equipamento'!$J:$V,4,0),"Adicionado")</f>
        <v>Cotia -SP</v>
      </c>
    </row>
    <row r="317" customFormat="false" ht="15" hidden="false" customHeight="false" outlineLevel="0" collapsed="false">
      <c r="A317" s="144" t="s">
        <v>1143</v>
      </c>
      <c r="B317" s="115" t="s">
        <v>86</v>
      </c>
      <c r="C317" s="102" t="s">
        <v>1144</v>
      </c>
      <c r="D317" s="110" t="s">
        <v>611</v>
      </c>
      <c r="E317" s="102" t="n">
        <v>15718</v>
      </c>
      <c r="F317" s="1" t="s">
        <v>784</v>
      </c>
      <c r="H317" s="145" t="n">
        <v>44629</v>
      </c>
      <c r="I317" s="1" t="n">
        <f aca="false">IF(H317&lt;&gt;"",MONTH(H317),"")</f>
        <v>3</v>
      </c>
      <c r="J317" s="1" t="str">
        <f aca="false">IFERROR(VLOOKUP(D317,'Controle de equipamento'!$J:$V,4,0),"Adicionado")</f>
        <v>Cotia -SP</v>
      </c>
    </row>
    <row r="318" customFormat="false" ht="15" hidden="false" customHeight="false" outlineLevel="0" collapsed="false">
      <c r="A318" s="144" t="s">
        <v>782</v>
      </c>
      <c r="B318" s="102" t="s">
        <v>970</v>
      </c>
      <c r="C318" s="102" t="s">
        <v>1145</v>
      </c>
      <c r="D318" s="110" t="s">
        <v>683</v>
      </c>
      <c r="E318" s="102" t="n">
        <v>15722</v>
      </c>
      <c r="F318" s="1" t="s">
        <v>784</v>
      </c>
      <c r="H318" s="145" t="n">
        <v>44628</v>
      </c>
      <c r="I318" s="1" t="n">
        <f aca="false">IF(H318&lt;&gt;"",MONTH(H318),"")</f>
        <v>3</v>
      </c>
      <c r="J318" s="1" t="str">
        <f aca="false">IFERROR(VLOOKUP(D318,'Controle de equipamento'!$J:$V,4,0),"Adicionado")</f>
        <v>Santo André-SP</v>
      </c>
    </row>
    <row r="319" customFormat="false" ht="15" hidden="false" customHeight="false" outlineLevel="0" collapsed="false">
      <c r="A319" s="144" t="s">
        <v>782</v>
      </c>
      <c r="B319" s="115" t="s">
        <v>1136</v>
      </c>
      <c r="C319" s="102" t="s">
        <v>1145</v>
      </c>
      <c r="D319" s="110" t="s">
        <v>682</v>
      </c>
      <c r="E319" s="102" t="n">
        <v>15723</v>
      </c>
      <c r="F319" s="1" t="s">
        <v>784</v>
      </c>
      <c r="G319" s="1" t="s">
        <v>1146</v>
      </c>
      <c r="H319" s="145" t="n">
        <v>44628</v>
      </c>
      <c r="I319" s="1" t="n">
        <f aca="false">IF(H319&lt;&gt;"",MONTH(H319),"")</f>
        <v>3</v>
      </c>
      <c r="J319" s="1" t="str">
        <f aca="false">IFERROR(VLOOKUP(D319,'Controle de equipamento'!$J:$V,4,0),"Adicionado")</f>
        <v>Santo André-SP</v>
      </c>
    </row>
    <row r="320" customFormat="false" ht="15" hidden="false" customHeight="false" outlineLevel="0" collapsed="false">
      <c r="A320" s="144" t="s">
        <v>782</v>
      </c>
      <c r="B320" s="102" t="s">
        <v>1147</v>
      </c>
      <c r="C320" s="102" t="s">
        <v>1145</v>
      </c>
      <c r="D320" s="110" t="s">
        <v>684</v>
      </c>
      <c r="E320" s="102" t="n">
        <v>15724</v>
      </c>
      <c r="F320" s="1" t="s">
        <v>784</v>
      </c>
      <c r="H320" s="145" t="n">
        <v>44628</v>
      </c>
      <c r="I320" s="1" t="n">
        <f aca="false">IF(H320&lt;&gt;"",MONTH(H320),"")</f>
        <v>3</v>
      </c>
      <c r="J320" s="1" t="str">
        <f aca="false">IFERROR(VLOOKUP(D320,'Controle de equipamento'!$J:$V,4,0),"Adicionado")</f>
        <v>Santo André-SP</v>
      </c>
    </row>
    <row r="321" customFormat="false" ht="15" hidden="false" customHeight="false" outlineLevel="0" collapsed="false">
      <c r="A321" s="144" t="s">
        <v>782</v>
      </c>
      <c r="B321" s="102" t="s">
        <v>1148</v>
      </c>
      <c r="C321" s="102" t="s">
        <v>1145</v>
      </c>
      <c r="D321" s="110" t="s">
        <v>681</v>
      </c>
      <c r="E321" s="102" t="n">
        <v>15725</v>
      </c>
      <c r="F321" s="1" t="s">
        <v>784</v>
      </c>
      <c r="H321" s="145" t="n">
        <v>44628</v>
      </c>
      <c r="I321" s="1" t="n">
        <f aca="false">IF(H321&lt;&gt;"",MONTH(H321),"")</f>
        <v>3</v>
      </c>
      <c r="J321" s="1" t="str">
        <f aca="false">IFERROR(VLOOKUP(D321,'Controle de equipamento'!$J:$V,4,0),"Adicionado")</f>
        <v>Santo André-SP</v>
      </c>
    </row>
    <row r="322" customFormat="false" ht="15" hidden="false" customHeight="false" outlineLevel="0" collapsed="false">
      <c r="A322" s="144" t="s">
        <v>782</v>
      </c>
      <c r="B322" s="102" t="s">
        <v>1149</v>
      </c>
      <c r="C322" s="102" t="s">
        <v>1145</v>
      </c>
      <c r="D322" s="110" t="n">
        <v>56618</v>
      </c>
      <c r="E322" s="102" t="n">
        <v>15726</v>
      </c>
      <c r="F322" s="1" t="s">
        <v>784</v>
      </c>
      <c r="H322" s="145" t="n">
        <v>44628</v>
      </c>
      <c r="I322" s="1" t="n">
        <f aca="false">IF(H322&lt;&gt;"",MONTH(H322),"")</f>
        <v>3</v>
      </c>
      <c r="J322" s="1" t="str">
        <f aca="false">IFERROR(VLOOKUP(D322,'Controle de equipamento'!$J:$V,4,0),"Adicionado")</f>
        <v>Santo André-SP</v>
      </c>
    </row>
    <row r="323" customFormat="false" ht="15" hidden="false" customHeight="false" outlineLevel="0" collapsed="false">
      <c r="A323" s="144" t="s">
        <v>782</v>
      </c>
      <c r="B323" s="102" t="s">
        <v>1150</v>
      </c>
      <c r="C323" s="102" t="s">
        <v>1145</v>
      </c>
      <c r="D323" s="110" t="n">
        <v>182180001014</v>
      </c>
      <c r="E323" s="102" t="n">
        <v>15854</v>
      </c>
      <c r="F323" s="1" t="s">
        <v>784</v>
      </c>
      <c r="H323" s="145" t="n">
        <v>44644</v>
      </c>
      <c r="I323" s="1" t="n">
        <f aca="false">IF(H323&lt;&gt;"",MONTH(H323),"")</f>
        <v>3</v>
      </c>
      <c r="J323" s="1" t="str">
        <f aca="false">IFERROR(VLOOKUP(D323,'Controle de equipamento'!$J:$V,4,0),"Adicionado")</f>
        <v>Macacu-RJ</v>
      </c>
    </row>
    <row r="324" customFormat="false" ht="15" hidden="false" customHeight="false" outlineLevel="0" collapsed="false">
      <c r="A324" s="144" t="s">
        <v>782</v>
      </c>
      <c r="B324" s="102" t="s">
        <v>1151</v>
      </c>
      <c r="C324" s="102" t="s">
        <v>830</v>
      </c>
      <c r="D324" s="110" t="s">
        <v>433</v>
      </c>
      <c r="E324" s="102" t="n">
        <v>15871</v>
      </c>
      <c r="F324" s="1" t="s">
        <v>784</v>
      </c>
      <c r="H324" s="145" t="n">
        <v>44643</v>
      </c>
      <c r="I324" s="1" t="n">
        <f aca="false">IF(H324&lt;&gt;"",MONTH(H324),"")</f>
        <v>3</v>
      </c>
      <c r="J324" s="1" t="str">
        <f aca="false">IFERROR(VLOOKUP(D324,'Controle de equipamento'!$J:$V,4,0),"Adicionado")</f>
        <v>Duque de Caxias-RJ</v>
      </c>
    </row>
    <row r="325" customFormat="false" ht="15" hidden="false" customHeight="false" outlineLevel="0" collapsed="false">
      <c r="A325" s="144" t="s">
        <v>782</v>
      </c>
      <c r="B325" s="102" t="s">
        <v>1152</v>
      </c>
      <c r="C325" s="102" t="s">
        <v>81</v>
      </c>
      <c r="D325" s="110" t="n">
        <v>200710001495</v>
      </c>
      <c r="E325" s="102" t="n">
        <v>15872</v>
      </c>
      <c r="F325" s="1" t="s">
        <v>784</v>
      </c>
      <c r="G325" s="1" t="s">
        <v>1153</v>
      </c>
      <c r="H325" s="145" t="n">
        <v>44643</v>
      </c>
      <c r="I325" s="1" t="n">
        <f aca="false">IF(H325&lt;&gt;"",MONTH(H325),"")</f>
        <v>3</v>
      </c>
      <c r="J325" s="1" t="str">
        <f aca="false">IFERROR(VLOOKUP(D325,'Controle de equipamento'!$J:$V,4,0),"Adicionado")</f>
        <v>Duque de Caxias-RJ</v>
      </c>
    </row>
    <row r="326" customFormat="false" ht="15" hidden="false" customHeight="false" outlineLevel="0" collapsed="false">
      <c r="A326" s="144" t="s">
        <v>782</v>
      </c>
      <c r="B326" s="102" t="s">
        <v>1111</v>
      </c>
      <c r="C326" s="102" t="s">
        <v>136</v>
      </c>
      <c r="D326" s="110" t="s">
        <v>434</v>
      </c>
      <c r="E326" s="102" t="n">
        <v>15873</v>
      </c>
      <c r="F326" s="1" t="s">
        <v>784</v>
      </c>
      <c r="H326" s="145" t="n">
        <v>44643</v>
      </c>
      <c r="I326" s="1" t="n">
        <f aca="false">IF(H326&lt;&gt;"",MONTH(H326),"")</f>
        <v>3</v>
      </c>
      <c r="J326" s="1" t="str">
        <f aca="false">IFERROR(VLOOKUP(D326,'Controle de equipamento'!$J:$V,4,0),"Adicionado")</f>
        <v>Duque de Caxias-RJ</v>
      </c>
    </row>
    <row r="327" customFormat="false" ht="15" hidden="false" customHeight="false" outlineLevel="0" collapsed="false">
      <c r="A327" s="144" t="s">
        <v>782</v>
      </c>
      <c r="B327" s="102" t="s">
        <v>1080</v>
      </c>
      <c r="C327" s="102" t="s">
        <v>1145</v>
      </c>
      <c r="D327" s="110" t="n">
        <v>132850002046</v>
      </c>
      <c r="E327" s="102" t="n">
        <v>15874</v>
      </c>
      <c r="F327" s="1" t="s">
        <v>784</v>
      </c>
      <c r="H327" s="145" t="n">
        <v>44643</v>
      </c>
      <c r="I327" s="1" t="n">
        <f aca="false">IF(H327&lt;&gt;"",MONTH(H327),"")</f>
        <v>3</v>
      </c>
      <c r="J327" s="1" t="str">
        <f aca="false">IFERROR(VLOOKUP(D327,'Controle de equipamento'!$J:$V,4,0),"Adicionado")</f>
        <v>Duque de Caxias-RJ</v>
      </c>
    </row>
    <row r="328" customFormat="false" ht="15" hidden="false" customHeight="false" outlineLevel="0" collapsed="false">
      <c r="A328" s="144" t="s">
        <v>782</v>
      </c>
      <c r="B328" s="102" t="s">
        <v>1080</v>
      </c>
      <c r="C328" s="102" t="s">
        <v>1145</v>
      </c>
      <c r="D328" s="110" t="s">
        <v>435</v>
      </c>
      <c r="E328" s="102" t="n">
        <v>15875</v>
      </c>
      <c r="F328" s="1" t="s">
        <v>784</v>
      </c>
      <c r="H328" s="145" t="n">
        <v>44643</v>
      </c>
      <c r="I328" s="1" t="n">
        <f aca="false">IF(H328&lt;&gt;"",MONTH(H328),"")</f>
        <v>3</v>
      </c>
      <c r="J328" s="1" t="str">
        <f aca="false">IFERROR(VLOOKUP(D328,'Controle de equipamento'!$J:$V,4,0),"Adicionado")</f>
        <v>Duque de Caxias-RJ</v>
      </c>
    </row>
    <row r="329" customFormat="false" ht="15" hidden="false" customHeight="false" outlineLevel="0" collapsed="false">
      <c r="A329" s="144" t="s">
        <v>782</v>
      </c>
      <c r="B329" s="102" t="s">
        <v>1151</v>
      </c>
      <c r="C329" s="102" t="s">
        <v>830</v>
      </c>
      <c r="D329" s="110" t="s">
        <v>430</v>
      </c>
      <c r="E329" s="102" t="n">
        <v>15876</v>
      </c>
      <c r="F329" s="1" t="s">
        <v>784</v>
      </c>
      <c r="H329" s="145" t="n">
        <v>44643</v>
      </c>
      <c r="I329" s="1" t="n">
        <f aca="false">IF(H329&lt;&gt;"",MONTH(H329),"")</f>
        <v>3</v>
      </c>
      <c r="J329" s="1" t="str">
        <f aca="false">IFERROR(VLOOKUP(D329,'Controle de equipamento'!$J:$V,4,0),"Adicionado")</f>
        <v>Duque de Caxias-RJ</v>
      </c>
    </row>
    <row r="330" customFormat="false" ht="15" hidden="false" customHeight="false" outlineLevel="0" collapsed="false">
      <c r="A330" s="144" t="s">
        <v>1154</v>
      </c>
      <c r="B330" s="102" t="s">
        <v>1155</v>
      </c>
      <c r="C330" s="102" t="s">
        <v>964</v>
      </c>
      <c r="D330" s="110" t="s">
        <v>457</v>
      </c>
      <c r="E330" s="102" t="n">
        <v>15856</v>
      </c>
      <c r="F330" s="1" t="s">
        <v>784</v>
      </c>
      <c r="H330" s="145" t="n">
        <v>44642</v>
      </c>
      <c r="I330" s="1" t="n">
        <f aca="false">IF(H330&lt;&gt;"",MONTH(H330),"")</f>
        <v>3</v>
      </c>
      <c r="J330" s="1" t="str">
        <f aca="false">IFERROR(VLOOKUP(D330,'Controle de equipamento'!$J:$V,4,0),"Adicionado")</f>
        <v>Itaguaí-RJ</v>
      </c>
    </row>
    <row r="331" customFormat="false" ht="15" hidden="false" customHeight="false" outlineLevel="0" collapsed="false">
      <c r="A331" s="144" t="s">
        <v>782</v>
      </c>
      <c r="B331" s="102" t="s">
        <v>1117</v>
      </c>
      <c r="C331" s="102" t="s">
        <v>830</v>
      </c>
      <c r="D331" s="110" t="s">
        <v>462</v>
      </c>
      <c r="E331" s="102" t="n">
        <v>15857</v>
      </c>
      <c r="F331" s="1" t="s">
        <v>784</v>
      </c>
      <c r="H331" s="145" t="n">
        <v>44642</v>
      </c>
      <c r="I331" s="1" t="n">
        <f aca="false">IF(H331&lt;&gt;"",MONTH(H331),"")</f>
        <v>3</v>
      </c>
      <c r="J331" s="1" t="str">
        <f aca="false">IFERROR(VLOOKUP(D331,'Controle de equipamento'!$J:$V,4,0),"Adicionado")</f>
        <v>Itaguaí-RJ</v>
      </c>
    </row>
    <row r="332" customFormat="false" ht="15" hidden="false" customHeight="false" outlineLevel="0" collapsed="false">
      <c r="A332" s="144" t="s">
        <v>1156</v>
      </c>
      <c r="B332" s="102" t="s">
        <v>983</v>
      </c>
      <c r="C332" s="102" t="s">
        <v>1006</v>
      </c>
      <c r="D332" s="110" t="s">
        <v>464</v>
      </c>
      <c r="E332" s="102" t="n">
        <v>15858</v>
      </c>
      <c r="F332" s="1" t="s">
        <v>784</v>
      </c>
      <c r="G332" s="1" t="s">
        <v>1157</v>
      </c>
      <c r="H332" s="145" t="n">
        <v>44642</v>
      </c>
      <c r="I332" s="1" t="n">
        <f aca="false">IF(H332&lt;&gt;"",MONTH(H332),"")</f>
        <v>3</v>
      </c>
      <c r="J332" s="1" t="str">
        <f aca="false">IFERROR(VLOOKUP(D332,'Controle de equipamento'!$J:$V,4,0),"Adicionado")</f>
        <v>Itaguaí-RJ</v>
      </c>
    </row>
    <row r="333" customFormat="false" ht="15" hidden="false" customHeight="false" outlineLevel="0" collapsed="false">
      <c r="A333" s="144" t="s">
        <v>782</v>
      </c>
      <c r="B333" s="102" t="s">
        <v>983</v>
      </c>
      <c r="C333" s="102" t="s">
        <v>830</v>
      </c>
      <c r="D333" s="110" t="s">
        <v>466</v>
      </c>
      <c r="E333" s="102" t="n">
        <v>15859</v>
      </c>
      <c r="F333" s="1" t="s">
        <v>784</v>
      </c>
      <c r="G333" s="1" t="s">
        <v>1158</v>
      </c>
      <c r="H333" s="145" t="n">
        <v>44642</v>
      </c>
      <c r="I333" s="1" t="n">
        <f aca="false">IF(H333&lt;&gt;"",MONTH(H333),"")</f>
        <v>3</v>
      </c>
      <c r="J333" s="1" t="str">
        <f aca="false">IFERROR(VLOOKUP(D333,'Controle de equipamento'!$J:$V,4,0),"Adicionado")</f>
        <v>Itaguaí-RJ</v>
      </c>
    </row>
    <row r="334" customFormat="false" ht="15" hidden="false" customHeight="false" outlineLevel="0" collapsed="false">
      <c r="A334" s="144" t="s">
        <v>782</v>
      </c>
      <c r="B334" s="102" t="s">
        <v>1079</v>
      </c>
      <c r="C334" s="102" t="s">
        <v>1134</v>
      </c>
      <c r="D334" s="110" t="s">
        <v>461</v>
      </c>
      <c r="E334" s="102" t="n">
        <v>15860</v>
      </c>
      <c r="F334" s="1" t="s">
        <v>784</v>
      </c>
      <c r="G334" s="1" t="s">
        <v>1159</v>
      </c>
      <c r="H334" s="145" t="n">
        <v>44642</v>
      </c>
      <c r="I334" s="1" t="n">
        <f aca="false">IF(H334&lt;&gt;"",MONTH(H334),"")</f>
        <v>3</v>
      </c>
      <c r="J334" s="1" t="str">
        <f aca="false">IFERROR(VLOOKUP(D334,'Controle de equipamento'!$J:$V,4,0),"Adicionado")</f>
        <v>Itaguaí-RJ</v>
      </c>
    </row>
    <row r="335" customFormat="false" ht="15" hidden="false" customHeight="false" outlineLevel="0" collapsed="false">
      <c r="A335" s="144" t="s">
        <v>782</v>
      </c>
      <c r="B335" s="102" t="s">
        <v>1079</v>
      </c>
      <c r="C335" s="102" t="s">
        <v>1145</v>
      </c>
      <c r="D335" s="110" t="s">
        <v>467</v>
      </c>
      <c r="E335" s="102" t="n">
        <v>15861</v>
      </c>
      <c r="F335" s="1" t="s">
        <v>784</v>
      </c>
      <c r="H335" s="145" t="n">
        <v>44642</v>
      </c>
      <c r="I335" s="1" t="n">
        <f aca="false">IF(H335&lt;&gt;"",MONTH(H335),"")</f>
        <v>3</v>
      </c>
      <c r="J335" s="1" t="str">
        <f aca="false">IFERROR(VLOOKUP(D335,'Controle de equipamento'!$J:$V,4,0),"Adicionado")</f>
        <v>Itaguaí-RJ</v>
      </c>
    </row>
    <row r="336" customFormat="false" ht="15" hidden="false" customHeight="false" outlineLevel="0" collapsed="false">
      <c r="A336" s="144" t="s">
        <v>1160</v>
      </c>
      <c r="B336" s="102" t="s">
        <v>820</v>
      </c>
      <c r="C336" s="102" t="s">
        <v>1145</v>
      </c>
      <c r="D336" s="110" t="s">
        <v>463</v>
      </c>
      <c r="E336" s="102" t="n">
        <v>15862</v>
      </c>
      <c r="F336" s="1" t="s">
        <v>784</v>
      </c>
      <c r="G336" s="1" t="s">
        <v>1161</v>
      </c>
      <c r="H336" s="145" t="n">
        <v>44642</v>
      </c>
      <c r="I336" s="1" t="n">
        <f aca="false">IF(H336&lt;&gt;"",MONTH(H336),"")</f>
        <v>3</v>
      </c>
      <c r="J336" s="1" t="str">
        <f aca="false">IFERROR(VLOOKUP(D336,'Controle de equipamento'!$J:$V,4,0),"Adicionado")</f>
        <v>Itaguaí-RJ</v>
      </c>
    </row>
    <row r="337" customFormat="false" ht="15" hidden="false" customHeight="false" outlineLevel="0" collapsed="false">
      <c r="A337" s="144" t="s">
        <v>1162</v>
      </c>
      <c r="B337" s="102" t="s">
        <v>1080</v>
      </c>
      <c r="C337" s="102" t="s">
        <v>1145</v>
      </c>
      <c r="D337" s="110" t="s">
        <v>459</v>
      </c>
      <c r="E337" s="102" t="n">
        <v>15863</v>
      </c>
      <c r="F337" s="1" t="s">
        <v>784</v>
      </c>
      <c r="H337" s="145" t="n">
        <v>44642</v>
      </c>
      <c r="I337" s="1" t="n">
        <f aca="false">IF(H337&lt;&gt;"",MONTH(H337),"")</f>
        <v>3</v>
      </c>
      <c r="J337" s="1" t="str">
        <f aca="false">IFERROR(VLOOKUP(D337,'Controle de equipamento'!$J:$V,4,0),"Adicionado")</f>
        <v>Itaguaí-RJ</v>
      </c>
    </row>
    <row r="338" customFormat="false" ht="15" hidden="false" customHeight="false" outlineLevel="0" collapsed="false">
      <c r="A338" s="144" t="s">
        <v>1163</v>
      </c>
      <c r="B338" s="102" t="s">
        <v>1164</v>
      </c>
      <c r="C338" s="102" t="s">
        <v>136</v>
      </c>
      <c r="D338" s="110" t="s">
        <v>465</v>
      </c>
      <c r="E338" s="102" t="n">
        <v>15864</v>
      </c>
      <c r="F338" s="1" t="s">
        <v>784</v>
      </c>
      <c r="H338" s="145" t="n">
        <v>44642</v>
      </c>
      <c r="I338" s="1" t="n">
        <f aca="false">IF(H338&lt;&gt;"",MONTH(H338),"")</f>
        <v>3</v>
      </c>
      <c r="J338" s="1" t="str">
        <f aca="false">IFERROR(VLOOKUP(D338,'Controle de equipamento'!$J:$V,4,0),"Adicionado")</f>
        <v>Itaguaí-RJ</v>
      </c>
    </row>
    <row r="339" customFormat="false" ht="15" hidden="false" customHeight="false" outlineLevel="0" collapsed="false">
      <c r="A339" s="144" t="s">
        <v>1165</v>
      </c>
      <c r="B339" s="102" t="s">
        <v>1111</v>
      </c>
      <c r="C339" s="102" t="s">
        <v>136</v>
      </c>
      <c r="D339" s="110" t="s">
        <v>460</v>
      </c>
      <c r="E339" s="102" t="n">
        <v>15865</v>
      </c>
      <c r="F339" s="1" t="s">
        <v>784</v>
      </c>
      <c r="G339" s="1" t="s">
        <v>1166</v>
      </c>
      <c r="H339" s="145" t="n">
        <v>44642</v>
      </c>
      <c r="I339" s="1" t="n">
        <f aca="false">IF(H339&lt;&gt;"",MONTH(H339),"")</f>
        <v>3</v>
      </c>
      <c r="J339" s="1" t="str">
        <f aca="false">IFERROR(VLOOKUP(D339,'Controle de equipamento'!$J:$V,4,0),"Adicionado")</f>
        <v>Itaguaí-RJ</v>
      </c>
    </row>
    <row r="340" customFormat="false" ht="15" hidden="false" customHeight="false" outlineLevel="0" collapsed="false">
      <c r="A340" s="144" t="s">
        <v>1167</v>
      </c>
      <c r="B340" s="102" t="s">
        <v>115</v>
      </c>
      <c r="C340" s="102" t="s">
        <v>1168</v>
      </c>
      <c r="D340" s="110" t="s">
        <v>468</v>
      </c>
      <c r="E340" s="102" t="n">
        <v>15866</v>
      </c>
      <c r="F340" s="1" t="s">
        <v>784</v>
      </c>
      <c r="H340" s="145" t="n">
        <v>44642</v>
      </c>
      <c r="I340" s="1" t="n">
        <f aca="false">IF(H340&lt;&gt;"",MONTH(H340),"")</f>
        <v>3</v>
      </c>
      <c r="J340" s="1" t="str">
        <f aca="false">IFERROR(VLOOKUP(D340,'Controle de equipamento'!$J:$V,4,0),"Adicionado")</f>
        <v>Itaguaí-RJ</v>
      </c>
    </row>
    <row r="341" customFormat="false" ht="15" hidden="false" customHeight="false" outlineLevel="0" collapsed="false">
      <c r="A341" s="144" t="s">
        <v>782</v>
      </c>
      <c r="B341" s="102" t="s">
        <v>79</v>
      </c>
      <c r="C341" s="102" t="s">
        <v>81</v>
      </c>
      <c r="D341" s="110" t="s">
        <v>239</v>
      </c>
      <c r="E341" s="102" t="n">
        <v>15948</v>
      </c>
      <c r="F341" s="1" t="s">
        <v>784</v>
      </c>
      <c r="H341" s="145" t="n">
        <v>44645</v>
      </c>
      <c r="I341" s="1" t="n">
        <f aca="false">IF(H341&lt;&gt;"",MONTH(H341),"")</f>
        <v>3</v>
      </c>
      <c r="J341" s="1" t="str">
        <f aca="false">IFERROR(VLOOKUP(D341,'Controle de equipamento'!$J:$V,4,0),"Adicionado")</f>
        <v>Imperatriz -MA</v>
      </c>
    </row>
    <row r="342" customFormat="false" ht="15" hidden="false" customHeight="false" outlineLevel="0" collapsed="false">
      <c r="A342" s="144" t="s">
        <v>782</v>
      </c>
      <c r="B342" s="102" t="s">
        <v>1169</v>
      </c>
      <c r="C342" s="102" t="s">
        <v>81</v>
      </c>
      <c r="D342" s="110" t="s">
        <v>582</v>
      </c>
      <c r="E342" s="102" t="n">
        <v>16104</v>
      </c>
      <c r="F342" s="1" t="s">
        <v>784</v>
      </c>
      <c r="H342" s="145" t="n">
        <v>44657</v>
      </c>
      <c r="I342" s="1" t="n">
        <f aca="false">IF(H342&lt;&gt;"",MONTH(H342),"")</f>
        <v>4</v>
      </c>
      <c r="J342" s="1" t="str">
        <f aca="false">IFERROR(VLOOKUP(D342,'Controle de equipamento'!$J:$V,4,0),"Adicionado")</f>
        <v>Campinas-SP</v>
      </c>
    </row>
    <row r="343" customFormat="false" ht="15" hidden="false" customHeight="false" outlineLevel="0" collapsed="false">
      <c r="A343" s="144" t="s">
        <v>782</v>
      </c>
      <c r="B343" s="102" t="s">
        <v>1170</v>
      </c>
      <c r="C343" s="102" t="s">
        <v>830</v>
      </c>
      <c r="D343" s="110" t="n">
        <v>6271336</v>
      </c>
      <c r="E343" s="102" t="n">
        <v>16240</v>
      </c>
      <c r="F343" s="1" t="s">
        <v>784</v>
      </c>
      <c r="H343" s="145" t="n">
        <v>44678</v>
      </c>
      <c r="I343" s="1" t="n">
        <f aca="false">IF(H343&lt;&gt;"",MONTH(H343),"")</f>
        <v>4</v>
      </c>
      <c r="J343" s="1" t="str">
        <f aca="false">IFERROR(VLOOKUP(D343,'Controle de equipamento'!$J:$V,4,0),"Adicionado")</f>
        <v>Montes Claros-MG</v>
      </c>
    </row>
    <row r="344" customFormat="false" ht="15" hidden="false" customHeight="false" outlineLevel="0" collapsed="false">
      <c r="A344" s="144" t="s">
        <v>1171</v>
      </c>
      <c r="B344" s="102" t="s">
        <v>1172</v>
      </c>
      <c r="C344" s="102" t="s">
        <v>830</v>
      </c>
      <c r="D344" s="110" t="s">
        <v>645</v>
      </c>
      <c r="E344" s="102" t="n">
        <v>16225</v>
      </c>
      <c r="F344" s="1" t="s">
        <v>784</v>
      </c>
      <c r="H344" s="145" t="n">
        <v>44678</v>
      </c>
      <c r="I344" s="1" t="n">
        <f aca="false">IF(H344&lt;&gt;"",MONTH(H344),"")</f>
        <v>4</v>
      </c>
      <c r="J344" s="1" t="str">
        <f aca="false">IFERROR(VLOOKUP(D344,'Controle de equipamento'!$J:$V,4,0),"Adicionado")</f>
        <v>Promissão-SP</v>
      </c>
    </row>
    <row r="345" customFormat="false" ht="15" hidden="false" customHeight="false" outlineLevel="0" collapsed="false">
      <c r="A345" s="144" t="s">
        <v>1173</v>
      </c>
      <c r="B345" s="102" t="s">
        <v>1023</v>
      </c>
      <c r="C345" s="102" t="s">
        <v>81</v>
      </c>
      <c r="D345" s="110" t="s">
        <v>641</v>
      </c>
      <c r="E345" s="102" t="n">
        <v>16226</v>
      </c>
      <c r="F345" s="1" t="s">
        <v>784</v>
      </c>
      <c r="G345" s="1" t="s">
        <v>1174</v>
      </c>
      <c r="H345" s="145" t="n">
        <v>44678</v>
      </c>
      <c r="I345" s="1" t="n">
        <f aca="false">IF(H345&lt;&gt;"",MONTH(H345),"")</f>
        <v>4</v>
      </c>
      <c r="J345" s="1" t="str">
        <f aca="false">IFERROR(VLOOKUP(D345,'Controle de equipamento'!$J:$V,4,0),"Adicionado")</f>
        <v>Promissão-SP</v>
      </c>
    </row>
    <row r="346" customFormat="false" ht="15" hidden="false" customHeight="false" outlineLevel="0" collapsed="false">
      <c r="A346" s="144" t="s">
        <v>1175</v>
      </c>
      <c r="B346" s="102" t="s">
        <v>1111</v>
      </c>
      <c r="C346" s="102" t="s">
        <v>136</v>
      </c>
      <c r="D346" s="110" t="s">
        <v>647</v>
      </c>
      <c r="E346" s="102" t="n">
        <v>16227</v>
      </c>
      <c r="F346" s="1" t="s">
        <v>784</v>
      </c>
      <c r="G346" s="1" t="s">
        <v>1176</v>
      </c>
      <c r="H346" s="145" t="n">
        <v>44678</v>
      </c>
      <c r="I346" s="1" t="n">
        <f aca="false">IF(H346&lt;&gt;"",MONTH(H346),"")</f>
        <v>4</v>
      </c>
      <c r="J346" s="1" t="str">
        <f aca="false">IFERROR(VLOOKUP(D346,'Controle de equipamento'!$J:$V,4,0),"Adicionado")</f>
        <v>Promissão-SP</v>
      </c>
    </row>
    <row r="347" customFormat="false" ht="15" hidden="false" customHeight="false" outlineLevel="0" collapsed="false">
      <c r="A347" s="144" t="s">
        <v>1177</v>
      </c>
      <c r="B347" s="102" t="s">
        <v>988</v>
      </c>
      <c r="C347" s="102" t="s">
        <v>452</v>
      </c>
      <c r="D347" s="110" t="s">
        <v>637</v>
      </c>
      <c r="E347" s="102" t="n">
        <v>16228</v>
      </c>
      <c r="F347" s="1" t="s">
        <v>784</v>
      </c>
      <c r="H347" s="145" t="n">
        <v>44678</v>
      </c>
      <c r="I347" s="1" t="n">
        <f aca="false">IF(H347&lt;&gt;"",MONTH(H347),"")</f>
        <v>4</v>
      </c>
      <c r="J347" s="1" t="str">
        <f aca="false">IFERROR(VLOOKUP(D347,'Controle de equipamento'!$J:$V,4,0),"Adicionado")</f>
        <v>Promissão-SP</v>
      </c>
    </row>
    <row r="348" customFormat="false" ht="15" hidden="false" customHeight="false" outlineLevel="0" collapsed="false">
      <c r="A348" s="144" t="s">
        <v>1178</v>
      </c>
      <c r="B348" s="102" t="s">
        <v>1179</v>
      </c>
      <c r="C348" s="102" t="s">
        <v>87</v>
      </c>
      <c r="D348" s="110" t="s">
        <v>639</v>
      </c>
      <c r="E348" s="102" t="n">
        <v>16229</v>
      </c>
      <c r="F348" s="1" t="s">
        <v>784</v>
      </c>
      <c r="H348" s="145" t="n">
        <v>44678</v>
      </c>
      <c r="I348" s="1" t="n">
        <f aca="false">IF(H348&lt;&gt;"",MONTH(H348),"")</f>
        <v>4</v>
      </c>
      <c r="J348" s="1" t="str">
        <f aca="false">IFERROR(VLOOKUP(D348,'Controle de equipamento'!$J:$V,4,0),"Adicionado")</f>
        <v>Promissão-SP</v>
      </c>
    </row>
    <row r="349" customFormat="false" ht="15" hidden="false" customHeight="false" outlineLevel="0" collapsed="false">
      <c r="A349" s="144" t="s">
        <v>1180</v>
      </c>
      <c r="B349" s="102" t="s">
        <v>1078</v>
      </c>
      <c r="C349" s="102" t="s">
        <v>830</v>
      </c>
      <c r="D349" s="110" t="s">
        <v>640</v>
      </c>
      <c r="E349" s="102" t="n">
        <v>16230</v>
      </c>
      <c r="F349" s="1" t="s">
        <v>784</v>
      </c>
      <c r="H349" s="145" t="n">
        <v>44678</v>
      </c>
      <c r="I349" s="1" t="n">
        <f aca="false">IF(H349&lt;&gt;"",MONTH(H349),"")</f>
        <v>4</v>
      </c>
      <c r="J349" s="1" t="str">
        <f aca="false">IFERROR(VLOOKUP(D349,'Controle de equipamento'!$J:$V,4,0),"Adicionado")</f>
        <v>Promissão-SP</v>
      </c>
    </row>
    <row r="350" customFormat="false" ht="15" hidden="false" customHeight="false" outlineLevel="0" collapsed="false">
      <c r="A350" s="144" t="s">
        <v>1181</v>
      </c>
      <c r="B350" s="102" t="s">
        <v>1023</v>
      </c>
      <c r="C350" s="102" t="s">
        <v>81</v>
      </c>
      <c r="D350" s="110" t="n">
        <v>142380001014</v>
      </c>
      <c r="E350" s="102" t="n">
        <v>16231</v>
      </c>
      <c r="F350" s="1" t="s">
        <v>784</v>
      </c>
      <c r="H350" s="145" t="n">
        <v>44678</v>
      </c>
      <c r="I350" s="1" t="n">
        <f aca="false">IF(H350&lt;&gt;"",MONTH(H350),"")</f>
        <v>4</v>
      </c>
      <c r="J350" s="1" t="str">
        <f aca="false">IFERROR(VLOOKUP(D350,'Controle de equipamento'!$J:$V,4,0),"Adicionado")</f>
        <v>Promissão-SP</v>
      </c>
    </row>
    <row r="351" customFormat="false" ht="15" hidden="false" customHeight="false" outlineLevel="0" collapsed="false">
      <c r="A351" s="144" t="s">
        <v>1182</v>
      </c>
      <c r="B351" s="102" t="s">
        <v>1086</v>
      </c>
      <c r="C351" s="102" t="s">
        <v>87</v>
      </c>
      <c r="D351" s="110" t="s">
        <v>646</v>
      </c>
      <c r="E351" s="102" t="n">
        <v>16232</v>
      </c>
      <c r="F351" s="1" t="s">
        <v>784</v>
      </c>
      <c r="H351" s="145" t="n">
        <v>44678</v>
      </c>
      <c r="I351" s="1" t="n">
        <f aca="false">IF(H351&lt;&gt;"",MONTH(H351),"")</f>
        <v>4</v>
      </c>
      <c r="J351" s="1" t="str">
        <f aca="false">IFERROR(VLOOKUP(D351,'Controle de equipamento'!$J:$V,4,0),"Adicionado")</f>
        <v>Promissão-SP</v>
      </c>
    </row>
    <row r="352" customFormat="false" ht="15" hidden="false" customHeight="false" outlineLevel="0" collapsed="false">
      <c r="A352" s="144" t="s">
        <v>782</v>
      </c>
      <c r="B352" s="102" t="s">
        <v>1111</v>
      </c>
      <c r="C352" s="102" t="s">
        <v>136</v>
      </c>
      <c r="D352" s="110" t="s">
        <v>648</v>
      </c>
      <c r="E352" s="102" t="n">
        <v>16233</v>
      </c>
      <c r="F352" s="1" t="s">
        <v>784</v>
      </c>
      <c r="H352" s="145" t="n">
        <v>44678</v>
      </c>
      <c r="I352" s="1" t="n">
        <f aca="false">IF(H352&lt;&gt;"",MONTH(H352),"")</f>
        <v>4</v>
      </c>
      <c r="J352" s="1" t="str">
        <f aca="false">IFERROR(VLOOKUP(D352,'Controle de equipamento'!$J:$V,4,0),"Adicionado")</f>
        <v>Promissão-SP</v>
      </c>
    </row>
    <row r="353" customFormat="false" ht="15" hidden="false" customHeight="false" outlineLevel="0" collapsed="false">
      <c r="A353" s="144" t="s">
        <v>782</v>
      </c>
      <c r="B353" s="102" t="s">
        <v>1117</v>
      </c>
      <c r="C353" s="102" t="s">
        <v>880</v>
      </c>
      <c r="D353" s="110" t="s">
        <v>633</v>
      </c>
      <c r="E353" s="102" t="n">
        <v>16235</v>
      </c>
      <c r="F353" s="1" t="s">
        <v>784</v>
      </c>
      <c r="H353" s="145" t="n">
        <v>44678</v>
      </c>
      <c r="I353" s="1" t="n">
        <f aca="false">IF(H353&lt;&gt;"",MONTH(H353),"")</f>
        <v>4</v>
      </c>
      <c r="J353" s="1" t="str">
        <f aca="false">IFERROR(VLOOKUP(D353,'Controle de equipamento'!$J:$V,4,0),"Adicionado")</f>
        <v>Presidente Prudente-SP</v>
      </c>
    </row>
    <row r="354" customFormat="false" ht="15" hidden="false" customHeight="false" outlineLevel="0" collapsed="false">
      <c r="A354" s="144" t="s">
        <v>782</v>
      </c>
      <c r="B354" s="102" t="s">
        <v>1111</v>
      </c>
      <c r="C354" s="102" t="s">
        <v>136</v>
      </c>
      <c r="D354" s="110" t="s">
        <v>631</v>
      </c>
      <c r="E354" s="102" t="n">
        <v>16236</v>
      </c>
      <c r="F354" s="1" t="s">
        <v>784</v>
      </c>
      <c r="H354" s="145" t="n">
        <v>44678</v>
      </c>
      <c r="I354" s="1" t="n">
        <f aca="false">IF(H354&lt;&gt;"",MONTH(H354),"")</f>
        <v>4</v>
      </c>
      <c r="J354" s="1" t="str">
        <f aca="false">IFERROR(VLOOKUP(D354,'Controle de equipamento'!$J:$V,4,0),"Adicionado")</f>
        <v>Presidente Prudente-SP</v>
      </c>
    </row>
    <row r="355" customFormat="false" ht="15" hidden="false" customHeight="false" outlineLevel="0" collapsed="false">
      <c r="A355" s="144" t="s">
        <v>1183</v>
      </c>
      <c r="B355" s="102" t="s">
        <v>820</v>
      </c>
      <c r="C355" s="102" t="s">
        <v>81</v>
      </c>
      <c r="D355" s="110" t="s">
        <v>628</v>
      </c>
      <c r="E355" s="102" t="n">
        <v>16237</v>
      </c>
      <c r="F355" s="1" t="s">
        <v>784</v>
      </c>
      <c r="G355" s="1" t="s">
        <v>1184</v>
      </c>
      <c r="H355" s="145" t="n">
        <v>44678</v>
      </c>
      <c r="I355" s="1" t="n">
        <f aca="false">IF(H355&lt;&gt;"",MONTH(H355),"")</f>
        <v>4</v>
      </c>
      <c r="J355" s="1" t="str">
        <f aca="false">IFERROR(VLOOKUP(D355,'Controle de equipamento'!$J:$V,4,0),"Adicionado")</f>
        <v>Presidente Prudente-SP</v>
      </c>
    </row>
    <row r="356" customFormat="false" ht="15" hidden="false" customHeight="false" outlineLevel="0" collapsed="false">
      <c r="A356" s="144" t="s">
        <v>1185</v>
      </c>
      <c r="B356" s="102" t="s">
        <v>1079</v>
      </c>
      <c r="C356" s="102" t="s">
        <v>81</v>
      </c>
      <c r="D356" s="110" t="s">
        <v>649</v>
      </c>
      <c r="E356" s="102" t="n">
        <v>16234</v>
      </c>
      <c r="F356" s="1" t="s">
        <v>784</v>
      </c>
      <c r="H356" s="145" t="n">
        <v>44678</v>
      </c>
      <c r="I356" s="1" t="n">
        <f aca="false">IF(H356&lt;&gt;"",MONTH(H356),"")</f>
        <v>4</v>
      </c>
      <c r="J356" s="1" t="str">
        <f aca="false">IFERROR(VLOOKUP(D356,'Controle de equipamento'!$J:$V,4,0),"Adicionado")</f>
        <v>Promissão-SP</v>
      </c>
    </row>
    <row r="357" customFormat="false" ht="15" hidden="false" customHeight="false" outlineLevel="0" collapsed="false">
      <c r="A357" s="144" t="s">
        <v>1186</v>
      </c>
      <c r="B357" s="102" t="s">
        <v>1187</v>
      </c>
      <c r="C357" s="102" t="s">
        <v>117</v>
      </c>
      <c r="D357" s="110" t="s">
        <v>569</v>
      </c>
      <c r="E357" s="102" t="n">
        <v>16221</v>
      </c>
      <c r="F357" s="1" t="s">
        <v>784</v>
      </c>
      <c r="G357" s="1" t="s">
        <v>1188</v>
      </c>
      <c r="H357" s="145" t="n">
        <v>44678</v>
      </c>
      <c r="I357" s="1" t="n">
        <f aca="false">IF(H357&lt;&gt;"",MONTH(H357),"")</f>
        <v>4</v>
      </c>
      <c r="J357" s="1" t="str">
        <f aca="false">IFERROR(VLOOKUP(D357,'Controle de equipamento'!$J:$V,4,0),"Adicionado")</f>
        <v>Araraquara-SP</v>
      </c>
    </row>
    <row r="358" customFormat="false" ht="15" hidden="false" customHeight="false" outlineLevel="0" collapsed="false">
      <c r="A358" s="144" t="s">
        <v>782</v>
      </c>
      <c r="B358" s="102" t="s">
        <v>1111</v>
      </c>
      <c r="C358" s="102" t="s">
        <v>136</v>
      </c>
      <c r="D358" s="110" t="s">
        <v>571</v>
      </c>
      <c r="E358" s="102" t="n">
        <v>16222</v>
      </c>
      <c r="F358" s="1" t="s">
        <v>784</v>
      </c>
      <c r="H358" s="145" t="n">
        <v>44678</v>
      </c>
      <c r="I358" s="1" t="n">
        <f aca="false">IF(H358&lt;&gt;"",MONTH(H358),"")</f>
        <v>4</v>
      </c>
      <c r="J358" s="1" t="str">
        <f aca="false">IFERROR(VLOOKUP(D358,'Controle de equipamento'!$J:$V,4,0),"Adicionado")</f>
        <v>Araraquara-SP</v>
      </c>
    </row>
    <row r="359" customFormat="false" ht="15" hidden="false" customHeight="false" outlineLevel="0" collapsed="false">
      <c r="A359" s="144" t="s">
        <v>1189</v>
      </c>
      <c r="B359" s="102" t="s">
        <v>891</v>
      </c>
      <c r="C359" s="102" t="s">
        <v>81</v>
      </c>
      <c r="D359" s="110" t="s">
        <v>574</v>
      </c>
      <c r="E359" s="102" t="n">
        <v>16223</v>
      </c>
      <c r="F359" s="1" t="s">
        <v>784</v>
      </c>
      <c r="H359" s="145" t="n">
        <v>44678</v>
      </c>
      <c r="I359" s="1" t="n">
        <f aca="false">IF(H359&lt;&gt;"",MONTH(H359),"")</f>
        <v>4</v>
      </c>
      <c r="J359" s="1" t="str">
        <f aca="false">IFERROR(VLOOKUP(D359,'Controle de equipamento'!$J:$V,4,0),"Adicionado")</f>
        <v>Araraquara-SP</v>
      </c>
    </row>
    <row r="360" customFormat="false" ht="15" hidden="false" customHeight="false" outlineLevel="0" collapsed="false">
      <c r="A360" s="144" t="s">
        <v>782</v>
      </c>
      <c r="B360" s="102" t="s">
        <v>1190</v>
      </c>
      <c r="C360" s="102" t="s">
        <v>288</v>
      </c>
      <c r="D360" s="110" t="s">
        <v>572</v>
      </c>
      <c r="E360" s="102" t="n">
        <v>16224</v>
      </c>
      <c r="F360" s="1" t="s">
        <v>784</v>
      </c>
      <c r="H360" s="145" t="n">
        <v>44678</v>
      </c>
      <c r="I360" s="1" t="n">
        <f aca="false">IF(H360&lt;&gt;"",MONTH(H360),"")</f>
        <v>4</v>
      </c>
      <c r="J360" s="1" t="str">
        <f aca="false">IFERROR(VLOOKUP(D360,'Controle de equipamento'!$J:$V,4,0),"Adicionado")</f>
        <v>Araraquara-SP</v>
      </c>
    </row>
    <row r="385" customFormat="false" ht="15" hidden="false" customHeight="false" outlineLevel="0" collapsed="false">
      <c r="I385" s="1" t="str">
        <f aca="false">IF(H385&lt;&gt;"",MONTH(H385),"")</f>
        <v/>
      </c>
    </row>
    <row r="386" customFormat="false" ht="15" hidden="false" customHeight="false" outlineLevel="0" collapsed="false">
      <c r="I386" s="1" t="str">
        <f aca="false">IF(H386&lt;&gt;"",MONTH(H386),"")</f>
        <v/>
      </c>
    </row>
    <row r="387" customFormat="false" ht="15" hidden="false" customHeight="false" outlineLevel="0" collapsed="false">
      <c r="I387" s="1" t="str">
        <f aca="false">IF(H387&lt;&gt;"",MONTH(H387),"")</f>
        <v/>
      </c>
    </row>
    <row r="388" customFormat="false" ht="15" hidden="false" customHeight="false" outlineLevel="0" collapsed="false">
      <c r="I388" s="1" t="str">
        <f aca="false">IF(H388&lt;&gt;"",MONTH(H388),"")</f>
        <v/>
      </c>
    </row>
    <row r="389" customFormat="false" ht="15" hidden="false" customHeight="false" outlineLevel="0" collapsed="false">
      <c r="I389" s="1" t="str">
        <f aca="false">IF(H389&lt;&gt;"",MONTH(H389),"")</f>
        <v/>
      </c>
    </row>
    <row r="390" customFormat="false" ht="15" hidden="false" customHeight="false" outlineLevel="0" collapsed="false">
      <c r="I390" s="1" t="str">
        <f aca="false">IF(H390&lt;&gt;"",MONTH(H390),"")</f>
        <v/>
      </c>
    </row>
    <row r="391" customFormat="false" ht="15" hidden="false" customHeight="false" outlineLevel="0" collapsed="false">
      <c r="I391" s="1" t="str">
        <f aca="false">IF(H391&lt;&gt;"",MONTH(H391),"")</f>
        <v/>
      </c>
    </row>
    <row r="392" customFormat="false" ht="15" hidden="false" customHeight="false" outlineLevel="0" collapsed="false">
      <c r="I392" s="1" t="str">
        <f aca="false">IF(H392&lt;&gt;"",MONTH(H392),"")</f>
        <v/>
      </c>
    </row>
    <row r="393" customFormat="false" ht="15" hidden="false" customHeight="false" outlineLevel="0" collapsed="false">
      <c r="I393" s="1" t="str">
        <f aca="false">IF(H393&lt;&gt;"",MONTH(H393),"")</f>
        <v/>
      </c>
    </row>
    <row r="394" customFormat="false" ht="15" hidden="false" customHeight="false" outlineLevel="0" collapsed="false">
      <c r="I394" s="1" t="str">
        <f aca="false">IF(H394&lt;&gt;"",MONTH(H394),"")</f>
        <v/>
      </c>
    </row>
    <row r="395" customFormat="false" ht="15" hidden="false" customHeight="false" outlineLevel="0" collapsed="false">
      <c r="I395" s="1" t="str">
        <f aca="false">IF(H395&lt;&gt;"",MONTH(H395),"")</f>
        <v/>
      </c>
    </row>
    <row r="396" customFormat="false" ht="15" hidden="false" customHeight="false" outlineLevel="0" collapsed="false">
      <c r="I396" s="1" t="str">
        <f aca="false">IF(H396&lt;&gt;"",MONTH(H396),"")</f>
        <v/>
      </c>
    </row>
    <row r="397" customFormat="false" ht="15" hidden="false" customHeight="false" outlineLevel="0" collapsed="false">
      <c r="I397" s="1" t="str">
        <f aca="false">IF(H397&lt;&gt;"",MONTH(H397),"")</f>
        <v/>
      </c>
    </row>
    <row r="398" customFormat="false" ht="15" hidden="false" customHeight="false" outlineLevel="0" collapsed="false">
      <c r="I398" s="1" t="str">
        <f aca="false">IF(H398&lt;&gt;"",MONTH(H398),"")</f>
        <v/>
      </c>
    </row>
    <row r="399" customFormat="false" ht="15" hidden="false" customHeight="false" outlineLevel="0" collapsed="false">
      <c r="I399" s="1" t="str">
        <f aca="false">IF(H399&lt;&gt;"",MONTH(H399),"")</f>
        <v/>
      </c>
    </row>
    <row r="400" customFormat="false" ht="15" hidden="false" customHeight="false" outlineLevel="0" collapsed="false">
      <c r="I400" s="1" t="str">
        <f aca="false">IF(H400&lt;&gt;"",MONTH(H400),"")</f>
        <v/>
      </c>
    </row>
    <row r="401" customFormat="false" ht="15" hidden="false" customHeight="false" outlineLevel="0" collapsed="false">
      <c r="I401" s="1" t="str">
        <f aca="false">IF(H401&lt;&gt;"",MONTH(H401),"")</f>
        <v/>
      </c>
    </row>
    <row r="402" customFormat="false" ht="15" hidden="false" customHeight="false" outlineLevel="0" collapsed="false">
      <c r="I402" s="1" t="str">
        <f aca="false">IF(H402&lt;&gt;"",MONTH(H402),"")</f>
        <v/>
      </c>
    </row>
    <row r="403" customFormat="false" ht="15" hidden="false" customHeight="false" outlineLevel="0" collapsed="false">
      <c r="I403" s="1" t="str">
        <f aca="false">IF(H403&lt;&gt;"",MONTH(H403),"")</f>
        <v/>
      </c>
    </row>
    <row r="404" customFormat="false" ht="15" hidden="false" customHeight="false" outlineLevel="0" collapsed="false">
      <c r="I404" s="1" t="str">
        <f aca="false">IF(H404&lt;&gt;"",MONTH(H404),"")</f>
        <v/>
      </c>
    </row>
    <row r="405" customFormat="false" ht="15" hidden="false" customHeight="false" outlineLevel="0" collapsed="false">
      <c r="I405" s="1" t="str">
        <f aca="false">IF(H405&lt;&gt;"",MONTH(H405),"")</f>
        <v/>
      </c>
    </row>
    <row r="406" customFormat="false" ht="15" hidden="false" customHeight="false" outlineLevel="0" collapsed="false">
      <c r="I406" s="1" t="str">
        <f aca="false">IF(H406&lt;&gt;"",MONTH(H406),"")</f>
        <v/>
      </c>
    </row>
    <row r="407" customFormat="false" ht="15" hidden="false" customHeight="false" outlineLevel="0" collapsed="false">
      <c r="I407" s="1" t="str">
        <f aca="false">IF(H407&lt;&gt;"",MONTH(H407),"")</f>
        <v/>
      </c>
    </row>
    <row r="408" customFormat="false" ht="15" hidden="false" customHeight="false" outlineLevel="0" collapsed="false">
      <c r="I408" s="1" t="str">
        <f aca="false">IF(H408&lt;&gt;"",MONTH(H408),"")</f>
        <v/>
      </c>
    </row>
    <row r="409" customFormat="false" ht="15" hidden="false" customHeight="false" outlineLevel="0" collapsed="false">
      <c r="I409" s="1" t="str">
        <f aca="false">IF(H409&lt;&gt;"",MONTH(H409),"")</f>
        <v/>
      </c>
    </row>
    <row r="410" customFormat="false" ht="15" hidden="false" customHeight="false" outlineLevel="0" collapsed="false">
      <c r="I410" s="1" t="str">
        <f aca="false">IF(H410&lt;&gt;"",MONTH(H410),"")</f>
        <v/>
      </c>
    </row>
    <row r="411" customFormat="false" ht="15" hidden="false" customHeight="false" outlineLevel="0" collapsed="false">
      <c r="I411" s="1" t="str">
        <f aca="false">IF(H411&lt;&gt;"",MONTH(H411),"")</f>
        <v/>
      </c>
    </row>
    <row r="412" customFormat="false" ht="15" hidden="false" customHeight="false" outlineLevel="0" collapsed="false">
      <c r="I412" s="1" t="str">
        <f aca="false">IF(H412&lt;&gt;"",MONTH(H412),"")</f>
        <v/>
      </c>
    </row>
    <row r="413" customFormat="false" ht="15" hidden="false" customHeight="false" outlineLevel="0" collapsed="false">
      <c r="I413" s="1" t="str">
        <f aca="false">IF(H413&lt;&gt;"",MONTH(H413),"")</f>
        <v/>
      </c>
    </row>
    <row r="414" customFormat="false" ht="15" hidden="false" customHeight="false" outlineLevel="0" collapsed="false">
      <c r="I414" s="1" t="str">
        <f aca="false">IF(H414&lt;&gt;"",MONTH(H414),"")</f>
        <v/>
      </c>
    </row>
    <row r="415" customFormat="false" ht="15" hidden="false" customHeight="false" outlineLevel="0" collapsed="false">
      <c r="I415" s="1" t="str">
        <f aca="false">IF(H415&lt;&gt;"",MONTH(H415),"")</f>
        <v/>
      </c>
    </row>
    <row r="416" customFormat="false" ht="15" hidden="false" customHeight="false" outlineLevel="0" collapsed="false">
      <c r="I416" s="1" t="str">
        <f aca="false">IF(H416&lt;&gt;"",MONTH(H416),"")</f>
        <v/>
      </c>
    </row>
    <row r="417" customFormat="false" ht="15" hidden="false" customHeight="false" outlineLevel="0" collapsed="false">
      <c r="I417" s="1" t="str">
        <f aca="false">IF(H417&lt;&gt;"",MONTH(H417),"")</f>
        <v/>
      </c>
    </row>
    <row r="418" customFormat="false" ht="15" hidden="false" customHeight="false" outlineLevel="0" collapsed="false">
      <c r="I418" s="1" t="str">
        <f aca="false">IF(H418&lt;&gt;"",MONTH(H418),"")</f>
        <v/>
      </c>
    </row>
    <row r="419" customFormat="false" ht="15" hidden="false" customHeight="false" outlineLevel="0" collapsed="false">
      <c r="I419" s="1" t="str">
        <f aca="false">IF(H419&lt;&gt;"",MONTH(H419),"")</f>
        <v/>
      </c>
    </row>
    <row r="420" customFormat="false" ht="15" hidden="false" customHeight="false" outlineLevel="0" collapsed="false">
      <c r="I420" s="1" t="str">
        <f aca="false">IF(H420&lt;&gt;"",MONTH(H420),"")</f>
        <v/>
      </c>
    </row>
    <row r="421" customFormat="false" ht="15" hidden="false" customHeight="false" outlineLevel="0" collapsed="false">
      <c r="I421" s="1" t="str">
        <f aca="false">IF(H421&lt;&gt;"",MONTH(H421),"")</f>
        <v/>
      </c>
    </row>
    <row r="422" customFormat="false" ht="15" hidden="false" customHeight="false" outlineLevel="0" collapsed="false">
      <c r="I422" s="1" t="str">
        <f aca="false">IF(H422&lt;&gt;"",MONTH(H422),"")</f>
        <v/>
      </c>
    </row>
    <row r="423" customFormat="false" ht="15" hidden="false" customHeight="false" outlineLevel="0" collapsed="false">
      <c r="I423" s="1" t="str">
        <f aca="false">IF(H423&lt;&gt;"",MONTH(H423),"")</f>
        <v/>
      </c>
    </row>
    <row r="424" customFormat="false" ht="15" hidden="false" customHeight="false" outlineLevel="0" collapsed="false">
      <c r="I424" s="1" t="str">
        <f aca="false">IF(H424&lt;&gt;"",MONTH(H424),"")</f>
        <v/>
      </c>
    </row>
    <row r="425" customFormat="false" ht="15" hidden="false" customHeight="false" outlineLevel="0" collapsed="false">
      <c r="I425" s="1" t="str">
        <f aca="false">IF(H425&lt;&gt;"",MONTH(H425),"")</f>
        <v/>
      </c>
    </row>
    <row r="426" customFormat="false" ht="15" hidden="false" customHeight="false" outlineLevel="0" collapsed="false">
      <c r="I426" s="1" t="str">
        <f aca="false">IF(H426&lt;&gt;"",MONTH(H426),"")</f>
        <v/>
      </c>
    </row>
    <row r="427" customFormat="false" ht="15" hidden="false" customHeight="false" outlineLevel="0" collapsed="false">
      <c r="I427" s="1" t="str">
        <f aca="false">IF(H427&lt;&gt;"",MONTH(H427),"")</f>
        <v/>
      </c>
    </row>
    <row r="428" customFormat="false" ht="15" hidden="false" customHeight="false" outlineLevel="0" collapsed="false">
      <c r="I428" s="1" t="str">
        <f aca="false">IF(H428&lt;&gt;"",MONTH(H428),"")</f>
        <v/>
      </c>
    </row>
    <row r="429" customFormat="false" ht="15" hidden="false" customHeight="false" outlineLevel="0" collapsed="false">
      <c r="I429" s="1" t="str">
        <f aca="false">IF(H429&lt;&gt;"",MONTH(H429),"")</f>
        <v/>
      </c>
    </row>
    <row r="430" customFormat="false" ht="15" hidden="false" customHeight="false" outlineLevel="0" collapsed="false">
      <c r="I430" s="1" t="str">
        <f aca="false">IF(H430&lt;&gt;"",MONTH(H430),"")</f>
        <v/>
      </c>
    </row>
    <row r="431" customFormat="false" ht="15" hidden="false" customHeight="false" outlineLevel="0" collapsed="false">
      <c r="I431" s="1" t="str">
        <f aca="false">IF(H431&lt;&gt;"",MONTH(H431),"")</f>
        <v/>
      </c>
    </row>
    <row r="432" customFormat="false" ht="15" hidden="false" customHeight="false" outlineLevel="0" collapsed="false">
      <c r="I432" s="1" t="str">
        <f aca="false">IF(H432&lt;&gt;"",MONTH(H432),"")</f>
        <v/>
      </c>
    </row>
    <row r="433" customFormat="false" ht="15" hidden="false" customHeight="false" outlineLevel="0" collapsed="false">
      <c r="I433" s="1" t="str">
        <f aca="false">IF(H433&lt;&gt;"",MONTH(H433),"")</f>
        <v/>
      </c>
    </row>
    <row r="434" customFormat="false" ht="15" hidden="false" customHeight="false" outlineLevel="0" collapsed="false">
      <c r="I434" s="1" t="str">
        <f aca="false">IF(H434&lt;&gt;"",MONTH(H434),"")</f>
        <v/>
      </c>
    </row>
    <row r="435" customFormat="false" ht="15" hidden="false" customHeight="false" outlineLevel="0" collapsed="false">
      <c r="I435" s="1" t="str">
        <f aca="false">IF(H435&lt;&gt;"",MONTH(H435),"")</f>
        <v/>
      </c>
    </row>
    <row r="436" customFormat="false" ht="15" hidden="false" customHeight="false" outlineLevel="0" collapsed="false">
      <c r="I436" s="1" t="str">
        <f aca="false">IF(H436&lt;&gt;"",MONTH(H436),"")</f>
        <v/>
      </c>
    </row>
    <row r="437" customFormat="false" ht="15" hidden="false" customHeight="false" outlineLevel="0" collapsed="false">
      <c r="I437" s="1" t="str">
        <f aca="false">IF(H437&lt;&gt;"",MONTH(H437),"")</f>
        <v/>
      </c>
    </row>
    <row r="438" customFormat="false" ht="15" hidden="false" customHeight="false" outlineLevel="0" collapsed="false">
      <c r="I438" s="1" t="str">
        <f aca="false">IF(H438&lt;&gt;"",MONTH(H438),"")</f>
        <v/>
      </c>
    </row>
    <row r="439" customFormat="false" ht="15" hidden="false" customHeight="false" outlineLevel="0" collapsed="false">
      <c r="I439" s="1" t="str">
        <f aca="false">IF(H439&lt;&gt;"",MONTH(H439),"")</f>
        <v/>
      </c>
    </row>
    <row r="440" customFormat="false" ht="15" hidden="false" customHeight="false" outlineLevel="0" collapsed="false">
      <c r="I440" s="1" t="str">
        <f aca="false">IF(H440&lt;&gt;"",MONTH(H440),"")</f>
        <v/>
      </c>
    </row>
    <row r="441" customFormat="false" ht="15" hidden="false" customHeight="false" outlineLevel="0" collapsed="false">
      <c r="I441" s="1" t="str">
        <f aca="false">IF(H441&lt;&gt;"",MONTH(H441),"")</f>
        <v/>
      </c>
    </row>
    <row r="442" customFormat="false" ht="15" hidden="false" customHeight="false" outlineLevel="0" collapsed="false">
      <c r="I442" s="1" t="str">
        <f aca="false">IF(H442&lt;&gt;"",MONTH(H442),"")</f>
        <v/>
      </c>
    </row>
    <row r="443" customFormat="false" ht="15" hidden="false" customHeight="false" outlineLevel="0" collapsed="false">
      <c r="I443" s="1" t="str">
        <f aca="false">IF(H443&lt;&gt;"",MONTH(H443),"")</f>
        <v/>
      </c>
    </row>
    <row r="444" customFormat="false" ht="15" hidden="false" customHeight="false" outlineLevel="0" collapsed="false">
      <c r="I444" s="1" t="str">
        <f aca="false">IF(H444&lt;&gt;"",MONTH(H444),"")</f>
        <v/>
      </c>
    </row>
    <row r="445" customFormat="false" ht="15" hidden="false" customHeight="false" outlineLevel="0" collapsed="false">
      <c r="I445" s="1" t="str">
        <f aca="false">IF(H445&lt;&gt;"",MONTH(H445),"")</f>
        <v/>
      </c>
    </row>
    <row r="446" customFormat="false" ht="15" hidden="false" customHeight="false" outlineLevel="0" collapsed="false">
      <c r="I446" s="1" t="str">
        <f aca="false">IF(H446&lt;&gt;"",MONTH(H446),"")</f>
        <v/>
      </c>
    </row>
    <row r="447" customFormat="false" ht="15" hidden="false" customHeight="false" outlineLevel="0" collapsed="false">
      <c r="I447" s="1" t="str">
        <f aca="false">IF(H447&lt;&gt;"",MONTH(H447),"")</f>
        <v/>
      </c>
    </row>
    <row r="448" customFormat="false" ht="15" hidden="false" customHeight="false" outlineLevel="0" collapsed="false">
      <c r="I448" s="1" t="str">
        <f aca="false">IF(H448&lt;&gt;"",MONTH(H448),"")</f>
        <v/>
      </c>
    </row>
    <row r="449" customFormat="false" ht="15" hidden="false" customHeight="false" outlineLevel="0" collapsed="false">
      <c r="I449" s="1" t="str">
        <f aca="false">IF(H449&lt;&gt;"",MONTH(H449),"")</f>
        <v/>
      </c>
    </row>
    <row r="450" customFormat="false" ht="15" hidden="false" customHeight="false" outlineLevel="0" collapsed="false">
      <c r="I450" s="1" t="str">
        <f aca="false">IF(H450&lt;&gt;"",MONTH(H450),"")</f>
        <v/>
      </c>
    </row>
    <row r="451" customFormat="false" ht="15" hidden="false" customHeight="false" outlineLevel="0" collapsed="false">
      <c r="I451" s="1" t="str">
        <f aca="false">IF(H451&lt;&gt;"",MONTH(H451),"")</f>
        <v/>
      </c>
    </row>
    <row r="452" customFormat="false" ht="15" hidden="false" customHeight="false" outlineLevel="0" collapsed="false">
      <c r="I452" s="1" t="str">
        <f aca="false">IF(H452&lt;&gt;"",MONTH(H452),"")</f>
        <v/>
      </c>
    </row>
    <row r="453" customFormat="false" ht="15" hidden="false" customHeight="false" outlineLevel="0" collapsed="false">
      <c r="I453" s="1" t="str">
        <f aca="false">IF(H453&lt;&gt;"",MONTH(H453),"")</f>
        <v/>
      </c>
    </row>
    <row r="454" customFormat="false" ht="15" hidden="false" customHeight="false" outlineLevel="0" collapsed="false">
      <c r="I454" s="1" t="str">
        <f aca="false">IF(H454&lt;&gt;"",MONTH(H454),"")</f>
        <v/>
      </c>
    </row>
    <row r="455" customFormat="false" ht="15" hidden="false" customHeight="false" outlineLevel="0" collapsed="false">
      <c r="I455" s="1" t="str">
        <f aca="false">IF(H455&lt;&gt;"",MONTH(H455),"")</f>
        <v/>
      </c>
    </row>
    <row r="456" customFormat="false" ht="15" hidden="false" customHeight="false" outlineLevel="0" collapsed="false">
      <c r="I456" s="1" t="str">
        <f aca="false">IF(H456&lt;&gt;"",MONTH(H456),"")</f>
        <v/>
      </c>
    </row>
    <row r="457" customFormat="false" ht="15" hidden="false" customHeight="false" outlineLevel="0" collapsed="false">
      <c r="I457" s="1" t="str">
        <f aca="false">IF(H457&lt;&gt;"",MONTH(H457),"")</f>
        <v/>
      </c>
    </row>
    <row r="458" customFormat="false" ht="15" hidden="false" customHeight="false" outlineLevel="0" collapsed="false">
      <c r="I458" s="1" t="str">
        <f aca="false">IF(H458&lt;&gt;"",MONTH(H458),"")</f>
        <v/>
      </c>
    </row>
    <row r="459" customFormat="false" ht="15" hidden="false" customHeight="false" outlineLevel="0" collapsed="false">
      <c r="I459" s="1" t="str">
        <f aca="false">IF(H459&lt;&gt;"",MONTH(H459),"")</f>
        <v/>
      </c>
    </row>
    <row r="460" customFormat="false" ht="15" hidden="false" customHeight="false" outlineLevel="0" collapsed="false">
      <c r="I460" s="1" t="str">
        <f aca="false">IF(H460&lt;&gt;"",MONTH(H460),"")</f>
        <v/>
      </c>
    </row>
    <row r="461" customFormat="false" ht="15" hidden="false" customHeight="false" outlineLevel="0" collapsed="false">
      <c r="I461" s="1" t="str">
        <f aca="false">IF(H461&lt;&gt;"",MONTH(H461),"")</f>
        <v/>
      </c>
    </row>
    <row r="462" customFormat="false" ht="15" hidden="false" customHeight="false" outlineLevel="0" collapsed="false">
      <c r="I462" s="1" t="str">
        <f aca="false">IF(H462&lt;&gt;"",MONTH(H462),"")</f>
        <v/>
      </c>
    </row>
    <row r="463" customFormat="false" ht="15" hidden="false" customHeight="false" outlineLevel="0" collapsed="false">
      <c r="I463" s="1" t="str">
        <f aca="false">IF(H463&lt;&gt;"",MONTH(H463),"")</f>
        <v/>
      </c>
    </row>
    <row r="464" customFormat="false" ht="15" hidden="false" customHeight="false" outlineLevel="0" collapsed="false">
      <c r="I464" s="1" t="str">
        <f aca="false">IF(H464&lt;&gt;"",MONTH(H464),"")</f>
        <v/>
      </c>
    </row>
    <row r="465" customFormat="false" ht="15" hidden="false" customHeight="false" outlineLevel="0" collapsed="false">
      <c r="I465" s="1" t="str">
        <f aca="false">IF(H465&lt;&gt;"",MONTH(H465),"")</f>
        <v/>
      </c>
    </row>
    <row r="466" customFormat="false" ht="15" hidden="false" customHeight="false" outlineLevel="0" collapsed="false">
      <c r="I466" s="1" t="str">
        <f aca="false">IF(H466&lt;&gt;"",MONTH(H466),"")</f>
        <v/>
      </c>
    </row>
    <row r="467" customFormat="false" ht="15" hidden="false" customHeight="false" outlineLevel="0" collapsed="false">
      <c r="I467" s="1" t="str">
        <f aca="false">IF(H467&lt;&gt;"",MONTH(H467),"")</f>
        <v/>
      </c>
    </row>
    <row r="468" customFormat="false" ht="15" hidden="false" customHeight="false" outlineLevel="0" collapsed="false">
      <c r="I468" s="1" t="str">
        <f aca="false">IF(H468&lt;&gt;"",MONTH(H468),"")</f>
        <v/>
      </c>
    </row>
    <row r="469" customFormat="false" ht="15" hidden="false" customHeight="false" outlineLevel="0" collapsed="false">
      <c r="I469" s="1" t="str">
        <f aca="false">IF(H469&lt;&gt;"",MONTH(H469),"")</f>
        <v/>
      </c>
    </row>
    <row r="470" customFormat="false" ht="15" hidden="false" customHeight="false" outlineLevel="0" collapsed="false">
      <c r="I470" s="1" t="str">
        <f aca="false">IF(H470&lt;&gt;"",MONTH(H470),"")</f>
        <v/>
      </c>
    </row>
    <row r="471" customFormat="false" ht="15" hidden="false" customHeight="false" outlineLevel="0" collapsed="false">
      <c r="I471" s="1" t="str">
        <f aca="false">IF(H471&lt;&gt;"",MONTH(H471),"")</f>
        <v/>
      </c>
    </row>
    <row r="472" customFormat="false" ht="15" hidden="false" customHeight="false" outlineLevel="0" collapsed="false">
      <c r="I472" s="1" t="str">
        <f aca="false">IF(H472&lt;&gt;"",MONTH(H472),"")</f>
        <v/>
      </c>
    </row>
    <row r="473" customFormat="false" ht="15" hidden="false" customHeight="false" outlineLevel="0" collapsed="false">
      <c r="I473" s="1" t="str">
        <f aca="false">IF(H473&lt;&gt;"",MONTH(H473),"")</f>
        <v/>
      </c>
    </row>
    <row r="474" customFormat="false" ht="15" hidden="false" customHeight="false" outlineLevel="0" collapsed="false">
      <c r="I474" s="1" t="str">
        <f aca="false">IF(H474&lt;&gt;"",MONTH(H474),"")</f>
        <v/>
      </c>
    </row>
    <row r="475" customFormat="false" ht="15" hidden="false" customHeight="false" outlineLevel="0" collapsed="false">
      <c r="I475" s="1" t="str">
        <f aca="false">IF(H475&lt;&gt;"",MONTH(H475),"")</f>
        <v/>
      </c>
    </row>
    <row r="476" customFormat="false" ht="15" hidden="false" customHeight="false" outlineLevel="0" collapsed="false">
      <c r="I476" s="1" t="str">
        <f aca="false">IF(H476&lt;&gt;"",MONTH(H476),"")</f>
        <v/>
      </c>
    </row>
    <row r="477" customFormat="false" ht="15" hidden="false" customHeight="false" outlineLevel="0" collapsed="false">
      <c r="I477" s="1" t="str">
        <f aca="false">IF(H477&lt;&gt;"",MONTH(H477),"")</f>
        <v/>
      </c>
    </row>
    <row r="478" customFormat="false" ht="15" hidden="false" customHeight="false" outlineLevel="0" collapsed="false">
      <c r="I478" s="1" t="str">
        <f aca="false">IF(H478&lt;&gt;"",MONTH(H478),"")</f>
        <v/>
      </c>
    </row>
    <row r="479" customFormat="false" ht="15" hidden="false" customHeight="false" outlineLevel="0" collapsed="false">
      <c r="I479" s="1" t="str">
        <f aca="false">IF(H479&lt;&gt;"",MONTH(H479),"")</f>
        <v/>
      </c>
    </row>
    <row r="480" customFormat="false" ht="15" hidden="false" customHeight="false" outlineLevel="0" collapsed="false">
      <c r="I480" s="1" t="str">
        <f aca="false">IF(H480&lt;&gt;"",MONTH(H480),"")</f>
        <v/>
      </c>
    </row>
    <row r="481" customFormat="false" ht="15" hidden="false" customHeight="false" outlineLevel="0" collapsed="false">
      <c r="I481" s="1" t="str">
        <f aca="false">IF(H481&lt;&gt;"",MONTH(H481),"")</f>
        <v/>
      </c>
    </row>
    <row r="482" customFormat="false" ht="15" hidden="false" customHeight="false" outlineLevel="0" collapsed="false">
      <c r="A482" s="144" t="s">
        <v>1191</v>
      </c>
      <c r="B482" s="102" t="s">
        <v>860</v>
      </c>
      <c r="C482" s="102" t="s">
        <v>81</v>
      </c>
      <c r="D482" s="110" t="s">
        <v>449</v>
      </c>
      <c r="E482" s="102" t="n">
        <v>12330</v>
      </c>
      <c r="F482" s="1" t="s">
        <v>784</v>
      </c>
      <c r="H482" s="145" t="n">
        <v>44333</v>
      </c>
      <c r="I482" s="1" t="n">
        <f aca="false">IF(H482&lt;&gt;"",MONTH(H482),"")</f>
        <v>5</v>
      </c>
      <c r="J482" s="1" t="str">
        <f aca="false">IFERROR(VLOOKUP(D482,'Controle de equipamento'!$J$2:$V$331,4,0),"Adicionado")</f>
        <v>Duque de Caxias-RJ</v>
      </c>
    </row>
  </sheetData>
  <autoFilter ref="A1:J482"/>
  <conditionalFormatting sqref="B317">
    <cfRule type="colorScale" priority="2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B319">
    <cfRule type="colorScale" priority="3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4"/>
    <col collapsed="false" customWidth="true" hidden="false" outlineLevel="0" max="3" min="3" style="0" width="11.14"/>
    <col collapsed="false" customWidth="true" hidden="false" outlineLevel="0" max="7" min="7" style="0" width="22.28"/>
    <col collapsed="false" customWidth="true" hidden="false" outlineLevel="0" max="8" min="8" style="0" width="28.86"/>
    <col collapsed="false" customWidth="true" hidden="false" outlineLevel="0" max="9" min="9" style="0" width="17.71"/>
    <col collapsed="false" customWidth="true" hidden="false" outlineLevel="0" max="10" min="10" style="0" width="16.43"/>
    <col collapsed="false" customWidth="true" hidden="false" outlineLevel="0" max="14" min="11" style="0" width="3"/>
    <col collapsed="false" customWidth="true" hidden="false" outlineLevel="0" max="15" min="15" style="0" width="10.71"/>
    <col collapsed="false" customWidth="true" hidden="false" outlineLevel="0" max="16" min="16" style="0" width="25.15"/>
    <col collapsed="false" customWidth="true" hidden="false" outlineLevel="0" max="17" min="17" style="0" width="13.85"/>
    <col collapsed="false" customWidth="true" hidden="false" outlineLevel="0" max="18" min="18" style="0" width="17"/>
    <col collapsed="false" customWidth="true" hidden="false" outlineLevel="0" max="19" min="19" style="0" width="18.43"/>
    <col collapsed="false" customWidth="true" hidden="false" outlineLevel="0" max="20" min="20" style="0" width="21.71"/>
    <col collapsed="false" customWidth="true" hidden="false" outlineLevel="0" max="21" min="21" style="0" width="15.57"/>
    <col collapsed="false" customWidth="true" hidden="false" outlineLevel="0" max="22" min="22" style="0" width="18.71"/>
    <col collapsed="false" customWidth="true" hidden="false" outlineLevel="0" max="23" min="23" style="0" width="24.15"/>
    <col collapsed="false" customWidth="true" hidden="false" outlineLevel="0" max="24" min="24" style="0" width="27.29"/>
    <col collapsed="false" customWidth="true" hidden="false" outlineLevel="0" max="25" min="25" style="0" width="10.71"/>
  </cols>
  <sheetData>
    <row r="1" customFormat="false" ht="25.5" hidden="false" customHeight="false" outlineLevel="0" collapsed="false">
      <c r="A1" s="159" t="s">
        <v>52</v>
      </c>
      <c r="B1" s="159" t="s">
        <v>1192</v>
      </c>
      <c r="C1" s="159" t="s">
        <v>1193</v>
      </c>
      <c r="D1" s="159" t="s">
        <v>1194</v>
      </c>
      <c r="G1" s="160"/>
      <c r="H1" s="161" t="s">
        <v>1195</v>
      </c>
      <c r="I1" s="162"/>
      <c r="J1" s="163"/>
    </row>
    <row r="2" customFormat="false" ht="15" hidden="false" customHeight="false" outlineLevel="0" collapsed="false">
      <c r="A2" s="61" t="s">
        <v>568</v>
      </c>
      <c r="B2" s="0" t="n">
        <f aca="false">COUNTIF('Controle de equipamento'!$G$2:$G$2460,Distritos!A2)</f>
        <v>4</v>
      </c>
      <c r="C2" s="0" t="n">
        <f aca="false">COUNTIFS('Controle de equipamento'!$G$2:$G$2460,Distritos!A2,'Controle de equipamento'!$Q$2:$Q$2460,Distritos!$C$1)</f>
        <v>4</v>
      </c>
      <c r="D2" s="0" t="n">
        <f aca="false">COUNTIFS('Controle de equipamento'!$G$2:$G$2460,Distritos!A2,'Controle de equipamento'!$Q$2:$Q$2460,Distritos!$D$1)</f>
        <v>0</v>
      </c>
      <c r="G2" s="164" t="s">
        <v>52</v>
      </c>
      <c r="H2" s="165" t="s">
        <v>1196</v>
      </c>
      <c r="I2" s="166" t="s">
        <v>1197</v>
      </c>
      <c r="J2" s="167" t="s">
        <v>1198</v>
      </c>
    </row>
    <row r="3" customFormat="false" ht="15" hidden="false" customHeight="false" outlineLevel="0" collapsed="false">
      <c r="A3" s="61" t="s">
        <v>589</v>
      </c>
      <c r="B3" s="0" t="n">
        <f aca="false">COUNTIF('Controle de equipamento'!$G$2:$G$2460,Distritos!A3)</f>
        <v>10</v>
      </c>
      <c r="C3" s="0" t="n">
        <f aca="false">COUNTIFS('Controle de equipamento'!$G$2:$G$2460,Distritos!A3,'Controle de equipamento'!$Q$2:$Q$2460,Distritos!$C$1)</f>
        <v>3</v>
      </c>
      <c r="D3" s="0" t="n">
        <f aca="false">COUNTIFS('Controle de equipamento'!$G$2:$G$2460,Distritos!A3,'Controle de equipamento'!$Q$2:$Q$2460,Distritos!$D$1)</f>
        <v>7</v>
      </c>
      <c r="G3" s="168" t="s">
        <v>568</v>
      </c>
      <c r="H3" s="169" t="n">
        <v>4</v>
      </c>
      <c r="I3" s="170" t="n">
        <v>4</v>
      </c>
      <c r="J3" s="171" t="n">
        <v>0</v>
      </c>
    </row>
    <row r="4" customFormat="false" ht="15" hidden="false" customHeight="false" outlineLevel="0" collapsed="false">
      <c r="A4" s="61" t="s">
        <v>496</v>
      </c>
      <c r="B4" s="0" t="n">
        <f aca="false">COUNTIF('Controle de equipamento'!$G$2:$G$2460,Distritos!A4)</f>
        <v>31</v>
      </c>
      <c r="C4" s="0" t="n">
        <f aca="false">COUNTIFS('Controle de equipamento'!$G$2:$G$2460,Distritos!A4,'Controle de equipamento'!$Q$2:$Q$2460,Distritos!$C$1)</f>
        <v>31</v>
      </c>
      <c r="D4" s="0" t="n">
        <f aca="false">COUNTIFS('Controle de equipamento'!$G$2:$G$2460,Distritos!A4,'Controle de equipamento'!$Q$2:$Q$2460,Distritos!$D$1)</f>
        <v>0</v>
      </c>
      <c r="G4" s="172" t="s">
        <v>589</v>
      </c>
      <c r="H4" s="173" t="n">
        <v>10</v>
      </c>
      <c r="I4" s="174" t="n">
        <v>3</v>
      </c>
      <c r="J4" s="175" t="n">
        <v>7</v>
      </c>
    </row>
    <row r="5" customFormat="false" ht="15" hidden="false" customHeight="false" outlineLevel="0" collapsed="false">
      <c r="A5" s="61" t="s">
        <v>547</v>
      </c>
      <c r="B5" s="0" t="n">
        <f aca="false">COUNTIF('Controle de equipamento'!$G$2:$G$2460,Distritos!A5)</f>
        <v>16</v>
      </c>
      <c r="C5" s="0" t="n">
        <f aca="false">COUNTIFS('Controle de equipamento'!$G$2:$G$2460,Distritos!A5,'Controle de equipamento'!$Q$2:$Q$2460,Distritos!$C$1)</f>
        <v>11</v>
      </c>
      <c r="D5" s="0" t="n">
        <f aca="false">COUNTIFS('Controle de equipamento'!$G$2:$G$2460,Distritos!A5,'Controle de equipamento'!$Q$2:$Q$2460,Distritos!$D$1)</f>
        <v>5</v>
      </c>
      <c r="G5" s="172" t="s">
        <v>496</v>
      </c>
      <c r="H5" s="173" t="n">
        <v>31</v>
      </c>
      <c r="I5" s="174" t="n">
        <v>31</v>
      </c>
      <c r="J5" s="175" t="n">
        <v>0</v>
      </c>
    </row>
    <row r="6" customFormat="false" ht="15" hidden="false" customHeight="false" outlineLevel="0" collapsed="false">
      <c r="A6" s="61" t="s">
        <v>73</v>
      </c>
      <c r="B6" s="0" t="n">
        <f aca="false">COUNTIF('Controle de equipamento'!$G$2:$G$2460,Distritos!A6)</f>
        <v>94</v>
      </c>
      <c r="C6" s="0" t="n">
        <f aca="false">COUNTIFS('Controle de equipamento'!$G$2:$G$2460,Distritos!A6,'Controle de equipamento'!$Q$2:$Q$2460,Distritos!$C$1)</f>
        <v>86</v>
      </c>
      <c r="D6" s="0" t="n">
        <f aca="false">COUNTIFS('Controle de equipamento'!$G$2:$G$2460,Distritos!A6,'Controle de equipamento'!$Q$2:$Q$2460,Distritos!$D$1)</f>
        <v>8</v>
      </c>
      <c r="G6" s="172" t="s">
        <v>547</v>
      </c>
      <c r="H6" s="173" t="n">
        <v>16</v>
      </c>
      <c r="I6" s="174" t="n">
        <v>11</v>
      </c>
      <c r="J6" s="175" t="n">
        <v>5</v>
      </c>
    </row>
    <row r="7" customFormat="false" ht="15" hidden="false" customHeight="false" outlineLevel="0" collapsed="false">
      <c r="A7" s="61" t="s">
        <v>346</v>
      </c>
      <c r="B7" s="0" t="n">
        <f aca="false">COUNTIF('Controle de equipamento'!$G$2:$G$2460,Distritos!A7)</f>
        <v>37</v>
      </c>
      <c r="C7" s="0" t="n">
        <f aca="false">COUNTIFS('Controle de equipamento'!$G$2:$G$2460,Distritos!A7,'Controle de equipamento'!$Q$2:$Q$2460,Distritos!$C$1)</f>
        <v>24</v>
      </c>
      <c r="D7" s="0" t="n">
        <f aca="false">COUNTIFS('Controle de equipamento'!$G$2:$G$2460,Distritos!A7,'Controle de equipamento'!$Q$2:$Q$2460,Distritos!$D$1)</f>
        <v>13</v>
      </c>
      <c r="G7" s="172" t="s">
        <v>73</v>
      </c>
      <c r="H7" s="173" t="n">
        <v>94</v>
      </c>
      <c r="I7" s="174" t="n">
        <v>86</v>
      </c>
      <c r="J7" s="175" t="n">
        <v>8</v>
      </c>
    </row>
    <row r="8" customFormat="false" ht="15" hidden="false" customHeight="false" outlineLevel="0" collapsed="false">
      <c r="A8" s="61" t="s">
        <v>97</v>
      </c>
      <c r="B8" s="0" t="n">
        <f aca="false">COUNTIF('Controle de equipamento'!$G$2:$G$2460,Distritos!A8)</f>
        <v>32</v>
      </c>
      <c r="C8" s="0" t="n">
        <f aca="false">COUNTIFS('Controle de equipamento'!$G$2:$G$2460,Distritos!A8,'Controle de equipamento'!$Q$2:$Q$2460,Distritos!$C$1)</f>
        <v>29</v>
      </c>
      <c r="D8" s="0" t="n">
        <f aca="false">COUNTIFS('Controle de equipamento'!$G$2:$G$2460,Distritos!A8,'Controle de equipamento'!$Q$2:$Q$2460,Distritos!$D$1)</f>
        <v>3</v>
      </c>
      <c r="G8" s="172" t="s">
        <v>346</v>
      </c>
      <c r="H8" s="173" t="n">
        <v>37</v>
      </c>
      <c r="I8" s="174" t="n">
        <v>24</v>
      </c>
      <c r="J8" s="175" t="n">
        <v>13</v>
      </c>
    </row>
    <row r="9" customFormat="false" ht="15" hidden="false" customHeight="false" outlineLevel="0" collapsed="false">
      <c r="A9" s="61" t="s">
        <v>326</v>
      </c>
      <c r="B9" s="0" t="n">
        <f aca="false">COUNTIF('Controle de equipamento'!$G$2:$G$2460,Distritos!A9)</f>
        <v>25</v>
      </c>
      <c r="C9" s="0" t="n">
        <f aca="false">COUNTIFS('Controle de equipamento'!$G$2:$G$2460,Distritos!A9,'Controle de equipamento'!$Q$2:$Q$2460,Distritos!$C$1)</f>
        <v>25</v>
      </c>
      <c r="D9" s="0" t="n">
        <f aca="false">COUNTIFS('Controle de equipamento'!$G$2:$G$2460,Distritos!A9,'Controle de equipamento'!$Q$2:$Q$2460,Distritos!$D$1)</f>
        <v>0</v>
      </c>
      <c r="G9" s="172" t="s">
        <v>97</v>
      </c>
      <c r="H9" s="173" t="n">
        <v>32</v>
      </c>
      <c r="I9" s="174" t="n">
        <v>29</v>
      </c>
      <c r="J9" s="175" t="n">
        <v>3</v>
      </c>
    </row>
    <row r="10" customFormat="false" ht="15" hidden="false" customHeight="false" outlineLevel="0" collapsed="false">
      <c r="A10" s="61" t="s">
        <v>720</v>
      </c>
      <c r="B10" s="0" t="n">
        <f aca="false">COUNTIF('Controle de equipamento'!$G$2:$G$2460,Distritos!A10)</f>
        <v>14</v>
      </c>
      <c r="C10" s="0" t="n">
        <f aca="false">COUNTIFS('Controle de equipamento'!$G$2:$G$2460,Distritos!A10,'Controle de equipamento'!$Q$2:$Q$2460,Distritos!$C$1)</f>
        <v>14</v>
      </c>
      <c r="D10" s="0" t="n">
        <f aca="false">COUNTIFS('Controle de equipamento'!$G$2:$G$2460,Distritos!A10,'Controle de equipamento'!$Q$2:$Q$2460,Distritos!$D$1)</f>
        <v>0</v>
      </c>
      <c r="G10" s="172" t="s">
        <v>326</v>
      </c>
      <c r="H10" s="173" t="n">
        <v>25</v>
      </c>
      <c r="I10" s="174" t="n">
        <v>25</v>
      </c>
      <c r="J10" s="175" t="n">
        <v>0</v>
      </c>
    </row>
    <row r="11" customFormat="false" ht="15" hidden="false" customHeight="false" outlineLevel="0" collapsed="false">
      <c r="A11" s="61" t="s">
        <v>1199</v>
      </c>
      <c r="B11" s="0" t="n">
        <f aca="false">COUNTBLANK('Controle de equipamento'!$G$2:$G$308)</f>
        <v>20</v>
      </c>
      <c r="C11" s="0" t="n">
        <f aca="false">COUNTIFS('Controle de equipamento'!$G$2:$G$2460,"",'Controle de equipamento'!$Q$2:$Q$2460,Distritos!$C$1)</f>
        <v>15</v>
      </c>
      <c r="D11" s="0" t="n">
        <f aca="false">COUNTIFS('Controle de equipamento'!$G$2:$G$2460,"",'Controle de equipamento'!$Q$2:$Q$2460,Distritos!$D$1)</f>
        <v>5</v>
      </c>
      <c r="G11" s="172" t="s">
        <v>720</v>
      </c>
      <c r="H11" s="176" t="n">
        <v>14</v>
      </c>
      <c r="I11" s="177" t="n">
        <v>14</v>
      </c>
      <c r="J11" s="178" t="n">
        <v>0</v>
      </c>
    </row>
    <row r="12" customFormat="false" ht="15" hidden="false" customHeight="false" outlineLevel="0" collapsed="false">
      <c r="A12" s="61" t="s">
        <v>16</v>
      </c>
      <c r="B12" s="0" t="n">
        <f aca="false">SUM(B2:B11)</f>
        <v>283</v>
      </c>
      <c r="C12" s="0" t="n">
        <f aca="false">SUM(C2:C10)</f>
        <v>227</v>
      </c>
      <c r="D12" s="0" t="n">
        <f aca="false">SUM(D2:D10)</f>
        <v>36</v>
      </c>
      <c r="G12" s="179" t="s">
        <v>1200</v>
      </c>
      <c r="H12" s="180" t="n">
        <v>263</v>
      </c>
      <c r="I12" s="181" t="n">
        <v>227</v>
      </c>
      <c r="J12" s="182" t="n">
        <v>36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4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pane xSplit="0" ySplit="1" topLeftCell="A15" activePane="bottomLeft" state="frozen"/>
      <selection pane="topLeft" activeCell="F1" activeCellId="0" sqref="F1"/>
      <selection pane="bottomLeft" activeCell="L1" activeCellId="0" sqref="L1"/>
    </sheetView>
  </sheetViews>
  <sheetFormatPr defaultColWidth="8.859375" defaultRowHeight="15" zeroHeight="false" outlineLevelRow="0" outlineLevelCol="0"/>
  <cols>
    <col collapsed="false" customWidth="true" hidden="false" outlineLevel="0" max="1" min="1" style="48" width="12.57"/>
    <col collapsed="false" customWidth="true" hidden="false" outlineLevel="0" max="2" min="2" style="48" width="32.14"/>
    <col collapsed="false" customWidth="true" hidden="false" outlineLevel="0" max="3" min="3" style="48" width="30.86"/>
    <col collapsed="false" customWidth="true" hidden="false" outlineLevel="0" max="4" min="4" style="48" width="14.71"/>
    <col collapsed="false" customWidth="true" hidden="false" outlineLevel="0" max="5" min="5" style="48" width="18.28"/>
    <col collapsed="false" customWidth="true" hidden="false" outlineLevel="0" max="6" min="6" style="48" width="28.42"/>
    <col collapsed="false" customWidth="true" hidden="false" outlineLevel="0" max="7" min="7" style="48" width="22.28"/>
    <col collapsed="false" customWidth="true" hidden="false" outlineLevel="0" max="8" min="8" style="48" width="16.14"/>
    <col collapsed="false" customWidth="true" hidden="false" outlineLevel="0" max="9" min="9" style="48" width="18"/>
    <col collapsed="false" customWidth="true" hidden="false" outlineLevel="0" max="10" min="10" style="48" width="18.85"/>
    <col collapsed="false" customWidth="true" hidden="false" outlineLevel="0" max="11" min="11" style="48" width="16.85"/>
    <col collapsed="false" customWidth="true" hidden="false" outlineLevel="0" max="12" min="12" style="48" width="15.14"/>
    <col collapsed="false" customWidth="true" hidden="false" outlineLevel="0" max="13" min="13" style="48" width="17.43"/>
    <col collapsed="false" customWidth="true" hidden="false" outlineLevel="0" max="14" min="14" style="48" width="34.57"/>
    <col collapsed="false" customWidth="true" hidden="false" outlineLevel="0" max="15" min="15" style="48" width="13.14"/>
    <col collapsed="false" customWidth="true" hidden="false" outlineLevel="0" max="16" min="16" style="48" width="15.57"/>
    <col collapsed="false" customWidth="true" hidden="false" outlineLevel="0" max="17" min="17" style="48" width="11.14"/>
    <col collapsed="false" customWidth="true" hidden="false" outlineLevel="0" max="18" min="18" style="119" width="13.14"/>
    <col collapsed="false" customWidth="true" hidden="false" outlineLevel="0" max="19" min="19" style="48" width="13.14"/>
    <col collapsed="false" customWidth="true" hidden="false" outlineLevel="0" max="20" min="20" style="48" width="108.71"/>
    <col collapsed="false" customWidth="true" hidden="false" outlineLevel="0" max="21" min="21" style="48" width="18.43"/>
    <col collapsed="false" customWidth="true" hidden="false" outlineLevel="0" max="22" min="22" style="48" width="13"/>
    <col collapsed="false" customWidth="true" hidden="false" outlineLevel="0" max="23" min="23" style="48" width="2"/>
    <col collapsed="false" customWidth="true" hidden="false" outlineLevel="0" max="24" min="24" style="48" width="5.57"/>
    <col collapsed="false" customWidth="false" hidden="false" outlineLevel="0" max="1024" min="25" style="48" width="8.85"/>
  </cols>
  <sheetData>
    <row r="1" customFormat="false" ht="25.5" hidden="false" customHeight="false" outlineLevel="0" collapsed="false">
      <c r="A1" s="104" t="s">
        <v>46</v>
      </c>
      <c r="B1" s="104" t="s">
        <v>47</v>
      </c>
      <c r="C1" s="104" t="s">
        <v>48</v>
      </c>
      <c r="D1" s="104" t="s">
        <v>49</v>
      </c>
      <c r="E1" s="104" t="s">
        <v>50</v>
      </c>
      <c r="F1" s="104" t="s">
        <v>51</v>
      </c>
      <c r="G1" s="104" t="s">
        <v>52</v>
      </c>
      <c r="H1" s="105" t="s">
        <v>53</v>
      </c>
      <c r="I1" s="104" t="s">
        <v>54</v>
      </c>
      <c r="J1" s="183" t="s">
        <v>55</v>
      </c>
      <c r="K1" s="104" t="s">
        <v>56</v>
      </c>
      <c r="L1" s="104" t="s">
        <v>57</v>
      </c>
      <c r="M1" s="105" t="s">
        <v>58</v>
      </c>
      <c r="N1" s="105" t="s">
        <v>59</v>
      </c>
      <c r="P1" s="108" t="s">
        <v>61</v>
      </c>
      <c r="Q1" s="108" t="s">
        <v>62</v>
      </c>
      <c r="R1" s="105" t="s">
        <v>63</v>
      </c>
      <c r="S1" s="105" t="s">
        <v>64</v>
      </c>
      <c r="T1" s="105" t="s">
        <v>65</v>
      </c>
      <c r="U1" s="105" t="s">
        <v>66</v>
      </c>
      <c r="V1" s="105" t="s">
        <v>66</v>
      </c>
    </row>
    <row r="2" customFormat="false" ht="15" hidden="false" customHeight="false" outlineLevel="0" collapsed="false">
      <c r="A2" s="48" t="s">
        <v>67</v>
      </c>
      <c r="B2" s="48" t="s">
        <v>1201</v>
      </c>
      <c r="C2" s="184" t="s">
        <v>561</v>
      </c>
      <c r="D2" s="48" t="s">
        <v>593</v>
      </c>
      <c r="E2" s="48" t="s">
        <v>560</v>
      </c>
      <c r="F2" s="184" t="s">
        <v>561</v>
      </c>
      <c r="G2" s="48" t="s">
        <v>589</v>
      </c>
      <c r="H2" s="48" t="s">
        <v>532</v>
      </c>
      <c r="I2" s="48" t="s">
        <v>89</v>
      </c>
      <c r="J2" s="185" t="s">
        <v>1202</v>
      </c>
      <c r="K2" s="48" t="s">
        <v>1134</v>
      </c>
      <c r="L2" s="48" t="s">
        <v>91</v>
      </c>
      <c r="M2" s="48" t="s">
        <v>1203</v>
      </c>
      <c r="N2" s="48" t="s">
        <v>554</v>
      </c>
      <c r="O2" s="186" t="n">
        <v>43978</v>
      </c>
      <c r="P2" s="186" t="n">
        <f aca="false">IFERROR(VLOOKUP(J2,'Obs Tecnicas'!$D$68:$I$379,5,0),O2)</f>
        <v>43978</v>
      </c>
      <c r="Q2" s="125" t="str">
        <f aca="true">IF(O2&lt;&gt;"",IF(O2+365&gt;TODAY(),"Calibrado","Vencido"),"")</f>
        <v>Vencido</v>
      </c>
      <c r="R2" s="119" t="str">
        <f aca="false">IFERROR(VLOOKUP(J2,'Obs Tecnicas'!$D$68:$G$399,2,0),"")</f>
        <v/>
      </c>
      <c r="S2" s="48" t="str">
        <f aca="false">IFERROR(VLOOKUP(J2,'Obs Tecnicas'!$D$68:$G$403,3,0),"Hexis")</f>
        <v>Hexis</v>
      </c>
      <c r="T2" s="48" t="str">
        <f aca="false">IFERROR(VLOOKUP(J2,'Obs Tecnicas'!$D$68:$G$403,4,0),"")</f>
        <v/>
      </c>
      <c r="U2" s="133" t="s">
        <v>1204</v>
      </c>
      <c r="V2" s="48" t="n">
        <f aca="false">IF(P2&lt;&gt;"",MONTH(P2),"")</f>
        <v>5</v>
      </c>
      <c r="X2" s="48" t="e">
        <f aca="false">VLOOKUP(J2,'Controle de equipamento'!$J:$J,1,0)</f>
        <v>#N/A</v>
      </c>
    </row>
    <row r="3" customFormat="false" ht="15" hidden="false" customHeight="false" outlineLevel="0" collapsed="false">
      <c r="A3" s="48" t="s">
        <v>67</v>
      </c>
      <c r="B3" s="48" t="s">
        <v>339</v>
      </c>
      <c r="C3" s="184" t="s">
        <v>340</v>
      </c>
      <c r="D3" s="48" t="s">
        <v>401</v>
      </c>
      <c r="E3" s="48" t="s">
        <v>339</v>
      </c>
      <c r="F3" s="184" t="s">
        <v>340</v>
      </c>
      <c r="G3" s="48" t="s">
        <v>346</v>
      </c>
      <c r="H3" s="48" t="s">
        <v>517</v>
      </c>
      <c r="I3" s="48" t="s">
        <v>79</v>
      </c>
      <c r="J3" s="185" t="s">
        <v>1205</v>
      </c>
      <c r="K3" s="48" t="s">
        <v>1134</v>
      </c>
      <c r="L3" s="48" t="s">
        <v>1206</v>
      </c>
      <c r="M3" s="133" t="s">
        <v>1207</v>
      </c>
      <c r="N3" s="48" t="s">
        <v>78</v>
      </c>
      <c r="O3" s="125" t="n">
        <v>43999</v>
      </c>
      <c r="P3" s="186" t="n">
        <f aca="false">IFERROR(VLOOKUP(J3,'Obs Tecnicas'!$D$68:$I$379,5,0),O3)</f>
        <v>43999</v>
      </c>
      <c r="Q3" s="125" t="str">
        <f aca="true">IF(O3&lt;&gt;"",IF(O3+365&gt;TODAY(),"Calibrado","Vencido"),"")</f>
        <v>Vencido</v>
      </c>
      <c r="R3" s="119" t="str">
        <f aca="false">IFERROR(VLOOKUP(J3,'Obs Tecnicas'!$D$68:$G$399,2,0),"")</f>
        <v/>
      </c>
      <c r="S3" s="48" t="str">
        <f aca="false">IFERROR(VLOOKUP(J3,'Obs Tecnicas'!$D$68:$G$403,3,0),"Hexis")</f>
        <v>Hexis</v>
      </c>
      <c r="T3" s="48" t="str">
        <f aca="false">IFERROR(VLOOKUP(J3,'Obs Tecnicas'!$D$68:$G$403,4,0),"")</f>
        <v/>
      </c>
      <c r="U3" s="133" t="s">
        <v>1204</v>
      </c>
      <c r="V3" s="48" t="n">
        <f aca="false">IF(P3&lt;&gt;"",MONTH(P3),"")</f>
        <v>6</v>
      </c>
      <c r="X3" s="48" t="e">
        <f aca="false">VLOOKUP(J3,'Controle de equipamento'!$J:$J,1,0)</f>
        <v>#N/A</v>
      </c>
    </row>
    <row r="4" customFormat="false" ht="15" hidden="false" customHeight="false" outlineLevel="0" collapsed="false">
      <c r="A4" s="48" t="s">
        <v>67</v>
      </c>
      <c r="B4" s="48" t="s">
        <v>1208</v>
      </c>
      <c r="C4" s="184" t="s">
        <v>558</v>
      </c>
      <c r="E4" s="48" t="s">
        <v>626</v>
      </c>
      <c r="F4" s="184" t="s">
        <v>627</v>
      </c>
      <c r="G4" s="48" t="s">
        <v>326</v>
      </c>
      <c r="H4" s="48" t="s">
        <v>532</v>
      </c>
      <c r="I4" s="48" t="s">
        <v>86</v>
      </c>
      <c r="J4" s="185" t="s">
        <v>1209</v>
      </c>
      <c r="K4" s="48" t="s">
        <v>136</v>
      </c>
      <c r="L4" s="48" t="s">
        <v>137</v>
      </c>
      <c r="M4" s="48" t="s">
        <v>553</v>
      </c>
      <c r="N4" s="48" t="s">
        <v>78</v>
      </c>
      <c r="O4" s="125" t="n">
        <v>43875</v>
      </c>
      <c r="P4" s="186" t="n">
        <f aca="false">IFERROR(VLOOKUP(J4,'Obs Tecnicas'!$D$68:$I$379,5,0),O4)</f>
        <v>43875</v>
      </c>
      <c r="Q4" s="125" t="str">
        <f aca="true">IF(O4&lt;&gt;"",IF(O4+365&gt;TODAY(),"Calibrado","Vencido"),"")</f>
        <v>Vencido</v>
      </c>
      <c r="R4" s="119" t="n">
        <f aca="false">IFERROR(VLOOKUP(J4,'Obs Tecnicas'!$D$68:$G$399,2,0),"")</f>
        <v>13316</v>
      </c>
      <c r="S4" s="48" t="str">
        <f aca="false">IFERROR(VLOOKUP(J4,'Obs Tecnicas'!$D$68:$G$403,3,0),"Hexis")</f>
        <v>Hexis</v>
      </c>
      <c r="T4" s="48" t="n">
        <f aca="false">IFERROR(VLOOKUP(J4,'Obs Tecnicas'!$D$68:$G$403,4,0),"")</f>
        <v>0</v>
      </c>
      <c r="U4" s="133" t="s">
        <v>1204</v>
      </c>
      <c r="V4" s="48" t="n">
        <f aca="false">IF(P4&lt;&gt;"",MONTH(P4),"")</f>
        <v>2</v>
      </c>
      <c r="X4" s="48" t="n">
        <f aca="false">VLOOKUP(J4,'Controle de equipamento'!$J:$J,1,0)</f>
        <v>2902019</v>
      </c>
    </row>
    <row r="5" customFormat="false" ht="15" hidden="false" customHeight="false" outlineLevel="0" collapsed="false">
      <c r="A5" s="48" t="s">
        <v>67</v>
      </c>
      <c r="B5" s="48" t="s">
        <v>715</v>
      </c>
      <c r="C5" s="184" t="s">
        <v>716</v>
      </c>
      <c r="D5" s="48" t="s">
        <v>717</v>
      </c>
      <c r="E5" s="48" t="s">
        <v>718</v>
      </c>
      <c r="F5" s="184" t="s">
        <v>719</v>
      </c>
      <c r="G5" s="48" t="s">
        <v>720</v>
      </c>
      <c r="H5" s="48" t="s">
        <v>532</v>
      </c>
      <c r="I5" s="48" t="s">
        <v>86</v>
      </c>
      <c r="J5" s="185" t="s">
        <v>1210</v>
      </c>
      <c r="K5" s="48" t="s">
        <v>724</v>
      </c>
      <c r="L5" s="48" t="s">
        <v>1211</v>
      </c>
      <c r="M5" s="48" t="s">
        <v>1212</v>
      </c>
      <c r="N5" s="48" t="s">
        <v>554</v>
      </c>
      <c r="O5" s="125" t="n">
        <v>44007</v>
      </c>
      <c r="P5" s="186" t="n">
        <f aca="false">IFERROR(VLOOKUP(J5,'Obs Tecnicas'!$D$68:$I$379,5,0),O5)</f>
        <v>44007</v>
      </c>
      <c r="Q5" s="125" t="str">
        <f aca="true">IF(O5&lt;&gt;"",IF(O5+365&gt;TODAY(),"Calibrado","Vencido"),"")</f>
        <v>Vencido</v>
      </c>
      <c r="R5" s="119" t="str">
        <f aca="false">IFERROR(VLOOKUP(J5,'Obs Tecnicas'!$D$68:$G$399,2,0),"")</f>
        <v/>
      </c>
      <c r="S5" s="48" t="str">
        <f aca="false">IFERROR(VLOOKUP(J5,'Obs Tecnicas'!$D$68:$G$403,3,0),"Hexis")</f>
        <v>Hexis</v>
      </c>
      <c r="T5" s="48" t="str">
        <f aca="false">IFERROR(VLOOKUP(J5,'Obs Tecnicas'!$D$68:$G$403,4,0),"")</f>
        <v/>
      </c>
      <c r="U5" s="133" t="s">
        <v>1204</v>
      </c>
      <c r="V5" s="48" t="n">
        <f aca="false">IF(P5&lt;&gt;"",MONTH(P5),"")</f>
        <v>6</v>
      </c>
      <c r="X5" s="48" t="e">
        <f aca="false">VLOOKUP(J5,'Controle de equipamento'!$J:$J,1,0)</f>
        <v>#N/A</v>
      </c>
    </row>
    <row r="6" customFormat="false" ht="15" hidden="false" customHeight="false" outlineLevel="0" collapsed="false">
      <c r="A6" s="48" t="s">
        <v>67</v>
      </c>
      <c r="B6" s="48" t="s">
        <v>1213</v>
      </c>
      <c r="C6" s="184" t="s">
        <v>1214</v>
      </c>
      <c r="D6" s="119" t="s">
        <v>1215</v>
      </c>
      <c r="E6" s="48" t="s">
        <v>419</v>
      </c>
      <c r="F6" s="184" t="s">
        <v>420</v>
      </c>
      <c r="G6" s="48" t="s">
        <v>346</v>
      </c>
      <c r="H6" s="48" t="s">
        <v>402</v>
      </c>
      <c r="I6" s="48" t="s">
        <v>1216</v>
      </c>
      <c r="J6" s="185" t="s">
        <v>1217</v>
      </c>
      <c r="K6" s="48" t="s">
        <v>534</v>
      </c>
      <c r="L6" s="48" t="s">
        <v>219</v>
      </c>
      <c r="M6" s="48" t="s">
        <v>1218</v>
      </c>
      <c r="N6" s="48" t="s">
        <v>423</v>
      </c>
      <c r="P6" s="186" t="n">
        <f aca="false">IFERROR(VLOOKUP(J6,'Obs Tecnicas'!$D$68:$I$379,5,0),O6)</f>
        <v>0</v>
      </c>
      <c r="Q6" s="125" t="str">
        <f aca="true">IF(O6&lt;&gt;"",IF(O6+365&gt;TODAY(),"Calibrado","Vencido"),"")</f>
        <v/>
      </c>
      <c r="R6" s="119" t="str">
        <f aca="false">IFERROR(VLOOKUP(J6,'Obs Tecnicas'!$D$68:$G$399,2,0),"")</f>
        <v/>
      </c>
      <c r="S6" s="48" t="str">
        <f aca="false">IFERROR(VLOOKUP(J6,'Obs Tecnicas'!$D$68:$G$403,3,0),"Hexis")</f>
        <v>Hexis</v>
      </c>
      <c r="T6" s="48" t="str">
        <f aca="false">IFERROR(VLOOKUP(J6,'Obs Tecnicas'!$D$68:$G$403,4,0),"")</f>
        <v/>
      </c>
      <c r="U6" s="133" t="s">
        <v>1204</v>
      </c>
      <c r="V6" s="48" t="n">
        <f aca="false">IF(P6&lt;&gt;"",MONTH(P6),"")</f>
        <v>12</v>
      </c>
      <c r="X6" s="48" t="e">
        <f aca="false">VLOOKUP(J6,'Controle de equipamento'!$J:$J,1,0)</f>
        <v>#N/A</v>
      </c>
    </row>
    <row r="7" customFormat="false" ht="15" hidden="false" customHeight="false" outlineLevel="0" collapsed="false">
      <c r="A7" s="48" t="s">
        <v>67</v>
      </c>
      <c r="B7" s="48" t="s">
        <v>1219</v>
      </c>
      <c r="C7" s="184" t="s">
        <v>1220</v>
      </c>
      <c r="D7" s="48" t="s">
        <v>663</v>
      </c>
      <c r="E7" s="48" t="s">
        <v>664</v>
      </c>
      <c r="F7" s="184" t="s">
        <v>665</v>
      </c>
      <c r="G7" s="48" t="s">
        <v>547</v>
      </c>
      <c r="H7" s="48" t="s">
        <v>532</v>
      </c>
      <c r="I7" s="48" t="s">
        <v>1216</v>
      </c>
      <c r="J7" s="185" t="s">
        <v>1221</v>
      </c>
      <c r="K7" s="48" t="s">
        <v>534</v>
      </c>
      <c r="L7" s="48" t="s">
        <v>219</v>
      </c>
      <c r="M7" s="48" t="s">
        <v>1222</v>
      </c>
      <c r="N7" s="48" t="s">
        <v>78</v>
      </c>
      <c r="O7" s="125" t="n">
        <v>44068</v>
      </c>
      <c r="P7" s="186" t="n">
        <f aca="false">IFERROR(VLOOKUP(J7,'Obs Tecnicas'!$D$68:$I$379,5,0),O7)</f>
        <v>44068</v>
      </c>
      <c r="Q7" s="125" t="str">
        <f aca="true">IF(O7&lt;&gt;"",IF(O7+365&gt;TODAY(),"Calibrado","Vencido"),"")</f>
        <v>Vencido</v>
      </c>
      <c r="R7" s="119" t="str">
        <f aca="false">IFERROR(VLOOKUP(J7,'Obs Tecnicas'!$D$68:$G$399,2,0),"")</f>
        <v/>
      </c>
      <c r="S7" s="48" t="str">
        <f aca="false">IFERROR(VLOOKUP(J7,'Obs Tecnicas'!$D$68:$G$403,3,0),"Hexis")</f>
        <v>Hexis</v>
      </c>
      <c r="T7" s="48" t="str">
        <f aca="false">IFERROR(VLOOKUP(J7,'Obs Tecnicas'!$D$68:$G$403,4,0),"")</f>
        <v/>
      </c>
      <c r="U7" s="133" t="s">
        <v>1204</v>
      </c>
      <c r="V7" s="48" t="n">
        <f aca="false">IF(P7&lt;&gt;"",MONTH(P7),"")</f>
        <v>8</v>
      </c>
      <c r="X7" s="48" t="e">
        <f aca="false">VLOOKUP(J7,'Controle de equipamento'!$J:$J,1,0)</f>
        <v>#N/A</v>
      </c>
    </row>
    <row r="8" customFormat="false" ht="15" hidden="false" customHeight="false" outlineLevel="0" collapsed="false">
      <c r="A8" s="48" t="s">
        <v>67</v>
      </c>
      <c r="B8" s="48" t="s">
        <v>1219</v>
      </c>
      <c r="C8" s="184" t="s">
        <v>1220</v>
      </c>
      <c r="D8" s="48" t="s">
        <v>663</v>
      </c>
      <c r="E8" s="48" t="s">
        <v>664</v>
      </c>
      <c r="F8" s="184" t="s">
        <v>665</v>
      </c>
      <c r="G8" s="48" t="s">
        <v>547</v>
      </c>
      <c r="H8" s="48" t="s">
        <v>532</v>
      </c>
      <c r="I8" s="48" t="s">
        <v>86</v>
      </c>
      <c r="J8" s="185" t="s">
        <v>1223</v>
      </c>
      <c r="K8" s="48" t="s">
        <v>996</v>
      </c>
      <c r="L8" s="48" t="s">
        <v>121</v>
      </c>
      <c r="M8" s="48" t="s">
        <v>1222</v>
      </c>
      <c r="N8" s="48" t="s">
        <v>667</v>
      </c>
      <c r="O8" s="125" t="n">
        <v>44147</v>
      </c>
      <c r="P8" s="186" t="n">
        <f aca="false">IFERROR(VLOOKUP(J8,'Obs Tecnicas'!$D$68:$I$379,5,0),O8)</f>
        <v>44147</v>
      </c>
      <c r="Q8" s="125" t="str">
        <f aca="true">IF(O8&lt;&gt;"",IF(O8+365&gt;TODAY(),"Calibrado","Vencido"),"")</f>
        <v>Vencido</v>
      </c>
      <c r="R8" s="119" t="str">
        <f aca="false">IFERROR(VLOOKUP(J8,'Obs Tecnicas'!$D$68:$G$399,2,0),"")</f>
        <v/>
      </c>
      <c r="S8" s="48" t="str">
        <f aca="false">IFERROR(VLOOKUP(J8,'Obs Tecnicas'!$D$68:$G$403,3,0),"Hexis")</f>
        <v>Hexis</v>
      </c>
      <c r="T8" s="48" t="str">
        <f aca="false">IFERROR(VLOOKUP(J8,'Obs Tecnicas'!$D$68:$G$403,4,0),"")</f>
        <v/>
      </c>
      <c r="U8" s="133" t="s">
        <v>1204</v>
      </c>
      <c r="V8" s="48" t="n">
        <f aca="false">IF(P8&lt;&gt;"",MONTH(P8),"")</f>
        <v>11</v>
      </c>
      <c r="X8" s="48" t="e">
        <f aca="false">VLOOKUP(J8,'Controle de equipamento'!$J:$J,1,0)</f>
        <v>#N/A</v>
      </c>
    </row>
    <row r="9" s="187" customFormat="true" ht="15" hidden="false" customHeight="false" outlineLevel="0" collapsed="false">
      <c r="A9" s="48" t="s">
        <v>67</v>
      </c>
      <c r="B9" s="48" t="s">
        <v>1219</v>
      </c>
      <c r="C9" s="184" t="s">
        <v>1220</v>
      </c>
      <c r="D9" s="48" t="s">
        <v>663</v>
      </c>
      <c r="E9" s="48" t="s">
        <v>664</v>
      </c>
      <c r="F9" s="184" t="s">
        <v>665</v>
      </c>
      <c r="G9" s="48" t="s">
        <v>547</v>
      </c>
      <c r="H9" s="48" t="s">
        <v>532</v>
      </c>
      <c r="I9" s="48" t="s">
        <v>83</v>
      </c>
      <c r="J9" s="185" t="s">
        <v>1224</v>
      </c>
      <c r="K9" s="48" t="s">
        <v>996</v>
      </c>
      <c r="L9" s="48" t="s">
        <v>156</v>
      </c>
      <c r="M9" s="48" t="s">
        <v>1222</v>
      </c>
      <c r="N9" s="48" t="s">
        <v>667</v>
      </c>
      <c r="O9" s="125" t="n">
        <v>44259</v>
      </c>
      <c r="P9" s="186" t="n">
        <f aca="false">IFERROR(VLOOKUP(J9,'Obs Tecnicas'!$D$68:$I$379,5,0),O9)</f>
        <v>44259</v>
      </c>
      <c r="Q9" s="125" t="str">
        <f aca="true">IF(O9&lt;&gt;"",IF(O9+365&gt;TODAY(),"Calibrado","Vencido"),"")</f>
        <v>Vencido</v>
      </c>
      <c r="R9" s="119" t="str">
        <f aca="false">IFERROR(VLOOKUP(J9,'Obs Tecnicas'!$D$68:$G$399,2,0),"")</f>
        <v/>
      </c>
      <c r="S9" s="48" t="str">
        <f aca="false">IFERROR(VLOOKUP(J9,'Obs Tecnicas'!$D$68:$G$403,3,0),"Hexis")</f>
        <v>Hexis</v>
      </c>
      <c r="T9" s="48" t="str">
        <f aca="false">IFERROR(VLOOKUP(J9,'Obs Tecnicas'!$D$68:$G$403,4,0),"")</f>
        <v/>
      </c>
      <c r="U9" s="133" t="s">
        <v>1204</v>
      </c>
      <c r="V9" s="48" t="n">
        <f aca="false">IF(P9&lt;&gt;"",MONTH(P9),"")</f>
        <v>3</v>
      </c>
      <c r="X9" s="48" t="e">
        <f aca="false">VLOOKUP(J9,'Controle de equipamento'!$J:$J,1,0)</f>
        <v>#N/A</v>
      </c>
    </row>
    <row r="10" customFormat="false" ht="15" hidden="false" customHeight="false" outlineLevel="0" collapsed="false">
      <c r="A10" s="133" t="s">
        <v>67</v>
      </c>
      <c r="B10" s="133" t="s">
        <v>514</v>
      </c>
      <c r="C10" s="184" t="s">
        <v>515</v>
      </c>
      <c r="D10" s="48" t="s">
        <v>516</v>
      </c>
      <c r="E10" s="48" t="s">
        <v>339</v>
      </c>
      <c r="F10" s="184" t="s">
        <v>340</v>
      </c>
      <c r="G10" s="48" t="s">
        <v>346</v>
      </c>
      <c r="H10" s="48" t="s">
        <v>517</v>
      </c>
      <c r="I10" s="133" t="s">
        <v>79</v>
      </c>
      <c r="J10" s="185" t="s">
        <v>1225</v>
      </c>
      <c r="K10" s="48" t="s">
        <v>1134</v>
      </c>
      <c r="L10" s="48" t="s">
        <v>1226</v>
      </c>
      <c r="M10" s="133" t="s">
        <v>1227</v>
      </c>
      <c r="N10" s="133" t="s">
        <v>520</v>
      </c>
      <c r="O10" s="125" t="n">
        <v>44369</v>
      </c>
      <c r="P10" s="186" t="n">
        <f aca="false">IFERROR(VLOOKUP(J10,'Obs Tecnicas'!$D$68:$I$379,5,0),O10)</f>
        <v>44369</v>
      </c>
      <c r="Q10" s="125" t="str">
        <f aca="true">IF(O10&lt;&gt;"",IF(O10+365&gt;TODAY(),"Calibrado","Vencido"),"")</f>
        <v>Vencido</v>
      </c>
      <c r="R10" s="119" t="str">
        <f aca="false">IFERROR(VLOOKUP(J10,'Obs Tecnicas'!$D$68:$G$399,2,0),"")</f>
        <v/>
      </c>
      <c r="S10" s="48" t="str">
        <f aca="false">IFERROR(VLOOKUP(J10,'Obs Tecnicas'!$D$68:$G$403,3,0),"Hexis")</f>
        <v>Hexis</v>
      </c>
      <c r="T10" s="48" t="str">
        <f aca="false">IFERROR(VLOOKUP(J10,'Obs Tecnicas'!$D$68:$G$403,4,0),"")</f>
        <v/>
      </c>
      <c r="U10" s="133" t="s">
        <v>1204</v>
      </c>
      <c r="V10" s="48" t="n">
        <f aca="false">IF(P10&lt;&gt;"",MONTH(P10),"")</f>
        <v>6</v>
      </c>
      <c r="X10" s="48" t="e">
        <f aca="false">VLOOKUP(J10,'Controle de equipamento'!$J:$J,1,0)</f>
        <v>#N/A</v>
      </c>
    </row>
    <row r="11" customFormat="false" ht="15" hidden="false" customHeight="false" outlineLevel="0" collapsed="false">
      <c r="A11" s="48" t="s">
        <v>67</v>
      </c>
      <c r="B11" s="48" t="s">
        <v>514</v>
      </c>
      <c r="C11" s="184" t="s">
        <v>515</v>
      </c>
      <c r="D11" s="48" t="s">
        <v>516</v>
      </c>
      <c r="E11" s="48" t="s">
        <v>339</v>
      </c>
      <c r="F11" s="184" t="s">
        <v>340</v>
      </c>
      <c r="G11" s="48" t="s">
        <v>346</v>
      </c>
      <c r="H11" s="48" t="s">
        <v>517</v>
      </c>
      <c r="I11" s="48" t="s">
        <v>1216</v>
      </c>
      <c r="J11" s="185" t="s">
        <v>1228</v>
      </c>
      <c r="K11" s="48" t="s">
        <v>534</v>
      </c>
      <c r="L11" s="48" t="s">
        <v>219</v>
      </c>
      <c r="M11" s="133" t="s">
        <v>1227</v>
      </c>
      <c r="N11" s="48" t="s">
        <v>520</v>
      </c>
      <c r="O11" s="125" t="n">
        <v>44369</v>
      </c>
      <c r="P11" s="186" t="n">
        <f aca="false">IFERROR(VLOOKUP(J11,'Obs Tecnicas'!$D$68:$I$379,5,0),O11)</f>
        <v>44369</v>
      </c>
      <c r="Q11" s="125" t="str">
        <f aca="true">IF(O11&lt;&gt;"",IF(O11+365&gt;TODAY(),"Calibrado","Vencido"),"")</f>
        <v>Vencido</v>
      </c>
      <c r="R11" s="119" t="str">
        <f aca="false">IFERROR(VLOOKUP(J11,'Obs Tecnicas'!$D$68:$G$399,2,0),"")</f>
        <v/>
      </c>
      <c r="S11" s="48" t="str">
        <f aca="false">IFERROR(VLOOKUP(J11,'Obs Tecnicas'!$D$68:$G$403,3,0),"Hexis")</f>
        <v>Hexis</v>
      </c>
      <c r="T11" s="48" t="str">
        <f aca="false">IFERROR(VLOOKUP(J11,'Obs Tecnicas'!$D$68:$G$403,4,0),"")</f>
        <v/>
      </c>
      <c r="U11" s="133" t="s">
        <v>1204</v>
      </c>
      <c r="V11" s="48" t="n">
        <f aca="false">IF(P11&lt;&gt;"",MONTH(P11),"")</f>
        <v>6</v>
      </c>
      <c r="X11" s="48" t="e">
        <f aca="false">VLOOKUP(J11,'Controle de equipamento'!$J:$J,1,0)</f>
        <v>#N/A</v>
      </c>
    </row>
    <row r="12" s="188" customFormat="true" ht="15" hidden="false" customHeight="false" outlineLevel="0" collapsed="false">
      <c r="A12" s="48" t="s">
        <v>67</v>
      </c>
      <c r="B12" s="48" t="s">
        <v>332</v>
      </c>
      <c r="C12" s="184" t="s">
        <v>333</v>
      </c>
      <c r="D12" s="48" t="s">
        <v>325</v>
      </c>
      <c r="E12" s="48" t="s">
        <v>323</v>
      </c>
      <c r="F12" s="184" t="s">
        <v>324</v>
      </c>
      <c r="G12" s="48" t="s">
        <v>326</v>
      </c>
      <c r="H12" s="48" t="s">
        <v>246</v>
      </c>
      <c r="I12" s="48" t="s">
        <v>101</v>
      </c>
      <c r="J12" s="185" t="s">
        <v>1229</v>
      </c>
      <c r="K12" s="48" t="s">
        <v>1134</v>
      </c>
      <c r="L12" s="48" t="s">
        <v>1230</v>
      </c>
      <c r="M12" s="48" t="s">
        <v>1231</v>
      </c>
      <c r="N12" s="48" t="s">
        <v>329</v>
      </c>
      <c r="O12" s="125" t="n">
        <v>44040</v>
      </c>
      <c r="P12" s="186" t="n">
        <f aca="false">IFERROR(VLOOKUP(J12,'Obs Tecnicas'!$D$68:$I$379,5,0),O12)</f>
        <v>44040</v>
      </c>
      <c r="Q12" s="125" t="str">
        <f aca="true">IF(O12&lt;&gt;"",IF(O12+365&gt;TODAY(),"Calibrado","Vencido"),"")</f>
        <v>Vencido</v>
      </c>
      <c r="R12" s="119" t="str">
        <f aca="false">IFERROR(VLOOKUP(J12,'Obs Tecnicas'!$D$68:$G$399,2,0),"")</f>
        <v/>
      </c>
      <c r="S12" s="48" t="str">
        <f aca="false">IFERROR(VLOOKUP(J12,'Obs Tecnicas'!$D$68:$G$403,3,0),"Hexis")</f>
        <v>Hexis</v>
      </c>
      <c r="T12" s="48" t="str">
        <f aca="false">IFERROR(VLOOKUP(J12,'Obs Tecnicas'!$D$68:$G$403,4,0),"")</f>
        <v/>
      </c>
      <c r="U12" s="133" t="s">
        <v>1204</v>
      </c>
      <c r="V12" s="48" t="n">
        <f aca="false">IF(P12&lt;&gt;"",MONTH(P12),"")</f>
        <v>7</v>
      </c>
      <c r="X12" s="48" t="e">
        <f aca="false">VLOOKUP(J12,'Controle de equipamento'!$J:$J,1,0)</f>
        <v>#N/A</v>
      </c>
    </row>
    <row r="13" customFormat="false" ht="15" hidden="false" customHeight="false" outlineLevel="0" collapsed="false">
      <c r="A13" s="48" t="s">
        <v>67</v>
      </c>
      <c r="B13" s="133" t="s">
        <v>704</v>
      </c>
      <c r="C13" s="184" t="s">
        <v>531</v>
      </c>
      <c r="D13" s="48" t="s">
        <v>705</v>
      </c>
      <c r="E13" s="133" t="s">
        <v>530</v>
      </c>
      <c r="F13" s="184" t="s">
        <v>531</v>
      </c>
      <c r="G13" s="133" t="s">
        <v>97</v>
      </c>
      <c r="H13" s="133" t="s">
        <v>532</v>
      </c>
      <c r="I13" s="133" t="s">
        <v>79</v>
      </c>
      <c r="J13" s="185" t="s">
        <v>1232</v>
      </c>
      <c r="K13" s="133" t="s">
        <v>1134</v>
      </c>
      <c r="L13" s="133" t="s">
        <v>1206</v>
      </c>
      <c r="M13" s="133" t="s">
        <v>1233</v>
      </c>
      <c r="N13" s="133" t="s">
        <v>78</v>
      </c>
      <c r="O13" s="125" t="n">
        <v>43978</v>
      </c>
      <c r="P13" s="186" t="n">
        <f aca="false">IFERROR(VLOOKUP(J13,'Obs Tecnicas'!$D$68:$I$379,5,0),O13)</f>
        <v>43978</v>
      </c>
      <c r="Q13" s="125" t="str">
        <f aca="true">IF(O13&lt;&gt;"",IF(O13+365&gt;TODAY(),"Calibrado","Vencido"),"")</f>
        <v>Vencido</v>
      </c>
      <c r="R13" s="119" t="str">
        <f aca="false">IFERROR(VLOOKUP(J13,'Obs Tecnicas'!$D$68:$G$399,2,0),"")</f>
        <v/>
      </c>
      <c r="S13" s="48" t="str">
        <f aca="false">IFERROR(VLOOKUP(J13,'Obs Tecnicas'!$D$68:$G$403,3,0),"Hexis")</f>
        <v>Hexis</v>
      </c>
      <c r="T13" s="48" t="str">
        <f aca="false">IFERROR(VLOOKUP(J13,'Obs Tecnicas'!$D$68:$G$403,4,0),"")</f>
        <v/>
      </c>
      <c r="U13" s="133" t="s">
        <v>1204</v>
      </c>
      <c r="V13" s="48" t="n">
        <f aca="false">IF(P13&lt;&gt;"",MONTH(P13),"")</f>
        <v>5</v>
      </c>
      <c r="X13" s="48" t="e">
        <f aca="false">VLOOKUP(J13,'Controle de equipamento'!$J:$J,1,0)</f>
        <v>#N/A</v>
      </c>
    </row>
    <row r="14" customFormat="false" ht="15" hidden="false" customHeight="false" outlineLevel="0" collapsed="false">
      <c r="A14" s="48" t="s">
        <v>67</v>
      </c>
      <c r="B14" s="48" t="s">
        <v>704</v>
      </c>
      <c r="C14" s="184" t="s">
        <v>531</v>
      </c>
      <c r="D14" s="48" t="s">
        <v>705</v>
      </c>
      <c r="E14" s="133" t="s">
        <v>530</v>
      </c>
      <c r="F14" s="184" t="s">
        <v>531</v>
      </c>
      <c r="G14" s="48" t="s">
        <v>97</v>
      </c>
      <c r="H14" s="48" t="s">
        <v>532</v>
      </c>
      <c r="I14" s="48" t="s">
        <v>83</v>
      </c>
      <c r="J14" s="185" t="s">
        <v>1234</v>
      </c>
      <c r="K14" s="48" t="s">
        <v>996</v>
      </c>
      <c r="L14" s="48" t="s">
        <v>1235</v>
      </c>
      <c r="M14" s="48" t="s">
        <v>1233</v>
      </c>
      <c r="N14" s="48" t="s">
        <v>78</v>
      </c>
      <c r="O14" s="125" t="n">
        <v>43979</v>
      </c>
      <c r="P14" s="186" t="n">
        <f aca="false">IFERROR(VLOOKUP(J14,'Obs Tecnicas'!$D$68:$I$379,5,0),O14)</f>
        <v>43979</v>
      </c>
      <c r="Q14" s="125" t="str">
        <f aca="true">IF(O14&lt;&gt;"",IF(O14+365&gt;TODAY(),"Calibrado","Vencido"),"")</f>
        <v>Vencido</v>
      </c>
      <c r="R14" s="119" t="n">
        <f aca="false">IFERROR(VLOOKUP(J14,'Obs Tecnicas'!$D$68:$G$399,2,0),"")</f>
        <v>13389</v>
      </c>
      <c r="S14" s="48" t="str">
        <f aca="false">IFERROR(VLOOKUP(J14,'Obs Tecnicas'!$D$68:$G$403,3,0),"Hexis")</f>
        <v>Hexis</v>
      </c>
      <c r="T14" s="48" t="n">
        <f aca="false">IFERROR(VLOOKUP(J14,'Obs Tecnicas'!$D$68:$G$403,4,0),"")</f>
        <v>0</v>
      </c>
      <c r="U14" s="133" t="s">
        <v>1204</v>
      </c>
      <c r="V14" s="48" t="n">
        <f aca="false">IF(P14&lt;&gt;"",MONTH(P14),"")</f>
        <v>5</v>
      </c>
      <c r="X14" s="48" t="n">
        <f aca="false">VLOOKUP(J14,'Controle de equipamento'!$J:$J,1,0)</f>
        <v>48564</v>
      </c>
    </row>
    <row r="15" customFormat="false" ht="15" hidden="false" customHeight="false" outlineLevel="0" collapsed="false">
      <c r="A15" s="48" t="s">
        <v>67</v>
      </c>
      <c r="B15" s="48" t="s">
        <v>481</v>
      </c>
      <c r="C15" s="184" t="s">
        <v>482</v>
      </c>
      <c r="D15" s="48" t="s">
        <v>483</v>
      </c>
      <c r="E15" s="48" t="s">
        <v>484</v>
      </c>
      <c r="F15" s="184" t="s">
        <v>485</v>
      </c>
      <c r="G15" s="48" t="s">
        <v>346</v>
      </c>
      <c r="H15" s="48" t="s">
        <v>477</v>
      </c>
      <c r="I15" s="48" t="s">
        <v>101</v>
      </c>
      <c r="J15" s="185" t="s">
        <v>1236</v>
      </c>
      <c r="K15" s="48" t="s">
        <v>1134</v>
      </c>
      <c r="L15" s="48" t="s">
        <v>1237</v>
      </c>
      <c r="M15" s="48" t="s">
        <v>1238</v>
      </c>
      <c r="N15" s="48" t="s">
        <v>78</v>
      </c>
      <c r="O15" s="125" t="n">
        <v>44035</v>
      </c>
      <c r="P15" s="186" t="n">
        <f aca="false">IFERROR(VLOOKUP(J15,'Obs Tecnicas'!$D$68:$I$379,5,0),O15)</f>
        <v>44035</v>
      </c>
      <c r="Q15" s="125" t="str">
        <f aca="true">IF(O15&lt;&gt;"",IF(O15+365&gt;TODAY(),"Calibrado","Vencido"),"")</f>
        <v>Vencido</v>
      </c>
      <c r="R15" s="119" t="str">
        <f aca="false">IFERROR(VLOOKUP(J15,'Obs Tecnicas'!$D$68:$G$399,2,0),"")</f>
        <v/>
      </c>
      <c r="S15" s="48" t="str">
        <f aca="false">IFERROR(VLOOKUP(J15,'Obs Tecnicas'!$D$68:$G$403,3,0),"Hexis")</f>
        <v>Hexis</v>
      </c>
      <c r="T15" s="48" t="str">
        <f aca="false">IFERROR(VLOOKUP(J15,'Obs Tecnicas'!$D$68:$G$403,4,0),"")</f>
        <v/>
      </c>
      <c r="U15" s="133" t="s">
        <v>1204</v>
      </c>
      <c r="V15" s="48" t="n">
        <f aca="false">IF(P15&lt;&gt;"",MONTH(P15),"")</f>
        <v>7</v>
      </c>
      <c r="X15" s="48" t="e">
        <f aca="false">VLOOKUP(J15,'Controle de equipamento'!$J:$J,1,0)</f>
        <v>#N/A</v>
      </c>
    </row>
    <row r="16" customFormat="false" ht="15" hidden="false" customHeight="false" outlineLevel="0" collapsed="false">
      <c r="A16" s="48" t="s">
        <v>67</v>
      </c>
      <c r="B16" s="48" t="s">
        <v>481</v>
      </c>
      <c r="C16" s="184" t="s">
        <v>482</v>
      </c>
      <c r="D16" s="48" t="s">
        <v>483</v>
      </c>
      <c r="E16" s="48" t="s">
        <v>484</v>
      </c>
      <c r="F16" s="184" t="s">
        <v>485</v>
      </c>
      <c r="G16" s="48" t="s">
        <v>346</v>
      </c>
      <c r="H16" s="48" t="s">
        <v>477</v>
      </c>
      <c r="I16" s="48" t="s">
        <v>1216</v>
      </c>
      <c r="J16" s="185" t="s">
        <v>1239</v>
      </c>
      <c r="K16" s="48" t="s">
        <v>534</v>
      </c>
      <c r="L16" s="48" t="s">
        <v>219</v>
      </c>
      <c r="M16" s="48" t="s">
        <v>1238</v>
      </c>
      <c r="N16" s="48" t="s">
        <v>78</v>
      </c>
      <c r="O16" s="125" t="n">
        <v>44035</v>
      </c>
      <c r="P16" s="186" t="n">
        <f aca="false">IFERROR(VLOOKUP(J16,'Obs Tecnicas'!$D$68:$I$379,5,0),O16)</f>
        <v>44035</v>
      </c>
      <c r="Q16" s="125" t="str">
        <f aca="true">IF(O16&lt;&gt;"",IF(O16+365&gt;TODAY(),"Calibrado","Vencido"),"")</f>
        <v>Vencido</v>
      </c>
      <c r="R16" s="119" t="str">
        <f aca="false">IFERROR(VLOOKUP(J16,'Obs Tecnicas'!$D$68:$G$399,2,0),"")</f>
        <v/>
      </c>
      <c r="S16" s="48" t="str">
        <f aca="false">IFERROR(VLOOKUP(J16,'Obs Tecnicas'!$D$68:$G$403,3,0),"Hexis")</f>
        <v>Hexis</v>
      </c>
      <c r="T16" s="48" t="str">
        <f aca="false">IFERROR(VLOOKUP(J16,'Obs Tecnicas'!$D$68:$G$403,4,0),"")</f>
        <v/>
      </c>
      <c r="U16" s="133" t="s">
        <v>1204</v>
      </c>
      <c r="V16" s="48" t="n">
        <f aca="false">IF(P16&lt;&gt;"",MONTH(P16),"")</f>
        <v>7</v>
      </c>
      <c r="X16" s="48" t="e">
        <f aca="false">VLOOKUP(J16,'Controle de equipamento'!$J:$J,1,0)</f>
        <v>#N/A</v>
      </c>
    </row>
    <row r="17" customFormat="false" ht="15" hidden="false" customHeight="false" outlineLevel="0" collapsed="false">
      <c r="A17" s="48" t="s">
        <v>67</v>
      </c>
      <c r="B17" s="48" t="s">
        <v>481</v>
      </c>
      <c r="C17" s="184" t="s">
        <v>482</v>
      </c>
      <c r="D17" s="48" t="s">
        <v>483</v>
      </c>
      <c r="E17" s="48" t="s">
        <v>484</v>
      </c>
      <c r="F17" s="184" t="s">
        <v>485</v>
      </c>
      <c r="G17" s="48" t="s">
        <v>346</v>
      </c>
      <c r="H17" s="48" t="s">
        <v>477</v>
      </c>
      <c r="I17" s="48" t="s">
        <v>1216</v>
      </c>
      <c r="J17" s="185" t="s">
        <v>1240</v>
      </c>
      <c r="K17" s="48" t="s">
        <v>534</v>
      </c>
      <c r="L17" s="48" t="s">
        <v>219</v>
      </c>
      <c r="M17" s="48" t="s">
        <v>1238</v>
      </c>
      <c r="N17" s="48" t="s">
        <v>78</v>
      </c>
      <c r="O17" s="125" t="n">
        <v>44035</v>
      </c>
      <c r="P17" s="186" t="n">
        <f aca="false">IFERROR(VLOOKUP(J17,'Obs Tecnicas'!$D$68:$I$379,5,0),O17)</f>
        <v>44035</v>
      </c>
      <c r="Q17" s="125" t="str">
        <f aca="true">IF(O17&lt;&gt;"",IF(O17+365&gt;TODAY(),"Calibrado","Vencido"),"")</f>
        <v>Vencido</v>
      </c>
      <c r="R17" s="119" t="str">
        <f aca="false">IFERROR(VLOOKUP(J17,'Obs Tecnicas'!$D$68:$G$399,2,0),"")</f>
        <v/>
      </c>
      <c r="S17" s="48" t="str">
        <f aca="false">IFERROR(VLOOKUP(J17,'Obs Tecnicas'!$D$68:$G$403,3,0),"Hexis")</f>
        <v>Hexis</v>
      </c>
      <c r="T17" s="48" t="str">
        <f aca="false">IFERROR(VLOOKUP(J17,'Obs Tecnicas'!$D$68:$G$403,4,0),"")</f>
        <v/>
      </c>
      <c r="U17" s="133" t="s">
        <v>1204</v>
      </c>
      <c r="V17" s="48" t="n">
        <f aca="false">IF(P17&lt;&gt;"",MONTH(P17),"")</f>
        <v>7</v>
      </c>
      <c r="X17" s="48" t="e">
        <f aca="false">VLOOKUP(J17,'Controle de equipamento'!$J:$J,1,0)</f>
        <v>#N/A</v>
      </c>
    </row>
    <row r="18" s="187" customFormat="true" ht="15" hidden="false" customHeight="false" outlineLevel="0" collapsed="false">
      <c r="A18" s="48" t="s">
        <v>67</v>
      </c>
      <c r="B18" s="48" t="s">
        <v>481</v>
      </c>
      <c r="C18" s="184" t="s">
        <v>482</v>
      </c>
      <c r="D18" s="48" t="s">
        <v>483</v>
      </c>
      <c r="E18" s="48" t="s">
        <v>484</v>
      </c>
      <c r="F18" s="184" t="s">
        <v>485</v>
      </c>
      <c r="G18" s="48" t="s">
        <v>346</v>
      </c>
      <c r="H18" s="48" t="s">
        <v>477</v>
      </c>
      <c r="I18" s="48" t="s">
        <v>79</v>
      </c>
      <c r="J18" s="185" t="s">
        <v>1241</v>
      </c>
      <c r="K18" s="48" t="s">
        <v>1134</v>
      </c>
      <c r="L18" s="48" t="s">
        <v>1226</v>
      </c>
      <c r="M18" s="48" t="s">
        <v>1238</v>
      </c>
      <c r="N18" s="48" t="s">
        <v>78</v>
      </c>
      <c r="O18" s="125" t="n">
        <v>44035</v>
      </c>
      <c r="P18" s="186" t="n">
        <f aca="false">IFERROR(VLOOKUP(J18,'Obs Tecnicas'!$D$68:$I$379,5,0),O18)</f>
        <v>44035</v>
      </c>
      <c r="Q18" s="125" t="str">
        <f aca="true">IF(O18&lt;&gt;"",IF(O18+365&gt;TODAY(),"Calibrado","Vencido"),"")</f>
        <v>Vencido</v>
      </c>
      <c r="R18" s="119" t="str">
        <f aca="false">IFERROR(VLOOKUP(J18,'Obs Tecnicas'!$D$68:$G$399,2,0),"")</f>
        <v/>
      </c>
      <c r="S18" s="48" t="str">
        <f aca="false">IFERROR(VLOOKUP(J18,'Obs Tecnicas'!$D$68:$G$403,3,0),"Hexis")</f>
        <v>Hexis</v>
      </c>
      <c r="T18" s="48" t="str">
        <f aca="false">IFERROR(VLOOKUP(J18,'Obs Tecnicas'!$D$68:$G$403,4,0),"")</f>
        <v/>
      </c>
      <c r="U18" s="133" t="s">
        <v>1204</v>
      </c>
      <c r="V18" s="48" t="n">
        <f aca="false">IF(P18&lt;&gt;"",MONTH(P18),"")</f>
        <v>7</v>
      </c>
      <c r="X18" s="48" t="e">
        <f aca="false">VLOOKUP(J18,'Controle de equipamento'!$J:$J,1,0)</f>
        <v>#N/A</v>
      </c>
    </row>
    <row r="19" s="187" customFormat="true" ht="15" hidden="false" customHeight="false" outlineLevel="0" collapsed="false">
      <c r="A19" s="48" t="s">
        <v>67</v>
      </c>
      <c r="B19" s="48" t="s">
        <v>481</v>
      </c>
      <c r="C19" s="184" t="s">
        <v>482</v>
      </c>
      <c r="D19" s="48" t="s">
        <v>483</v>
      </c>
      <c r="E19" s="48" t="s">
        <v>484</v>
      </c>
      <c r="F19" s="184" t="s">
        <v>485</v>
      </c>
      <c r="G19" s="48" t="s">
        <v>346</v>
      </c>
      <c r="H19" s="48" t="s">
        <v>477</v>
      </c>
      <c r="I19" s="48" t="s">
        <v>79</v>
      </c>
      <c r="J19" s="185" t="s">
        <v>1242</v>
      </c>
      <c r="K19" s="48" t="s">
        <v>1134</v>
      </c>
      <c r="L19" s="48" t="s">
        <v>1226</v>
      </c>
      <c r="M19" s="48" t="s">
        <v>1238</v>
      </c>
      <c r="N19" s="48" t="s">
        <v>78</v>
      </c>
      <c r="O19" s="125" t="n">
        <v>44035</v>
      </c>
      <c r="P19" s="186" t="n">
        <f aca="false">IFERROR(VLOOKUP(J19,'Obs Tecnicas'!$D$68:$I$379,5,0),O19)</f>
        <v>44035</v>
      </c>
      <c r="Q19" s="125" t="str">
        <f aca="true">IF(O19&lt;&gt;"",IF(O19+365&gt;TODAY(),"Calibrado","Vencido"),"")</f>
        <v>Vencido</v>
      </c>
      <c r="R19" s="119" t="str">
        <f aca="false">IFERROR(VLOOKUP(J19,'Obs Tecnicas'!$D$68:$G$399,2,0),"")</f>
        <v/>
      </c>
      <c r="S19" s="48" t="str">
        <f aca="false">IFERROR(VLOOKUP(J19,'Obs Tecnicas'!$D$68:$G$403,3,0),"Hexis")</f>
        <v>Hexis</v>
      </c>
      <c r="T19" s="48" t="str">
        <f aca="false">IFERROR(VLOOKUP(J19,'Obs Tecnicas'!$D$68:$G$403,4,0),"")</f>
        <v/>
      </c>
      <c r="U19" s="133" t="s">
        <v>1204</v>
      </c>
      <c r="V19" s="48" t="n">
        <f aca="false">IF(P19&lt;&gt;"",MONTH(P19),"")</f>
        <v>7</v>
      </c>
      <c r="X19" s="48" t="e">
        <f aca="false">VLOOKUP(J19,'Controle de equipamento'!$J:$J,1,0)</f>
        <v>#N/A</v>
      </c>
    </row>
    <row r="20" customFormat="false" ht="15" hidden="false" customHeight="false" outlineLevel="0" collapsed="false">
      <c r="A20" s="48" t="s">
        <v>67</v>
      </c>
      <c r="B20" s="48" t="s">
        <v>481</v>
      </c>
      <c r="C20" s="184" t="s">
        <v>482</v>
      </c>
      <c r="D20" s="48" t="s">
        <v>483</v>
      </c>
      <c r="E20" s="48" t="s">
        <v>484</v>
      </c>
      <c r="F20" s="184" t="s">
        <v>485</v>
      </c>
      <c r="G20" s="48" t="s">
        <v>346</v>
      </c>
      <c r="H20" s="48" t="s">
        <v>477</v>
      </c>
      <c r="I20" s="48" t="s">
        <v>86</v>
      </c>
      <c r="J20" s="185" t="s">
        <v>1243</v>
      </c>
      <c r="K20" s="48" t="s">
        <v>136</v>
      </c>
      <c r="L20" s="48" t="s">
        <v>137</v>
      </c>
      <c r="M20" s="48" t="s">
        <v>1238</v>
      </c>
      <c r="N20" s="48" t="s">
        <v>78</v>
      </c>
      <c r="O20" s="125" t="n">
        <v>44035</v>
      </c>
      <c r="P20" s="186" t="n">
        <f aca="false">IFERROR(VLOOKUP(J20,'Obs Tecnicas'!$D$68:$I$379,5,0),O20)</f>
        <v>44035</v>
      </c>
      <c r="Q20" s="125" t="str">
        <f aca="true">IF(O20&lt;&gt;"",IF(O20+365&gt;TODAY(),"Calibrado","Vencido"),"")</f>
        <v>Vencido</v>
      </c>
      <c r="R20" s="119" t="str">
        <f aca="false">IFERROR(VLOOKUP(J20,'Obs Tecnicas'!$D$68:$G$399,2,0),"")</f>
        <v/>
      </c>
      <c r="S20" s="48" t="str">
        <f aca="false">IFERROR(VLOOKUP(J20,'Obs Tecnicas'!$D$68:$G$403,3,0),"Hexis")</f>
        <v>Hexis</v>
      </c>
      <c r="T20" s="48" t="str">
        <f aca="false">IFERROR(VLOOKUP(J20,'Obs Tecnicas'!$D$68:$G$403,4,0),"")</f>
        <v/>
      </c>
      <c r="U20" s="133" t="s">
        <v>1204</v>
      </c>
      <c r="V20" s="48" t="n">
        <f aca="false">IF(P20&lt;&gt;"",MONTH(P20),"")</f>
        <v>7</v>
      </c>
      <c r="X20" s="48" t="e">
        <f aca="false">VLOOKUP(J20,'Controle de equipamento'!$J:$J,1,0)</f>
        <v>#N/A</v>
      </c>
    </row>
    <row r="21" customFormat="false" ht="15" hidden="false" customHeight="false" outlineLevel="0" collapsed="false">
      <c r="A21" s="48" t="s">
        <v>67</v>
      </c>
      <c r="B21" s="48" t="s">
        <v>493</v>
      </c>
      <c r="C21" s="184" t="s">
        <v>494</v>
      </c>
      <c r="D21" s="48" t="s">
        <v>495</v>
      </c>
      <c r="E21" s="48" t="s">
        <v>493</v>
      </c>
      <c r="F21" s="184" t="s">
        <v>494</v>
      </c>
      <c r="G21" s="48" t="s">
        <v>496</v>
      </c>
      <c r="H21" s="48" t="s">
        <v>477</v>
      </c>
      <c r="I21" s="48" t="s">
        <v>101</v>
      </c>
      <c r="J21" s="185" t="s">
        <v>1244</v>
      </c>
      <c r="K21" s="48" t="s">
        <v>1134</v>
      </c>
      <c r="L21" s="48" t="s">
        <v>1237</v>
      </c>
      <c r="M21" s="48" t="s">
        <v>497</v>
      </c>
      <c r="N21" s="48" t="s">
        <v>234</v>
      </c>
      <c r="O21" s="186" t="n">
        <v>44055</v>
      </c>
      <c r="P21" s="186" t="n">
        <f aca="false">IFERROR(VLOOKUP(J21,'Obs Tecnicas'!$D$68:$I$379,5,0),O21)</f>
        <v>44055</v>
      </c>
      <c r="Q21" s="125" t="str">
        <f aca="true">IF(O21&lt;&gt;"",IF(O21+365&gt;TODAY(),"Calibrado","Vencido"),"")</f>
        <v>Vencido</v>
      </c>
      <c r="R21" s="119" t="str">
        <f aca="false">IFERROR(VLOOKUP(J21,'Obs Tecnicas'!$D$68:$G$399,2,0),"")</f>
        <v/>
      </c>
      <c r="S21" s="48" t="str">
        <f aca="false">IFERROR(VLOOKUP(J21,'Obs Tecnicas'!$D$68:$G$403,3,0),"Hexis")</f>
        <v>Hexis</v>
      </c>
      <c r="T21" s="48" t="str">
        <f aca="false">IFERROR(VLOOKUP(J21,'Obs Tecnicas'!$D$68:$G$403,4,0),"")</f>
        <v/>
      </c>
      <c r="U21" s="133" t="s">
        <v>1204</v>
      </c>
      <c r="V21" s="48" t="n">
        <f aca="false">IF(P21&lt;&gt;"",MONTH(P21),"")</f>
        <v>8</v>
      </c>
      <c r="X21" s="48" t="e">
        <f aca="false">VLOOKUP(J21,'Controle de equipamento'!$J:$J,1,0)</f>
        <v>#N/A</v>
      </c>
    </row>
    <row r="22" customFormat="false" ht="15" hidden="false" customHeight="false" outlineLevel="0" collapsed="false">
      <c r="A22" s="48" t="s">
        <v>67</v>
      </c>
      <c r="B22" s="48" t="s">
        <v>493</v>
      </c>
      <c r="C22" s="184" t="s">
        <v>494</v>
      </c>
      <c r="D22" s="48" t="s">
        <v>495</v>
      </c>
      <c r="E22" s="48" t="s">
        <v>493</v>
      </c>
      <c r="F22" s="184" t="s">
        <v>494</v>
      </c>
      <c r="G22" s="48" t="s">
        <v>496</v>
      </c>
      <c r="H22" s="48" t="s">
        <v>477</v>
      </c>
      <c r="I22" s="48" t="s">
        <v>83</v>
      </c>
      <c r="J22" s="185" t="s">
        <v>1245</v>
      </c>
      <c r="K22" s="48" t="s">
        <v>534</v>
      </c>
      <c r="L22" s="133" t="s">
        <v>85</v>
      </c>
      <c r="M22" s="48" t="s">
        <v>497</v>
      </c>
      <c r="N22" s="48" t="s">
        <v>234</v>
      </c>
      <c r="O22" s="125" t="n">
        <v>44056</v>
      </c>
      <c r="P22" s="186" t="n">
        <f aca="false">IFERROR(VLOOKUP(J22,'Obs Tecnicas'!$D$68:$I$379,5,0),O22)</f>
        <v>44056</v>
      </c>
      <c r="Q22" s="125" t="str">
        <f aca="true">IF(O22&lt;&gt;"",IF(O22+365&gt;TODAY(),"Calibrado","Vencido"),"")</f>
        <v>Vencido</v>
      </c>
      <c r="R22" s="119" t="n">
        <f aca="false">IFERROR(VLOOKUP(J22,'Obs Tecnicas'!$D$68:$G$399,2,0),"")</f>
        <v>13441</v>
      </c>
      <c r="S22" s="48" t="str">
        <f aca="false">IFERROR(VLOOKUP(J22,'Obs Tecnicas'!$D$68:$G$403,3,0),"Hexis")</f>
        <v>Hexis</v>
      </c>
      <c r="T22" s="48" t="n">
        <f aca="false">IFERROR(VLOOKUP(J22,'Obs Tecnicas'!$D$68:$G$403,4,0),"")</f>
        <v>0</v>
      </c>
      <c r="U22" s="133" t="s">
        <v>1204</v>
      </c>
      <c r="V22" s="48" t="n">
        <f aca="false">IF(P22&lt;&gt;"",MONTH(P22),"")</f>
        <v>8</v>
      </c>
      <c r="X22" s="48" t="e">
        <f aca="false">VLOOKUP(J22,'Controle de equipamento'!$J:$J,1,0)</f>
        <v>#N/A</v>
      </c>
    </row>
    <row r="23" customFormat="false" ht="15" hidden="false" customHeight="false" outlineLevel="0" collapsed="false">
      <c r="A23" s="48" t="s">
        <v>67</v>
      </c>
      <c r="B23" s="48" t="s">
        <v>493</v>
      </c>
      <c r="C23" s="184" t="s">
        <v>494</v>
      </c>
      <c r="D23" s="48" t="s">
        <v>495</v>
      </c>
      <c r="E23" s="133" t="s">
        <v>493</v>
      </c>
      <c r="F23" s="184" t="s">
        <v>494</v>
      </c>
      <c r="G23" s="48" t="s">
        <v>496</v>
      </c>
      <c r="H23" s="48" t="s">
        <v>477</v>
      </c>
      <c r="I23" s="48" t="s">
        <v>86</v>
      </c>
      <c r="J23" s="185" t="s">
        <v>1246</v>
      </c>
      <c r="K23" s="48" t="s">
        <v>1134</v>
      </c>
      <c r="L23" s="48" t="s">
        <v>1247</v>
      </c>
      <c r="M23" s="48" t="s">
        <v>497</v>
      </c>
      <c r="N23" s="48" t="s">
        <v>234</v>
      </c>
      <c r="O23" s="125" t="n">
        <v>44056</v>
      </c>
      <c r="P23" s="186" t="n">
        <f aca="false">IFERROR(VLOOKUP(J23,'Obs Tecnicas'!$D$68:$I$379,5,0),O23)</f>
        <v>44056</v>
      </c>
      <c r="Q23" s="125" t="str">
        <f aca="true">IF(O23&lt;&gt;"",IF(O23+365&gt;TODAY(),"Calibrado","Vencido"),"")</f>
        <v>Vencido</v>
      </c>
      <c r="R23" s="119" t="str">
        <f aca="false">IFERROR(VLOOKUP(J23,'Obs Tecnicas'!$D$68:$G$399,2,0),"")</f>
        <v/>
      </c>
      <c r="S23" s="48" t="str">
        <f aca="false">IFERROR(VLOOKUP(J23,'Obs Tecnicas'!$D$68:$G$403,3,0),"Hexis")</f>
        <v>Hexis</v>
      </c>
      <c r="T23" s="48" t="str">
        <f aca="false">IFERROR(VLOOKUP(J23,'Obs Tecnicas'!$D$68:$G$403,4,0),"")</f>
        <v/>
      </c>
      <c r="U23" s="133" t="s">
        <v>1204</v>
      </c>
      <c r="V23" s="48" t="n">
        <f aca="false">IF(P23&lt;&gt;"",MONTH(P23),"")</f>
        <v>8</v>
      </c>
      <c r="X23" s="48" t="e">
        <f aca="false">VLOOKUP(J23,'Controle de equipamento'!$J:$J,1,0)</f>
        <v>#N/A</v>
      </c>
    </row>
    <row r="24" customFormat="false" ht="15" hidden="false" customHeight="false" outlineLevel="0" collapsed="false">
      <c r="A24" s="48" t="s">
        <v>67</v>
      </c>
      <c r="B24" s="48" t="s">
        <v>493</v>
      </c>
      <c r="C24" s="184" t="s">
        <v>494</v>
      </c>
      <c r="D24" s="48" t="s">
        <v>495</v>
      </c>
      <c r="E24" s="48" t="s">
        <v>493</v>
      </c>
      <c r="F24" s="184" t="s">
        <v>494</v>
      </c>
      <c r="G24" s="48" t="s">
        <v>496</v>
      </c>
      <c r="H24" s="48" t="s">
        <v>477</v>
      </c>
      <c r="I24" s="48" t="s">
        <v>86</v>
      </c>
      <c r="J24" s="185" t="s">
        <v>1248</v>
      </c>
      <c r="K24" s="48" t="s">
        <v>1134</v>
      </c>
      <c r="L24" s="48" t="s">
        <v>1249</v>
      </c>
      <c r="M24" s="48" t="s">
        <v>497</v>
      </c>
      <c r="N24" s="48" t="s">
        <v>234</v>
      </c>
      <c r="O24" s="125" t="n">
        <v>44056</v>
      </c>
      <c r="P24" s="186" t="n">
        <f aca="false">IFERROR(VLOOKUP(J24,'Obs Tecnicas'!$D$68:$I$379,5,0),O24)</f>
        <v>44056</v>
      </c>
      <c r="Q24" s="125" t="str">
        <f aca="true">IF(O24&lt;&gt;"",IF(O24+365&gt;TODAY(),"Calibrado","Vencido"),"")</f>
        <v>Vencido</v>
      </c>
      <c r="R24" s="119" t="str">
        <f aca="false">IFERROR(VLOOKUP(J24,'Obs Tecnicas'!$D$68:$G$399,2,0),"")</f>
        <v/>
      </c>
      <c r="S24" s="48" t="str">
        <f aca="false">IFERROR(VLOOKUP(J24,'Obs Tecnicas'!$D$68:$G$403,3,0),"Hexis")</f>
        <v>Hexis</v>
      </c>
      <c r="T24" s="48" t="str">
        <f aca="false">IFERROR(VLOOKUP(J24,'Obs Tecnicas'!$D$68:$G$403,4,0),"")</f>
        <v/>
      </c>
      <c r="U24" s="133" t="s">
        <v>1204</v>
      </c>
      <c r="V24" s="48" t="n">
        <f aca="false">IF(P24&lt;&gt;"",MONTH(P24),"")</f>
        <v>8</v>
      </c>
      <c r="X24" s="48" t="e">
        <f aca="false">VLOOKUP(J24,'Controle de equipamento'!$J:$J,1,0)</f>
        <v>#N/A</v>
      </c>
    </row>
    <row r="25" customFormat="false" ht="15" hidden="false" customHeight="false" outlineLevel="0" collapsed="false">
      <c r="A25" s="48" t="s">
        <v>67</v>
      </c>
      <c r="B25" s="48" t="s">
        <v>493</v>
      </c>
      <c r="C25" s="184" t="s">
        <v>494</v>
      </c>
      <c r="D25" s="48" t="s">
        <v>495</v>
      </c>
      <c r="E25" s="48" t="s">
        <v>493</v>
      </c>
      <c r="F25" s="184" t="s">
        <v>494</v>
      </c>
      <c r="G25" s="48" t="s">
        <v>496</v>
      </c>
      <c r="H25" s="48" t="s">
        <v>477</v>
      </c>
      <c r="I25" s="48" t="s">
        <v>86</v>
      </c>
      <c r="J25" s="185" t="s">
        <v>1250</v>
      </c>
      <c r="K25" s="48" t="s">
        <v>996</v>
      </c>
      <c r="L25" s="48" t="s">
        <v>290</v>
      </c>
      <c r="M25" s="48" t="s">
        <v>497</v>
      </c>
      <c r="N25" s="48" t="s">
        <v>234</v>
      </c>
      <c r="O25" s="125" t="n">
        <v>44056</v>
      </c>
      <c r="P25" s="186" t="n">
        <f aca="false">IFERROR(VLOOKUP(J25,'Obs Tecnicas'!$D$68:$I$379,5,0),O25)</f>
        <v>44056</v>
      </c>
      <c r="Q25" s="125" t="str">
        <f aca="true">IF(O25&lt;&gt;"",IF(O25+365&gt;TODAY(),"Calibrado","Vencido"),"")</f>
        <v>Vencido</v>
      </c>
      <c r="R25" s="119" t="str">
        <f aca="false">IFERROR(VLOOKUP(J25,'Obs Tecnicas'!$D$68:$G$399,2,0),"")</f>
        <v/>
      </c>
      <c r="S25" s="48" t="str">
        <f aca="false">IFERROR(VLOOKUP(J25,'Obs Tecnicas'!$D$68:$G$403,3,0),"Hexis")</f>
        <v>Hexis</v>
      </c>
      <c r="T25" s="48" t="str">
        <f aca="false">IFERROR(VLOOKUP(J25,'Obs Tecnicas'!$D$68:$G$403,4,0),"")</f>
        <v/>
      </c>
      <c r="U25" s="133" t="s">
        <v>1204</v>
      </c>
      <c r="V25" s="48" t="n">
        <f aca="false">IF(P25&lt;&gt;"",MONTH(P25),"")</f>
        <v>8</v>
      </c>
      <c r="X25" s="48" t="e">
        <f aca="false">VLOOKUP(J25,'Controle de equipamento'!$J:$J,1,0)</f>
        <v>#N/A</v>
      </c>
    </row>
    <row r="26" customFormat="false" ht="15" hidden="false" customHeight="false" outlineLevel="0" collapsed="false">
      <c r="A26" s="48" t="s">
        <v>67</v>
      </c>
      <c r="B26" s="48" t="s">
        <v>1251</v>
      </c>
      <c r="C26" s="184" t="s">
        <v>313</v>
      </c>
      <c r="D26" s="48" t="s">
        <v>314</v>
      </c>
      <c r="E26" s="48" t="s">
        <v>211</v>
      </c>
      <c r="F26" s="184" t="s">
        <v>212</v>
      </c>
      <c r="G26" s="48" t="s">
        <v>73</v>
      </c>
      <c r="H26" s="48" t="s">
        <v>246</v>
      </c>
      <c r="I26" s="48" t="s">
        <v>1216</v>
      </c>
      <c r="J26" s="124" t="n">
        <v>6247841</v>
      </c>
      <c r="K26" s="48" t="s">
        <v>534</v>
      </c>
      <c r="L26" s="48" t="s">
        <v>219</v>
      </c>
      <c r="M26" s="48" t="s">
        <v>1252</v>
      </c>
      <c r="N26" s="48" t="s">
        <v>182</v>
      </c>
      <c r="O26" s="125" t="n">
        <v>44035</v>
      </c>
      <c r="P26" s="186" t="n">
        <f aca="false">IFERROR(VLOOKUP(J26,'Obs Tecnicas'!$D$68:$I$379,5,0),O26)</f>
        <v>44035</v>
      </c>
      <c r="Q26" s="125" t="str">
        <f aca="true">IF(O26&lt;&gt;"",IF(O26+365&gt;TODAY(),"Calibrado","Vencido"),"")</f>
        <v>Vencido</v>
      </c>
      <c r="R26" s="119" t="str">
        <f aca="false">IFERROR(VLOOKUP(J26,'Obs Tecnicas'!$D$68:$G$399,2,0),"")</f>
        <v/>
      </c>
      <c r="S26" s="48" t="str">
        <f aca="false">IFERROR(VLOOKUP(J26,'Obs Tecnicas'!$D$68:$G$403,3,0),"Hexis")</f>
        <v>Hexis</v>
      </c>
      <c r="T26" s="48" t="str">
        <f aca="false">IFERROR(VLOOKUP(J26,'Obs Tecnicas'!$D$68:$G$403,4,0),"")</f>
        <v/>
      </c>
      <c r="U26" s="133" t="s">
        <v>1204</v>
      </c>
      <c r="V26" s="48" t="n">
        <f aca="false">IF(P26&lt;&gt;"",MONTH(P26),"")</f>
        <v>7</v>
      </c>
      <c r="X26" s="48" t="e">
        <f aca="false">VLOOKUP(J26,'Controle de equipamento'!$J:$J,1,0)</f>
        <v>#N/A</v>
      </c>
    </row>
    <row r="27" customFormat="false" ht="15" hidden="false" customHeight="false" outlineLevel="0" collapsed="false">
      <c r="A27" s="48" t="s">
        <v>67</v>
      </c>
      <c r="B27" s="48" t="s">
        <v>1251</v>
      </c>
      <c r="C27" s="184" t="s">
        <v>313</v>
      </c>
      <c r="D27" s="48" t="s">
        <v>314</v>
      </c>
      <c r="E27" s="48" t="s">
        <v>211</v>
      </c>
      <c r="F27" s="184" t="s">
        <v>212</v>
      </c>
      <c r="G27" s="48" t="s">
        <v>73</v>
      </c>
      <c r="H27" s="48" t="s">
        <v>246</v>
      </c>
      <c r="I27" s="48" t="s">
        <v>83</v>
      </c>
      <c r="J27" s="124" t="n">
        <v>4226993</v>
      </c>
      <c r="K27" s="48" t="s">
        <v>534</v>
      </c>
      <c r="L27" s="48" t="s">
        <v>85</v>
      </c>
      <c r="M27" s="48" t="s">
        <v>1252</v>
      </c>
      <c r="N27" s="48" t="s">
        <v>182</v>
      </c>
      <c r="O27" s="125" t="n">
        <v>44035</v>
      </c>
      <c r="P27" s="186" t="n">
        <f aca="false">IFERROR(VLOOKUP(J27,'Obs Tecnicas'!$D$68:$I$379,5,0),O27)</f>
        <v>44035</v>
      </c>
      <c r="Q27" s="125" t="str">
        <f aca="true">IF(O27&lt;&gt;"",IF(O27+365&gt;TODAY(),"Calibrado","Vencido"),"")</f>
        <v>Vencido</v>
      </c>
      <c r="R27" s="119" t="str">
        <f aca="false">IFERROR(VLOOKUP(J27,'Obs Tecnicas'!$D$68:$G$399,2,0),"")</f>
        <v/>
      </c>
      <c r="S27" s="48" t="str">
        <f aca="false">IFERROR(VLOOKUP(J27,'Obs Tecnicas'!$D$68:$G$403,3,0),"Hexis")</f>
        <v>Hexis</v>
      </c>
      <c r="T27" s="48" t="str">
        <f aca="false">IFERROR(VLOOKUP(J27,'Obs Tecnicas'!$D$68:$G$403,4,0),"")</f>
        <v/>
      </c>
      <c r="U27" s="133" t="s">
        <v>1204</v>
      </c>
      <c r="V27" s="48" t="n">
        <f aca="false">IF(P27&lt;&gt;"",MONTH(P27),"")</f>
        <v>7</v>
      </c>
      <c r="X27" s="48" t="e">
        <f aca="false">VLOOKUP(J27,'Controle de equipamento'!$J:$J,1,0)</f>
        <v>#N/A</v>
      </c>
    </row>
    <row r="28" customFormat="false" ht="15" hidden="false" customHeight="false" outlineLevel="0" collapsed="false">
      <c r="A28" s="48" t="s">
        <v>67</v>
      </c>
      <c r="B28" s="48" t="s">
        <v>1251</v>
      </c>
      <c r="C28" s="184" t="s">
        <v>313</v>
      </c>
      <c r="D28" s="48" t="s">
        <v>314</v>
      </c>
      <c r="E28" s="48" t="s">
        <v>211</v>
      </c>
      <c r="F28" s="184" t="s">
        <v>212</v>
      </c>
      <c r="G28" s="48" t="s">
        <v>73</v>
      </c>
      <c r="H28" s="48" t="s">
        <v>246</v>
      </c>
      <c r="I28" s="48" t="s">
        <v>83</v>
      </c>
      <c r="J28" s="124" t="n">
        <v>4211939</v>
      </c>
      <c r="K28" s="48" t="s">
        <v>1134</v>
      </c>
      <c r="L28" s="48" t="s">
        <v>1253</v>
      </c>
      <c r="M28" s="48" t="s">
        <v>1252</v>
      </c>
      <c r="N28" s="48" t="s">
        <v>182</v>
      </c>
      <c r="O28" s="125" t="n">
        <v>44035</v>
      </c>
      <c r="P28" s="186" t="n">
        <f aca="false">IFERROR(VLOOKUP(J28,'Obs Tecnicas'!$D$68:$I$379,5,0),O28)</f>
        <v>44035</v>
      </c>
      <c r="Q28" s="125" t="str">
        <f aca="true">IF(O28&lt;&gt;"",IF(O28+365&gt;TODAY(),"Calibrado","Vencido"),"")</f>
        <v>Vencido</v>
      </c>
      <c r="R28" s="119" t="str">
        <f aca="false">IFERROR(VLOOKUP(J28,'Obs Tecnicas'!$D$68:$G$399,2,0),"")</f>
        <v/>
      </c>
      <c r="S28" s="48" t="str">
        <f aca="false">IFERROR(VLOOKUP(J28,'Obs Tecnicas'!$D$68:$G$403,3,0),"Hexis")</f>
        <v>Hexis</v>
      </c>
      <c r="T28" s="48" t="str">
        <f aca="false">IFERROR(VLOOKUP(J28,'Obs Tecnicas'!$D$68:$G$403,4,0),"")</f>
        <v/>
      </c>
      <c r="U28" s="133" t="s">
        <v>1204</v>
      </c>
      <c r="V28" s="48" t="n">
        <f aca="false">IF(P28&lt;&gt;"",MONTH(P28),"")</f>
        <v>7</v>
      </c>
      <c r="X28" s="48" t="e">
        <f aca="false">VLOOKUP(J28,'Controle de equipamento'!$J:$J,1,0)</f>
        <v>#N/A</v>
      </c>
    </row>
    <row r="29" customFormat="false" ht="15" hidden="false" customHeight="false" outlineLevel="0" collapsed="false">
      <c r="A29" s="48" t="s">
        <v>67</v>
      </c>
      <c r="B29" s="133" t="s">
        <v>92</v>
      </c>
      <c r="C29" s="184" t="s">
        <v>93</v>
      </c>
      <c r="D29" s="48" t="s">
        <v>94</v>
      </c>
      <c r="E29" s="48" t="s">
        <v>95</v>
      </c>
      <c r="F29" s="184" t="s">
        <v>96</v>
      </c>
      <c r="G29" s="48" t="s">
        <v>97</v>
      </c>
      <c r="H29" s="48" t="s">
        <v>98</v>
      </c>
      <c r="I29" s="48" t="s">
        <v>83</v>
      </c>
      <c r="J29" s="124" t="n">
        <v>343250</v>
      </c>
      <c r="K29" s="48" t="s">
        <v>1134</v>
      </c>
      <c r="L29" s="48" t="s">
        <v>1254</v>
      </c>
      <c r="M29" s="48" t="s">
        <v>1255</v>
      </c>
      <c r="N29" s="48" t="s">
        <v>100</v>
      </c>
      <c r="O29" s="125" t="n">
        <v>44089</v>
      </c>
      <c r="P29" s="186" t="n">
        <f aca="false">IFERROR(VLOOKUP(J29,'Obs Tecnicas'!$D$68:$I$379,5,0),O29)</f>
        <v>44089</v>
      </c>
      <c r="Q29" s="125" t="str">
        <f aca="true">IF(O29&lt;&gt;"",IF(O29+365&gt;TODAY(),"Calibrado","Vencido"),"")</f>
        <v>Vencido</v>
      </c>
      <c r="R29" s="119" t="str">
        <f aca="false">IFERROR(VLOOKUP(J29,'Obs Tecnicas'!$D$68:$G$399,2,0),"")</f>
        <v/>
      </c>
      <c r="S29" s="48" t="str">
        <f aca="false">IFERROR(VLOOKUP(J29,'Obs Tecnicas'!$D$68:$G$403,3,0),"Hexis")</f>
        <v>Hexis</v>
      </c>
      <c r="T29" s="48" t="str">
        <f aca="false">IFERROR(VLOOKUP(J29,'Obs Tecnicas'!$D$68:$G$403,4,0),"")</f>
        <v/>
      </c>
      <c r="U29" s="133" t="s">
        <v>1204</v>
      </c>
      <c r="V29" s="48" t="n">
        <f aca="false">IF(P29&lt;&gt;"",MONTH(P29),"")</f>
        <v>9</v>
      </c>
      <c r="X29" s="48" t="e">
        <f aca="false">VLOOKUP(J29,'Controle de equipamento'!$J:$J,1,0)</f>
        <v>#N/A</v>
      </c>
    </row>
    <row r="30" customFormat="false" ht="15" hidden="false" customHeight="false" outlineLevel="0" collapsed="false">
      <c r="A30" s="48" t="s">
        <v>67</v>
      </c>
      <c r="B30" s="133" t="s">
        <v>92</v>
      </c>
      <c r="C30" s="184" t="s">
        <v>93</v>
      </c>
      <c r="D30" s="48" t="s">
        <v>94</v>
      </c>
      <c r="E30" s="48" t="s">
        <v>95</v>
      </c>
      <c r="F30" s="184" t="s">
        <v>96</v>
      </c>
      <c r="G30" s="48" t="s">
        <v>97</v>
      </c>
      <c r="H30" s="48" t="s">
        <v>98</v>
      </c>
      <c r="I30" s="48" t="s">
        <v>101</v>
      </c>
      <c r="J30" s="124" t="n">
        <v>1378445</v>
      </c>
      <c r="K30" s="48" t="s">
        <v>1134</v>
      </c>
      <c r="L30" s="48" t="s">
        <v>1237</v>
      </c>
      <c r="M30" s="48" t="s">
        <v>1255</v>
      </c>
      <c r="N30" s="48" t="s">
        <v>100</v>
      </c>
      <c r="O30" s="125" t="n">
        <v>44089</v>
      </c>
      <c r="P30" s="186" t="n">
        <f aca="false">IFERROR(VLOOKUP(J30,'Obs Tecnicas'!$D$68:$I$379,5,0),O30)</f>
        <v>44089</v>
      </c>
      <c r="Q30" s="125" t="str">
        <f aca="true">IF(O30&lt;&gt;"",IF(O30+365&gt;TODAY(),"Calibrado","Vencido"),"")</f>
        <v>Vencido</v>
      </c>
      <c r="R30" s="119" t="str">
        <f aca="false">IFERROR(VLOOKUP(J30,'Obs Tecnicas'!$D$68:$G$399,2,0),"")</f>
        <v/>
      </c>
      <c r="S30" s="48" t="str">
        <f aca="false">IFERROR(VLOOKUP(J30,'Obs Tecnicas'!$D$68:$G$403,3,0),"Hexis")</f>
        <v>Hexis</v>
      </c>
      <c r="T30" s="48" t="str">
        <f aca="false">IFERROR(VLOOKUP(J30,'Obs Tecnicas'!$D$68:$G$403,4,0),"")</f>
        <v/>
      </c>
      <c r="U30" s="133" t="s">
        <v>1204</v>
      </c>
      <c r="V30" s="48" t="n">
        <f aca="false">IF(P30&lt;&gt;"",MONTH(P30),"")</f>
        <v>9</v>
      </c>
      <c r="X30" s="48" t="e">
        <f aca="false">VLOOKUP(J30,'Controle de equipamento'!$J:$J,1,0)</f>
        <v>#N/A</v>
      </c>
    </row>
    <row r="31" customFormat="false" ht="15" hidden="false" customHeight="false" outlineLevel="0" collapsed="false">
      <c r="A31" s="48" t="s">
        <v>67</v>
      </c>
      <c r="B31" s="48" t="s">
        <v>92</v>
      </c>
      <c r="C31" s="184" t="s">
        <v>93</v>
      </c>
      <c r="D31" s="48" t="s">
        <v>94</v>
      </c>
      <c r="E31" s="133" t="s">
        <v>95</v>
      </c>
      <c r="F31" s="184" t="s">
        <v>96</v>
      </c>
      <c r="G31" s="48" t="s">
        <v>97</v>
      </c>
      <c r="H31" s="48" t="s">
        <v>98</v>
      </c>
      <c r="I31" s="48" t="s">
        <v>86</v>
      </c>
      <c r="J31" s="124" t="n">
        <v>414013</v>
      </c>
      <c r="K31" s="48" t="s">
        <v>1134</v>
      </c>
      <c r="L31" s="48" t="s">
        <v>1256</v>
      </c>
      <c r="M31" s="48" t="s">
        <v>1255</v>
      </c>
      <c r="N31" s="48" t="s">
        <v>100</v>
      </c>
      <c r="O31" s="125" t="n">
        <v>44089</v>
      </c>
      <c r="P31" s="186" t="n">
        <f aca="false">IFERROR(VLOOKUP(J31,'Obs Tecnicas'!$D$68:$I$379,5,0),O31)</f>
        <v>44089</v>
      </c>
      <c r="Q31" s="125" t="str">
        <f aca="true">IF(O31&lt;&gt;"",IF(O31+365&gt;TODAY(),"Calibrado","Vencido"),"")</f>
        <v>Vencido</v>
      </c>
      <c r="R31" s="119" t="str">
        <f aca="false">IFERROR(VLOOKUP(J31,'Obs Tecnicas'!$D$68:$G$399,2,0),"")</f>
        <v/>
      </c>
      <c r="S31" s="48" t="str">
        <f aca="false">IFERROR(VLOOKUP(J31,'Obs Tecnicas'!$D$68:$G$403,3,0),"Hexis")</f>
        <v>Hexis</v>
      </c>
      <c r="T31" s="48" t="str">
        <f aca="false">IFERROR(VLOOKUP(J31,'Obs Tecnicas'!$D$68:$G$403,4,0),"")</f>
        <v/>
      </c>
      <c r="U31" s="133" t="s">
        <v>1204</v>
      </c>
      <c r="V31" s="48" t="n">
        <f aca="false">IF(P31&lt;&gt;"",MONTH(P31),"")</f>
        <v>9</v>
      </c>
      <c r="X31" s="48" t="e">
        <f aca="false">VLOOKUP(J31,'Controle de equipamento'!$J:$J,1,0)</f>
        <v>#N/A</v>
      </c>
    </row>
    <row r="32" customFormat="false" ht="15" hidden="false" customHeight="false" outlineLevel="0" collapsed="false">
      <c r="A32" s="48" t="s">
        <v>67</v>
      </c>
      <c r="B32" s="48" t="s">
        <v>92</v>
      </c>
      <c r="C32" s="184" t="s">
        <v>93</v>
      </c>
      <c r="D32" s="48" t="s">
        <v>94</v>
      </c>
      <c r="E32" s="133" t="s">
        <v>95</v>
      </c>
      <c r="F32" s="184" t="s">
        <v>96</v>
      </c>
      <c r="G32" s="48" t="s">
        <v>97</v>
      </c>
      <c r="H32" s="48" t="s">
        <v>98</v>
      </c>
      <c r="I32" s="133" t="s">
        <v>86</v>
      </c>
      <c r="J32" s="124" t="n">
        <v>8101742</v>
      </c>
      <c r="K32" s="133" t="s">
        <v>196</v>
      </c>
      <c r="L32" s="133" t="s">
        <v>1257</v>
      </c>
      <c r="M32" s="48" t="s">
        <v>1255</v>
      </c>
      <c r="N32" s="48" t="s">
        <v>100</v>
      </c>
      <c r="O32" s="125" t="n">
        <v>44089</v>
      </c>
      <c r="P32" s="186" t="n">
        <f aca="false">IFERROR(VLOOKUP(J32,'Obs Tecnicas'!$D$68:$I$379,5,0),O32)</f>
        <v>44089</v>
      </c>
      <c r="Q32" s="125" t="str">
        <f aca="true">IF(O32&lt;&gt;"",IF(O32+365&gt;TODAY(),"Calibrado","Vencido"),"")</f>
        <v>Vencido</v>
      </c>
      <c r="R32" s="119" t="str">
        <f aca="false">IFERROR(VLOOKUP(J32,'Obs Tecnicas'!$D$68:$G$399,2,0),"")</f>
        <v/>
      </c>
      <c r="S32" s="48" t="str">
        <f aca="false">IFERROR(VLOOKUP(J32,'Obs Tecnicas'!$D$68:$G$403,3,0),"Hexis")</f>
        <v>Hexis</v>
      </c>
      <c r="T32" s="48" t="str">
        <f aca="false">IFERROR(VLOOKUP(J32,'Obs Tecnicas'!$D$68:$G$403,4,0),"")</f>
        <v/>
      </c>
      <c r="U32" s="133" t="s">
        <v>1204</v>
      </c>
      <c r="V32" s="48" t="n">
        <f aca="false">IF(P32&lt;&gt;"",MONTH(P32),"")</f>
        <v>9</v>
      </c>
      <c r="X32" s="48" t="e">
        <f aca="false">VLOOKUP(J32,'Controle de equipamento'!$J:$J,1,0)</f>
        <v>#N/A</v>
      </c>
    </row>
    <row r="33" customFormat="false" ht="15" hidden="false" customHeight="false" outlineLevel="0" collapsed="false">
      <c r="A33" s="48" t="s">
        <v>67</v>
      </c>
      <c r="B33" s="48" t="s">
        <v>109</v>
      </c>
      <c r="C33" s="184" t="s">
        <v>110</v>
      </c>
      <c r="D33" s="48" t="s">
        <v>111</v>
      </c>
      <c r="E33" s="48" t="s">
        <v>112</v>
      </c>
      <c r="F33" s="184" t="s">
        <v>113</v>
      </c>
      <c r="G33" s="48" t="s">
        <v>73</v>
      </c>
      <c r="H33" s="48" t="s">
        <v>114</v>
      </c>
      <c r="I33" s="48" t="s">
        <v>89</v>
      </c>
      <c r="J33" s="189" t="s">
        <v>1258</v>
      </c>
      <c r="K33" s="48" t="s">
        <v>1134</v>
      </c>
      <c r="L33" s="48" t="s">
        <v>91</v>
      </c>
      <c r="M33" s="133" t="s">
        <v>119</v>
      </c>
      <c r="N33" s="48" t="s">
        <v>1259</v>
      </c>
      <c r="O33" s="125" t="n">
        <v>44068</v>
      </c>
      <c r="P33" s="186" t="n">
        <f aca="false">IFERROR(VLOOKUP(J33,'Obs Tecnicas'!$D$68:$I$379,5,0),O33)</f>
        <v>44068</v>
      </c>
      <c r="Q33" s="125" t="str">
        <f aca="true">IF(O33&lt;&gt;"",IF(O33+365&gt;TODAY(),"Calibrado","Vencido"),"")</f>
        <v>Vencido</v>
      </c>
      <c r="R33" s="119" t="str">
        <f aca="false">IFERROR(VLOOKUP(J33,'Obs Tecnicas'!$D$68:$G$399,2,0),"")</f>
        <v/>
      </c>
      <c r="S33" s="48" t="str">
        <f aca="false">IFERROR(VLOOKUP(J33,'Obs Tecnicas'!$D$68:$G$403,3,0),"Hexis")</f>
        <v>Hexis</v>
      </c>
      <c r="T33" s="48" t="str">
        <f aca="false">IFERROR(VLOOKUP(J33,'Obs Tecnicas'!$D$68:$G$403,4,0),"")</f>
        <v/>
      </c>
      <c r="U33" s="133" t="s">
        <v>1204</v>
      </c>
      <c r="V33" s="48" t="n">
        <f aca="false">IF(P33&lt;&gt;"",MONTH(P33),"")</f>
        <v>8</v>
      </c>
      <c r="X33" s="48" t="e">
        <f aca="false">VLOOKUP(J33,'Controle de equipamento'!$J:$J,1,0)</f>
        <v>#N/A</v>
      </c>
    </row>
    <row r="34" customFormat="false" ht="15" hidden="false" customHeight="false" outlineLevel="0" collapsed="false">
      <c r="A34" s="48" t="s">
        <v>67</v>
      </c>
      <c r="B34" s="48" t="s">
        <v>109</v>
      </c>
      <c r="C34" s="184" t="s">
        <v>110</v>
      </c>
      <c r="D34" s="48" t="s">
        <v>111</v>
      </c>
      <c r="E34" s="48" t="s">
        <v>112</v>
      </c>
      <c r="F34" s="184" t="s">
        <v>113</v>
      </c>
      <c r="G34" s="48" t="s">
        <v>73</v>
      </c>
      <c r="H34" s="48" t="s">
        <v>114</v>
      </c>
      <c r="I34" s="48" t="s">
        <v>75</v>
      </c>
      <c r="J34" s="124" t="n">
        <v>306</v>
      </c>
      <c r="K34" s="48" t="s">
        <v>224</v>
      </c>
      <c r="L34" s="48" t="s">
        <v>1260</v>
      </c>
      <c r="M34" s="133" t="s">
        <v>119</v>
      </c>
      <c r="N34" s="48" t="s">
        <v>1259</v>
      </c>
      <c r="O34" s="125" t="n">
        <v>44069</v>
      </c>
      <c r="P34" s="186" t="n">
        <f aca="false">IFERROR(VLOOKUP(J34,'Obs Tecnicas'!$D$68:$I$379,5,0),O34)</f>
        <v>44069</v>
      </c>
      <c r="Q34" s="125" t="str">
        <f aca="true">IF(O34&lt;&gt;"",IF(O34+365&gt;TODAY(),"Calibrado","Vencido"),"")</f>
        <v>Vencido</v>
      </c>
      <c r="R34" s="119" t="str">
        <f aca="false">IFERROR(VLOOKUP(J34,'Obs Tecnicas'!$D$68:$G$399,2,0),"")</f>
        <v/>
      </c>
      <c r="S34" s="48" t="str">
        <f aca="false">IFERROR(VLOOKUP(J34,'Obs Tecnicas'!$D$68:$G$403,3,0),"Hexis")</f>
        <v>Hexis</v>
      </c>
      <c r="T34" s="48" t="str">
        <f aca="false">IFERROR(VLOOKUP(J34,'Obs Tecnicas'!$D$68:$G$403,4,0),"")</f>
        <v/>
      </c>
      <c r="U34" s="133" t="s">
        <v>1204</v>
      </c>
      <c r="V34" s="48" t="n">
        <f aca="false">IF(P34&lt;&gt;"",MONTH(P34),"")</f>
        <v>8</v>
      </c>
      <c r="X34" s="48" t="e">
        <f aca="false">VLOOKUP(J34,'Controle de equipamento'!$J:$J,1,0)</f>
        <v>#N/A</v>
      </c>
    </row>
    <row r="35" customFormat="false" ht="15" hidden="false" customHeight="false" outlineLevel="0" collapsed="false">
      <c r="A35" s="48" t="s">
        <v>67</v>
      </c>
      <c r="B35" s="48" t="s">
        <v>109</v>
      </c>
      <c r="C35" s="184" t="s">
        <v>110</v>
      </c>
      <c r="D35" s="48" t="s">
        <v>111</v>
      </c>
      <c r="E35" s="48" t="s">
        <v>112</v>
      </c>
      <c r="F35" s="184" t="s">
        <v>113</v>
      </c>
      <c r="G35" s="48" t="s">
        <v>73</v>
      </c>
      <c r="H35" s="48" t="s">
        <v>114</v>
      </c>
      <c r="I35" s="48" t="s">
        <v>89</v>
      </c>
      <c r="J35" s="124" t="s">
        <v>1261</v>
      </c>
      <c r="K35" s="133" t="s">
        <v>1134</v>
      </c>
      <c r="L35" s="133" t="s">
        <v>91</v>
      </c>
      <c r="M35" s="133" t="s">
        <v>119</v>
      </c>
      <c r="N35" s="48" t="s">
        <v>1259</v>
      </c>
      <c r="O35" s="125" t="n">
        <v>44069</v>
      </c>
      <c r="P35" s="186" t="n">
        <f aca="false">IFERROR(VLOOKUP(J35,'Obs Tecnicas'!$D$68:$I$379,5,0),O35)</f>
        <v>44069</v>
      </c>
      <c r="Q35" s="125" t="str">
        <f aca="true">IF(O35&lt;&gt;"",IF(O35+365&gt;TODAY(),"Calibrado","Vencido"),"")</f>
        <v>Vencido</v>
      </c>
      <c r="R35" s="119" t="str">
        <f aca="false">IFERROR(VLOOKUP(J35,'Obs Tecnicas'!$D$68:$G$399,2,0),"")</f>
        <v/>
      </c>
      <c r="S35" s="48" t="str">
        <f aca="false">IFERROR(VLOOKUP(J35,'Obs Tecnicas'!$D$68:$G$403,3,0),"Hexis")</f>
        <v>Hexis</v>
      </c>
      <c r="T35" s="48" t="str">
        <f aca="false">IFERROR(VLOOKUP(J35,'Obs Tecnicas'!$D$68:$G$403,4,0),"")</f>
        <v/>
      </c>
      <c r="U35" s="133" t="s">
        <v>1204</v>
      </c>
      <c r="V35" s="48" t="n">
        <f aca="false">IF(P35&lt;&gt;"",MONTH(P35),"")</f>
        <v>8</v>
      </c>
      <c r="X35" s="48" t="e">
        <f aca="false">VLOOKUP(J35,'Controle de equipamento'!$J:$J,1,0)</f>
        <v>#N/A</v>
      </c>
    </row>
    <row r="36" customFormat="false" ht="15" hidden="false" customHeight="false" outlineLevel="0" collapsed="false">
      <c r="A36" s="133" t="s">
        <v>67</v>
      </c>
      <c r="B36" s="48" t="s">
        <v>291</v>
      </c>
      <c r="C36" s="184" t="s">
        <v>292</v>
      </c>
      <c r="D36" s="48" t="s">
        <v>263</v>
      </c>
      <c r="E36" s="48" t="s">
        <v>244</v>
      </c>
      <c r="F36" s="184" t="s">
        <v>245</v>
      </c>
      <c r="G36" s="48" t="s">
        <v>97</v>
      </c>
      <c r="H36" s="48" t="s">
        <v>246</v>
      </c>
      <c r="I36" s="48" t="s">
        <v>79</v>
      </c>
      <c r="J36" s="185" t="s">
        <v>1262</v>
      </c>
      <c r="K36" s="48" t="s">
        <v>136</v>
      </c>
      <c r="L36" s="48" t="s">
        <v>1263</v>
      </c>
      <c r="M36" s="48" t="s">
        <v>1264</v>
      </c>
      <c r="N36" s="48" t="s">
        <v>1265</v>
      </c>
      <c r="O36" s="125" t="n">
        <v>44173</v>
      </c>
      <c r="P36" s="186" t="n">
        <f aca="false">IFERROR(VLOOKUP(J36,'Obs Tecnicas'!$D$68:$I$379,5,0),O36)</f>
        <v>44173</v>
      </c>
      <c r="Q36" s="125" t="str">
        <f aca="true">IF(O36&lt;&gt;"",IF(O36+365&gt;TODAY(),"Calibrado","Vencido"),"")</f>
        <v>Vencido</v>
      </c>
      <c r="R36" s="119" t="str">
        <f aca="false">IFERROR(VLOOKUP(J36,'Obs Tecnicas'!$D$68:$G$399,2,0),"")</f>
        <v/>
      </c>
      <c r="S36" s="48" t="str">
        <f aca="false">IFERROR(VLOOKUP(J36,'Obs Tecnicas'!$D$68:$G$403,3,0),"Hexis")</f>
        <v>Hexis</v>
      </c>
      <c r="T36" s="48" t="str">
        <f aca="false">IFERROR(VLOOKUP(J36,'Obs Tecnicas'!$D$68:$G$403,4,0),"")</f>
        <v/>
      </c>
      <c r="U36" s="133" t="s">
        <v>1204</v>
      </c>
      <c r="V36" s="48" t="n">
        <f aca="false">IF(P36&lt;&gt;"",MONTH(P36),"")</f>
        <v>12</v>
      </c>
      <c r="X36" s="48" t="e">
        <f aca="false">VLOOKUP(J36,'Controle de equipamento'!$J:$J,1,0)</f>
        <v>#N/A</v>
      </c>
    </row>
    <row r="37" customFormat="false" ht="15" hidden="false" customHeight="true" outlineLevel="0" collapsed="false">
      <c r="A37" s="48" t="s">
        <v>67</v>
      </c>
      <c r="B37" s="48" t="s">
        <v>634</v>
      </c>
      <c r="C37" s="184" t="s">
        <v>635</v>
      </c>
      <c r="D37" s="48" t="s">
        <v>636</v>
      </c>
      <c r="E37" s="48" t="s">
        <v>626</v>
      </c>
      <c r="F37" s="184" t="s">
        <v>627</v>
      </c>
      <c r="G37" s="48" t="s">
        <v>326</v>
      </c>
      <c r="H37" s="48" t="s">
        <v>532</v>
      </c>
      <c r="I37" s="48" t="s">
        <v>217</v>
      </c>
      <c r="J37" s="124" t="n">
        <v>6261862</v>
      </c>
      <c r="K37" s="48" t="s">
        <v>534</v>
      </c>
      <c r="L37" s="48" t="s">
        <v>219</v>
      </c>
      <c r="M37" s="48" t="s">
        <v>638</v>
      </c>
      <c r="N37" s="48" t="s">
        <v>630</v>
      </c>
      <c r="O37" s="125" t="n">
        <v>44173</v>
      </c>
      <c r="P37" s="186" t="n">
        <f aca="false">IFERROR(VLOOKUP(J37,'Obs Tecnicas'!$D$68:$I$379,5,0),O37)</f>
        <v>44173</v>
      </c>
      <c r="Q37" s="125" t="str">
        <f aca="true">IF(O37&lt;&gt;"",IF(O37+365&gt;TODAY(),"Calibrado","Vencido"),"")</f>
        <v>Vencido</v>
      </c>
      <c r="R37" s="119" t="str">
        <f aca="false">IFERROR(VLOOKUP(J37,'Obs Tecnicas'!$D$68:$G$399,2,0),"")</f>
        <v/>
      </c>
      <c r="S37" s="48" t="str">
        <f aca="false">IFERROR(VLOOKUP(J37,'Obs Tecnicas'!$D$68:$G$403,3,0),"Hexis")</f>
        <v>Hexis</v>
      </c>
      <c r="T37" s="48" t="str">
        <f aca="false">IFERROR(VLOOKUP(J37,'Obs Tecnicas'!$D$68:$G$403,4,0),"")</f>
        <v/>
      </c>
      <c r="U37" s="133" t="s">
        <v>1204</v>
      </c>
      <c r="V37" s="48" t="n">
        <f aca="false">IF(P37&lt;&gt;"",MONTH(P37),"")</f>
        <v>12</v>
      </c>
      <c r="X37" s="48" t="e">
        <f aca="false">VLOOKUP(J37,'Controle de equipamento'!$J:$J,1,0)</f>
        <v>#N/A</v>
      </c>
    </row>
    <row r="38" customFormat="false" ht="15" hidden="false" customHeight="true" outlineLevel="0" collapsed="false">
      <c r="A38" s="133" t="s">
        <v>67</v>
      </c>
      <c r="B38" s="133" t="s">
        <v>634</v>
      </c>
      <c r="C38" s="184" t="s">
        <v>635</v>
      </c>
      <c r="D38" s="48" t="s">
        <v>636</v>
      </c>
      <c r="E38" s="48" t="s">
        <v>626</v>
      </c>
      <c r="F38" s="184" t="s">
        <v>627</v>
      </c>
      <c r="G38" s="48" t="s">
        <v>326</v>
      </c>
      <c r="H38" s="48" t="s">
        <v>532</v>
      </c>
      <c r="I38" s="48" t="s">
        <v>217</v>
      </c>
      <c r="J38" s="124" t="n">
        <v>6264735</v>
      </c>
      <c r="K38" s="48" t="s">
        <v>534</v>
      </c>
      <c r="L38" s="48" t="s">
        <v>219</v>
      </c>
      <c r="M38" s="48" t="s">
        <v>638</v>
      </c>
      <c r="N38" s="48" t="s">
        <v>630</v>
      </c>
      <c r="O38" s="125" t="n">
        <v>44173</v>
      </c>
      <c r="P38" s="186" t="n">
        <f aca="false">IFERROR(VLOOKUP(J38,'Obs Tecnicas'!$D$68:$I$379,5,0),O38)</f>
        <v>44173</v>
      </c>
      <c r="Q38" s="125" t="str">
        <f aca="true">IF(O38&lt;&gt;"",IF(O38+365&gt;TODAY(),"Calibrado","Vencido"),"")</f>
        <v>Vencido</v>
      </c>
      <c r="R38" s="119" t="str">
        <f aca="false">IFERROR(VLOOKUP(J38,'Obs Tecnicas'!$D$68:$G$399,2,0),"")</f>
        <v/>
      </c>
      <c r="S38" s="48" t="str">
        <f aca="false">IFERROR(VLOOKUP(J38,'Obs Tecnicas'!$D$68:$G$403,3,0),"Hexis")</f>
        <v>Hexis</v>
      </c>
      <c r="T38" s="48" t="str">
        <f aca="false">IFERROR(VLOOKUP(J38,'Obs Tecnicas'!$D$68:$G$403,4,0),"")</f>
        <v/>
      </c>
      <c r="U38" s="133" t="s">
        <v>1204</v>
      </c>
      <c r="V38" s="48" t="n">
        <f aca="false">IF(P38&lt;&gt;"",MONTH(P38),"")</f>
        <v>12</v>
      </c>
      <c r="X38" s="48" t="e">
        <f aca="false">VLOOKUP(J38,'Controle de equipamento'!$J:$J,1,0)</f>
        <v>#N/A</v>
      </c>
    </row>
    <row r="39" customFormat="false" ht="15" hidden="false" customHeight="false" outlineLevel="0" collapsed="false">
      <c r="A39" s="48" t="s">
        <v>67</v>
      </c>
      <c r="B39" s="48" t="s">
        <v>565</v>
      </c>
      <c r="C39" s="184" t="s">
        <v>566</v>
      </c>
      <c r="D39" s="48" t="s">
        <v>567</v>
      </c>
      <c r="E39" s="48" t="s">
        <v>560</v>
      </c>
      <c r="F39" s="184" t="s">
        <v>561</v>
      </c>
      <c r="G39" s="48" t="s">
        <v>568</v>
      </c>
      <c r="H39" s="48" t="s">
        <v>532</v>
      </c>
      <c r="I39" s="48" t="s">
        <v>86</v>
      </c>
      <c r="J39" s="185" t="s">
        <v>1266</v>
      </c>
      <c r="K39" s="48" t="s">
        <v>136</v>
      </c>
      <c r="L39" s="48" t="s">
        <v>137</v>
      </c>
      <c r="M39" s="48" t="s">
        <v>553</v>
      </c>
      <c r="N39" s="48" t="s">
        <v>554</v>
      </c>
      <c r="O39" s="186" t="n">
        <v>44239</v>
      </c>
      <c r="P39" s="186" t="n">
        <f aca="false">IFERROR(VLOOKUP(J39,'Obs Tecnicas'!$D$68:$I$379,5,0),O39)</f>
        <v>44239</v>
      </c>
      <c r="Q39" s="125" t="str">
        <f aca="true">IF(O39&lt;&gt;"",IF(O39+365&gt;TODAY(),"Calibrado","Vencido"),"")</f>
        <v>Vencido</v>
      </c>
      <c r="R39" s="119" t="n">
        <f aca="false">IFERROR(VLOOKUP(J39,'Obs Tecnicas'!$D$68:$G$399,2,0),"")</f>
        <v>13317</v>
      </c>
      <c r="S39" s="48" t="str">
        <f aca="false">IFERROR(VLOOKUP(J39,'Obs Tecnicas'!$D$68:$G$403,3,0),"Hexis")</f>
        <v>Hexis</v>
      </c>
      <c r="T39" s="48" t="n">
        <f aca="false">IFERROR(VLOOKUP(J39,'Obs Tecnicas'!$D$68:$G$403,4,0),"")</f>
        <v>0</v>
      </c>
      <c r="U39" s="133" t="s">
        <v>1204</v>
      </c>
      <c r="V39" s="48" t="n">
        <f aca="false">IF(P39&lt;&gt;"",MONTH(P39),"")</f>
        <v>2</v>
      </c>
      <c r="X39" s="48" t="n">
        <f aca="false">VLOOKUP(J39,'Controle de equipamento'!$J:$J,1,0)</f>
        <v>2983032</v>
      </c>
    </row>
    <row r="40" customFormat="false" ht="15" hidden="false" customHeight="true" outlineLevel="0" collapsed="false">
      <c r="A40" s="48" t="s">
        <v>67</v>
      </c>
      <c r="B40" s="48" t="s">
        <v>708</v>
      </c>
      <c r="C40" s="184" t="s">
        <v>709</v>
      </c>
      <c r="D40" s="48" t="s">
        <v>710</v>
      </c>
      <c r="E40" s="48" t="s">
        <v>711</v>
      </c>
      <c r="F40" s="184" t="s">
        <v>712</v>
      </c>
      <c r="G40" s="48" t="s">
        <v>547</v>
      </c>
      <c r="H40" s="48" t="s">
        <v>532</v>
      </c>
      <c r="I40" s="48" t="s">
        <v>86</v>
      </c>
      <c r="J40" s="124" t="s">
        <v>955</v>
      </c>
      <c r="K40" s="48" t="s">
        <v>136</v>
      </c>
      <c r="L40" s="48" t="s">
        <v>137</v>
      </c>
      <c r="M40" s="48" t="s">
        <v>703</v>
      </c>
      <c r="N40" s="48" t="s">
        <v>714</v>
      </c>
      <c r="O40" s="125" t="n">
        <v>44021</v>
      </c>
      <c r="P40" s="186" t="n">
        <f aca="false">IFERROR(VLOOKUP(J40,'Obs Tecnicas'!$D:$I,5,0),O40)</f>
        <v>44372</v>
      </c>
      <c r="Q40" s="125" t="str">
        <f aca="true">IF(P40&lt;&gt;"",IF(P40+365&gt;TODAY(),"Calibrado","Vencido"),"")</f>
        <v>Vencido</v>
      </c>
      <c r="R40" s="119" t="n">
        <f aca="false">IFERROR(VLOOKUP(J40,'Obs Tecnicas'!$D$68:$G$399,2,0),"")</f>
        <v>12719</v>
      </c>
      <c r="S40" s="48" t="str">
        <f aca="false">IFERROR(VLOOKUP(J40,'Obs Tecnicas'!$D$68:$G$403,3,0),"Hexis")</f>
        <v>ER ANALITICA</v>
      </c>
      <c r="T40" s="48" t="n">
        <f aca="false">IFERROR(VLOOKUP(J40,'Obs Tecnicas'!$D$68:$G$403,4,0),"")</f>
        <v>0</v>
      </c>
      <c r="U40" s="133" t="s">
        <v>1204</v>
      </c>
      <c r="V40" s="48" t="n">
        <f aca="false">IF(P40&lt;&gt;"",MONTH(P40),"")</f>
        <v>6</v>
      </c>
      <c r="W40" s="48" t="n">
        <v>4</v>
      </c>
      <c r="X40" s="48" t="e">
        <f aca="false">VLOOKUP(J40,'Controle de equipamento'!$J:$J,1,0)</f>
        <v>#N/A</v>
      </c>
    </row>
    <row r="41" customFormat="false" ht="15" hidden="false" customHeight="true" outlineLevel="0" collapsed="false">
      <c r="A41" s="48" t="s">
        <v>67</v>
      </c>
      <c r="B41" s="48" t="s">
        <v>708</v>
      </c>
      <c r="C41" s="184" t="s">
        <v>709</v>
      </c>
      <c r="D41" s="48" t="s">
        <v>710</v>
      </c>
      <c r="E41" s="48" t="s">
        <v>711</v>
      </c>
      <c r="F41" s="184" t="s">
        <v>712</v>
      </c>
      <c r="G41" s="48" t="s">
        <v>547</v>
      </c>
      <c r="H41" s="48" t="s">
        <v>532</v>
      </c>
      <c r="I41" s="48" t="s">
        <v>79</v>
      </c>
      <c r="J41" s="124" t="s">
        <v>950</v>
      </c>
      <c r="K41" s="48" t="s">
        <v>1134</v>
      </c>
      <c r="L41" s="48" t="s">
        <v>82</v>
      </c>
      <c r="M41" s="48" t="s">
        <v>703</v>
      </c>
      <c r="N41" s="48" t="s">
        <v>714</v>
      </c>
      <c r="O41" s="125" t="n">
        <v>44021</v>
      </c>
      <c r="P41" s="186" t="n">
        <f aca="false">IFERROR(VLOOKUP(J41,'Obs Tecnicas'!$D:$I,5,0),O41)</f>
        <v>44372</v>
      </c>
      <c r="Q41" s="125" t="str">
        <f aca="true">IF(P41&lt;&gt;"",IF(P41+365&gt;TODAY(),"Calibrado","Vencido"),"")</f>
        <v>Vencido</v>
      </c>
      <c r="R41" s="119" t="n">
        <f aca="false">IFERROR(VLOOKUP(J41,'Obs Tecnicas'!$D$68:$G$399,2,0),"")</f>
        <v>12717</v>
      </c>
      <c r="S41" s="48" t="str">
        <f aca="false">IFERROR(VLOOKUP(J41,'Obs Tecnicas'!$D$68:$G$403,3,0),"Hexis")</f>
        <v>ER ANALITICA</v>
      </c>
      <c r="T41" s="48" t="str">
        <f aca="false">IFERROR(VLOOKUP(J41,'Obs Tecnicas'!$D$68:$G$403,4,0),"")</f>
        <v>Compartimento de pilhas do instrumento encontra-se oxidado, sendo recomendado sua troca na próxima manutenção</v>
      </c>
      <c r="U41" s="133" t="s">
        <v>1204</v>
      </c>
      <c r="V41" s="48" t="n">
        <f aca="false">IF(P41&lt;&gt;"",MONTH(P41),"")</f>
        <v>6</v>
      </c>
      <c r="W41" s="48" t="n">
        <v>5</v>
      </c>
      <c r="X41" s="48" t="e">
        <f aca="false">VLOOKUP(J41,'Controle de equipamento'!$J:$J,1,0)</f>
        <v>#N/A</v>
      </c>
    </row>
    <row r="42" s="1" customFormat="true" ht="15" hidden="false" customHeight="true" outlineLevel="0" collapsed="false">
      <c r="A42" s="102" t="s">
        <v>67</v>
      </c>
      <c r="B42" s="102" t="s">
        <v>664</v>
      </c>
      <c r="C42" s="109" t="s">
        <v>665</v>
      </c>
      <c r="D42" s="102" t="s">
        <v>670</v>
      </c>
      <c r="E42" s="102" t="s">
        <v>664</v>
      </c>
      <c r="F42" s="109" t="s">
        <v>665</v>
      </c>
      <c r="G42" s="102" t="s">
        <v>547</v>
      </c>
      <c r="H42" s="102" t="s">
        <v>532</v>
      </c>
      <c r="I42" s="102" t="s">
        <v>79</v>
      </c>
      <c r="J42" s="110" t="s">
        <v>923</v>
      </c>
      <c r="K42" s="102" t="s">
        <v>1134</v>
      </c>
      <c r="L42" s="102" t="s">
        <v>82</v>
      </c>
      <c r="M42" s="102" t="s">
        <v>666</v>
      </c>
      <c r="N42" s="102" t="s">
        <v>667</v>
      </c>
      <c r="O42" s="111" t="n">
        <v>44068</v>
      </c>
      <c r="P42" s="112" t="n">
        <f aca="false">IFERROR(VLOOKUP(J42,'Obs Tecnicas'!$D:$I,5,0),O42)</f>
        <v>44370</v>
      </c>
      <c r="Q42" s="111" t="str">
        <f aca="true">IF(P42&lt;&gt;"",IF(P42+365&gt;TODAY(),"Calibrado","Vencido"),"")</f>
        <v>Vencido</v>
      </c>
      <c r="R42" s="113" t="n">
        <f aca="false">IFERROR(VLOOKUP(J42,'Obs Tecnicas'!$D:$G,2,0),"")</f>
        <v>12668</v>
      </c>
      <c r="S42" s="102" t="str">
        <f aca="false">IFERROR(VLOOKUP(J42,'Obs Tecnicas'!$D:$G,3,0),"Hexis")</f>
        <v>ER ANALITICA</v>
      </c>
      <c r="T42" s="102" t="str">
        <f aca="false">IFERROR(VLOOKUP(J42,'Obs Tecnicas'!$D:$G,4,0),"")</f>
        <v>Necessário a troca de todos filtros opticos para ajustar os valores de leitura.</v>
      </c>
      <c r="U42" s="128" t="s">
        <v>1204</v>
      </c>
      <c r="V42" s="1" t="n">
        <f aca="false">IF(P42&lt;&gt;"",MONTH(P42),"")</f>
        <v>6</v>
      </c>
      <c r="W42" s="1" t="n">
        <v>5</v>
      </c>
    </row>
    <row r="43" s="1" customFormat="true" ht="15" hidden="false" customHeight="true" outlineLevel="0" collapsed="false">
      <c r="A43" s="102" t="s">
        <v>67</v>
      </c>
      <c r="B43" s="102" t="s">
        <v>664</v>
      </c>
      <c r="C43" s="109" t="s">
        <v>665</v>
      </c>
      <c r="D43" s="102" t="s">
        <v>670</v>
      </c>
      <c r="E43" s="102" t="s">
        <v>664</v>
      </c>
      <c r="F43" s="109" t="s">
        <v>665</v>
      </c>
      <c r="G43" s="102" t="s">
        <v>547</v>
      </c>
      <c r="H43" s="102" t="s">
        <v>532</v>
      </c>
      <c r="I43" s="102" t="s">
        <v>83</v>
      </c>
      <c r="J43" s="110" t="n">
        <v>12587</v>
      </c>
      <c r="K43" s="102" t="s">
        <v>1267</v>
      </c>
      <c r="L43" s="102" t="s">
        <v>1268</v>
      </c>
      <c r="M43" s="102" t="s">
        <v>666</v>
      </c>
      <c r="N43" s="102" t="s">
        <v>667</v>
      </c>
      <c r="O43" s="111" t="n">
        <v>44068</v>
      </c>
      <c r="P43" s="112" t="n">
        <f aca="false">IFERROR(VLOOKUP(J43,'Obs Tecnicas'!$D:$I,5,0),O43)</f>
        <v>44370</v>
      </c>
      <c r="Q43" s="111" t="str">
        <f aca="true">IF(P43&lt;&gt;"",IF(P43+365&gt;TODAY(),"Calibrado","Vencido"),"")</f>
        <v>Vencido</v>
      </c>
      <c r="R43" s="113" t="n">
        <f aca="false">IFERROR(VLOOKUP(J43,'Obs Tecnicas'!$D:$G,2,0),"")</f>
        <v>12666</v>
      </c>
      <c r="S43" s="102" t="str">
        <f aca="false">IFERROR(VLOOKUP(J43,'Obs Tecnicas'!$D:$G,3,0),"Hexis")</f>
        <v>ER ANALITICA</v>
      </c>
      <c r="T43" s="102" t="n">
        <f aca="false">IFERROR(VLOOKUP(J43,'Obs Tecnicas'!$D:$G,4,0),"")</f>
        <v>0</v>
      </c>
      <c r="U43" s="128" t="s">
        <v>1204</v>
      </c>
      <c r="V43" s="1" t="n">
        <f aca="false">IF(P43&lt;&gt;"",MONTH(P43),"")</f>
        <v>6</v>
      </c>
      <c r="W43" s="1" t="n">
        <v>3</v>
      </c>
    </row>
    <row r="44" s="1" customFormat="true" ht="15" hidden="false" customHeight="true" outlineLevel="0" collapsed="false">
      <c r="A44" s="102" t="s">
        <v>67</v>
      </c>
      <c r="B44" s="102" t="s">
        <v>664</v>
      </c>
      <c r="C44" s="109" t="s">
        <v>665</v>
      </c>
      <c r="D44" s="102" t="s">
        <v>670</v>
      </c>
      <c r="E44" s="102" t="s">
        <v>664</v>
      </c>
      <c r="F44" s="109" t="s">
        <v>665</v>
      </c>
      <c r="G44" s="102" t="s">
        <v>547</v>
      </c>
      <c r="H44" s="102" t="s">
        <v>532</v>
      </c>
      <c r="I44" s="102" t="s">
        <v>86</v>
      </c>
      <c r="J44" s="110" t="n">
        <v>768951</v>
      </c>
      <c r="K44" s="102" t="s">
        <v>1134</v>
      </c>
      <c r="L44" s="102" t="s">
        <v>137</v>
      </c>
      <c r="M44" s="102" t="s">
        <v>666</v>
      </c>
      <c r="N44" s="102" t="s">
        <v>667</v>
      </c>
      <c r="O44" s="111" t="n">
        <v>44068</v>
      </c>
      <c r="P44" s="112" t="n">
        <f aca="false">IFERROR(VLOOKUP(J44,'Obs Tecnicas'!$D:$I,5,0),O44)</f>
        <v>44370</v>
      </c>
      <c r="Q44" s="111" t="str">
        <f aca="true">IF(P44&lt;&gt;"",IF(P44+365&gt;TODAY(),"Calibrado","Vencido"),"")</f>
        <v>Vencido</v>
      </c>
      <c r="R44" s="113" t="n">
        <f aca="false">IFERROR(VLOOKUP(J44,'Obs Tecnicas'!$D:$G,2,0),"")</f>
        <v>12661</v>
      </c>
      <c r="S44" s="102" t="str">
        <f aca="false">IFERROR(VLOOKUP(J44,'Obs Tecnicas'!$D:$G,3,0),"Hexis")</f>
        <v>ER ANALITICA</v>
      </c>
      <c r="T44" s="102" t="n">
        <f aca="false">IFERROR(VLOOKUP(J44,'Obs Tecnicas'!$D:$G,4,0),"")</f>
        <v>0</v>
      </c>
      <c r="U44" s="128" t="s">
        <v>1204</v>
      </c>
      <c r="V44" s="1" t="n">
        <f aca="false">IF(P44&lt;&gt;"",MONTH(P44),"")</f>
        <v>6</v>
      </c>
      <c r="W44" s="1" t="n">
        <v>3</v>
      </c>
    </row>
  </sheetData>
  <autoFilter ref="A1:W44"/>
  <conditionalFormatting sqref="O3">
    <cfRule type="expression" priority="2" aboveAverage="0" equalAverage="0" bottom="0" percent="0" rank="0" text="" dxfId="18">
      <formula>IF(O3&lt;=TODAY()-365,1)</formula>
    </cfRule>
    <cfRule type="expression" priority="3" aboveAverage="0" equalAverage="0" bottom="0" percent="0" rank="0" text="" dxfId="19">
      <formula>IF(O3&lt;(TODAY())-320,1)</formula>
    </cfRule>
    <cfRule type="expression" priority="4" aboveAverage="0" equalAverage="0" bottom="0" percent="0" rank="0" text="" dxfId="20">
      <formula>IF(O3&lt;(TODAY())+0,1)</formula>
    </cfRule>
  </conditionalFormatting>
  <conditionalFormatting sqref="O4">
    <cfRule type="expression" priority="5" aboveAverage="0" equalAverage="0" bottom="0" percent="0" rank="0" text="" dxfId="21">
      <formula>IF(O4&lt;=TODAY()-365,1)</formula>
    </cfRule>
    <cfRule type="expression" priority="6" aboveAverage="0" equalAverage="0" bottom="0" percent="0" rank="0" text="" dxfId="22">
      <formula>IF(O4&lt;(TODAY())-320,1)</formula>
    </cfRule>
    <cfRule type="expression" priority="7" aboveAverage="0" equalAverage="0" bottom="0" percent="0" rank="0" text="" dxfId="23">
      <formula>IF(O4&lt;(TODAY())+0,1)</formula>
    </cfRule>
  </conditionalFormatting>
  <conditionalFormatting sqref="O5">
    <cfRule type="expression" priority="8" aboveAverage="0" equalAverage="0" bottom="0" percent="0" rank="0" text="" dxfId="24">
      <formula>IF(O5&lt;=TODAY()-365,1)</formula>
    </cfRule>
    <cfRule type="expression" priority="9" aboveAverage="0" equalAverage="0" bottom="0" percent="0" rank="0" text="" dxfId="25">
      <formula>IF(O5&lt;(TODAY())-320,1)</formula>
    </cfRule>
    <cfRule type="expression" priority="10" aboveAverage="0" equalAverage="0" bottom="0" percent="0" rank="0" text="" dxfId="26">
      <formula>IF(O5&lt;(TODAY())+0,1)</formula>
    </cfRule>
  </conditionalFormatting>
  <conditionalFormatting sqref="O7">
    <cfRule type="expression" priority="11" aboveAverage="0" equalAverage="0" bottom="0" percent="0" rank="0" text="" dxfId="27">
      <formula>IF(O7&lt;=TODAY()-365,1)</formula>
    </cfRule>
    <cfRule type="expression" priority="12" aboveAverage="0" equalAverage="0" bottom="0" percent="0" rank="0" text="" dxfId="28">
      <formula>IF(O7&lt;(TODAY())-320,1)</formula>
    </cfRule>
    <cfRule type="expression" priority="13" aboveAverage="0" equalAverage="0" bottom="0" percent="0" rank="0" text="" dxfId="29">
      <formula>IF(O7&lt;(TODAY())+0,1)</formula>
    </cfRule>
  </conditionalFormatting>
  <conditionalFormatting sqref="O8:O9">
    <cfRule type="expression" priority="14" aboveAverage="0" equalAverage="0" bottom="0" percent="0" rank="0" text="" dxfId="30">
      <formula>IF(O8&lt;=TODAY()-365,1)</formula>
    </cfRule>
    <cfRule type="expression" priority="15" aboveAverage="0" equalAverage="0" bottom="0" percent="0" rank="0" text="" dxfId="31">
      <formula>IF(O8&lt;(TODAY())-320,1)</formula>
    </cfRule>
    <cfRule type="expression" priority="16" aboveAverage="0" equalAverage="0" bottom="0" percent="0" rank="0" text="" dxfId="32">
      <formula>IF(O8&lt;(TODAY())+0,1)</formula>
    </cfRule>
  </conditionalFormatting>
  <conditionalFormatting sqref="O10">
    <cfRule type="expression" priority="17" aboveAverage="0" equalAverage="0" bottom="0" percent="0" rank="0" text="" dxfId="33">
      <formula>IF(O10&lt;=TODAY()-365,1)</formula>
    </cfRule>
    <cfRule type="expression" priority="18" aboveAverage="0" equalAverage="0" bottom="0" percent="0" rank="0" text="" dxfId="34">
      <formula>IF(O10&lt;(TODAY())-320,1)</formula>
    </cfRule>
    <cfRule type="expression" priority="19" aboveAverage="0" equalAverage="0" bottom="0" percent="0" rank="0" text="" dxfId="35">
      <formula>IF(O10&lt;(TODAY())+0,1)</formula>
    </cfRule>
  </conditionalFormatting>
  <conditionalFormatting sqref="O11">
    <cfRule type="expression" priority="20" aboveAverage="0" equalAverage="0" bottom="0" percent="0" rank="0" text="" dxfId="36">
      <formula>IF(O11&lt;=TODAY()-365,1)</formula>
    </cfRule>
    <cfRule type="expression" priority="21" aboveAverage="0" equalAverage="0" bottom="0" percent="0" rank="0" text="" dxfId="37">
      <formula>IF(O11&lt;(TODAY())-320,1)</formula>
    </cfRule>
    <cfRule type="expression" priority="22" aboveAverage="0" equalAverage="0" bottom="0" percent="0" rank="0" text="" dxfId="38">
      <formula>IF(O11&lt;(TODAY())+0,1)</formula>
    </cfRule>
  </conditionalFormatting>
  <conditionalFormatting sqref="O12">
    <cfRule type="expression" priority="23" aboveAverage="0" equalAverage="0" bottom="0" percent="0" rank="0" text="" dxfId="39">
      <formula>IF(O12&lt;=TODAY()-365,1)</formula>
    </cfRule>
    <cfRule type="expression" priority="24" aboveAverage="0" equalAverage="0" bottom="0" percent="0" rank="0" text="" dxfId="40">
      <formula>IF(O12&lt;(TODAY())-320,1)</formula>
    </cfRule>
    <cfRule type="expression" priority="25" aboveAverage="0" equalAverage="0" bottom="0" percent="0" rank="0" text="" dxfId="41">
      <formula>IF(O12&lt;(TODAY())+0,1)</formula>
    </cfRule>
  </conditionalFormatting>
  <conditionalFormatting sqref="O13">
    <cfRule type="expression" priority="26" aboveAverage="0" equalAverage="0" bottom="0" percent="0" rank="0" text="" dxfId="42">
      <formula>IF(O13&lt;=TODAY()-365,1)</formula>
    </cfRule>
    <cfRule type="expression" priority="27" aboveAverage="0" equalAverage="0" bottom="0" percent="0" rank="0" text="" dxfId="43">
      <formula>IF(O13&lt;(TODAY())-320,1)</formula>
    </cfRule>
    <cfRule type="expression" priority="28" aboveAverage="0" equalAverage="0" bottom="0" percent="0" rank="0" text="" dxfId="44">
      <formula>IF(O13&lt;(TODAY())+0,1)</formula>
    </cfRule>
  </conditionalFormatting>
  <conditionalFormatting sqref="K13:N13 E13:I13 B13:C13">
    <cfRule type="colorScale" priority="29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O14">
    <cfRule type="expression" priority="30" aboveAverage="0" equalAverage="0" bottom="0" percent="0" rank="0" text="" dxfId="45">
      <formula>IF(O14&lt;=TODAY()-365,1)</formula>
    </cfRule>
    <cfRule type="expression" priority="31" aboveAverage="0" equalAverage="0" bottom="0" percent="0" rank="0" text="" dxfId="46">
      <formula>IF(O14&lt;(TODAY())-320,1)</formula>
    </cfRule>
    <cfRule type="expression" priority="32" aboveAverage="0" equalAverage="0" bottom="0" percent="0" rank="0" text="" dxfId="47">
      <formula>IF(O14&lt;(TODAY())+0,1)</formula>
    </cfRule>
  </conditionalFormatting>
  <conditionalFormatting sqref="E14:F14">
    <cfRule type="colorScale" priority="33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O15">
    <cfRule type="expression" priority="34" aboveAverage="0" equalAverage="0" bottom="0" percent="0" rank="0" text="" dxfId="48">
      <formula>IF(O15&lt;=TODAY()-365,1)</formula>
    </cfRule>
    <cfRule type="expression" priority="35" aboveAverage="0" equalAverage="0" bottom="0" percent="0" rank="0" text="" dxfId="49">
      <formula>IF(O15&lt;(TODAY())-320,1)</formula>
    </cfRule>
    <cfRule type="expression" priority="36" aboveAverage="0" equalAverage="0" bottom="0" percent="0" rank="0" text="" dxfId="50">
      <formula>IF(O15&lt;(TODAY())+0,1)</formula>
    </cfRule>
  </conditionalFormatting>
  <conditionalFormatting sqref="O16">
    <cfRule type="expression" priority="37" aboveAverage="0" equalAverage="0" bottom="0" percent="0" rank="0" text="" dxfId="51">
      <formula>IF(O16&lt;=TODAY()-365,1)</formula>
    </cfRule>
    <cfRule type="expression" priority="38" aboveAverage="0" equalAverage="0" bottom="0" percent="0" rank="0" text="" dxfId="52">
      <formula>IF(O16&lt;(TODAY())-320,1)</formula>
    </cfRule>
    <cfRule type="expression" priority="39" aboveAverage="0" equalAverage="0" bottom="0" percent="0" rank="0" text="" dxfId="53">
      <formula>IF(O16&lt;(TODAY())+0,1)</formula>
    </cfRule>
  </conditionalFormatting>
  <conditionalFormatting sqref="O17">
    <cfRule type="expression" priority="40" aboveAverage="0" equalAverage="0" bottom="0" percent="0" rank="0" text="" dxfId="54">
      <formula>IF(O17&lt;=TODAY()-365,1)</formula>
    </cfRule>
    <cfRule type="expression" priority="41" aboveAverage="0" equalAverage="0" bottom="0" percent="0" rank="0" text="" dxfId="55">
      <formula>IF(O17&lt;(TODAY())-320,1)</formula>
    </cfRule>
    <cfRule type="expression" priority="42" aboveAverage="0" equalAverage="0" bottom="0" percent="0" rank="0" text="" dxfId="56">
      <formula>IF(O17&lt;(TODAY())+0,1)</formula>
    </cfRule>
  </conditionalFormatting>
  <conditionalFormatting sqref="O18">
    <cfRule type="expression" priority="43" aboveAverage="0" equalAverage="0" bottom="0" percent="0" rank="0" text="" dxfId="57">
      <formula>IF(O18&lt;=TODAY()-365,1)</formula>
    </cfRule>
    <cfRule type="expression" priority="44" aboveAverage="0" equalAverage="0" bottom="0" percent="0" rank="0" text="" dxfId="58">
      <formula>IF(O18&lt;(TODAY())-320,1)</formula>
    </cfRule>
    <cfRule type="expression" priority="45" aboveAverage="0" equalAverage="0" bottom="0" percent="0" rank="0" text="" dxfId="59">
      <formula>IF(O18&lt;(TODAY())+0,1)</formula>
    </cfRule>
  </conditionalFormatting>
  <conditionalFormatting sqref="O19">
    <cfRule type="expression" priority="46" aboveAverage="0" equalAverage="0" bottom="0" percent="0" rank="0" text="" dxfId="60">
      <formula>IF(O19&lt;=TODAY()-365,1)</formula>
    </cfRule>
    <cfRule type="expression" priority="47" aboveAverage="0" equalAverage="0" bottom="0" percent="0" rank="0" text="" dxfId="61">
      <formula>IF(O19&lt;(TODAY())-320,1)</formula>
    </cfRule>
    <cfRule type="expression" priority="48" aboveAverage="0" equalAverage="0" bottom="0" percent="0" rank="0" text="" dxfId="62">
      <formula>IF(O19&lt;(TODAY())+0,1)</formula>
    </cfRule>
  </conditionalFormatting>
  <conditionalFormatting sqref="O20">
    <cfRule type="expression" priority="49" aboveAverage="0" equalAverage="0" bottom="0" percent="0" rank="0" text="" dxfId="63">
      <formula>IF(O20&lt;=TODAY()-365,1)</formula>
    </cfRule>
    <cfRule type="expression" priority="50" aboveAverage="0" equalAverage="0" bottom="0" percent="0" rank="0" text="" dxfId="64">
      <formula>IF(O20&lt;(TODAY())-320,1)</formula>
    </cfRule>
    <cfRule type="expression" priority="51" aboveAverage="0" equalAverage="0" bottom="0" percent="0" rank="0" text="" dxfId="65">
      <formula>IF(O20&lt;(TODAY())+0,1)</formula>
    </cfRule>
  </conditionalFormatting>
  <conditionalFormatting sqref="O22">
    <cfRule type="expression" priority="52" aboveAverage="0" equalAverage="0" bottom="0" percent="0" rank="0" text="" dxfId="66">
      <formula>IF(O22&lt;=TODAY()-365,1)</formula>
    </cfRule>
    <cfRule type="expression" priority="53" aboveAverage="0" equalAverage="0" bottom="0" percent="0" rank="0" text="" dxfId="67">
      <formula>IF(O22&lt;(TODAY())-320,1)</formula>
    </cfRule>
    <cfRule type="expression" priority="54" aboveAverage="0" equalAverage="0" bottom="0" percent="0" rank="0" text="" dxfId="68">
      <formula>IF(O22&lt;(TODAY())+0,1)</formula>
    </cfRule>
  </conditionalFormatting>
  <conditionalFormatting sqref="O23">
    <cfRule type="expression" priority="55" aboveAverage="0" equalAverage="0" bottom="0" percent="0" rank="0" text="" dxfId="69">
      <formula>IF(O23&lt;=TODAY()-365,1)</formula>
    </cfRule>
    <cfRule type="expression" priority="56" aboveAverage="0" equalAverage="0" bottom="0" percent="0" rank="0" text="" dxfId="70">
      <formula>IF(O23&lt;(TODAY())-320,1)</formula>
    </cfRule>
    <cfRule type="expression" priority="57" aboveAverage="0" equalAverage="0" bottom="0" percent="0" rank="0" text="" dxfId="71">
      <formula>IF(O23&lt;(TODAY())+0,1)</formula>
    </cfRule>
  </conditionalFormatting>
  <conditionalFormatting sqref="E23:F23">
    <cfRule type="colorScale" priority="58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O24">
    <cfRule type="expression" priority="59" aboveAverage="0" equalAverage="0" bottom="0" percent="0" rank="0" text="" dxfId="72">
      <formula>IF(O24&lt;=TODAY()-365,1)</formula>
    </cfRule>
    <cfRule type="expression" priority="60" aboveAverage="0" equalAverage="0" bottom="0" percent="0" rank="0" text="" dxfId="73">
      <formula>IF(O24&lt;(TODAY())-320,1)</formula>
    </cfRule>
    <cfRule type="expression" priority="61" aboveAverage="0" equalAverage="0" bottom="0" percent="0" rank="0" text="" dxfId="74">
      <formula>IF(O24&lt;(TODAY())+0,1)</formula>
    </cfRule>
  </conditionalFormatting>
  <conditionalFormatting sqref="O25">
    <cfRule type="expression" priority="62" aboveAverage="0" equalAverage="0" bottom="0" percent="0" rank="0" text="" dxfId="75">
      <formula>IF(O25&lt;=TODAY()-365,1)</formula>
    </cfRule>
    <cfRule type="expression" priority="63" aboveAverage="0" equalAverage="0" bottom="0" percent="0" rank="0" text="" dxfId="76">
      <formula>IF(O25&lt;(TODAY())-320,1)</formula>
    </cfRule>
    <cfRule type="expression" priority="64" aboveAverage="0" equalAverage="0" bottom="0" percent="0" rank="0" text="" dxfId="77">
      <formula>IF(O25&lt;(TODAY())+0,1)</formula>
    </cfRule>
  </conditionalFormatting>
  <conditionalFormatting sqref="O26">
    <cfRule type="expression" priority="65" aboveAverage="0" equalAverage="0" bottom="0" percent="0" rank="0" text="" dxfId="78">
      <formula>IF(O26&lt;=TODAY()-365,1)</formula>
    </cfRule>
    <cfRule type="expression" priority="66" aboveAverage="0" equalAverage="0" bottom="0" percent="0" rank="0" text="" dxfId="79">
      <formula>IF(O26&lt;(TODAY())-320,1)</formula>
    </cfRule>
    <cfRule type="expression" priority="67" aboveAverage="0" equalAverage="0" bottom="0" percent="0" rank="0" text="" dxfId="80">
      <formula>IF(O26&lt;(TODAY())+0,1)</formula>
    </cfRule>
  </conditionalFormatting>
  <conditionalFormatting sqref="O27">
    <cfRule type="expression" priority="68" aboveAverage="0" equalAverage="0" bottom="0" percent="0" rank="0" text="" dxfId="81">
      <formula>IF(O27&lt;=TODAY()-365,1)</formula>
    </cfRule>
    <cfRule type="expression" priority="69" aboveAverage="0" equalAverage="0" bottom="0" percent="0" rank="0" text="" dxfId="82">
      <formula>IF(O27&lt;(TODAY())-320,1)</formula>
    </cfRule>
    <cfRule type="expression" priority="70" aboveAverage="0" equalAverage="0" bottom="0" percent="0" rank="0" text="" dxfId="83">
      <formula>IF(O27&lt;(TODAY())+0,1)</formula>
    </cfRule>
  </conditionalFormatting>
  <conditionalFormatting sqref="O28">
    <cfRule type="expression" priority="71" aboveAverage="0" equalAverage="0" bottom="0" percent="0" rank="0" text="" dxfId="84">
      <formula>IF(O28&lt;=TODAY()-365,1)</formula>
    </cfRule>
    <cfRule type="expression" priority="72" aboveAverage="0" equalAverage="0" bottom="0" percent="0" rank="0" text="" dxfId="85">
      <formula>IF(O28&lt;(TODAY())-320,1)</formula>
    </cfRule>
    <cfRule type="expression" priority="73" aboveAverage="0" equalAverage="0" bottom="0" percent="0" rank="0" text="" dxfId="86">
      <formula>IF(O28&lt;(TODAY())+0,1)</formula>
    </cfRule>
  </conditionalFormatting>
  <conditionalFormatting sqref="O29">
    <cfRule type="expression" priority="74" aboveAverage="0" equalAverage="0" bottom="0" percent="0" rank="0" text="" dxfId="87">
      <formula>IF(O29&lt;=TODAY()-365,1)</formula>
    </cfRule>
    <cfRule type="expression" priority="75" aboveAverage="0" equalAverage="0" bottom="0" percent="0" rank="0" text="" dxfId="88">
      <formula>IF(O29&lt;(TODAY())-320,1)</formula>
    </cfRule>
    <cfRule type="expression" priority="76" aboveAverage="0" equalAverage="0" bottom="0" percent="0" rank="0" text="" dxfId="89">
      <formula>IF(O29&lt;(TODAY())+0,1)</formula>
    </cfRule>
  </conditionalFormatting>
  <conditionalFormatting sqref="O30">
    <cfRule type="expression" priority="77" aboveAverage="0" equalAverage="0" bottom="0" percent="0" rank="0" text="" dxfId="90">
      <formula>IF(O30&lt;=TODAY()-365,1)</formula>
    </cfRule>
    <cfRule type="expression" priority="78" aboveAverage="0" equalAverage="0" bottom="0" percent="0" rank="0" text="" dxfId="91">
      <formula>IF(O30&lt;(TODAY())-320,1)</formula>
    </cfRule>
    <cfRule type="expression" priority="79" aboveAverage="0" equalAverage="0" bottom="0" percent="0" rank="0" text="" dxfId="92">
      <formula>IF(O30&lt;(TODAY())+0,1)</formula>
    </cfRule>
  </conditionalFormatting>
  <conditionalFormatting sqref="O31:O32">
    <cfRule type="expression" priority="80" aboveAverage="0" equalAverage="0" bottom="0" percent="0" rank="0" text="" dxfId="93">
      <formula>IF(O31&lt;=TODAY()-365,1)</formula>
    </cfRule>
    <cfRule type="expression" priority="81" aboveAverage="0" equalAverage="0" bottom="0" percent="0" rank="0" text="" dxfId="94">
      <formula>IF(O31&lt;(TODAY())-320,1)</formula>
    </cfRule>
    <cfRule type="expression" priority="82" aboveAverage="0" equalAverage="0" bottom="0" percent="0" rank="0" text="" dxfId="95">
      <formula>IF(O31&lt;(TODAY())+0,1)</formula>
    </cfRule>
  </conditionalFormatting>
  <conditionalFormatting sqref="O33">
    <cfRule type="expression" priority="83" aboveAverage="0" equalAverage="0" bottom="0" percent="0" rank="0" text="" dxfId="96">
      <formula>IF(O33&lt;=TODAY()-365,1)</formula>
    </cfRule>
    <cfRule type="expression" priority="84" aboveAverage="0" equalAverage="0" bottom="0" percent="0" rank="0" text="" dxfId="97">
      <formula>IF(O33&lt;(TODAY())-320,1)</formula>
    </cfRule>
    <cfRule type="expression" priority="85" aboveAverage="0" equalAverage="0" bottom="0" percent="0" rank="0" text="" dxfId="98">
      <formula>IF(O33&lt;(TODAY())+0,1)</formula>
    </cfRule>
  </conditionalFormatting>
  <conditionalFormatting sqref="O34">
    <cfRule type="expression" priority="86" aboveAverage="0" equalAverage="0" bottom="0" percent="0" rank="0" text="" dxfId="99">
      <formula>IF(O34&lt;=TODAY()-365,1)</formula>
    </cfRule>
    <cfRule type="expression" priority="87" aboveAverage="0" equalAverage="0" bottom="0" percent="0" rank="0" text="" dxfId="100">
      <formula>IF(O34&lt;(TODAY())-320,1)</formula>
    </cfRule>
    <cfRule type="expression" priority="88" aboveAverage="0" equalAverage="0" bottom="0" percent="0" rank="0" text="" dxfId="101">
      <formula>IF(O34&lt;(TODAY())+0,1)</formula>
    </cfRule>
  </conditionalFormatting>
  <conditionalFormatting sqref="O35">
    <cfRule type="expression" priority="89" aboveAverage="0" equalAverage="0" bottom="0" percent="0" rank="0" text="" dxfId="102">
      <formula>IF(O35&lt;=TODAY()-365,1)</formula>
    </cfRule>
    <cfRule type="expression" priority="90" aboveAverage="0" equalAverage="0" bottom="0" percent="0" rank="0" text="" dxfId="103">
      <formula>IF(O35&lt;(TODAY())-320,1)</formula>
    </cfRule>
    <cfRule type="expression" priority="91" aboveAverage="0" equalAverage="0" bottom="0" percent="0" rank="0" text="" dxfId="104">
      <formula>IF(O35&lt;(TODAY())+0,1)</formula>
    </cfRule>
  </conditionalFormatting>
  <conditionalFormatting sqref="O36">
    <cfRule type="expression" priority="92" aboveAverage="0" equalAverage="0" bottom="0" percent="0" rank="0" text="" dxfId="105">
      <formula>IF(O36&lt;=TODAY()-365,1)</formula>
    </cfRule>
    <cfRule type="expression" priority="93" aboveAverage="0" equalAverage="0" bottom="0" percent="0" rank="0" text="" dxfId="106">
      <formula>IF(O36&lt;(TODAY())-320,1)</formula>
    </cfRule>
    <cfRule type="expression" priority="94" aboveAverage="0" equalAverage="0" bottom="0" percent="0" rank="0" text="" dxfId="107">
      <formula>IF(O36&lt;(TODAY())+0,1)</formula>
    </cfRule>
  </conditionalFormatting>
  <conditionalFormatting sqref="O37">
    <cfRule type="expression" priority="95" aboveAverage="0" equalAverage="0" bottom="0" percent="0" rank="0" text="" dxfId="108">
      <formula>IF(O37&lt;=TODAY()-365,1)</formula>
    </cfRule>
    <cfRule type="expression" priority="96" aboveAverage="0" equalAverage="0" bottom="0" percent="0" rank="0" text="" dxfId="109">
      <formula>IF(O37&lt;(TODAY())-320,1)</formula>
    </cfRule>
    <cfRule type="expression" priority="97" aboveAverage="0" equalAverage="0" bottom="0" percent="0" rank="0" text="" dxfId="110">
      <formula>IF(O37&lt;(TODAY())+0,1)</formula>
    </cfRule>
  </conditionalFormatting>
  <conditionalFormatting sqref="O38">
    <cfRule type="expression" priority="98" aboveAverage="0" equalAverage="0" bottom="0" percent="0" rank="0" text="" dxfId="111">
      <formula>IF(O38&lt;=TODAY()-365,1)</formula>
    </cfRule>
    <cfRule type="expression" priority="99" aboveAverage="0" equalAverage="0" bottom="0" percent="0" rank="0" text="" dxfId="112">
      <formula>IF(O38&lt;(TODAY())-320,1)</formula>
    </cfRule>
    <cfRule type="expression" priority="100" aboveAverage="0" equalAverage="0" bottom="0" percent="0" rank="0" text="" dxfId="113">
      <formula>IF(O38&lt;(TODAY())+0,1)</formula>
    </cfRule>
  </conditionalFormatting>
  <conditionalFormatting sqref="Q2:Q39">
    <cfRule type="expression" priority="101" aboveAverage="0" equalAverage="0" bottom="0" percent="0" rank="0" text="" dxfId="114">
      <formula>IF(O2&lt;=TODAY()-365,1)</formula>
    </cfRule>
    <cfRule type="expression" priority="102" aboveAverage="0" equalAverage="0" bottom="0" percent="0" rank="0" text="" dxfId="115">
      <formula>IF(O2&lt;(TODAY())-320,1)</formula>
    </cfRule>
    <cfRule type="expression" priority="103" aboveAverage="0" equalAverage="0" bottom="0" percent="0" rank="0" text="" dxfId="116">
      <formula>IF(O2&lt;(TODAY())+0,1)</formula>
    </cfRule>
  </conditionalFormatting>
  <conditionalFormatting sqref="O40">
    <cfRule type="expression" priority="104" aboveAverage="0" equalAverage="0" bottom="0" percent="0" rank="0" text="" dxfId="117">
      <formula>IF(O40&lt;=TODAY()-365,1)</formula>
    </cfRule>
    <cfRule type="expression" priority="105" aboveAverage="0" equalAverage="0" bottom="0" percent="0" rank="0" text="" dxfId="118">
      <formula>IF(O40&lt;(TODAY())-320,1)</formula>
    </cfRule>
    <cfRule type="expression" priority="106" aboveAverage="0" equalAverage="0" bottom="0" percent="0" rank="0" text="" dxfId="119">
      <formula>IF(O40&lt;(TODAY())+0,1)</formula>
    </cfRule>
  </conditionalFormatting>
  <conditionalFormatting sqref="Q40">
    <cfRule type="expression" priority="107" aboveAverage="0" equalAverage="0" bottom="0" percent="0" rank="0" text="" dxfId="120">
      <formula>IF(P40&lt;=TODAY()-365,1)</formula>
    </cfRule>
    <cfRule type="expression" priority="108" aboveAverage="0" equalAverage="0" bottom="0" percent="0" rank="0" text="" dxfId="121">
      <formula>IF(P40&lt;(TODAY())-270,1)</formula>
    </cfRule>
    <cfRule type="expression" priority="109" aboveAverage="0" equalAverage="0" bottom="0" percent="0" rank="0" text="" dxfId="122">
      <formula>IF(P40&lt;(TODAY())+0,1)</formula>
    </cfRule>
  </conditionalFormatting>
  <conditionalFormatting sqref="O41">
    <cfRule type="expression" priority="110" aboveAverage="0" equalAverage="0" bottom="0" percent="0" rank="0" text="" dxfId="123">
      <formula>IF(O41&lt;=TODAY()-365,1)</formula>
    </cfRule>
    <cfRule type="expression" priority="111" aboveAverage="0" equalAverage="0" bottom="0" percent="0" rank="0" text="" dxfId="124">
      <formula>IF(O41&lt;(TODAY())-320,1)</formula>
    </cfRule>
    <cfRule type="expression" priority="112" aboveAverage="0" equalAverage="0" bottom="0" percent="0" rank="0" text="" dxfId="125">
      <formula>IF(O41&lt;(TODAY())+0,1)</formula>
    </cfRule>
  </conditionalFormatting>
  <conditionalFormatting sqref="Q41">
    <cfRule type="expression" priority="113" aboveAverage="0" equalAverage="0" bottom="0" percent="0" rank="0" text="" dxfId="126">
      <formula>IF(P41&lt;=TODAY()-365,1)</formula>
    </cfRule>
    <cfRule type="expression" priority="114" aboveAverage="0" equalAverage="0" bottom="0" percent="0" rank="0" text="" dxfId="127">
      <formula>IF(P41&lt;(TODAY())-270,1)</formula>
    </cfRule>
    <cfRule type="expression" priority="115" aboveAverage="0" equalAverage="0" bottom="0" percent="0" rank="0" text="" dxfId="128">
      <formula>IF(P41&lt;(TODAY())+0,1)</formula>
    </cfRule>
  </conditionalFormatting>
  <conditionalFormatting sqref="O42">
    <cfRule type="expression" priority="116" aboveAverage="0" equalAverage="0" bottom="0" percent="0" rank="0" text="" dxfId="129">
      <formula>IF(O42&lt;=TODAY()-365,1)</formula>
    </cfRule>
    <cfRule type="expression" priority="117" aboveAverage="0" equalAverage="0" bottom="0" percent="0" rank="0" text="" dxfId="130">
      <formula>IF(O42&lt;(TODAY())-320,1)</formula>
    </cfRule>
    <cfRule type="expression" priority="118" aboveAverage="0" equalAverage="0" bottom="0" percent="0" rank="0" text="" dxfId="131">
      <formula>IF(O42&lt;(TODAY())+0,1)</formula>
    </cfRule>
  </conditionalFormatting>
  <conditionalFormatting sqref="Q42">
    <cfRule type="expression" priority="119" aboveAverage="0" equalAverage="0" bottom="0" percent="0" rank="0" text="" dxfId="132">
      <formula>IF(P42&lt;=TODAY()-365,1)</formula>
    </cfRule>
    <cfRule type="expression" priority="120" aboveAverage="0" equalAverage="0" bottom="0" percent="0" rank="0" text="" dxfId="133">
      <formula>IF(P42&lt;(TODAY())-270,1)</formula>
    </cfRule>
    <cfRule type="expression" priority="121" aboveAverage="0" equalAverage="0" bottom="0" percent="0" rank="0" text="" dxfId="134">
      <formula>IF(P42&lt;(TODAY())+0,1)</formula>
    </cfRule>
  </conditionalFormatting>
  <conditionalFormatting sqref="O43">
    <cfRule type="expression" priority="122" aboveAverage="0" equalAverage="0" bottom="0" percent="0" rank="0" text="" dxfId="135">
      <formula>IF(O43&lt;=TODAY()-365,1)</formula>
    </cfRule>
    <cfRule type="expression" priority="123" aboveAverage="0" equalAverage="0" bottom="0" percent="0" rank="0" text="" dxfId="136">
      <formula>IF(O43&lt;(TODAY())-320,1)</formula>
    </cfRule>
    <cfRule type="expression" priority="124" aboveAverage="0" equalAverage="0" bottom="0" percent="0" rank="0" text="" dxfId="137">
      <formula>IF(O43&lt;(TODAY())+0,1)</formula>
    </cfRule>
  </conditionalFormatting>
  <conditionalFormatting sqref="Q43">
    <cfRule type="expression" priority="125" aboveAverage="0" equalAverage="0" bottom="0" percent="0" rank="0" text="" dxfId="138">
      <formula>IF(P43&lt;=TODAY()-365,1)</formula>
    </cfRule>
    <cfRule type="expression" priority="126" aboveAverage="0" equalAverage="0" bottom="0" percent="0" rank="0" text="" dxfId="139">
      <formula>IF(P43&lt;(TODAY())-270,1)</formula>
    </cfRule>
    <cfRule type="expression" priority="127" aboveAverage="0" equalAverage="0" bottom="0" percent="0" rank="0" text="" dxfId="140">
      <formula>IF(P43&lt;(TODAY())+0,1)</formula>
    </cfRule>
  </conditionalFormatting>
  <conditionalFormatting sqref="O44">
    <cfRule type="expression" priority="128" aboveAverage="0" equalAverage="0" bottom="0" percent="0" rank="0" text="" dxfId="141">
      <formula>IF(O44&lt;=TODAY()-365,1)</formula>
    </cfRule>
    <cfRule type="expression" priority="129" aboveAverage="0" equalAverage="0" bottom="0" percent="0" rank="0" text="" dxfId="142">
      <formula>IF(O44&lt;(TODAY())-320,1)</formula>
    </cfRule>
    <cfRule type="expression" priority="130" aboveAverage="0" equalAverage="0" bottom="0" percent="0" rank="0" text="" dxfId="143">
      <formula>IF(O44&lt;(TODAY())+0,1)</formula>
    </cfRule>
  </conditionalFormatting>
  <conditionalFormatting sqref="Q44">
    <cfRule type="expression" priority="131" aboveAverage="0" equalAverage="0" bottom="0" percent="0" rank="0" text="" dxfId="144">
      <formula>IF(P44&lt;=TODAY()-365,1)</formula>
    </cfRule>
    <cfRule type="expression" priority="132" aboveAverage="0" equalAverage="0" bottom="0" percent="0" rank="0" text="" dxfId="145">
      <formula>IF(P44&lt;(TODAY())-270,1)</formula>
    </cfRule>
    <cfRule type="expression" priority="133" aboveAverage="0" equalAverage="0" bottom="0" percent="0" rank="0" text="" dxfId="146">
      <formula>IF(P44&lt;(TODAY())+0,1)</formula>
    </cfRule>
  </conditionalFormatting>
  <dataValidations count="2">
    <dataValidation allowBlank="true" operator="between" showDropDown="false" showErrorMessage="true" showInputMessage="true" sqref="U1:V1 U2:U41" type="list">
      <formula1>"ADICIONADO,REALIZADO,DESATIVADO,NÃO ENCONTRADO,AGENDADO,SEM RETORNO DO OWNER"</formula1>
      <formula2>0</formula2>
    </dataValidation>
    <dataValidation allowBlank="true" operator="between" showDropDown="false" showErrorMessage="true" showInputMessage="true" sqref="U42:U44" type="list">
      <formula1>"ADICIONADO,REALIZADO,DESATIVADO,NÃO ENCONTRADO,AGENDADO,SEM RETORNO DO OWNER,EM CONTATO,CONTATO FEITO,EM CONSERTO INTERNO,AGUARDANDO RETORNO "</formula1>
      <formula2>0</formula2>
    </dataValidation>
  </dataValidations>
  <hyperlinks>
    <hyperlink ref="F2" r:id="rId1" display="rafael.campos@suez.com"/>
    <hyperlink ref="C3" r:id="rId2" display="rafael.nascimento@suez.com"/>
    <hyperlink ref="F3" r:id="rId3" display="rafael.nascimento@suez.com"/>
    <hyperlink ref="C4" r:id="rId4" display="natalia.correa@suez.com"/>
    <hyperlink ref="F4" r:id="rId5" display="renato.chialastri@suez.com"/>
    <hyperlink ref="C6" r:id="rId6" display="glauber.ruiz@suez.com"/>
    <hyperlink ref="F6" r:id="rId7" display="leandro.zunkowski@suez.com"/>
    <hyperlink ref="F7" r:id="rId8" display="amadeu.peixoto@suez.com"/>
    <hyperlink ref="C8" r:id="rId9" display="larissa.silva@suez.com"/>
    <hyperlink ref="F8" r:id="rId10" display="amadeu.peixoto@suez.com"/>
    <hyperlink ref="C9" r:id="rId11" display="larissa.silva@suez.com"/>
    <hyperlink ref="F9" r:id="rId12" display="amadeu.peixoto@suez.com"/>
    <hyperlink ref="C10" r:id="rId13" display="matheus.bahr@suez.com"/>
    <hyperlink ref="F10" r:id="rId14" display="rafael.nascimento@suez.com"/>
    <hyperlink ref="C11" r:id="rId15" display="matheus.bahr@suez.com"/>
    <hyperlink ref="F11" r:id="rId16" display="rafael.nascimento@suez.com"/>
    <hyperlink ref="C12" r:id="rId17" display="thiago.tomazelli@suez.com"/>
    <hyperlink ref="F12" r:id="rId18" display="felipe.viegas@suez.com"/>
    <hyperlink ref="C13" r:id="rId19" display="davi.santos@suez.com"/>
    <hyperlink ref="C14" r:id="rId20" display="davi.santos@suez.com"/>
    <hyperlink ref="F15" r:id="rId21" display="paulo.corsete@suez.com"/>
    <hyperlink ref="F16" r:id="rId22" display="paulo.corsete@suez.com"/>
    <hyperlink ref="F17" r:id="rId23" display="paulo.corsete@suez.com"/>
    <hyperlink ref="C18" r:id="rId24" display="thais.nunes@suez.com"/>
    <hyperlink ref="F18" r:id="rId25" display="paulo.corsete@suez.com"/>
    <hyperlink ref="F19" r:id="rId26" display="paulo.corsete@suez.com"/>
    <hyperlink ref="F20" r:id="rId27" display="paulo.corsete@suez.com"/>
    <hyperlink ref="C21" r:id="rId28" display="fernanda.kaiser@suez.com"/>
    <hyperlink ref="C26" r:id="rId29" display="jose.nascimento@suez.com"/>
    <hyperlink ref="F26" r:id="rId30" display="rodrigo.silva@suez.com"/>
    <hyperlink ref="C27" r:id="rId31" display="jose.nascimento@suez.com"/>
    <hyperlink ref="F27" r:id="rId32" display="rodrigo.silva@suez.com"/>
    <hyperlink ref="C28" r:id="rId33" display="jose.nascimento@suez.com"/>
    <hyperlink ref="F28" r:id="rId34" display="rodrigo.silva@suez.com"/>
    <hyperlink ref="C29" r:id="rId35" display="rosangela.soares@suez.com"/>
    <hyperlink ref="F29" r:id="rId36" display="adalberto.diniz@suez.com"/>
    <hyperlink ref="C30" r:id="rId37" display="rosangela.soares@suez.com"/>
    <hyperlink ref="F30" r:id="rId38" display="adalberto.diniz@suez.com"/>
    <hyperlink ref="F31" r:id="rId39" display="adalberto.diniz@suez.com"/>
    <hyperlink ref="C33" r:id="rId40" display="tatiana.almeida@suez.com"/>
    <hyperlink ref="F33" r:id="rId41" display="marcelo.soto@suez.com"/>
    <hyperlink ref="C34" r:id="rId42" display="tatiana.almeida@suez.com"/>
    <hyperlink ref="F34" r:id="rId43" display="marcelo.soto@suez.com"/>
    <hyperlink ref="C35" r:id="rId44" display="tatiana.almeida@suez.com"/>
    <hyperlink ref="F35" r:id="rId45" display="marcelo.soto@suez.com"/>
    <hyperlink ref="C36" r:id="rId46" display="matheus.ferreira@suez.com"/>
    <hyperlink ref="F36" r:id="rId47" display="carlos.santos@suez.com"/>
    <hyperlink ref="F37" r:id="rId48" display="renato.chialastri@suez.com"/>
    <hyperlink ref="C38" r:id="rId49" display="rodrigo.amaro@suez.com"/>
    <hyperlink ref="F38" r:id="rId50" display="renato.chialastri@suez.com"/>
    <hyperlink ref="C39" r:id="rId51" display="flaminio.neto@suez.com"/>
    <hyperlink ref="F40" r:id="rId52" display="gustavo.pereira@suez.com"/>
    <hyperlink ref="C41" r:id="rId53" display="a.ribeiro@suez.com"/>
    <hyperlink ref="F41" r:id="rId54" display="gustavo.pereira@suez.com"/>
    <hyperlink ref="C42" r:id="rId55" display="amadeu.peixoto@suez.com"/>
    <hyperlink ref="F42" r:id="rId56" display="amadeu.peixoto@suez.com"/>
    <hyperlink ref="C43" r:id="rId57" display="amadeu.peixoto@suez.com"/>
    <hyperlink ref="F43" r:id="rId58" display="amadeu.peixoto@suez.com"/>
    <hyperlink ref="C44" r:id="rId59" display="amadeu.peixoto@suez.com"/>
    <hyperlink ref="F44" r:id="rId60" display="amadeu.peixoto@suez.com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6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3"/>
  <sheetViews>
    <sheetView showFormulas="false" showGridLines="true" showRowColHeaders="true" showZeros="true" rightToLeft="false" tabSelected="false" showOutlineSymbols="true" defaultGridColor="true" view="normal" topLeftCell="F13" colorId="64" zoomScale="100" zoomScaleNormal="100" zoomScalePageLayoutView="100" workbookViewId="0">
      <selection pane="topLeft" activeCell="M18" activeCellId="0" sqref="M18"/>
    </sheetView>
  </sheetViews>
  <sheetFormatPr defaultColWidth="9.14453125" defaultRowHeight="15" zeroHeight="false" outlineLevelRow="0" outlineLevelCol="0"/>
  <cols>
    <col collapsed="false" customWidth="true" hidden="false" outlineLevel="0" max="1" min="1" style="48" width="12.57"/>
    <col collapsed="false" customWidth="true" hidden="false" outlineLevel="0" max="2" min="2" style="48" width="30"/>
    <col collapsed="false" customWidth="true" hidden="false" outlineLevel="0" max="3" min="3" style="48" width="29.42"/>
    <col collapsed="false" customWidth="true" hidden="false" outlineLevel="0" max="4" min="4" style="48" width="14.71"/>
    <col collapsed="false" customWidth="true" hidden="false" outlineLevel="0" max="5" min="5" style="48" width="20.28"/>
    <col collapsed="false" customWidth="true" hidden="false" outlineLevel="0" max="6" min="6" style="48" width="28.29"/>
    <col collapsed="false" customWidth="true" hidden="false" outlineLevel="0" max="7" min="7" style="48" width="22.28"/>
    <col collapsed="false" customWidth="true" hidden="false" outlineLevel="0" max="8" min="8" style="48" width="12.71"/>
    <col collapsed="false" customWidth="true" hidden="false" outlineLevel="0" max="9" min="9" style="48" width="18"/>
    <col collapsed="false" customWidth="true" hidden="false" outlineLevel="0" max="10" min="10" style="135" width="18.85"/>
    <col collapsed="false" customWidth="true" hidden="false" outlineLevel="0" max="11" min="11" style="48" width="16.85"/>
    <col collapsed="false" customWidth="true" hidden="false" outlineLevel="0" max="12" min="12" style="48" width="11.71"/>
    <col collapsed="false" customWidth="true" hidden="false" outlineLevel="0" max="13" min="13" style="48" width="26.29"/>
    <col collapsed="false" customWidth="true" hidden="false" outlineLevel="0" max="14" min="14" style="48" width="31.86"/>
    <col collapsed="false" customWidth="true" hidden="false" outlineLevel="0" max="15" min="15" style="48" width="12.57"/>
    <col collapsed="false" customWidth="true" hidden="false" outlineLevel="0" max="16" min="16" style="48" width="15.57"/>
    <col collapsed="false" customWidth="true" hidden="false" outlineLevel="0" max="17" min="17" style="48" width="11.14"/>
    <col collapsed="false" customWidth="true" hidden="false" outlineLevel="0" max="18" min="18" style="48" width="13.71"/>
    <col collapsed="false" customWidth="true" hidden="false" outlineLevel="0" max="19" min="19" style="48" width="13.14"/>
    <col collapsed="false" customWidth="true" hidden="false" outlineLevel="0" max="20" min="20" style="48" width="85.43"/>
    <col collapsed="false" customWidth="true" hidden="false" outlineLevel="0" max="21" min="21" style="48" width="13"/>
    <col collapsed="false" customWidth="true" hidden="false" outlineLevel="0" max="22" min="22" style="48" width="9.28"/>
    <col collapsed="false" customWidth="false" hidden="false" outlineLevel="0" max="1024" min="23" style="48" width="9.14"/>
  </cols>
  <sheetData>
    <row r="1" s="190" customFormat="true" ht="25.5" hidden="false" customHeight="false" outlineLevel="0" collapsed="false">
      <c r="A1" s="104" t="s">
        <v>46</v>
      </c>
      <c r="B1" s="104" t="s">
        <v>47</v>
      </c>
      <c r="C1" s="104" t="s">
        <v>48</v>
      </c>
      <c r="D1" s="104" t="s">
        <v>49</v>
      </c>
      <c r="E1" s="104" t="s">
        <v>50</v>
      </c>
      <c r="F1" s="104" t="s">
        <v>51</v>
      </c>
      <c r="G1" s="104" t="s">
        <v>52</v>
      </c>
      <c r="H1" s="105" t="s">
        <v>53</v>
      </c>
      <c r="I1" s="104" t="s">
        <v>54</v>
      </c>
      <c r="J1" s="183" t="s">
        <v>55</v>
      </c>
      <c r="K1" s="104" t="s">
        <v>56</v>
      </c>
      <c r="L1" s="104" t="s">
        <v>57</v>
      </c>
      <c r="M1" s="105" t="s">
        <v>58</v>
      </c>
      <c r="N1" s="105" t="s">
        <v>59</v>
      </c>
      <c r="O1" s="108"/>
      <c r="P1" s="108" t="s">
        <v>61</v>
      </c>
      <c r="Q1" s="108" t="s">
        <v>1269</v>
      </c>
      <c r="R1" s="105" t="s">
        <v>63</v>
      </c>
      <c r="S1" s="105" t="s">
        <v>64</v>
      </c>
      <c r="T1" s="105" t="s">
        <v>65</v>
      </c>
      <c r="U1" s="105" t="s">
        <v>66</v>
      </c>
      <c r="V1" s="105" t="s">
        <v>66</v>
      </c>
    </row>
    <row r="2" customFormat="false" ht="15" hidden="false" customHeight="false" outlineLevel="0" collapsed="false">
      <c r="A2" s="48" t="s">
        <v>67</v>
      </c>
      <c r="B2" s="48" t="s">
        <v>1270</v>
      </c>
      <c r="C2" s="184" t="s">
        <v>1271</v>
      </c>
      <c r="D2" s="48" t="s">
        <v>1272</v>
      </c>
      <c r="E2" s="48" t="s">
        <v>626</v>
      </c>
      <c r="F2" s="184" t="s">
        <v>627</v>
      </c>
      <c r="G2" s="48" t="s">
        <v>326</v>
      </c>
      <c r="H2" s="48" t="s">
        <v>532</v>
      </c>
      <c r="I2" s="48" t="s">
        <v>86</v>
      </c>
      <c r="J2" s="185" t="s">
        <v>1273</v>
      </c>
      <c r="K2" s="48" t="s">
        <v>136</v>
      </c>
      <c r="L2" s="48" t="s">
        <v>137</v>
      </c>
      <c r="M2" s="48" t="s">
        <v>553</v>
      </c>
      <c r="N2" s="48" t="s">
        <v>630</v>
      </c>
      <c r="P2" s="186" t="n">
        <v>44333</v>
      </c>
      <c r="Q2" s="186" t="str">
        <f aca="true">IF(P2&lt;&gt;"",IF(P2+365&gt;TODAY(),"Calibrado","Vencido"),"")</f>
        <v>Vencido</v>
      </c>
      <c r="R2" s="48" t="str">
        <f aca="false">IFERROR(VLOOKUP(J2,'Obs Tecnicas'!$D$68:$G$399,2,0),"")</f>
        <v/>
      </c>
      <c r="S2" s="48" t="str">
        <f aca="false">IFERROR(VLOOKUP(J2,'Obs Tecnicas'!$D$68:$G$403,3,0),"Hexis")</f>
        <v>Hexis</v>
      </c>
      <c r="T2" s="48" t="str">
        <f aca="false">IFERROR(VLOOKUP(J4,'Obs Tecnicas'!$D$68:$G$403,4,0),"")</f>
        <v>Demora excessiva na estabilização das leituras, indicando vida útil avançada do sensor de pH.</v>
      </c>
      <c r="U2" s="133" t="s">
        <v>1274</v>
      </c>
      <c r="V2" s="134" t="n">
        <f aca="false">IF(P2&lt;&gt;"",MONTH(P2),"")</f>
        <v>5</v>
      </c>
    </row>
    <row r="3" customFormat="false" ht="15" hidden="false" customHeight="false" outlineLevel="0" collapsed="false">
      <c r="A3" s="48" t="s">
        <v>67</v>
      </c>
      <c r="B3" s="48" t="s">
        <v>1275</v>
      </c>
      <c r="C3" s="184" t="s">
        <v>643</v>
      </c>
      <c r="D3" s="48" t="s">
        <v>1276</v>
      </c>
      <c r="E3" s="48" t="s">
        <v>1275</v>
      </c>
      <c r="F3" s="184" t="s">
        <v>643</v>
      </c>
      <c r="G3" s="48" t="s">
        <v>326</v>
      </c>
      <c r="H3" s="48" t="s">
        <v>532</v>
      </c>
      <c r="I3" s="48" t="s">
        <v>86</v>
      </c>
      <c r="J3" s="185" t="s">
        <v>1277</v>
      </c>
      <c r="K3" s="48" t="s">
        <v>136</v>
      </c>
      <c r="L3" s="48" t="s">
        <v>137</v>
      </c>
      <c r="M3" s="48" t="s">
        <v>553</v>
      </c>
      <c r="N3" s="48" t="s">
        <v>630</v>
      </c>
      <c r="P3" s="186" t="n">
        <v>44333</v>
      </c>
      <c r="Q3" s="186" t="str">
        <f aca="true">IF(P3&lt;&gt;"",IF(P3+365&gt;TODAY(),"Calibrado","Vencido"),"")</f>
        <v>Vencido</v>
      </c>
      <c r="R3" s="48" t="str">
        <f aca="false">IFERROR(VLOOKUP(J3,'Obs Tecnicas'!$D$68:$G$399,2,0),"")</f>
        <v/>
      </c>
      <c r="S3" s="48" t="str">
        <f aca="false">IFERROR(VLOOKUP(J3,'Obs Tecnicas'!$D$68:$G$403,3,0),"Hexis")</f>
        <v>Hexis</v>
      </c>
      <c r="T3" s="48" t="str">
        <f aca="false">IFERROR(VLOOKUP(J5,'Obs Tecnicas'!$D$68:$G$403,4,0),"")</f>
        <v/>
      </c>
      <c r="U3" s="133" t="s">
        <v>1274</v>
      </c>
      <c r="V3" s="134" t="n">
        <f aca="false">IF(P3&lt;&gt;"",MONTH(P3),"")</f>
        <v>5</v>
      </c>
    </row>
    <row r="4" customFormat="false" ht="15" hidden="false" customHeight="false" outlineLevel="0" collapsed="false">
      <c r="A4" s="48" t="s">
        <v>67</v>
      </c>
      <c r="B4" s="48" t="s">
        <v>542</v>
      </c>
      <c r="C4" s="184" t="s">
        <v>543</v>
      </c>
      <c r="D4" s="48" t="s">
        <v>544</v>
      </c>
      <c r="E4" s="48" t="s">
        <v>545</v>
      </c>
      <c r="F4" s="184" t="s">
        <v>546</v>
      </c>
      <c r="G4" s="48" t="s">
        <v>547</v>
      </c>
      <c r="H4" s="48" t="s">
        <v>532</v>
      </c>
      <c r="I4" s="48" t="s">
        <v>83</v>
      </c>
      <c r="J4" s="185" t="s">
        <v>939</v>
      </c>
      <c r="K4" s="48" t="s">
        <v>534</v>
      </c>
      <c r="L4" s="133" t="s">
        <v>219</v>
      </c>
      <c r="M4" s="48" t="s">
        <v>548</v>
      </c>
      <c r="N4" s="48" t="s">
        <v>384</v>
      </c>
      <c r="P4" s="186" t="n">
        <v>44344</v>
      </c>
      <c r="Q4" s="186" t="str">
        <f aca="true">IF(P4&lt;&gt;"",IF(P4+365&gt;TODAY(),"Calibrado","Vencido"),"")</f>
        <v>Vencido</v>
      </c>
      <c r="R4" s="48" t="n">
        <f aca="false">IFERROR(VLOOKUP(J4,'Obs Tecnicas'!$D$68:$G$399,2,0),"")</f>
        <v>12673</v>
      </c>
      <c r="S4" s="48" t="str">
        <f aca="false">IFERROR(VLOOKUP(J4,'Obs Tecnicas'!$D$68:$G$403,3,0),"Hexis")</f>
        <v>ER ANALITICA</v>
      </c>
      <c r="T4" s="48" t="str">
        <f aca="false">IFERROR(VLOOKUP(J6,'Obs Tecnicas'!$D$68:$G$403,4,0),"")</f>
        <v/>
      </c>
      <c r="U4" s="133" t="s">
        <v>1274</v>
      </c>
      <c r="V4" s="134" t="n">
        <f aca="false">IF(P4&lt;&gt;"",MONTH(P4),"")</f>
        <v>5</v>
      </c>
    </row>
    <row r="5" customFormat="false" ht="15" hidden="false" customHeight="false" outlineLevel="0" collapsed="false">
      <c r="A5" s="48" t="s">
        <v>67</v>
      </c>
      <c r="B5" s="48" t="s">
        <v>708</v>
      </c>
      <c r="C5" s="184" t="s">
        <v>709</v>
      </c>
      <c r="D5" s="48" t="s">
        <v>710</v>
      </c>
      <c r="E5" s="48" t="s">
        <v>711</v>
      </c>
      <c r="F5" s="184" t="s">
        <v>712</v>
      </c>
      <c r="G5" s="48" t="s">
        <v>547</v>
      </c>
      <c r="H5" s="48" t="s">
        <v>532</v>
      </c>
      <c r="I5" s="48" t="s">
        <v>83</v>
      </c>
      <c r="J5" s="185" t="s">
        <v>1278</v>
      </c>
      <c r="K5" s="48" t="s">
        <v>1279</v>
      </c>
      <c r="L5" s="48" t="s">
        <v>1280</v>
      </c>
      <c r="M5" s="48" t="s">
        <v>1233</v>
      </c>
      <c r="N5" s="48" t="s">
        <v>714</v>
      </c>
      <c r="P5" s="186" t="n">
        <v>44021</v>
      </c>
      <c r="Q5" s="186" t="str">
        <f aca="true">IF(P5&lt;&gt;"",IF(P5+365&gt;TODAY(),"Calibrado","Vencido"),"")</f>
        <v>Vencido</v>
      </c>
      <c r="R5" s="48" t="str">
        <f aca="false">IFERROR(VLOOKUP(J5,'Obs Tecnicas'!$D$68:$G$399,2,0),"")</f>
        <v/>
      </c>
      <c r="S5" s="48" t="str">
        <f aca="false">IFERROR(VLOOKUP(J5,'Obs Tecnicas'!$D$68:$G$403,3,0),"Hexis")</f>
        <v>Hexis</v>
      </c>
      <c r="T5" s="48" t="str">
        <f aca="false">IFERROR(VLOOKUP(J7,'Obs Tecnicas'!$D$68:$G$403,4,0),"")</f>
        <v/>
      </c>
      <c r="U5" s="133" t="s">
        <v>1274</v>
      </c>
      <c r="V5" s="134" t="n">
        <f aca="false">IF(P5&lt;&gt;"",MONTH(P5),"")</f>
        <v>7</v>
      </c>
    </row>
    <row r="6" customFormat="false" ht="15" hidden="false" customHeight="false" outlineLevel="0" collapsed="false">
      <c r="A6" s="48" t="s">
        <v>67</v>
      </c>
      <c r="B6" s="48" t="s">
        <v>708</v>
      </c>
      <c r="C6" s="184" t="s">
        <v>709</v>
      </c>
      <c r="D6" s="48" t="s">
        <v>710</v>
      </c>
      <c r="E6" s="48" t="s">
        <v>711</v>
      </c>
      <c r="F6" s="184" t="s">
        <v>712</v>
      </c>
      <c r="G6" s="48" t="s">
        <v>547</v>
      </c>
      <c r="H6" s="48" t="s">
        <v>532</v>
      </c>
      <c r="I6" s="48" t="s">
        <v>83</v>
      </c>
      <c r="J6" s="185" t="s">
        <v>1281</v>
      </c>
      <c r="K6" s="48" t="s">
        <v>140</v>
      </c>
      <c r="L6" s="48" t="s">
        <v>1282</v>
      </c>
      <c r="M6" s="48" t="s">
        <v>1233</v>
      </c>
      <c r="N6" s="48" t="s">
        <v>714</v>
      </c>
      <c r="P6" s="186" t="n">
        <v>44021</v>
      </c>
      <c r="Q6" s="186" t="str">
        <f aca="true">IF(P6&lt;&gt;"",IF(P6+365&gt;TODAY(),"Calibrado","Vencido"),"")</f>
        <v>Vencido</v>
      </c>
      <c r="R6" s="48" t="str">
        <f aca="false">IFERROR(VLOOKUP(J6,'Obs Tecnicas'!$D$68:$G$399,2,0),"")</f>
        <v/>
      </c>
      <c r="S6" s="48" t="str">
        <f aca="false">IFERROR(VLOOKUP(J6,'Obs Tecnicas'!$D$68:$G$403,3,0),"Hexis")</f>
        <v>Hexis</v>
      </c>
      <c r="T6" s="48" t="str">
        <f aca="false">IFERROR(VLOOKUP(J8,'Obs Tecnicas'!$D$68:$G$403,4,0),"")</f>
        <v/>
      </c>
      <c r="U6" s="133" t="s">
        <v>1274</v>
      </c>
      <c r="V6" s="134" t="n">
        <f aca="false">IF(P6&lt;&gt;"",MONTH(P6),"")</f>
        <v>7</v>
      </c>
    </row>
    <row r="7" customFormat="false" ht="15" hidden="false" customHeight="false" outlineLevel="0" collapsed="false">
      <c r="A7" s="48" t="s">
        <v>67</v>
      </c>
      <c r="B7" s="48" t="s">
        <v>715</v>
      </c>
      <c r="C7" s="184" t="s">
        <v>716</v>
      </c>
      <c r="D7" s="48" t="s">
        <v>717</v>
      </c>
      <c r="E7" s="48" t="s">
        <v>718</v>
      </c>
      <c r="F7" s="184" t="s">
        <v>719</v>
      </c>
      <c r="G7" s="48" t="s">
        <v>720</v>
      </c>
      <c r="H7" s="48" t="s">
        <v>532</v>
      </c>
      <c r="I7" s="48" t="s">
        <v>101</v>
      </c>
      <c r="J7" s="185" t="s">
        <v>1283</v>
      </c>
      <c r="K7" s="48" t="s">
        <v>1134</v>
      </c>
      <c r="L7" s="48" t="s">
        <v>1284</v>
      </c>
      <c r="M7" s="48" t="s">
        <v>1212</v>
      </c>
      <c r="N7" s="48" t="s">
        <v>554</v>
      </c>
      <c r="P7" s="186" t="n">
        <v>44007</v>
      </c>
      <c r="Q7" s="186" t="str">
        <f aca="true">IF(P7&lt;&gt;"",IF(P7+365&gt;TODAY(),"Calibrado","Vencido"),"")</f>
        <v>Vencido</v>
      </c>
      <c r="R7" s="48" t="str">
        <f aca="false">IFERROR(VLOOKUP(J7,'Obs Tecnicas'!$D$68:$G$399,2,0),"")</f>
        <v/>
      </c>
      <c r="S7" s="48" t="str">
        <f aca="false">IFERROR(VLOOKUP(J7,'Obs Tecnicas'!$D$68:$G$403,3,0),"Hexis")</f>
        <v>Hexis</v>
      </c>
      <c r="T7" s="48" t="str">
        <f aca="false">IFERROR(VLOOKUP(J9,'Obs Tecnicas'!$D$68:$G$403,4,0),"")</f>
        <v/>
      </c>
      <c r="U7" s="133" t="s">
        <v>1274</v>
      </c>
      <c r="V7" s="134" t="n">
        <f aca="false">IF(P7&lt;&gt;"",MONTH(P7),"")</f>
        <v>6</v>
      </c>
    </row>
    <row r="8" customFormat="false" ht="15" hidden="false" customHeight="false" outlineLevel="0" collapsed="false">
      <c r="A8" s="48" t="s">
        <v>67</v>
      </c>
      <c r="B8" s="48" t="s">
        <v>1285</v>
      </c>
      <c r="C8" s="184" t="s">
        <v>673</v>
      </c>
      <c r="D8" s="48" t="s">
        <v>1286</v>
      </c>
      <c r="E8" s="48" t="s">
        <v>1287</v>
      </c>
      <c r="F8" s="184" t="s">
        <v>1288</v>
      </c>
      <c r="G8" s="48" t="s">
        <v>496</v>
      </c>
      <c r="H8" s="48" t="s">
        <v>532</v>
      </c>
      <c r="I8" s="133" t="s">
        <v>83</v>
      </c>
      <c r="J8" s="185" t="s">
        <v>1289</v>
      </c>
      <c r="K8" s="48" t="s">
        <v>996</v>
      </c>
      <c r="L8" s="48" t="s">
        <v>156</v>
      </c>
      <c r="M8" s="48" t="s">
        <v>1222</v>
      </c>
      <c r="N8" s="48" t="s">
        <v>234</v>
      </c>
      <c r="P8" s="186" t="n">
        <v>43900</v>
      </c>
      <c r="Q8" s="186" t="str">
        <f aca="true">IF(P8&lt;&gt;"",IF(P8+365&gt;TODAY(),"Calibrado","Vencido"),"")</f>
        <v>Vencido</v>
      </c>
      <c r="R8" s="48" t="str">
        <f aca="false">IFERROR(VLOOKUP(J8,'Obs Tecnicas'!$D$68:$G$399,2,0),"")</f>
        <v/>
      </c>
      <c r="S8" s="48" t="str">
        <f aca="false">IFERROR(VLOOKUP(J8,'Obs Tecnicas'!$D$68:$G$403,3,0),"Hexis")</f>
        <v>Hexis</v>
      </c>
      <c r="T8" s="48" t="str">
        <f aca="false">IFERROR(VLOOKUP(J10,'Obs Tecnicas'!$D$68:$G$403,4,0),"")</f>
        <v/>
      </c>
      <c r="U8" s="133" t="s">
        <v>1274</v>
      </c>
      <c r="V8" s="134" t="n">
        <f aca="false">IF(P8&lt;&gt;"",MONTH(P8),"")</f>
        <v>3</v>
      </c>
    </row>
    <row r="9" customFormat="false" ht="15" hidden="false" customHeight="false" outlineLevel="0" collapsed="false">
      <c r="A9" s="48" t="s">
        <v>67</v>
      </c>
      <c r="B9" s="48" t="s">
        <v>1285</v>
      </c>
      <c r="C9" s="184" t="s">
        <v>673</v>
      </c>
      <c r="D9" s="48" t="s">
        <v>1286</v>
      </c>
      <c r="E9" s="48" t="s">
        <v>1287</v>
      </c>
      <c r="F9" s="184" t="s">
        <v>1288</v>
      </c>
      <c r="G9" s="48" t="s">
        <v>496</v>
      </c>
      <c r="H9" s="48" t="s">
        <v>532</v>
      </c>
      <c r="I9" s="133" t="s">
        <v>83</v>
      </c>
      <c r="J9" s="185" t="s">
        <v>1290</v>
      </c>
      <c r="K9" s="48" t="s">
        <v>996</v>
      </c>
      <c r="L9" s="48" t="s">
        <v>156</v>
      </c>
      <c r="M9" s="48" t="s">
        <v>1222</v>
      </c>
      <c r="N9" s="48" t="s">
        <v>234</v>
      </c>
      <c r="P9" s="186" t="n">
        <v>43900</v>
      </c>
      <c r="Q9" s="186" t="str">
        <f aca="true">IF(P9&lt;&gt;"",IF(P9+365&gt;TODAY(),"Calibrado","Vencido"),"")</f>
        <v>Vencido</v>
      </c>
      <c r="R9" s="48" t="str">
        <f aca="false">IFERROR(VLOOKUP(J9,'Obs Tecnicas'!$D$68:$G$399,2,0),"")</f>
        <v/>
      </c>
      <c r="S9" s="48" t="str">
        <f aca="false">IFERROR(VLOOKUP(J9,'Obs Tecnicas'!$D$68:$G$403,3,0),"Hexis")</f>
        <v>Hexis</v>
      </c>
      <c r="T9" s="48" t="str">
        <f aca="false">IFERROR(VLOOKUP(J11,'Obs Tecnicas'!$D$68:$G$403,4,0),"")</f>
        <v/>
      </c>
      <c r="U9" s="133" t="s">
        <v>1274</v>
      </c>
      <c r="V9" s="134" t="n">
        <f aca="false">IF(P9&lt;&gt;"",MONTH(P9),"")</f>
        <v>3</v>
      </c>
    </row>
    <row r="10" customFormat="false" ht="15" hidden="false" customHeight="false" outlineLevel="0" collapsed="false">
      <c r="A10" s="48" t="s">
        <v>67</v>
      </c>
      <c r="B10" s="48" t="s">
        <v>271</v>
      </c>
      <c r="C10" s="184" t="s">
        <v>272</v>
      </c>
      <c r="D10" s="48" t="s">
        <v>273</v>
      </c>
      <c r="E10" s="48" t="s">
        <v>211</v>
      </c>
      <c r="F10" s="184" t="s">
        <v>212</v>
      </c>
      <c r="G10" s="48" t="s">
        <v>73</v>
      </c>
      <c r="H10" s="48" t="s">
        <v>429</v>
      </c>
      <c r="I10" s="48" t="s">
        <v>115</v>
      </c>
      <c r="J10" s="185" t="s">
        <v>1291</v>
      </c>
      <c r="K10" s="48" t="s">
        <v>445</v>
      </c>
      <c r="L10" s="48" t="s">
        <v>1292</v>
      </c>
      <c r="M10" s="48" t="s">
        <v>1293</v>
      </c>
      <c r="N10" s="48" t="s">
        <v>182</v>
      </c>
      <c r="P10" s="186" t="n">
        <v>43718</v>
      </c>
      <c r="Q10" s="186" t="str">
        <f aca="true">IF(P10&lt;&gt;"",IF(P10+365&gt;TODAY(),"Calibrado","Vencido"),"")</f>
        <v>Vencido</v>
      </c>
      <c r="R10" s="48" t="str">
        <f aca="false">IFERROR(VLOOKUP(J10,'Obs Tecnicas'!$D$68:$G$399,2,0),"")</f>
        <v/>
      </c>
      <c r="S10" s="48" t="str">
        <f aca="false">IFERROR(VLOOKUP(J10,'Obs Tecnicas'!$D$68:$G$403,3,0),"Hexis")</f>
        <v>Hexis</v>
      </c>
      <c r="T10" s="48" t="str">
        <f aca="false">IFERROR(VLOOKUP(J12,'Obs Tecnicas'!$D$68:$G$403,4,0),"")</f>
        <v/>
      </c>
      <c r="U10" s="133" t="s">
        <v>1274</v>
      </c>
      <c r="V10" s="134" t="n">
        <f aca="false">IF(P10&lt;&gt;"",MONTH(P10),"")</f>
        <v>9</v>
      </c>
    </row>
    <row r="11" customFormat="false" ht="15" hidden="false" customHeight="false" outlineLevel="0" collapsed="false">
      <c r="A11" s="48" t="s">
        <v>67</v>
      </c>
      <c r="B11" s="48" t="s">
        <v>235</v>
      </c>
      <c r="C11" s="184" t="s">
        <v>236</v>
      </c>
      <c r="D11" s="48" t="s">
        <v>1294</v>
      </c>
      <c r="E11" s="48" t="s">
        <v>112</v>
      </c>
      <c r="F11" s="184" t="s">
        <v>113</v>
      </c>
      <c r="G11" s="48" t="s">
        <v>73</v>
      </c>
      <c r="H11" s="48" t="s">
        <v>238</v>
      </c>
      <c r="I11" s="48" t="s">
        <v>79</v>
      </c>
      <c r="J11" s="185" t="s">
        <v>1295</v>
      </c>
      <c r="K11" s="48" t="s">
        <v>1134</v>
      </c>
      <c r="L11" s="48" t="s">
        <v>1206</v>
      </c>
      <c r="M11" s="48" t="s">
        <v>1296</v>
      </c>
      <c r="P11" s="186" t="n">
        <v>43818</v>
      </c>
      <c r="Q11" s="186" t="str">
        <f aca="true">IF(P11&lt;&gt;"",IF(P11+365&gt;TODAY(),"Calibrado","Vencido"),"")</f>
        <v>Vencido</v>
      </c>
      <c r="R11" s="48" t="str">
        <f aca="false">IFERROR(VLOOKUP(J11,'Obs Tecnicas'!$D$68:$G$399,2,0),"")</f>
        <v/>
      </c>
      <c r="S11" s="48" t="str">
        <f aca="false">IFERROR(VLOOKUP(J11,'Obs Tecnicas'!$D$68:$G$403,3,0),"Hexis")</f>
        <v>Hexis</v>
      </c>
      <c r="T11" s="48" t="str">
        <f aca="false">IFERROR(VLOOKUP(J13,'Obs Tecnicas'!$D$68:$G$403,4,0),"")</f>
        <v/>
      </c>
      <c r="U11" s="133" t="s">
        <v>1274</v>
      </c>
      <c r="V11" s="134" t="n">
        <f aca="false">IF(P11&lt;&gt;"",MONTH(P11),"")</f>
        <v>12</v>
      </c>
    </row>
    <row r="12" customFormat="false" ht="15" hidden="false" customHeight="false" outlineLevel="0" collapsed="false">
      <c r="A12" s="48" t="s">
        <v>67</v>
      </c>
      <c r="B12" s="133" t="s">
        <v>297</v>
      </c>
      <c r="C12" s="184" t="s">
        <v>298</v>
      </c>
      <c r="D12" s="48" t="s">
        <v>299</v>
      </c>
      <c r="E12" s="48" t="s">
        <v>211</v>
      </c>
      <c r="F12" s="184" t="s">
        <v>212</v>
      </c>
      <c r="G12" s="48" t="s">
        <v>73</v>
      </c>
      <c r="H12" s="48" t="s">
        <v>246</v>
      </c>
      <c r="I12" s="48" t="s">
        <v>101</v>
      </c>
      <c r="J12" s="185" t="s">
        <v>1297</v>
      </c>
      <c r="K12" s="48" t="s">
        <v>1134</v>
      </c>
      <c r="L12" s="48" t="s">
        <v>1230</v>
      </c>
      <c r="M12" s="48" t="s">
        <v>1298</v>
      </c>
      <c r="N12" s="48" t="s">
        <v>182</v>
      </c>
      <c r="P12" s="186" t="n">
        <v>44034</v>
      </c>
      <c r="Q12" s="186" t="str">
        <f aca="true">IF(P12&lt;&gt;"",IF(P12+365&gt;TODAY(),"Calibrado","Vencido"),"")</f>
        <v>Vencido</v>
      </c>
      <c r="R12" s="48" t="str">
        <f aca="false">IFERROR(VLOOKUP(J12,'Obs Tecnicas'!$D$68:$G$399,2,0),"")</f>
        <v/>
      </c>
      <c r="S12" s="48" t="str">
        <f aca="false">IFERROR(VLOOKUP(J12,'Obs Tecnicas'!$D$68:$G$403,3,0),"Hexis")</f>
        <v>Hexis</v>
      </c>
      <c r="T12" s="48" t="str">
        <f aca="false">IFERROR(VLOOKUP(J14,'Obs Tecnicas'!$D$68:$G$403,4,0),"")</f>
        <v/>
      </c>
      <c r="U12" s="133" t="s">
        <v>1274</v>
      </c>
      <c r="V12" s="134" t="n">
        <f aca="false">IF(P12&lt;&gt;"",MONTH(P12),"")</f>
        <v>7</v>
      </c>
    </row>
    <row r="13" customFormat="false" ht="15" hidden="false" customHeight="false" outlineLevel="0" collapsed="false">
      <c r="A13" s="48" t="s">
        <v>67</v>
      </c>
      <c r="B13" s="48" t="s">
        <v>297</v>
      </c>
      <c r="C13" s="184" t="s">
        <v>298</v>
      </c>
      <c r="D13" s="48" t="s">
        <v>299</v>
      </c>
      <c r="E13" s="48" t="s">
        <v>211</v>
      </c>
      <c r="F13" s="184" t="s">
        <v>212</v>
      </c>
      <c r="G13" s="48" t="s">
        <v>73</v>
      </c>
      <c r="H13" s="48" t="s">
        <v>246</v>
      </c>
      <c r="I13" s="48" t="s">
        <v>101</v>
      </c>
      <c r="J13" s="185" t="s">
        <v>1299</v>
      </c>
      <c r="K13" s="48" t="s">
        <v>1134</v>
      </c>
      <c r="L13" s="48" t="s">
        <v>1300</v>
      </c>
      <c r="M13" s="48" t="s">
        <v>1298</v>
      </c>
      <c r="N13" s="48" t="s">
        <v>182</v>
      </c>
      <c r="P13" s="186" t="n">
        <v>44034</v>
      </c>
      <c r="Q13" s="186" t="str">
        <f aca="true">IF(P13&lt;&gt;"",IF(P13+365&gt;TODAY(),"Calibrado","Vencido"),"")</f>
        <v>Vencido</v>
      </c>
      <c r="R13" s="48" t="str">
        <f aca="false">IFERROR(VLOOKUP(J13,'Obs Tecnicas'!$D$68:$G$399,2,0),"")</f>
        <v/>
      </c>
      <c r="S13" s="48" t="str">
        <f aca="false">IFERROR(VLOOKUP(J13,'Obs Tecnicas'!$D$68:$G$403,3,0),"Hexis")</f>
        <v>Hexis</v>
      </c>
      <c r="T13" s="48" t="str">
        <f aca="false">IFERROR(VLOOKUP(J15,'Obs Tecnicas'!$D$68:$G$403,4,0),"")</f>
        <v/>
      </c>
      <c r="U13" s="133" t="s">
        <v>1274</v>
      </c>
      <c r="V13" s="134" t="n">
        <f aca="false">IF(P13&lt;&gt;"",MONTH(P13),"")</f>
        <v>7</v>
      </c>
    </row>
    <row r="14" customFormat="false" ht="15" hidden="false" customHeight="true" outlineLevel="0" collapsed="false">
      <c r="A14" s="48" t="s">
        <v>67</v>
      </c>
      <c r="B14" s="48" t="s">
        <v>271</v>
      </c>
      <c r="C14" s="184" t="s">
        <v>272</v>
      </c>
      <c r="D14" s="48" t="s">
        <v>273</v>
      </c>
      <c r="E14" s="48" t="s">
        <v>211</v>
      </c>
      <c r="F14" s="184" t="s">
        <v>212</v>
      </c>
      <c r="G14" s="191" t="s">
        <v>73</v>
      </c>
      <c r="H14" s="191" t="s">
        <v>246</v>
      </c>
      <c r="I14" s="191" t="s">
        <v>86</v>
      </c>
      <c r="J14" s="192" t="s">
        <v>1301</v>
      </c>
      <c r="K14" s="193" t="s">
        <v>1302</v>
      </c>
      <c r="L14" s="194" t="s">
        <v>1303</v>
      </c>
      <c r="M14" s="194" t="s">
        <v>1304</v>
      </c>
      <c r="N14" s="119" t="s">
        <v>1305</v>
      </c>
      <c r="O14" s="119"/>
      <c r="P14" s="186" t="n">
        <v>44279</v>
      </c>
      <c r="Q14" s="186" t="str">
        <f aca="true">IF(P14&lt;&gt;"",IF(P14+365&gt;TODAY(),"Calibrado","Vencido"),"")</f>
        <v>Vencido</v>
      </c>
      <c r="R14" s="48" t="str">
        <f aca="false">IFERROR(VLOOKUP(J14,'Obs Tecnicas'!$D$68:$G$399,2,0),"")</f>
        <v/>
      </c>
      <c r="S14" s="48" t="str">
        <f aca="false">IFERROR(VLOOKUP(J14,'Obs Tecnicas'!$D$68:$G$403,3,0),"Hexis")</f>
        <v>Hexis</v>
      </c>
      <c r="T14" s="48" t="n">
        <f aca="false">IFERROR(VLOOKUP(J16,'Obs Tecnicas'!$D$68:$G$403,4,0),"")</f>
        <v>0</v>
      </c>
      <c r="U14" s="133" t="s">
        <v>1274</v>
      </c>
      <c r="V14" s="134" t="n">
        <f aca="false">IF(P14&lt;&gt;"",MONTH(P14),"")</f>
        <v>3</v>
      </c>
    </row>
    <row r="15" customFormat="false" ht="15" hidden="false" customHeight="true" outlineLevel="0" collapsed="false">
      <c r="A15" s="48" t="s">
        <v>67</v>
      </c>
      <c r="B15" s="48" t="s">
        <v>368</v>
      </c>
      <c r="C15" s="184" t="s">
        <v>369</v>
      </c>
      <c r="D15" s="48" t="s">
        <v>370</v>
      </c>
      <c r="E15" s="48" t="s">
        <v>371</v>
      </c>
      <c r="F15" s="184" t="s">
        <v>372</v>
      </c>
      <c r="H15" s="48" t="s">
        <v>373</v>
      </c>
      <c r="I15" s="48" t="s">
        <v>89</v>
      </c>
      <c r="J15" s="124" t="n">
        <v>69755</v>
      </c>
      <c r="K15" s="48" t="s">
        <v>87</v>
      </c>
      <c r="L15" s="48" t="s">
        <v>227</v>
      </c>
      <c r="M15" s="48" t="s">
        <v>375</v>
      </c>
      <c r="N15" s="48" t="s">
        <v>376</v>
      </c>
      <c r="P15" s="186" t="n">
        <v>44313</v>
      </c>
      <c r="Q15" s="186" t="str">
        <f aca="true">IF(P15&lt;&gt;"",IF(P15+365&gt;TODAY(),"Calibrado","Vencido"),"")</f>
        <v>Vencido</v>
      </c>
      <c r="R15" s="48" t="str">
        <f aca="false">IFERROR(VLOOKUP(J15,'Obs Tecnicas'!$D$68:$G$399,2,0),"")</f>
        <v/>
      </c>
      <c r="S15" s="48" t="str">
        <f aca="false">IFERROR(VLOOKUP(J15,'Obs Tecnicas'!$D$68:$G$403,3,0),"Hexis")</f>
        <v>Hexis</v>
      </c>
      <c r="T15" s="48" t="n">
        <f aca="false">IFERROR(VLOOKUP(J17,'Obs Tecnicas'!$D$68:$G$403,4,0),"")</f>
        <v>0</v>
      </c>
      <c r="U15" s="133" t="s">
        <v>1274</v>
      </c>
      <c r="V15" s="134" t="n">
        <f aca="false">IF(P15&lt;&gt;"",MONTH(P15),"")</f>
        <v>4</v>
      </c>
    </row>
    <row r="16" customFormat="false" ht="15" hidden="false" customHeight="false" outlineLevel="0" collapsed="false">
      <c r="A16" s="48" t="s">
        <v>67</v>
      </c>
      <c r="B16" s="48" t="s">
        <v>1306</v>
      </c>
      <c r="C16" s="184" t="s">
        <v>1307</v>
      </c>
      <c r="E16" s="48" t="s">
        <v>71</v>
      </c>
      <c r="F16" s="184" t="s">
        <v>72</v>
      </c>
      <c r="G16" s="48" t="s">
        <v>73</v>
      </c>
      <c r="H16" s="48" t="s">
        <v>382</v>
      </c>
      <c r="I16" s="48" t="s">
        <v>115</v>
      </c>
      <c r="J16" s="124" t="s">
        <v>958</v>
      </c>
      <c r="K16" s="48" t="s">
        <v>117</v>
      </c>
      <c r="L16" s="48" t="s">
        <v>1308</v>
      </c>
      <c r="M16" s="48" t="s">
        <v>1309</v>
      </c>
      <c r="P16" s="186" t="n">
        <v>44397</v>
      </c>
      <c r="Q16" s="186" t="str">
        <f aca="true">IF(P16&lt;&gt;"",IF(P16+365&gt;TODAY(),"Calibrado","Vencido"),"")</f>
        <v>Calibrado</v>
      </c>
      <c r="R16" s="48" t="n">
        <f aca="false">IFERROR(VLOOKUP(J16,'Obs Tecnicas'!$D$68:$G$399,2,0),"")</f>
        <v>13163</v>
      </c>
      <c r="S16" s="48" t="str">
        <f aca="false">IFERROR(VLOOKUP(J16,'Obs Tecnicas'!$D$68:$G$403,3,0),"Hexis")</f>
        <v>ER ANALITICA</v>
      </c>
      <c r="T16" s="48" t="n">
        <f aca="false">IFERROR(VLOOKUP(J18,'Obs Tecnicas'!$D$68:$G$403,4,0),"")</f>
        <v>0</v>
      </c>
      <c r="U16" s="133" t="s">
        <v>1274</v>
      </c>
      <c r="V16" s="134" t="n">
        <f aca="false">IF(P16&lt;&gt;"",MONTH(P16),"")</f>
        <v>7</v>
      </c>
    </row>
    <row r="17" customFormat="false" ht="15" hidden="false" customHeight="false" outlineLevel="0" collapsed="false">
      <c r="A17" s="48" t="s">
        <v>67</v>
      </c>
      <c r="B17" s="48" t="s">
        <v>1306</v>
      </c>
      <c r="C17" s="184" t="s">
        <v>1307</v>
      </c>
      <c r="E17" s="48" t="s">
        <v>71</v>
      </c>
      <c r="F17" s="184" t="s">
        <v>72</v>
      </c>
      <c r="G17" s="48" t="s">
        <v>73</v>
      </c>
      <c r="H17" s="48" t="s">
        <v>382</v>
      </c>
      <c r="I17" s="48" t="s">
        <v>83</v>
      </c>
      <c r="J17" s="124" t="s">
        <v>965</v>
      </c>
      <c r="K17" s="48" t="s">
        <v>1134</v>
      </c>
      <c r="L17" s="48" t="s">
        <v>1310</v>
      </c>
      <c r="M17" s="48" t="s">
        <v>1309</v>
      </c>
      <c r="P17" s="186" t="n">
        <v>44397</v>
      </c>
      <c r="Q17" s="186" t="str">
        <f aca="true">IF(P17&lt;&gt;"",IF(P17+365&gt;TODAY(),"Calibrado","Vencido"),"")</f>
        <v>Calibrado</v>
      </c>
      <c r="R17" s="48" t="n">
        <f aca="false">IFERROR(VLOOKUP(J17,'Obs Tecnicas'!$D$68:$G$399,2,0),"")</f>
        <v>13164</v>
      </c>
      <c r="S17" s="48" t="str">
        <f aca="false">IFERROR(VLOOKUP(J17,'Obs Tecnicas'!$D$68:$G$403,3,0),"Hexis")</f>
        <v>ER ANALITICA</v>
      </c>
      <c r="T17" s="48" t="n">
        <f aca="false">IFERROR(VLOOKUP(J19,'Obs Tecnicas'!$D$68:$G$403,4,0),"")</f>
        <v>0</v>
      </c>
      <c r="U17" s="133" t="s">
        <v>1274</v>
      </c>
      <c r="V17" s="134" t="n">
        <f aca="false">IF(P17&lt;&gt;"",MONTH(P17),"")</f>
        <v>7</v>
      </c>
    </row>
    <row r="18" customFormat="false" ht="15" hidden="false" customHeight="false" outlineLevel="0" collapsed="false">
      <c r="A18" s="48" t="s">
        <v>67</v>
      </c>
      <c r="B18" s="48" t="s">
        <v>1306</v>
      </c>
      <c r="C18" s="184" t="s">
        <v>1307</v>
      </c>
      <c r="E18" s="48" t="s">
        <v>71</v>
      </c>
      <c r="F18" s="184" t="s">
        <v>72</v>
      </c>
      <c r="G18" s="48" t="s">
        <v>73</v>
      </c>
      <c r="H18" s="48" t="s">
        <v>382</v>
      </c>
      <c r="I18" s="48" t="s">
        <v>101</v>
      </c>
      <c r="J18" s="124" t="s">
        <v>961</v>
      </c>
      <c r="K18" s="48" t="s">
        <v>1134</v>
      </c>
      <c r="L18" s="48" t="s">
        <v>1311</v>
      </c>
      <c r="M18" s="48" t="s">
        <v>1309</v>
      </c>
      <c r="P18" s="186" t="n">
        <v>44397</v>
      </c>
      <c r="Q18" s="186" t="str">
        <f aca="true">IF(P18&lt;&gt;"",IF(P18+365&gt;TODAY(),"Calibrado","Vencido"),"")</f>
        <v>Calibrado</v>
      </c>
      <c r="R18" s="48" t="n">
        <f aca="false">IFERROR(VLOOKUP(J18,'Obs Tecnicas'!$D$68:$G$399,2,0),"")</f>
        <v>13165</v>
      </c>
      <c r="S18" s="48" t="str">
        <f aca="false">IFERROR(VLOOKUP(J18,'Obs Tecnicas'!$D$68:$G$403,3,0),"Hexis")</f>
        <v>ER ANALITICA</v>
      </c>
      <c r="T18" s="48" t="str">
        <f aca="false">IFERROR(VLOOKUP(J20,'Obs Tecnicas'!$D$68:$G$403,4,0),"")</f>
        <v/>
      </c>
      <c r="U18" s="133" t="s">
        <v>1274</v>
      </c>
      <c r="V18" s="134" t="n">
        <f aca="false">IF(P18&lt;&gt;"",MONTH(P18),"")</f>
        <v>7</v>
      </c>
    </row>
    <row r="19" customFormat="false" ht="15" hidden="false" customHeight="false" outlineLevel="0" collapsed="false">
      <c r="A19" s="48" t="s">
        <v>67</v>
      </c>
      <c r="B19" s="48" t="s">
        <v>1306</v>
      </c>
      <c r="C19" s="184" t="s">
        <v>1307</v>
      </c>
      <c r="E19" s="48" t="s">
        <v>71</v>
      </c>
      <c r="F19" s="184" t="s">
        <v>72</v>
      </c>
      <c r="G19" s="48" t="s">
        <v>73</v>
      </c>
      <c r="H19" s="48" t="s">
        <v>382</v>
      </c>
      <c r="I19" s="48" t="s">
        <v>86</v>
      </c>
      <c r="J19" s="124" t="s">
        <v>968</v>
      </c>
      <c r="K19" s="48" t="s">
        <v>140</v>
      </c>
      <c r="L19" s="48" t="s">
        <v>134</v>
      </c>
      <c r="M19" s="48" t="s">
        <v>1309</v>
      </c>
      <c r="P19" s="186" t="n">
        <v>44397</v>
      </c>
      <c r="Q19" s="186" t="str">
        <f aca="true">IF(P19&lt;&gt;"",IF(P19+365&gt;TODAY(),"Calibrado","Vencido"),"")</f>
        <v>Calibrado</v>
      </c>
      <c r="R19" s="48" t="n">
        <f aca="false">IFERROR(VLOOKUP(J19,'Obs Tecnicas'!$D$68:$G$399,2,0),"")</f>
        <v>13166</v>
      </c>
      <c r="S19" s="48" t="str">
        <f aca="false">IFERROR(VLOOKUP(J19,'Obs Tecnicas'!$D$68:$G$403,3,0),"Hexis")</f>
        <v>ER ANALITICA</v>
      </c>
      <c r="T19" s="48" t="str">
        <f aca="false">IFERROR(VLOOKUP(#REF!,'Obs Tecnicas'!$D$68:$G$403,4,0),"")</f>
        <v/>
      </c>
      <c r="U19" s="133" t="s">
        <v>1274</v>
      </c>
      <c r="V19" s="134" t="n">
        <f aca="false">IF(P19&lt;&gt;"",MONTH(P19),"")</f>
        <v>7</v>
      </c>
    </row>
    <row r="20" customFormat="false" ht="15" hidden="false" customHeight="true" outlineLevel="0" collapsed="false">
      <c r="A20" s="48" t="s">
        <v>67</v>
      </c>
      <c r="B20" s="48" t="s">
        <v>336</v>
      </c>
      <c r="C20" s="184" t="s">
        <v>337</v>
      </c>
      <c r="D20" s="48" t="s">
        <v>338</v>
      </c>
      <c r="E20" s="48" t="s">
        <v>339</v>
      </c>
      <c r="F20" s="184" t="s">
        <v>340</v>
      </c>
      <c r="H20" s="48" t="s">
        <v>341</v>
      </c>
      <c r="I20" s="48" t="s">
        <v>101</v>
      </c>
      <c r="J20" s="124" t="n">
        <v>150750001006</v>
      </c>
      <c r="K20" s="119" t="s">
        <v>81</v>
      </c>
      <c r="L20" s="48" t="s">
        <v>205</v>
      </c>
      <c r="M20" s="48" t="s">
        <v>1312</v>
      </c>
      <c r="N20" s="48" t="s">
        <v>343</v>
      </c>
      <c r="P20" s="186" t="n">
        <v>44356</v>
      </c>
      <c r="Q20" s="186" t="str">
        <f aca="true">IF(P20&lt;&gt;"",IF(P20+365&gt;TODAY(),"Calibrado","Vencido"),"")</f>
        <v>Vencido</v>
      </c>
      <c r="R20" s="48" t="str">
        <f aca="false">IFERROR(VLOOKUP(J20,'Obs Tecnicas'!$D$68:$G$399,2,0),"")</f>
        <v/>
      </c>
      <c r="S20" s="48" t="str">
        <f aca="false">IFERROR(VLOOKUP(J20,'Obs Tecnicas'!$D$68:$G$403,3,0),"Hexis")</f>
        <v>Hexis</v>
      </c>
      <c r="T20" s="48" t="str">
        <f aca="false">IFERROR(VLOOKUP(#REF!,'Obs Tecnicas'!$D$68:$G$403,4,0),"")</f>
        <v/>
      </c>
      <c r="U20" s="133" t="s">
        <v>1274</v>
      </c>
      <c r="V20" s="134" t="n">
        <f aca="false">IF(P20&lt;&gt;"",MONTH(P20),"")</f>
        <v>6</v>
      </c>
    </row>
    <row r="21" s="1" customFormat="true" ht="15" hidden="false" customHeight="true" outlineLevel="0" collapsed="false">
      <c r="A21" s="102" t="s">
        <v>67</v>
      </c>
      <c r="B21" s="102" t="s">
        <v>535</v>
      </c>
      <c r="C21" s="109" t="s">
        <v>536</v>
      </c>
      <c r="D21" s="122" t="s">
        <v>537</v>
      </c>
      <c r="E21" s="102" t="s">
        <v>538</v>
      </c>
      <c r="F21" s="109" t="s">
        <v>539</v>
      </c>
      <c r="G21" s="102" t="s">
        <v>326</v>
      </c>
      <c r="H21" s="102" t="s">
        <v>532</v>
      </c>
      <c r="I21" s="102" t="s">
        <v>83</v>
      </c>
      <c r="J21" s="110" t="n">
        <v>179</v>
      </c>
      <c r="K21" s="102" t="s">
        <v>133</v>
      </c>
      <c r="L21" s="102" t="s">
        <v>1313</v>
      </c>
      <c r="M21" s="102" t="s">
        <v>541</v>
      </c>
      <c r="N21" s="102" t="s">
        <v>423</v>
      </c>
      <c r="O21" s="111" t="n">
        <v>44001</v>
      </c>
      <c r="P21" s="112" t="n">
        <f aca="false">IFERROR(VLOOKUP(J21,'Obs Tecnicas'!$D:$I,5,0),O21)</f>
        <v>44420</v>
      </c>
      <c r="Q21" s="111" t="str">
        <f aca="true">IF(P21&lt;&gt;"",IF(P21+365&gt;TODAY(),"Calibrado","Vencido"),"")</f>
        <v>Calibrado</v>
      </c>
      <c r="R21" s="113" t="n">
        <f aca="false">IFERROR(VLOOKUP(J21,'Obs Tecnicas'!$D$68:$G$399,2,0),"")</f>
        <v>13301</v>
      </c>
      <c r="S21" s="102" t="str">
        <f aca="false">IFERROR(VLOOKUP(J21,'Obs Tecnicas'!$D$68:$G$403,3,0),"Hexis")</f>
        <v>ER ANALITICA</v>
      </c>
      <c r="T21" s="102" t="str">
        <f aca="false">IFERROR(VLOOKUP(J21,'Obs Tecnicas'!$D$68:$G$403,4,0),"")</f>
        <v> Equipamento inoperante, cliente não ira realizar o serviço</v>
      </c>
      <c r="U21" s="128" t="s">
        <v>1274</v>
      </c>
      <c r="V21" s="102" t="n">
        <f aca="false">IF(P21&lt;&gt;"",MONTH(P21),"")</f>
        <v>8</v>
      </c>
      <c r="W21" s="1" t="n">
        <v>3</v>
      </c>
    </row>
    <row r="22" s="1" customFormat="true" ht="15" hidden="false" customHeight="true" outlineLevel="0" collapsed="false">
      <c r="A22" s="102" t="s">
        <v>67</v>
      </c>
      <c r="B22" s="102" t="s">
        <v>493</v>
      </c>
      <c r="C22" s="109" t="s">
        <v>494</v>
      </c>
      <c r="D22" s="102" t="s">
        <v>495</v>
      </c>
      <c r="E22" s="102" t="s">
        <v>493</v>
      </c>
      <c r="F22" s="109" t="s">
        <v>494</v>
      </c>
      <c r="G22" s="102" t="s">
        <v>496</v>
      </c>
      <c r="H22" s="102" t="s">
        <v>477</v>
      </c>
      <c r="I22" s="102" t="s">
        <v>86</v>
      </c>
      <c r="J22" s="110" t="n">
        <v>2901943</v>
      </c>
      <c r="K22" s="117" t="s">
        <v>136</v>
      </c>
      <c r="L22" s="131" t="s">
        <v>1314</v>
      </c>
      <c r="M22" s="102" t="s">
        <v>497</v>
      </c>
      <c r="N22" s="102" t="s">
        <v>234</v>
      </c>
      <c r="O22" s="111"/>
      <c r="P22" s="112" t="n">
        <f aca="false">IFERROR(VLOOKUP(J22,'Obs Tecnicas'!$D:$I,5,0),O22)</f>
        <v>44424</v>
      </c>
      <c r="Q22" s="111" t="str">
        <f aca="true">IF(P22&lt;&gt;"",IF(P22+365&gt;TODAY(),"Calibrado","Vencido"),"")</f>
        <v>Calibrado</v>
      </c>
      <c r="R22" s="113" t="n">
        <f aca="false">IFERROR(VLOOKUP(J22,'Obs Tecnicas'!$D:$G,2,0),"")</f>
        <v>13457</v>
      </c>
      <c r="S22" s="102" t="str">
        <f aca="false">IFERROR(VLOOKUP(J22,'Obs Tecnicas'!$D:$G,3,0),"Hexis")</f>
        <v>ER ANALITICA</v>
      </c>
      <c r="T22" s="102" t="str">
        <f aca="false">IFERROR(VLOOKUP(J22,'Obs Tecnicas'!$D:$G,4,0),"")</f>
        <v>Não liberado, devido avarias na curva e não aceita calibração. Necessário envio a ER</v>
      </c>
      <c r="U22" s="128" t="s">
        <v>1274</v>
      </c>
      <c r="V22" s="1" t="n">
        <f aca="false">IF(P22&lt;&gt;"",MONTH(P22),"")</f>
        <v>8</v>
      </c>
      <c r="W22" s="1" t="n">
        <v>9</v>
      </c>
    </row>
    <row r="23" s="1" customFormat="true" ht="15" hidden="false" customHeight="true" outlineLevel="0" collapsed="false">
      <c r="A23" s="102" t="s">
        <v>67</v>
      </c>
      <c r="B23" s="102" t="s">
        <v>125</v>
      </c>
      <c r="C23" s="109" t="s">
        <v>126</v>
      </c>
      <c r="D23" s="102" t="s">
        <v>1315</v>
      </c>
      <c r="E23" s="102" t="s">
        <v>112</v>
      </c>
      <c r="F23" s="109" t="s">
        <v>113</v>
      </c>
      <c r="G23" s="102" t="s">
        <v>1316</v>
      </c>
      <c r="H23" s="102" t="s">
        <v>114</v>
      </c>
      <c r="I23" s="102" t="s">
        <v>86</v>
      </c>
      <c r="J23" s="110" t="n">
        <v>2062585</v>
      </c>
      <c r="K23" s="117" t="s">
        <v>136</v>
      </c>
      <c r="L23" s="61" t="s">
        <v>137</v>
      </c>
      <c r="M23" s="115" t="s">
        <v>119</v>
      </c>
      <c r="N23" s="61" t="s">
        <v>1317</v>
      </c>
      <c r="O23" s="111"/>
      <c r="P23" s="112" t="n">
        <f aca="false">IFERROR(VLOOKUP(J23,'Obs Tecnicas'!$D:$I,5,0),O23)</f>
        <v>44459</v>
      </c>
      <c r="Q23" s="111" t="str">
        <f aca="true">IF(P23&lt;&gt;"",IF(P23+365&gt;TODAY(),"Calibrado","Vencido"),"")</f>
        <v>Calibrado</v>
      </c>
      <c r="R23" s="113" t="n">
        <f aca="false">IFERROR(VLOOKUP(J23,'Obs Tecnicas'!$D:$G,2,0),"")</f>
        <v>13927</v>
      </c>
      <c r="S23" s="102" t="str">
        <f aca="false">IFERROR(VLOOKUP(J23,'Obs Tecnicas'!$D:$G,3,0),"Hexis")</f>
        <v>ER ANALITICA</v>
      </c>
      <c r="T23" s="102" t="n">
        <f aca="false">IFERROR(VLOOKUP(J23,'Obs Tecnicas'!$D:$G,4,0),"")</f>
        <v>0</v>
      </c>
      <c r="U23" s="128" t="s">
        <v>24</v>
      </c>
      <c r="V23" s="114" t="n">
        <f aca="false">IF(P23&lt;&gt;"",MONTH(P23),"")</f>
        <v>9</v>
      </c>
      <c r="W23" s="114" t="n">
        <v>2</v>
      </c>
    </row>
  </sheetData>
  <autoFilter ref="A1:V23"/>
  <conditionalFormatting sqref="I8">
    <cfRule type="colorScale" priority="2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I9">
    <cfRule type="colorScale" priority="3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O21">
    <cfRule type="expression" priority="4" aboveAverage="0" equalAverage="0" bottom="0" percent="0" rank="0" text="" dxfId="147">
      <formula>IF(O21&lt;=TODAY()-365,1)</formula>
    </cfRule>
    <cfRule type="expression" priority="5" aboveAverage="0" equalAverage="0" bottom="0" percent="0" rank="0" text="" dxfId="148">
      <formula>IF(O21&lt;(TODAY())-320,1)</formula>
    </cfRule>
    <cfRule type="expression" priority="6" aboveAverage="0" equalAverage="0" bottom="0" percent="0" rank="0" text="" dxfId="149">
      <formula>IF(O21&lt;(TODAY())+0,1)</formula>
    </cfRule>
  </conditionalFormatting>
  <conditionalFormatting sqref="Q21">
    <cfRule type="expression" priority="7" aboveAverage="0" equalAverage="0" bottom="0" percent="0" rank="0" text="" dxfId="150">
      <formula>IF(P21&lt;=TODAY()-365,1)</formula>
    </cfRule>
    <cfRule type="expression" priority="8" aboveAverage="0" equalAverage="0" bottom="0" percent="0" rank="0" text="" dxfId="151">
      <formula>IF(P21&lt;(TODAY())-270,1)</formula>
    </cfRule>
    <cfRule type="expression" priority="9" aboveAverage="0" equalAverage="0" bottom="0" percent="0" rank="0" text="" dxfId="152">
      <formula>IF(P21&lt;(TODAY())+0,1)</formula>
    </cfRule>
  </conditionalFormatting>
  <conditionalFormatting sqref="O22">
    <cfRule type="expression" priority="10" aboveAverage="0" equalAverage="0" bottom="0" percent="0" rank="0" text="" dxfId="153">
      <formula>IF(O22&lt;=TODAY()-365,1)</formula>
    </cfRule>
    <cfRule type="expression" priority="11" aboveAverage="0" equalAverage="0" bottom="0" percent="0" rank="0" text="" dxfId="154">
      <formula>IF(O22&lt;(TODAY())-320,1)</formula>
    </cfRule>
    <cfRule type="expression" priority="12" aboveAverage="0" equalAverage="0" bottom="0" percent="0" rank="0" text="" dxfId="155">
      <formula>IF(O22&lt;(TODAY())+0,1)</formula>
    </cfRule>
  </conditionalFormatting>
  <conditionalFormatting sqref="Q22">
    <cfRule type="expression" priority="13" aboveAverage="0" equalAverage="0" bottom="0" percent="0" rank="0" text="" dxfId="156">
      <formula>IF(P22&lt;=TODAY()-365,1)</formula>
    </cfRule>
    <cfRule type="expression" priority="14" aboveAverage="0" equalAverage="0" bottom="0" percent="0" rank="0" text="" dxfId="157">
      <formula>IF(P22&lt;(TODAY())-270,1)</formula>
    </cfRule>
    <cfRule type="expression" priority="15" aboveAverage="0" equalAverage="0" bottom="0" percent="0" rank="0" text="" dxfId="158">
      <formula>IF(P22&lt;(TODAY())+0,1)</formula>
    </cfRule>
  </conditionalFormatting>
  <conditionalFormatting sqref="O23">
    <cfRule type="expression" priority="16" aboveAverage="0" equalAverage="0" bottom="0" percent="0" rank="0" text="" dxfId="159">
      <formula>IF(O23&lt;=TODAY()-365,1)</formula>
    </cfRule>
    <cfRule type="expression" priority="17" aboveAverage="0" equalAverage="0" bottom="0" percent="0" rank="0" text="" dxfId="160">
      <formula>IF(O23&lt;(TODAY())-320,1)</formula>
    </cfRule>
    <cfRule type="expression" priority="18" aboveAverage="0" equalAverage="0" bottom="0" percent="0" rank="0" text="" dxfId="161">
      <formula>IF(O23&lt;(TODAY())+0,1)</formula>
    </cfRule>
  </conditionalFormatting>
  <conditionalFormatting sqref="Q23">
    <cfRule type="expression" priority="19" aboveAverage="0" equalAverage="0" bottom="0" percent="0" rank="0" text="" dxfId="162">
      <formula>IF(P23&lt;=TODAY()-365,1)</formula>
    </cfRule>
    <cfRule type="expression" priority="20" aboveAverage="0" equalAverage="0" bottom="0" percent="0" rank="0" text="" dxfId="163">
      <formula>IF(P23&lt;(TODAY())-270,1)</formula>
    </cfRule>
    <cfRule type="expression" priority="21" aboveAverage="0" equalAverage="0" bottom="0" percent="0" rank="0" text="" dxfId="164">
      <formula>IF(P23&lt;(TODAY())+0,1)</formula>
    </cfRule>
  </conditionalFormatting>
  <dataValidations count="3">
    <dataValidation allowBlank="true" operator="between" showDropDown="false" showErrorMessage="true" showInputMessage="true" sqref="U2:U20" type="list">
      <formula1>"REALIZADO,DESATIVADO,NÃO ENCONTRADO,AGENDADO,SEM RETORNO DO OWNER"</formula1>
      <formula2>0</formula2>
    </dataValidation>
    <dataValidation allowBlank="true" operator="between" showDropDown="false" showErrorMessage="true" showInputMessage="true" sqref="U21:U22" type="list">
      <formula1>"ADICIONADO,REALIZADO,DESATIVADO,NÃO ENCONTRADO,AGENDADO,SEM RETORNO DO OWNER,EM CONTATO,CONTATO FEITO,EM CONSERTO INTERNO,AGUARDANDO RETORNO "</formula1>
      <formula2>0</formula2>
    </dataValidation>
    <dataValidation allowBlank="true" operator="between" showDropDown="false" showErrorMessage="true" showInputMessage="true" sqref="U23" type="list">
      <formula1>"ADICIONADO,REALIZADO,DESATIVADO,NÃO ENCONTRADO,AGENDADO,SEM RETORNO DO OWNER,EM CONTATO,CONTATO FEITO,CONSERTO INTERNO,AGUARDANDO RETORNO "</formula1>
      <formula2>0</formula2>
    </dataValidation>
  </dataValidations>
  <hyperlinks>
    <hyperlink ref="F2" r:id="rId1" display="renato.chialastri@suez.com"/>
    <hyperlink ref="F4" r:id="rId2" display="vinicius.paula@suez.com"/>
    <hyperlink ref="C8" r:id="rId3" display="bianca.dossantos@suez.com"/>
    <hyperlink ref="F8" r:id="rId4" display="matheus.ambrosio@suez.com"/>
    <hyperlink ref="F9" r:id="rId5" display="matheus.ambrosio@suez.com"/>
    <hyperlink ref="C10" r:id="rId6" display="jobson-rodrigo.silva@suez.com"/>
    <hyperlink ref="F10" r:id="rId7" display="rodrigo.silva@suez.com"/>
    <hyperlink ref="C11" r:id="rId8" display="isaac.pinto@suez.com"/>
    <hyperlink ref="F11" r:id="rId9" display="marcelo.soto@suez.com"/>
    <hyperlink ref="F12" r:id="rId10" display="rodrigo.silva@suez.com"/>
    <hyperlink ref="F13" r:id="rId11" display="rodrigo.silva@suez.com"/>
    <hyperlink ref="C14" r:id="rId12" display="jobson-rodrigo.silva@suez.com"/>
    <hyperlink ref="F14" r:id="rId13" display="rodrigo.silva@suez.com"/>
    <hyperlink ref="C15" r:id="rId14" display="anderson.oliveira@suez.com"/>
    <hyperlink ref="F15" r:id="rId15" display="adriano.ribeiro@suez.com"/>
    <hyperlink ref="C16" r:id="rId16" display="luciene.irmao@suez.com"/>
    <hyperlink ref="F16" r:id="rId17" display="edmilson.santos@suez.com"/>
    <hyperlink ref="C17" r:id="rId18" display="luciene.irmao@suez.com"/>
    <hyperlink ref="F17" r:id="rId19" display="edmilson.santos@suez.com"/>
    <hyperlink ref="C18" r:id="rId20" display="luciene.irmao@suez.com"/>
    <hyperlink ref="F18" r:id="rId21" display="edmilson.santos@suez.com"/>
    <hyperlink ref="C19" r:id="rId22" display="luciene.irmao@suez.com"/>
    <hyperlink ref="F19" r:id="rId23" display="edmilson.santos@suez.com"/>
    <hyperlink ref="C20" r:id="rId24" display="luiz.herculani@suez.com"/>
    <hyperlink ref="C21" r:id="rId25" display="eduardo.zotto@suez.com"/>
    <hyperlink ref="F21" r:id="rId26" display="rafael.pietro@suez.com"/>
    <hyperlink ref="C22" r:id="rId27" display="fernanda.kaiser@suez.com"/>
    <hyperlink ref="C23" r:id="rId28" display="itana.souza@suez.com"/>
    <hyperlink ref="F23" r:id="rId29" display="marcelo.soto@suez.com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15" activePane="bottomLeft" state="frozen"/>
      <selection pane="topLeft" activeCell="A1" activeCellId="0" sqref="A1"/>
      <selection pane="bottomLeft" activeCell="F116" activeCellId="0" sqref="F116"/>
    </sheetView>
  </sheetViews>
  <sheetFormatPr defaultColWidth="8.5390625" defaultRowHeight="15" zeroHeight="false" outlineLevelRow="0" outlineLevelCol="0"/>
  <cols>
    <col collapsed="false" customWidth="true" hidden="false" outlineLevel="0" max="1" min="1" style="61" width="28.29"/>
    <col collapsed="false" customWidth="true" hidden="false" outlineLevel="0" max="2" min="2" style="119" width="20.14"/>
    <col collapsed="false" customWidth="true" hidden="false" outlineLevel="0" max="3" min="3" style="119" width="16.85"/>
    <col collapsed="false" customWidth="true" hidden="false" outlineLevel="0" max="4" min="4" style="119" width="25.85"/>
    <col collapsed="false" customWidth="true" hidden="false" outlineLevel="0" max="5" min="5" style="61" width="19"/>
    <col collapsed="false" customWidth="true" hidden="false" outlineLevel="0" max="6" min="6" style="61" width="16.71"/>
    <col collapsed="false" customWidth="true" hidden="false" outlineLevel="0" max="7" min="7" style="195" width="15.57"/>
    <col collapsed="false" customWidth="true" hidden="false" outlineLevel="0" max="8" min="8" style="0" width="9.85"/>
    <col collapsed="false" customWidth="true" hidden="false" outlineLevel="0" max="9" min="9" style="61" width="10.85"/>
    <col collapsed="false" customWidth="true" hidden="false" outlineLevel="0" max="10" min="10" style="0" width="13.14"/>
    <col collapsed="false" customWidth="true" hidden="false" outlineLevel="0" max="11" min="11" style="0" width="56.42"/>
    <col collapsed="false" customWidth="true" hidden="false" outlineLevel="0" max="12" min="12" style="0" width="12.71"/>
    <col collapsed="false" customWidth="true" hidden="false" outlineLevel="0" max="18" min="18" style="0" width="6"/>
    <col collapsed="false" customWidth="true" hidden="false" outlineLevel="0" max="19" min="19" style="0" width="13.14"/>
    <col collapsed="false" customWidth="true" hidden="false" outlineLevel="0" max="20" min="20" style="0" width="130.57"/>
    <col collapsed="false" customWidth="true" hidden="false" outlineLevel="0" max="24" min="23" style="0" width="5.57"/>
  </cols>
  <sheetData>
    <row r="1" customFormat="false" ht="25.5" hidden="false" customHeight="false" outlineLevel="0" collapsed="false">
      <c r="A1" s="104" t="s">
        <v>54</v>
      </c>
      <c r="B1" s="183" t="s">
        <v>55</v>
      </c>
      <c r="C1" s="104" t="s">
        <v>56</v>
      </c>
      <c r="D1" s="104" t="s">
        <v>57</v>
      </c>
      <c r="E1" s="105" t="s">
        <v>58</v>
      </c>
      <c r="F1" s="105" t="s">
        <v>59</v>
      </c>
      <c r="G1" s="196" t="s">
        <v>61</v>
      </c>
      <c r="H1" s="108" t="s">
        <v>62</v>
      </c>
      <c r="I1" s="197" t="s">
        <v>63</v>
      </c>
      <c r="J1" s="105" t="s">
        <v>64</v>
      </c>
      <c r="K1" s="105" t="s">
        <v>65</v>
      </c>
      <c r="L1" s="105" t="s">
        <v>66</v>
      </c>
    </row>
    <row r="2" customFormat="false" ht="15" hidden="false" customHeight="false" outlineLevel="0" collapsed="false">
      <c r="A2" s="102" t="s">
        <v>115</v>
      </c>
      <c r="B2" s="185" t="s">
        <v>590</v>
      </c>
      <c r="C2" s="48" t="s">
        <v>117</v>
      </c>
      <c r="D2" s="48"/>
      <c r="E2" s="102" t="s">
        <v>1203</v>
      </c>
      <c r="F2" s="102"/>
      <c r="G2" s="198" t="n">
        <v>44333</v>
      </c>
      <c r="H2" s="111" t="s">
        <v>1193</v>
      </c>
      <c r="I2" s="113" t="n">
        <v>12351</v>
      </c>
      <c r="J2" s="102" t="s">
        <v>784</v>
      </c>
      <c r="K2" s="102" t="n">
        <v>0</v>
      </c>
      <c r="L2" s="128" t="s">
        <v>1318</v>
      </c>
    </row>
    <row r="3" customFormat="false" ht="15" hidden="false" customHeight="false" outlineLevel="0" collapsed="false">
      <c r="A3" s="115" t="s">
        <v>115</v>
      </c>
      <c r="B3" s="185" t="s">
        <v>603</v>
      </c>
      <c r="C3" s="48" t="s">
        <v>445</v>
      </c>
      <c r="D3" s="48"/>
      <c r="E3" s="102" t="s">
        <v>1203</v>
      </c>
      <c r="F3" s="102"/>
      <c r="G3" s="198" t="n">
        <v>44333</v>
      </c>
      <c r="H3" s="111" t="s">
        <v>1193</v>
      </c>
      <c r="I3" s="113" t="n">
        <v>12356</v>
      </c>
      <c r="J3" s="102" t="s">
        <v>784</v>
      </c>
      <c r="K3" s="102" t="n">
        <v>0</v>
      </c>
      <c r="L3" s="128" t="s">
        <v>1318</v>
      </c>
    </row>
    <row r="4" customFormat="false" ht="15" hidden="false" customHeight="false" outlineLevel="0" collapsed="false">
      <c r="A4" s="115" t="s">
        <v>115</v>
      </c>
      <c r="B4" s="185" t="s">
        <v>592</v>
      </c>
      <c r="C4" s="48" t="s">
        <v>117</v>
      </c>
      <c r="D4" s="48"/>
      <c r="E4" s="102" t="s">
        <v>1203</v>
      </c>
      <c r="F4" s="102"/>
      <c r="G4" s="198" t="n">
        <v>44333</v>
      </c>
      <c r="H4" s="111" t="s">
        <v>1193</v>
      </c>
      <c r="I4" s="113" t="n">
        <v>12350</v>
      </c>
      <c r="J4" s="102" t="s">
        <v>784</v>
      </c>
      <c r="K4" s="102" t="n">
        <v>0</v>
      </c>
      <c r="L4" s="128" t="s">
        <v>1318</v>
      </c>
    </row>
    <row r="5" customFormat="false" ht="15" hidden="false" customHeight="false" outlineLevel="0" collapsed="false">
      <c r="A5" s="115" t="s">
        <v>115</v>
      </c>
      <c r="B5" s="185" t="s">
        <v>604</v>
      </c>
      <c r="C5" s="48" t="s">
        <v>452</v>
      </c>
      <c r="D5" s="48"/>
      <c r="E5" s="102" t="s">
        <v>1203</v>
      </c>
      <c r="F5" s="102"/>
      <c r="G5" s="198" t="n">
        <v>44333</v>
      </c>
      <c r="H5" s="111" t="s">
        <v>1193</v>
      </c>
      <c r="I5" s="113" t="n">
        <v>12354</v>
      </c>
      <c r="J5" s="102" t="s">
        <v>784</v>
      </c>
      <c r="K5" s="102" t="n">
        <v>0</v>
      </c>
      <c r="L5" s="128" t="s">
        <v>1318</v>
      </c>
    </row>
    <row r="6" customFormat="false" ht="15" hidden="false" customHeight="false" outlineLevel="0" collapsed="false">
      <c r="A6" s="102" t="s">
        <v>115</v>
      </c>
      <c r="B6" s="185" t="s">
        <v>605</v>
      </c>
      <c r="C6" s="48" t="s">
        <v>442</v>
      </c>
      <c r="D6" s="48"/>
      <c r="E6" s="102" t="s">
        <v>1203</v>
      </c>
      <c r="F6" s="102"/>
      <c r="G6" s="198" t="n">
        <v>44333</v>
      </c>
      <c r="H6" s="111" t="s">
        <v>1193</v>
      </c>
      <c r="I6" s="113" t="n">
        <v>12353</v>
      </c>
      <c r="J6" s="102" t="s">
        <v>784</v>
      </c>
      <c r="K6" s="102" t="n">
        <v>0</v>
      </c>
      <c r="L6" s="128" t="s">
        <v>1318</v>
      </c>
    </row>
    <row r="7" customFormat="false" ht="15" hidden="false" customHeight="false" outlineLevel="0" collapsed="false">
      <c r="A7" s="102" t="s">
        <v>115</v>
      </c>
      <c r="B7" s="185" t="s">
        <v>441</v>
      </c>
      <c r="C7" s="48" t="s">
        <v>442</v>
      </c>
      <c r="D7" s="48"/>
      <c r="E7" s="102" t="s">
        <v>1203</v>
      </c>
      <c r="F7" s="102"/>
      <c r="G7" s="198" t="n">
        <v>44333</v>
      </c>
      <c r="H7" s="111" t="s">
        <v>1193</v>
      </c>
      <c r="I7" s="113" t="n">
        <v>12355</v>
      </c>
      <c r="J7" s="102" t="s">
        <v>784</v>
      </c>
      <c r="K7" s="102" t="n">
        <v>0</v>
      </c>
      <c r="L7" s="128" t="s">
        <v>1318</v>
      </c>
    </row>
    <row r="8" customFormat="false" ht="15" hidden="false" customHeight="false" outlineLevel="0" collapsed="false">
      <c r="A8" s="115" t="s">
        <v>115</v>
      </c>
      <c r="B8" s="185" t="s">
        <v>1319</v>
      </c>
      <c r="C8" s="137" t="s">
        <v>445</v>
      </c>
      <c r="D8" s="48"/>
      <c r="E8" s="102" t="s">
        <v>1203</v>
      </c>
      <c r="F8" s="102"/>
      <c r="G8" s="198" t="n">
        <v>44333</v>
      </c>
      <c r="H8" s="111" t="s">
        <v>1193</v>
      </c>
      <c r="I8" s="113" t="n">
        <v>12352</v>
      </c>
      <c r="J8" s="102" t="s">
        <v>784</v>
      </c>
      <c r="K8" s="102" t="n">
        <v>0</v>
      </c>
      <c r="L8" s="128" t="s">
        <v>1318</v>
      </c>
    </row>
    <row r="9" customFormat="false" ht="15" hidden="false" customHeight="false" outlineLevel="0" collapsed="false">
      <c r="A9" s="115" t="s">
        <v>79</v>
      </c>
      <c r="B9" s="185" t="s">
        <v>1320</v>
      </c>
      <c r="C9" s="48" t="s">
        <v>81</v>
      </c>
      <c r="D9" s="48" t="s">
        <v>1321</v>
      </c>
      <c r="E9" s="102" t="s">
        <v>1203</v>
      </c>
      <c r="F9" s="102"/>
      <c r="G9" s="198" t="n">
        <v>44333</v>
      </c>
      <c r="H9" s="111" t="s">
        <v>1193</v>
      </c>
      <c r="I9" s="113" t="n">
        <v>12316</v>
      </c>
      <c r="J9" s="102" t="s">
        <v>784</v>
      </c>
      <c r="K9" s="102" t="n">
        <v>0</v>
      </c>
      <c r="L9" s="128" t="s">
        <v>1318</v>
      </c>
    </row>
    <row r="10" customFormat="false" ht="15" hidden="false" customHeight="false" outlineLevel="0" collapsed="false">
      <c r="A10" s="102" t="s">
        <v>83</v>
      </c>
      <c r="B10" s="185" t="s">
        <v>614</v>
      </c>
      <c r="C10" s="48" t="s">
        <v>84</v>
      </c>
      <c r="D10" s="48"/>
      <c r="E10" s="102" t="s">
        <v>1203</v>
      </c>
      <c r="F10" s="102"/>
      <c r="G10" s="198" t="n">
        <v>44333</v>
      </c>
      <c r="H10" s="111" t="s">
        <v>1193</v>
      </c>
      <c r="I10" s="113" t="n">
        <v>12341</v>
      </c>
      <c r="J10" s="102" t="s">
        <v>784</v>
      </c>
      <c r="K10" s="102" t="s">
        <v>867</v>
      </c>
      <c r="L10" s="128" t="s">
        <v>1318</v>
      </c>
    </row>
    <row r="11" customFormat="false" ht="15" hidden="false" customHeight="false" outlineLevel="0" collapsed="false">
      <c r="A11" s="102" t="s">
        <v>83</v>
      </c>
      <c r="B11" s="185" t="s">
        <v>1322</v>
      </c>
      <c r="C11" s="48" t="s">
        <v>84</v>
      </c>
      <c r="D11" s="48"/>
      <c r="E11" s="102" t="s">
        <v>1203</v>
      </c>
      <c r="F11" s="102"/>
      <c r="G11" s="198" t="n">
        <v>44333</v>
      </c>
      <c r="H11" s="111" t="s">
        <v>1193</v>
      </c>
      <c r="I11" s="113" t="n">
        <v>12342</v>
      </c>
      <c r="J11" s="102" t="s">
        <v>784</v>
      </c>
      <c r="K11" s="102" t="n">
        <v>0</v>
      </c>
      <c r="L11" s="128" t="s">
        <v>1318</v>
      </c>
    </row>
    <row r="12" customFormat="false" ht="15" hidden="false" customHeight="false" outlineLevel="0" collapsed="false">
      <c r="A12" s="102" t="s">
        <v>83</v>
      </c>
      <c r="B12" s="185" t="s">
        <v>1323</v>
      </c>
      <c r="C12" s="48" t="s">
        <v>84</v>
      </c>
      <c r="D12" s="48"/>
      <c r="E12" s="102" t="s">
        <v>1203</v>
      </c>
      <c r="F12" s="102"/>
      <c r="G12" s="198" t="n">
        <v>44333</v>
      </c>
      <c r="H12" s="111" t="s">
        <v>1193</v>
      </c>
      <c r="I12" s="113" t="n">
        <v>12338</v>
      </c>
      <c r="J12" s="102" t="s">
        <v>784</v>
      </c>
      <c r="K12" s="102" t="n">
        <v>0</v>
      </c>
      <c r="L12" s="128" t="s">
        <v>1318</v>
      </c>
    </row>
    <row r="13" customFormat="false" ht="15" hidden="false" customHeight="false" outlineLevel="0" collapsed="false">
      <c r="A13" s="102" t="s">
        <v>83</v>
      </c>
      <c r="B13" s="185" t="s">
        <v>1324</v>
      </c>
      <c r="C13" s="48" t="s">
        <v>84</v>
      </c>
      <c r="D13" s="48"/>
      <c r="E13" s="102" t="s">
        <v>1203</v>
      </c>
      <c r="F13" s="102"/>
      <c r="G13" s="198" t="n">
        <v>44333</v>
      </c>
      <c r="H13" s="111" t="s">
        <v>1193</v>
      </c>
      <c r="I13" s="113" t="n">
        <v>12366</v>
      </c>
      <c r="J13" s="102" t="s">
        <v>784</v>
      </c>
      <c r="K13" s="102" t="s">
        <v>881</v>
      </c>
      <c r="L13" s="128" t="s">
        <v>1318</v>
      </c>
    </row>
    <row r="14" customFormat="false" ht="15" hidden="false" customHeight="false" outlineLevel="0" collapsed="false">
      <c r="A14" s="102" t="s">
        <v>83</v>
      </c>
      <c r="B14" s="185" t="s">
        <v>615</v>
      </c>
      <c r="C14" s="48" t="s">
        <v>84</v>
      </c>
      <c r="D14" s="48"/>
      <c r="E14" s="102" t="s">
        <v>1203</v>
      </c>
      <c r="F14" s="102"/>
      <c r="G14" s="198" t="n">
        <v>44333</v>
      </c>
      <c r="H14" s="111" t="s">
        <v>1193</v>
      </c>
      <c r="I14" s="113" t="n">
        <v>12339</v>
      </c>
      <c r="J14" s="102" t="s">
        <v>784</v>
      </c>
      <c r="K14" s="102" t="s">
        <v>882</v>
      </c>
      <c r="L14" s="128" t="s">
        <v>1318</v>
      </c>
    </row>
    <row r="15" customFormat="false" ht="15" hidden="false" customHeight="false" outlineLevel="0" collapsed="false">
      <c r="A15" s="102" t="s">
        <v>86</v>
      </c>
      <c r="B15" s="185" t="s">
        <v>606</v>
      </c>
      <c r="C15" s="102" t="s">
        <v>1103</v>
      </c>
      <c r="D15" s="48"/>
      <c r="E15" s="102" t="s">
        <v>1203</v>
      </c>
      <c r="F15" s="102"/>
      <c r="G15" s="198" t="n">
        <v>44333</v>
      </c>
      <c r="H15" s="111" t="s">
        <v>1193</v>
      </c>
      <c r="I15" s="113" t="n">
        <v>12347</v>
      </c>
      <c r="J15" s="102" t="s">
        <v>784</v>
      </c>
      <c r="K15" s="102" t="n">
        <v>0</v>
      </c>
      <c r="L15" s="128" t="s">
        <v>1318</v>
      </c>
    </row>
    <row r="16" customFormat="false" ht="15" hidden="false" customHeight="false" outlineLevel="0" collapsed="false">
      <c r="A16" s="102" t="s">
        <v>752</v>
      </c>
      <c r="B16" s="185" t="s">
        <v>766</v>
      </c>
      <c r="C16" s="102" t="s">
        <v>758</v>
      </c>
      <c r="D16" s="48"/>
      <c r="E16" s="102" t="s">
        <v>1203</v>
      </c>
      <c r="F16" s="102"/>
      <c r="G16" s="198" t="n">
        <v>44333</v>
      </c>
      <c r="H16" s="111" t="s">
        <v>1193</v>
      </c>
      <c r="I16" s="113" t="n">
        <v>12343</v>
      </c>
      <c r="J16" s="102" t="s">
        <v>784</v>
      </c>
      <c r="K16" s="102" t="n">
        <v>0</v>
      </c>
      <c r="L16" s="128" t="s">
        <v>1318</v>
      </c>
    </row>
    <row r="17" customFormat="false" ht="15" hidden="false" customHeight="false" outlineLevel="0" collapsed="false">
      <c r="A17" s="102" t="s">
        <v>752</v>
      </c>
      <c r="B17" s="185" t="s">
        <v>767</v>
      </c>
      <c r="C17" s="102" t="s">
        <v>768</v>
      </c>
      <c r="D17" s="48"/>
      <c r="E17" s="102" t="s">
        <v>1203</v>
      </c>
      <c r="F17" s="102"/>
      <c r="G17" s="198" t="n">
        <v>44333</v>
      </c>
      <c r="H17" s="111" t="s">
        <v>1193</v>
      </c>
      <c r="I17" s="113" t="n">
        <v>12376</v>
      </c>
      <c r="J17" s="102" t="s">
        <v>784</v>
      </c>
      <c r="K17" s="102" t="n">
        <v>0</v>
      </c>
      <c r="L17" s="128" t="s">
        <v>1318</v>
      </c>
    </row>
    <row r="18" customFormat="false" ht="15" hidden="false" customHeight="false" outlineLevel="0" collapsed="false">
      <c r="A18" s="102" t="s">
        <v>752</v>
      </c>
      <c r="B18" s="185" t="s">
        <v>769</v>
      </c>
      <c r="C18" s="102" t="s">
        <v>768</v>
      </c>
      <c r="D18" s="48"/>
      <c r="E18" s="102" t="s">
        <v>1203</v>
      </c>
      <c r="F18" s="102"/>
      <c r="G18" s="198" t="n">
        <v>44333</v>
      </c>
      <c r="H18" s="111" t="s">
        <v>1193</v>
      </c>
      <c r="I18" s="113" t="n">
        <v>12377</v>
      </c>
      <c r="J18" s="102" t="s">
        <v>784</v>
      </c>
      <c r="K18" s="102" t="n">
        <v>0</v>
      </c>
      <c r="L18" s="128" t="s">
        <v>1318</v>
      </c>
    </row>
    <row r="19" customFormat="false" ht="15" hidden="false" customHeight="false" outlineLevel="0" collapsed="false">
      <c r="A19" s="102" t="s">
        <v>752</v>
      </c>
      <c r="B19" s="185" t="s">
        <v>770</v>
      </c>
      <c r="C19" s="102" t="s">
        <v>56</v>
      </c>
      <c r="D19" s="48"/>
      <c r="E19" s="102" t="s">
        <v>1203</v>
      </c>
      <c r="F19" s="102"/>
      <c r="G19" s="198" t="n">
        <v>44333</v>
      </c>
      <c r="H19" s="111" t="s">
        <v>1193</v>
      </c>
      <c r="I19" s="113" t="n">
        <v>12378</v>
      </c>
      <c r="J19" s="102" t="s">
        <v>784</v>
      </c>
      <c r="K19" s="102" t="n">
        <v>0</v>
      </c>
      <c r="L19" s="128" t="s">
        <v>1318</v>
      </c>
    </row>
    <row r="20" customFormat="false" ht="15" hidden="false" customHeight="false" outlineLevel="0" collapsed="false">
      <c r="A20" s="102" t="s">
        <v>752</v>
      </c>
      <c r="B20" s="185" t="s">
        <v>771</v>
      </c>
      <c r="C20" s="102" t="s">
        <v>56</v>
      </c>
      <c r="D20" s="48"/>
      <c r="E20" s="102" t="s">
        <v>1203</v>
      </c>
      <c r="F20" s="102"/>
      <c r="G20" s="198" t="n">
        <v>44333</v>
      </c>
      <c r="H20" s="111" t="s">
        <v>1193</v>
      </c>
      <c r="I20" s="113" t="n">
        <v>12379</v>
      </c>
      <c r="J20" s="102" t="s">
        <v>784</v>
      </c>
      <c r="K20" s="102" t="n">
        <v>0</v>
      </c>
      <c r="L20" s="128" t="s">
        <v>1318</v>
      </c>
    </row>
    <row r="21" customFormat="false" ht="15" hidden="false" customHeight="false" outlineLevel="0" collapsed="false">
      <c r="A21" s="102" t="s">
        <v>752</v>
      </c>
      <c r="B21" s="185" t="s">
        <v>772</v>
      </c>
      <c r="C21" s="102" t="s">
        <v>758</v>
      </c>
      <c r="D21" s="48"/>
      <c r="E21" s="102" t="s">
        <v>1203</v>
      </c>
      <c r="F21" s="102"/>
      <c r="G21" s="198" t="n">
        <v>44333</v>
      </c>
      <c r="H21" s="111" t="s">
        <v>1193</v>
      </c>
      <c r="I21" s="113" t="n">
        <v>12381</v>
      </c>
      <c r="J21" s="102" t="s">
        <v>784</v>
      </c>
      <c r="K21" s="102" t="n">
        <v>0</v>
      </c>
      <c r="L21" s="128" t="s">
        <v>1318</v>
      </c>
    </row>
    <row r="22" customFormat="false" ht="15" hidden="false" customHeight="false" outlineLevel="0" collapsed="false">
      <c r="A22" s="102" t="s">
        <v>1263</v>
      </c>
      <c r="B22" s="185" t="s">
        <v>525</v>
      </c>
      <c r="C22" s="48" t="s">
        <v>84</v>
      </c>
      <c r="D22" s="48" t="s">
        <v>219</v>
      </c>
      <c r="E22" s="102" t="s">
        <v>1227</v>
      </c>
      <c r="F22" s="102" t="s">
        <v>520</v>
      </c>
      <c r="G22" s="198" t="n">
        <v>44369</v>
      </c>
      <c r="H22" s="111" t="s">
        <v>1193</v>
      </c>
      <c r="I22" s="113" t="n">
        <v>12616</v>
      </c>
      <c r="J22" s="102" t="s">
        <v>784</v>
      </c>
      <c r="K22" s="102" t="s">
        <v>956</v>
      </c>
      <c r="L22" s="128" t="s">
        <v>1318</v>
      </c>
    </row>
    <row r="23" customFormat="false" ht="15" hidden="false" customHeight="false" outlineLevel="0" collapsed="false">
      <c r="A23" s="102" t="s">
        <v>83</v>
      </c>
      <c r="B23" s="119" t="n">
        <v>6263666</v>
      </c>
      <c r="C23" s="48" t="s">
        <v>84</v>
      </c>
      <c r="D23" s="119" t="s">
        <v>1325</v>
      </c>
      <c r="E23" s="102" t="s">
        <v>342</v>
      </c>
      <c r="G23" s="195" t="n">
        <v>44343</v>
      </c>
      <c r="H23" s="111" t="s">
        <v>1193</v>
      </c>
      <c r="I23" s="113" t="s">
        <v>1326</v>
      </c>
      <c r="J23" s="102" t="s">
        <v>1327</v>
      </c>
      <c r="L23" s="128" t="s">
        <v>1318</v>
      </c>
    </row>
    <row r="24" customFormat="false" ht="15" hidden="false" customHeight="false" outlineLevel="0" collapsed="false">
      <c r="A24" s="102" t="s">
        <v>86</v>
      </c>
      <c r="B24" s="119" t="n">
        <v>6263666</v>
      </c>
      <c r="C24" s="48" t="s">
        <v>84</v>
      </c>
      <c r="D24" s="119" t="s">
        <v>1325</v>
      </c>
      <c r="E24" s="102" t="s">
        <v>342</v>
      </c>
      <c r="G24" s="195" t="n">
        <v>44343</v>
      </c>
      <c r="H24" s="111" t="s">
        <v>1193</v>
      </c>
      <c r="I24" s="113" t="s">
        <v>1328</v>
      </c>
      <c r="J24" s="102" t="s">
        <v>1327</v>
      </c>
      <c r="L24" s="128" t="s">
        <v>1318</v>
      </c>
    </row>
    <row r="25" customFormat="false" ht="15" hidden="false" customHeight="false" outlineLevel="0" collapsed="false">
      <c r="A25" s="102" t="s">
        <v>83</v>
      </c>
      <c r="B25" s="119" t="n">
        <v>4220746</v>
      </c>
      <c r="C25" s="48" t="s">
        <v>84</v>
      </c>
      <c r="D25" s="119" t="s">
        <v>1325</v>
      </c>
      <c r="E25" s="102" t="s">
        <v>342</v>
      </c>
      <c r="G25" s="195" t="n">
        <v>44343</v>
      </c>
      <c r="H25" s="111" t="s">
        <v>1193</v>
      </c>
      <c r="I25" s="61" t="s">
        <v>1329</v>
      </c>
      <c r="J25" s="102" t="s">
        <v>1327</v>
      </c>
      <c r="L25" s="128" t="s">
        <v>1318</v>
      </c>
    </row>
    <row r="26" customFormat="false" ht="15" hidden="false" customHeight="false" outlineLevel="0" collapsed="false">
      <c r="A26" s="102" t="s">
        <v>101</v>
      </c>
      <c r="B26" s="199" t="n">
        <v>150750001006</v>
      </c>
      <c r="C26" s="48" t="s">
        <v>81</v>
      </c>
      <c r="D26" s="119" t="s">
        <v>205</v>
      </c>
      <c r="E26" s="102" t="s">
        <v>342</v>
      </c>
      <c r="G26" s="195" t="n">
        <v>44344</v>
      </c>
      <c r="H26" s="111" t="s">
        <v>1193</v>
      </c>
      <c r="I26" s="113" t="s">
        <v>1330</v>
      </c>
      <c r="J26" s="102" t="s">
        <v>1327</v>
      </c>
      <c r="L26" s="128" t="s">
        <v>1318</v>
      </c>
    </row>
    <row r="27" customFormat="false" ht="15" hidden="false" customHeight="false" outlineLevel="0" collapsed="false">
      <c r="A27" s="115" t="s">
        <v>79</v>
      </c>
      <c r="B27" s="199" t="n">
        <v>210266601021</v>
      </c>
      <c r="C27" s="48" t="s">
        <v>81</v>
      </c>
      <c r="D27" s="48" t="s">
        <v>1321</v>
      </c>
      <c r="E27" s="102" t="s">
        <v>1203</v>
      </c>
      <c r="G27" s="195" t="n">
        <v>44306</v>
      </c>
      <c r="H27" s="111" t="s">
        <v>1193</v>
      </c>
      <c r="I27" s="113" t="s">
        <v>1331</v>
      </c>
      <c r="J27" s="102" t="s">
        <v>1327</v>
      </c>
      <c r="L27" s="128" t="s">
        <v>1318</v>
      </c>
    </row>
    <row r="28" customFormat="false" ht="15" hidden="false" customHeight="false" outlineLevel="0" collapsed="false">
      <c r="A28" s="115" t="s">
        <v>79</v>
      </c>
      <c r="B28" s="200" t="n">
        <v>210266601016</v>
      </c>
      <c r="C28" s="48" t="s">
        <v>81</v>
      </c>
      <c r="D28" s="48" t="s">
        <v>1321</v>
      </c>
      <c r="E28" s="102" t="s">
        <v>1203</v>
      </c>
      <c r="G28" s="195" t="n">
        <v>44306</v>
      </c>
      <c r="H28" s="111" t="s">
        <v>1193</v>
      </c>
      <c r="I28" s="113" t="s">
        <v>1332</v>
      </c>
      <c r="J28" s="102" t="s">
        <v>1327</v>
      </c>
      <c r="L28" s="128" t="s">
        <v>1318</v>
      </c>
    </row>
    <row r="29" customFormat="false" ht="15" hidden="false" customHeight="false" outlineLevel="0" collapsed="false">
      <c r="A29" s="102" t="s">
        <v>83</v>
      </c>
      <c r="B29" s="119" t="s">
        <v>618</v>
      </c>
      <c r="C29" s="48" t="s">
        <v>81</v>
      </c>
      <c r="D29" s="119" t="s">
        <v>134</v>
      </c>
      <c r="E29" s="102" t="s">
        <v>1203</v>
      </c>
      <c r="G29" s="195" t="n">
        <v>44306</v>
      </c>
      <c r="H29" s="111" t="s">
        <v>1193</v>
      </c>
      <c r="I29" s="113" t="s">
        <v>1333</v>
      </c>
      <c r="J29" s="102" t="s">
        <v>1327</v>
      </c>
      <c r="L29" s="128" t="s">
        <v>1318</v>
      </c>
    </row>
    <row r="30" customFormat="false" ht="15" hidden="false" customHeight="false" outlineLevel="0" collapsed="false">
      <c r="A30" s="102" t="s">
        <v>86</v>
      </c>
      <c r="B30" s="200" t="n">
        <v>200710001808</v>
      </c>
      <c r="C30" s="48" t="s">
        <v>81</v>
      </c>
      <c r="D30" s="119" t="s">
        <v>374</v>
      </c>
      <c r="E30" s="102" t="s">
        <v>375</v>
      </c>
      <c r="G30" s="195" t="n">
        <v>44330</v>
      </c>
      <c r="H30" s="111" t="s">
        <v>1193</v>
      </c>
      <c r="I30" s="113" t="s">
        <v>1334</v>
      </c>
      <c r="J30" s="102" t="s">
        <v>1327</v>
      </c>
      <c r="L30" s="128" t="s">
        <v>1318</v>
      </c>
    </row>
    <row r="31" customFormat="false" ht="15" hidden="false" customHeight="false" outlineLevel="0" collapsed="false">
      <c r="A31" s="102" t="s">
        <v>86</v>
      </c>
      <c r="B31" s="199" t="n">
        <v>200710001815</v>
      </c>
      <c r="C31" s="48" t="s">
        <v>81</v>
      </c>
      <c r="D31" s="119" t="s">
        <v>374</v>
      </c>
      <c r="E31" s="102" t="s">
        <v>375</v>
      </c>
      <c r="G31" s="195" t="n">
        <v>44330</v>
      </c>
      <c r="H31" s="111" t="s">
        <v>1193</v>
      </c>
      <c r="I31" s="113" t="s">
        <v>1335</v>
      </c>
      <c r="J31" s="102" t="s">
        <v>1327</v>
      </c>
      <c r="L31" s="128" t="s">
        <v>1318</v>
      </c>
    </row>
    <row r="32" customFormat="false" ht="15" hidden="false" customHeight="false" outlineLevel="0" collapsed="false">
      <c r="A32" s="102" t="s">
        <v>83</v>
      </c>
      <c r="B32" s="119" t="n">
        <v>68923</v>
      </c>
      <c r="C32" s="102" t="s">
        <v>87</v>
      </c>
      <c r="D32" s="119" t="s">
        <v>378</v>
      </c>
      <c r="E32" s="102" t="s">
        <v>375</v>
      </c>
      <c r="G32" s="195" t="n">
        <v>44313</v>
      </c>
      <c r="H32" s="111" t="s">
        <v>1193</v>
      </c>
      <c r="I32" s="113" t="s">
        <v>1336</v>
      </c>
      <c r="J32" s="102" t="s">
        <v>1327</v>
      </c>
      <c r="L32" s="128" t="s">
        <v>1318</v>
      </c>
    </row>
    <row r="33" customFormat="false" ht="15" hidden="false" customHeight="false" outlineLevel="0" collapsed="false">
      <c r="A33" s="102" t="s">
        <v>86</v>
      </c>
      <c r="B33" s="119" t="n">
        <v>687678</v>
      </c>
      <c r="C33" s="102" t="s">
        <v>87</v>
      </c>
      <c r="D33" s="119" t="s">
        <v>222</v>
      </c>
      <c r="E33" s="102" t="s">
        <v>375</v>
      </c>
      <c r="G33" s="195" t="n">
        <v>44313</v>
      </c>
      <c r="H33" s="111" t="s">
        <v>1193</v>
      </c>
      <c r="I33" s="113" t="s">
        <v>1337</v>
      </c>
      <c r="J33" s="102" t="s">
        <v>1327</v>
      </c>
      <c r="L33" s="128" t="s">
        <v>1318</v>
      </c>
    </row>
    <row r="34" customFormat="false" ht="15" hidden="false" customHeight="false" outlineLevel="0" collapsed="false">
      <c r="A34" s="102" t="s">
        <v>1338</v>
      </c>
      <c r="B34" s="119" t="n">
        <v>69755</v>
      </c>
      <c r="C34" s="102" t="s">
        <v>87</v>
      </c>
      <c r="D34" s="119" t="s">
        <v>1339</v>
      </c>
      <c r="E34" s="102" t="s">
        <v>375</v>
      </c>
      <c r="G34" s="195" t="n">
        <v>44313</v>
      </c>
      <c r="H34" s="111" t="s">
        <v>1193</v>
      </c>
      <c r="I34" s="113" t="s">
        <v>1340</v>
      </c>
      <c r="J34" s="102" t="s">
        <v>1327</v>
      </c>
      <c r="L34" s="128" t="s">
        <v>1318</v>
      </c>
    </row>
    <row r="35" customFormat="false" ht="15" hidden="false" customHeight="false" outlineLevel="0" collapsed="false">
      <c r="A35" s="102" t="s">
        <v>101</v>
      </c>
      <c r="B35" s="119" t="n">
        <v>2005741</v>
      </c>
      <c r="C35" s="48" t="s">
        <v>81</v>
      </c>
      <c r="D35" s="119" t="s">
        <v>1341</v>
      </c>
      <c r="E35" s="102" t="s">
        <v>375</v>
      </c>
      <c r="G35" s="195" t="n">
        <v>44313</v>
      </c>
      <c r="H35" s="111" t="s">
        <v>1193</v>
      </c>
      <c r="I35" s="113" t="s">
        <v>1342</v>
      </c>
      <c r="J35" s="102" t="s">
        <v>1327</v>
      </c>
      <c r="L35" s="128" t="s">
        <v>1318</v>
      </c>
    </row>
    <row r="36" customFormat="false" ht="15" hidden="false" customHeight="false" outlineLevel="0" collapsed="false">
      <c r="A36" s="102" t="s">
        <v>115</v>
      </c>
      <c r="B36" s="119" t="s">
        <v>1343</v>
      </c>
      <c r="C36" s="102" t="s">
        <v>442</v>
      </c>
      <c r="E36" s="102" t="s">
        <v>1203</v>
      </c>
      <c r="G36" s="195" t="n">
        <v>44403</v>
      </c>
      <c r="H36" s="111" t="s">
        <v>1193</v>
      </c>
      <c r="I36" s="61" t="n">
        <v>13280</v>
      </c>
      <c r="J36" s="102" t="s">
        <v>784</v>
      </c>
      <c r="L36" s="128" t="s">
        <v>1318</v>
      </c>
    </row>
    <row r="37" customFormat="false" ht="15" hidden="false" customHeight="false" outlineLevel="0" collapsed="false">
      <c r="A37" s="102" t="s">
        <v>752</v>
      </c>
      <c r="B37" s="119" t="s">
        <v>1344</v>
      </c>
      <c r="C37" s="102" t="s">
        <v>56</v>
      </c>
      <c r="D37" s="119" t="s">
        <v>1345</v>
      </c>
      <c r="E37" s="102" t="s">
        <v>1203</v>
      </c>
      <c r="G37" s="195" t="n">
        <v>44403</v>
      </c>
      <c r="H37" s="111" t="s">
        <v>1193</v>
      </c>
      <c r="I37" s="61" t="n">
        <v>13281</v>
      </c>
      <c r="J37" s="102" t="s">
        <v>784</v>
      </c>
      <c r="L37" s="128" t="s">
        <v>1318</v>
      </c>
    </row>
    <row r="38" customFormat="false" ht="15" hidden="false" customHeight="false" outlineLevel="0" collapsed="false">
      <c r="A38" s="102" t="s">
        <v>86</v>
      </c>
      <c r="B38" s="199" t="n">
        <v>1827001034376</v>
      </c>
      <c r="C38" s="102" t="s">
        <v>1346</v>
      </c>
      <c r="D38" s="119" t="n">
        <v>827</v>
      </c>
      <c r="E38" s="102" t="s">
        <v>1203</v>
      </c>
      <c r="G38" s="195" t="n">
        <v>44403</v>
      </c>
      <c r="H38" s="111" t="s">
        <v>1193</v>
      </c>
      <c r="I38" s="61" t="n">
        <v>13282</v>
      </c>
      <c r="J38" s="102" t="s">
        <v>784</v>
      </c>
      <c r="L38" s="128" t="s">
        <v>1318</v>
      </c>
    </row>
    <row r="39" customFormat="false" ht="15" hidden="false" customHeight="false" outlineLevel="0" collapsed="false">
      <c r="A39" s="102" t="s">
        <v>101</v>
      </c>
      <c r="B39" s="119" t="n">
        <v>1404677</v>
      </c>
      <c r="C39" s="48" t="s">
        <v>81</v>
      </c>
      <c r="D39" s="119" t="s">
        <v>103</v>
      </c>
      <c r="E39" s="102" t="s">
        <v>357</v>
      </c>
      <c r="G39" s="195" t="n">
        <v>44398</v>
      </c>
      <c r="H39" s="111" t="s">
        <v>1193</v>
      </c>
      <c r="I39" s="61" t="n">
        <v>13217</v>
      </c>
      <c r="J39" s="102" t="s">
        <v>784</v>
      </c>
      <c r="L39" s="128" t="s">
        <v>1318</v>
      </c>
    </row>
    <row r="40" customFormat="false" ht="15" hidden="false" customHeight="false" outlineLevel="0" collapsed="false">
      <c r="A40" s="102" t="s">
        <v>360</v>
      </c>
      <c r="B40" s="119" t="s">
        <v>1347</v>
      </c>
      <c r="C40" s="48" t="s">
        <v>81</v>
      </c>
      <c r="D40" s="119" t="s">
        <v>82</v>
      </c>
      <c r="E40" s="102" t="s">
        <v>357</v>
      </c>
      <c r="G40" s="195" t="n">
        <v>44398</v>
      </c>
      <c r="H40" s="111" t="s">
        <v>1193</v>
      </c>
      <c r="I40" s="61" t="n">
        <v>13218</v>
      </c>
      <c r="J40" s="102" t="s">
        <v>784</v>
      </c>
      <c r="L40" s="128" t="s">
        <v>1318</v>
      </c>
    </row>
    <row r="41" customFormat="false" ht="15" hidden="false" customHeight="false" outlineLevel="0" collapsed="false">
      <c r="A41" s="102" t="s">
        <v>1263</v>
      </c>
      <c r="B41" s="119" t="n">
        <v>4221150</v>
      </c>
      <c r="C41" s="48" t="s">
        <v>84</v>
      </c>
      <c r="D41" s="119" t="s">
        <v>364</v>
      </c>
      <c r="E41" s="102" t="s">
        <v>357</v>
      </c>
      <c r="G41" s="195" t="n">
        <v>44398</v>
      </c>
      <c r="H41" s="111" t="s">
        <v>1193</v>
      </c>
      <c r="I41" s="61" t="n">
        <v>13219</v>
      </c>
      <c r="J41" s="102" t="s">
        <v>784</v>
      </c>
      <c r="L41" s="128" t="s">
        <v>1318</v>
      </c>
    </row>
    <row r="42" customFormat="false" ht="15" hidden="false" customHeight="false" outlineLevel="0" collapsed="false">
      <c r="A42" s="102" t="s">
        <v>1263</v>
      </c>
      <c r="B42" s="119" t="n">
        <v>6213432</v>
      </c>
      <c r="C42" s="48" t="s">
        <v>84</v>
      </c>
      <c r="D42" s="119" t="s">
        <v>367</v>
      </c>
      <c r="E42" s="102" t="s">
        <v>357</v>
      </c>
      <c r="G42" s="195" t="n">
        <v>44398</v>
      </c>
      <c r="H42" s="111" t="s">
        <v>1193</v>
      </c>
      <c r="I42" s="61" t="n">
        <v>13220</v>
      </c>
      <c r="J42" s="102" t="s">
        <v>784</v>
      </c>
      <c r="L42" s="128" t="s">
        <v>1318</v>
      </c>
    </row>
    <row r="43" customFormat="false" ht="15" hidden="false" customHeight="false" outlineLevel="0" collapsed="false">
      <c r="A43" s="102" t="s">
        <v>745</v>
      </c>
      <c r="B43" s="119" t="s">
        <v>1348</v>
      </c>
      <c r="C43" s="102" t="s">
        <v>1103</v>
      </c>
      <c r="D43" s="119" t="s">
        <v>747</v>
      </c>
      <c r="E43" s="102" t="s">
        <v>357</v>
      </c>
      <c r="G43" s="195" t="n">
        <v>44398</v>
      </c>
      <c r="H43" s="111" t="s">
        <v>1193</v>
      </c>
      <c r="I43" s="61" t="n">
        <v>13221</v>
      </c>
      <c r="J43" s="102" t="s">
        <v>784</v>
      </c>
      <c r="L43" s="128" t="s">
        <v>1318</v>
      </c>
    </row>
    <row r="44" customFormat="false" ht="15" hidden="false" customHeight="false" outlineLevel="0" collapsed="false">
      <c r="A44" s="102" t="s">
        <v>745</v>
      </c>
      <c r="B44" s="119" t="s">
        <v>1349</v>
      </c>
      <c r="C44" s="102" t="s">
        <v>1103</v>
      </c>
      <c r="D44" s="119" t="s">
        <v>750</v>
      </c>
      <c r="E44" s="102" t="s">
        <v>357</v>
      </c>
      <c r="G44" s="195" t="n">
        <v>44398</v>
      </c>
      <c r="H44" s="111" t="s">
        <v>1193</v>
      </c>
      <c r="I44" s="61" t="n">
        <v>13222</v>
      </c>
      <c r="J44" s="102" t="s">
        <v>784</v>
      </c>
      <c r="L44" s="128" t="s">
        <v>1318</v>
      </c>
    </row>
    <row r="45" customFormat="false" ht="15" hidden="false" customHeight="false" outlineLevel="0" collapsed="false">
      <c r="A45" s="102" t="s">
        <v>752</v>
      </c>
      <c r="B45" s="119" t="s">
        <v>753</v>
      </c>
      <c r="C45" s="102" t="s">
        <v>1103</v>
      </c>
      <c r="D45" s="119" t="s">
        <v>754</v>
      </c>
      <c r="E45" s="102" t="s">
        <v>357</v>
      </c>
      <c r="G45" s="195" t="n">
        <v>44398</v>
      </c>
      <c r="H45" s="111" t="s">
        <v>1193</v>
      </c>
      <c r="I45" s="61" t="n">
        <v>13223</v>
      </c>
      <c r="J45" s="102" t="s">
        <v>784</v>
      </c>
      <c r="L45" s="128" t="s">
        <v>1318</v>
      </c>
    </row>
    <row r="46" s="1" customFormat="true" ht="15" hidden="false" customHeight="false" outlineLevel="0" collapsed="false">
      <c r="A46" s="102" t="s">
        <v>101</v>
      </c>
      <c r="B46" s="201" t="s">
        <v>331</v>
      </c>
      <c r="C46" s="48" t="s">
        <v>81</v>
      </c>
      <c r="D46" s="48" t="s">
        <v>103</v>
      </c>
      <c r="E46" s="102" t="s">
        <v>357</v>
      </c>
      <c r="F46" s="102" t="s">
        <v>329</v>
      </c>
      <c r="G46" s="195" t="n">
        <v>44398</v>
      </c>
      <c r="H46" s="111" t="s">
        <v>1193</v>
      </c>
      <c r="I46" s="113" t="n">
        <v>13247</v>
      </c>
      <c r="J46" s="102" t="s">
        <v>784</v>
      </c>
      <c r="K46" s="102" t="str">
        <f aca="false">IFERROR(VLOOKUP(A46,'Obs Tecnicas'!$D$68:$G$403,4,0),"")</f>
        <v/>
      </c>
      <c r="L46" s="128"/>
      <c r="R46" s="113" t="n">
        <f aca="false">IFERROR(VLOOKUP(B46,'Obs Tecnicas'!$D$68:$G$399,2,0),"")</f>
        <v>13247</v>
      </c>
      <c r="S46" s="102" t="str">
        <f aca="false">IFERROR(VLOOKUP(B46,'Obs Tecnicas'!$D$68:$G$403,3,0),"Hexis")</f>
        <v>ER ANALITICA</v>
      </c>
      <c r="T46" s="102" t="str">
        <f aca="false">IFERROR(VLOOKUP(B46,'Obs Tecnicas'!$D$68:$G$403,4,0),"")</f>
        <v>Bateria de lítio responsavel pelo armazenamento de dados e configurações de usuário enconra-se sem carga e o filtro óptico azul está oxidado.</v>
      </c>
      <c r="U46" s="128"/>
      <c r="W46" s="202" t="e">
        <f aca="false">VLOOKUP(A46,$AB$2:$AD$10,2,0)</f>
        <v>#N/A</v>
      </c>
      <c r="X46" s="202" t="e">
        <f aca="false">VLOOKUP(A46,$AB$2:$AD$10,3,0)</f>
        <v>#N/A</v>
      </c>
      <c r="AF46" s="203"/>
    </row>
    <row r="47" s="1" customFormat="true" ht="15" hidden="false" customHeight="false" outlineLevel="0" collapsed="false">
      <c r="A47" s="102" t="s">
        <v>360</v>
      </c>
      <c r="B47" s="102" t="s">
        <v>361</v>
      </c>
      <c r="C47" s="48" t="s">
        <v>81</v>
      </c>
      <c r="D47" s="135" t="s">
        <v>82</v>
      </c>
      <c r="E47" s="102" t="s">
        <v>357</v>
      </c>
      <c r="F47" s="102"/>
      <c r="G47" s="204" t="n">
        <v>44370</v>
      </c>
      <c r="H47" s="111" t="s">
        <v>1193</v>
      </c>
      <c r="I47" s="102" t="n">
        <v>13218</v>
      </c>
      <c r="J47" s="102" t="s">
        <v>784</v>
      </c>
    </row>
    <row r="48" s="152" customFormat="true" ht="15" hidden="false" customHeight="false" outlineLevel="0" collapsed="false">
      <c r="A48" s="102" t="s">
        <v>752</v>
      </c>
      <c r="B48" s="102" t="n">
        <v>756690243</v>
      </c>
      <c r="C48" s="102" t="s">
        <v>910</v>
      </c>
      <c r="D48" s="135"/>
      <c r="E48" s="102" t="s">
        <v>1350</v>
      </c>
      <c r="F48" s="102"/>
      <c r="G48" s="204" t="n">
        <v>44370</v>
      </c>
      <c r="H48" s="111" t="s">
        <v>1193</v>
      </c>
      <c r="I48" s="102" t="n">
        <v>12662</v>
      </c>
      <c r="J48" s="1" t="s">
        <v>784</v>
      </c>
    </row>
    <row r="49" s="1" customFormat="true" ht="15" hidden="false" customHeight="false" outlineLevel="0" collapsed="false">
      <c r="A49" s="102" t="s">
        <v>86</v>
      </c>
      <c r="B49" s="102" t="n">
        <v>2141238</v>
      </c>
      <c r="C49" s="48" t="s">
        <v>921</v>
      </c>
      <c r="D49" s="185" t="s">
        <v>1351</v>
      </c>
      <c r="E49" s="102" t="s">
        <v>1350</v>
      </c>
      <c r="F49" s="102"/>
      <c r="G49" s="204" t="n">
        <v>44370</v>
      </c>
      <c r="H49" s="111" t="s">
        <v>1193</v>
      </c>
      <c r="I49" s="102" t="n">
        <v>12667</v>
      </c>
      <c r="J49" s="1" t="s">
        <v>784</v>
      </c>
    </row>
    <row r="50" s="1" customFormat="true" ht="15" hidden="false" customHeight="false" outlineLevel="0" collapsed="false">
      <c r="A50" s="102" t="s">
        <v>1338</v>
      </c>
      <c r="B50" s="102" t="s">
        <v>669</v>
      </c>
      <c r="C50" s="48" t="s">
        <v>81</v>
      </c>
      <c r="D50" s="135" t="s">
        <v>91</v>
      </c>
      <c r="E50" s="102" t="s">
        <v>1350</v>
      </c>
      <c r="F50" s="102"/>
      <c r="G50" s="204" t="n">
        <v>44370</v>
      </c>
      <c r="H50" s="111" t="s">
        <v>1193</v>
      </c>
      <c r="I50" s="102" t="n">
        <v>12670</v>
      </c>
      <c r="J50" s="1" t="s">
        <v>784</v>
      </c>
    </row>
    <row r="51" s="1" customFormat="true" ht="15" hidden="false" customHeight="false" outlineLevel="0" collapsed="false">
      <c r="A51" s="102" t="s">
        <v>1263</v>
      </c>
      <c r="B51" s="102" t="n">
        <v>6217524</v>
      </c>
      <c r="C51" s="48" t="s">
        <v>84</v>
      </c>
      <c r="D51" s="135"/>
      <c r="E51" s="102" t="s">
        <v>1350</v>
      </c>
      <c r="F51" s="102"/>
      <c r="G51" s="204" t="n">
        <v>44370</v>
      </c>
      <c r="H51" s="111" t="s">
        <v>1193</v>
      </c>
      <c r="I51" s="102" t="n">
        <v>12673</v>
      </c>
      <c r="J51" s="1" t="s">
        <v>784</v>
      </c>
    </row>
    <row r="52" s="1" customFormat="true" ht="15" hidden="false" customHeight="false" outlineLevel="0" collapsed="false">
      <c r="A52" s="102" t="s">
        <v>83</v>
      </c>
      <c r="B52" s="102" t="n">
        <v>52162</v>
      </c>
      <c r="C52" s="102" t="s">
        <v>87</v>
      </c>
      <c r="D52" s="119" t="s">
        <v>378</v>
      </c>
      <c r="E52" s="102" t="s">
        <v>1350</v>
      </c>
      <c r="F52" s="102"/>
      <c r="G52" s="204" t="n">
        <v>44371</v>
      </c>
      <c r="H52" s="111" t="s">
        <v>1193</v>
      </c>
      <c r="I52" s="102" t="n">
        <v>12675</v>
      </c>
      <c r="J52" s="1" t="s">
        <v>784</v>
      </c>
    </row>
    <row r="53" s="1" customFormat="true" ht="15" hidden="false" customHeight="false" outlineLevel="0" collapsed="false">
      <c r="A53" s="102" t="s">
        <v>83</v>
      </c>
      <c r="B53" s="119" t="n">
        <v>4240437</v>
      </c>
      <c r="C53" s="48" t="s">
        <v>84</v>
      </c>
      <c r="D53" s="119" t="s">
        <v>364</v>
      </c>
      <c r="E53" s="61" t="s">
        <v>1352</v>
      </c>
      <c r="F53" s="102"/>
      <c r="G53" s="204" t="n">
        <v>44407</v>
      </c>
      <c r="H53" s="111" t="s">
        <v>1193</v>
      </c>
      <c r="I53" s="102" t="n">
        <v>13319</v>
      </c>
      <c r="J53" s="1" t="s">
        <v>784</v>
      </c>
    </row>
    <row r="54" s="1" customFormat="true" ht="15" hidden="false" customHeight="false" outlineLevel="0" collapsed="false">
      <c r="A54" s="102" t="s">
        <v>86</v>
      </c>
      <c r="B54" s="102" t="n">
        <v>2902019</v>
      </c>
      <c r="C54" s="48" t="s">
        <v>1003</v>
      </c>
      <c r="D54" s="135" t="s">
        <v>137</v>
      </c>
      <c r="E54" s="61" t="s">
        <v>1352</v>
      </c>
      <c r="F54" s="102"/>
      <c r="G54" s="204" t="n">
        <v>44407</v>
      </c>
      <c r="H54" s="111" t="s">
        <v>1193</v>
      </c>
      <c r="I54" s="102" t="n">
        <v>13316</v>
      </c>
      <c r="J54" s="1" t="s">
        <v>784</v>
      </c>
    </row>
    <row r="55" s="1" customFormat="true" ht="15" hidden="false" customHeight="false" outlineLevel="0" collapsed="false">
      <c r="A55" s="102" t="s">
        <v>101</v>
      </c>
      <c r="B55" s="135" t="s">
        <v>562</v>
      </c>
      <c r="C55" s="48" t="s">
        <v>81</v>
      </c>
      <c r="D55" s="135" t="s">
        <v>563</v>
      </c>
      <c r="E55" s="102" t="s">
        <v>1352</v>
      </c>
      <c r="F55" s="102"/>
      <c r="G55" s="204" t="n">
        <v>44407</v>
      </c>
      <c r="H55" s="111" t="s">
        <v>1193</v>
      </c>
      <c r="I55" s="61" t="n">
        <v>13320</v>
      </c>
      <c r="J55" s="1" t="s">
        <v>784</v>
      </c>
    </row>
    <row r="56" s="1" customFormat="true" ht="15" hidden="false" customHeight="false" outlineLevel="0" collapsed="false">
      <c r="A56" s="102" t="s">
        <v>83</v>
      </c>
      <c r="B56" s="135" t="s">
        <v>575</v>
      </c>
      <c r="C56" s="48" t="s">
        <v>84</v>
      </c>
      <c r="D56" s="119" t="s">
        <v>576</v>
      </c>
      <c r="E56" s="102" t="s">
        <v>1352</v>
      </c>
      <c r="F56" s="102"/>
      <c r="G56" s="204" t="n">
        <v>44407</v>
      </c>
      <c r="H56" s="111" t="s">
        <v>1193</v>
      </c>
      <c r="I56" s="102" t="n">
        <v>1331</v>
      </c>
      <c r="J56" s="1" t="s">
        <v>784</v>
      </c>
    </row>
    <row r="57" s="1" customFormat="true" ht="15" hidden="false" customHeight="false" outlineLevel="0" collapsed="false">
      <c r="A57" s="102" t="s">
        <v>86</v>
      </c>
      <c r="B57" s="131" t="s">
        <v>1353</v>
      </c>
      <c r="C57" s="48" t="s">
        <v>1003</v>
      </c>
      <c r="D57" s="131" t="s">
        <v>137</v>
      </c>
      <c r="E57" s="61" t="s">
        <v>1354</v>
      </c>
      <c r="F57" s="102" t="s">
        <v>234</v>
      </c>
      <c r="G57" s="204" t="n">
        <v>44424</v>
      </c>
      <c r="H57" s="111" t="s">
        <v>1193</v>
      </c>
      <c r="I57" s="61" t="n">
        <v>13450</v>
      </c>
      <c r="J57" s="1" t="s">
        <v>784</v>
      </c>
    </row>
    <row r="58" s="1" customFormat="true" ht="15" hidden="false" customHeight="false" outlineLevel="0" collapsed="false">
      <c r="A58" s="102" t="s">
        <v>86</v>
      </c>
      <c r="B58" s="131" t="s">
        <v>1355</v>
      </c>
      <c r="C58" s="48" t="s">
        <v>81</v>
      </c>
      <c r="D58" s="131" t="s">
        <v>274</v>
      </c>
      <c r="E58" s="61" t="s">
        <v>1354</v>
      </c>
      <c r="F58" s="102" t="s">
        <v>234</v>
      </c>
      <c r="G58" s="204" t="n">
        <v>44424</v>
      </c>
      <c r="H58" s="111" t="s">
        <v>1193</v>
      </c>
      <c r="I58" s="61" t="n">
        <v>13453</v>
      </c>
      <c r="J58" s="1" t="s">
        <v>784</v>
      </c>
    </row>
    <row r="59" s="1" customFormat="true" ht="15" hidden="false" customHeight="false" outlineLevel="0" collapsed="false">
      <c r="A59" s="102" t="s">
        <v>86</v>
      </c>
      <c r="B59" s="131" t="s">
        <v>1356</v>
      </c>
      <c r="C59" s="48" t="s">
        <v>1003</v>
      </c>
      <c r="D59" s="131" t="s">
        <v>137</v>
      </c>
      <c r="E59" s="61" t="s">
        <v>1354</v>
      </c>
      <c r="F59" s="102" t="s">
        <v>234</v>
      </c>
      <c r="G59" s="205" t="n">
        <v>44424</v>
      </c>
      <c r="H59" s="111" t="s">
        <v>1193</v>
      </c>
      <c r="I59" s="61" t="n">
        <v>13454</v>
      </c>
      <c r="J59" s="1" t="s">
        <v>784</v>
      </c>
    </row>
    <row r="60" customFormat="false" ht="15" hidden="false" customHeight="false" outlineLevel="0" collapsed="false">
      <c r="A60" s="102" t="s">
        <v>86</v>
      </c>
      <c r="B60" s="131" t="s">
        <v>1357</v>
      </c>
      <c r="C60" s="48" t="s">
        <v>1003</v>
      </c>
      <c r="D60" s="131" t="s">
        <v>1314</v>
      </c>
      <c r="E60" s="61" t="s">
        <v>1354</v>
      </c>
      <c r="F60" s="102" t="s">
        <v>234</v>
      </c>
      <c r="G60" s="204" t="n">
        <v>44424</v>
      </c>
      <c r="H60" s="111" t="s">
        <v>1193</v>
      </c>
      <c r="I60" s="61" t="n">
        <v>13457</v>
      </c>
      <c r="J60" s="1" t="s">
        <v>784</v>
      </c>
    </row>
    <row r="61" customFormat="false" ht="15" hidden="false" customHeight="false" outlineLevel="0" collapsed="false">
      <c r="A61" s="102" t="s">
        <v>1263</v>
      </c>
      <c r="B61" s="131" t="s">
        <v>1358</v>
      </c>
      <c r="C61" s="48" t="s">
        <v>84</v>
      </c>
      <c r="D61" s="61" t="s">
        <v>489</v>
      </c>
      <c r="E61" s="61" t="s">
        <v>1354</v>
      </c>
      <c r="F61" s="102" t="s">
        <v>234</v>
      </c>
      <c r="G61" s="204" t="n">
        <v>44424</v>
      </c>
      <c r="H61" s="111" t="s">
        <v>1193</v>
      </c>
      <c r="I61" s="61" t="n">
        <v>13437</v>
      </c>
      <c r="J61" s="1" t="s">
        <v>784</v>
      </c>
    </row>
    <row r="62" customFormat="false" ht="15" hidden="false" customHeight="false" outlineLevel="0" collapsed="false">
      <c r="A62" s="102" t="s">
        <v>101</v>
      </c>
      <c r="B62" s="131" t="s">
        <v>233</v>
      </c>
      <c r="C62" s="48" t="s">
        <v>81</v>
      </c>
      <c r="D62" s="61" t="s">
        <v>1341</v>
      </c>
      <c r="E62" s="61" t="s">
        <v>1354</v>
      </c>
      <c r="F62" s="102" t="s">
        <v>234</v>
      </c>
      <c r="G62" s="204" t="n">
        <v>44424</v>
      </c>
      <c r="H62" s="111" t="s">
        <v>1193</v>
      </c>
      <c r="I62" s="61" t="n">
        <v>13513</v>
      </c>
      <c r="J62" s="1" t="s">
        <v>784</v>
      </c>
    </row>
    <row r="63" customFormat="false" ht="15" hidden="false" customHeight="false" outlineLevel="0" collapsed="false">
      <c r="A63" s="102" t="s">
        <v>101</v>
      </c>
      <c r="B63" s="131" t="s">
        <v>1359</v>
      </c>
      <c r="C63" s="48" t="s">
        <v>81</v>
      </c>
      <c r="D63" s="61" t="s">
        <v>563</v>
      </c>
      <c r="E63" s="61" t="s">
        <v>1354</v>
      </c>
      <c r="F63" s="102" t="s">
        <v>234</v>
      </c>
      <c r="G63" s="204" t="n">
        <v>44424</v>
      </c>
      <c r="H63" s="111" t="s">
        <v>1193</v>
      </c>
      <c r="I63" s="61" t="n">
        <v>13448</v>
      </c>
      <c r="J63" s="1" t="s">
        <v>784</v>
      </c>
    </row>
    <row r="64" customFormat="false" ht="15" hidden="false" customHeight="false" outlineLevel="0" collapsed="false">
      <c r="A64" s="102" t="s">
        <v>83</v>
      </c>
      <c r="B64" s="61" t="n">
        <v>48564</v>
      </c>
      <c r="C64" s="102" t="s">
        <v>87</v>
      </c>
      <c r="D64" s="61" t="s">
        <v>692</v>
      </c>
      <c r="E64" s="61" t="s">
        <v>1350</v>
      </c>
      <c r="F64" s="102" t="s">
        <v>693</v>
      </c>
      <c r="G64" s="195" t="n">
        <v>44418</v>
      </c>
      <c r="H64" s="111" t="s">
        <v>1193</v>
      </c>
      <c r="I64" s="113" t="n">
        <v>13389</v>
      </c>
      <c r="J64" s="1" t="s">
        <v>784</v>
      </c>
    </row>
    <row r="65" customFormat="false" ht="15" hidden="false" customHeight="false" outlineLevel="0" collapsed="false">
      <c r="A65" s="102" t="s">
        <v>86</v>
      </c>
      <c r="B65" s="61" t="n">
        <v>1584391</v>
      </c>
      <c r="C65" s="48" t="s">
        <v>1003</v>
      </c>
      <c r="D65" s="61" t="s">
        <v>151</v>
      </c>
      <c r="E65" s="61" t="s">
        <v>1350</v>
      </c>
      <c r="F65" s="102" t="s">
        <v>693</v>
      </c>
      <c r="G65" s="195" t="n">
        <v>44418</v>
      </c>
      <c r="H65" s="111" t="s">
        <v>1193</v>
      </c>
      <c r="I65" s="113" t="n">
        <v>13390</v>
      </c>
      <c r="J65" s="1" t="s">
        <v>784</v>
      </c>
    </row>
    <row r="66" customFormat="false" ht="15" hidden="false" customHeight="false" outlineLevel="0" collapsed="false">
      <c r="A66" s="115" t="s">
        <v>79</v>
      </c>
      <c r="B66" s="206" t="n">
        <v>182180001013</v>
      </c>
      <c r="C66" s="48" t="s">
        <v>81</v>
      </c>
      <c r="D66" s="48" t="s">
        <v>1321</v>
      </c>
      <c r="E66" s="61" t="s">
        <v>1350</v>
      </c>
      <c r="F66" s="102" t="s">
        <v>693</v>
      </c>
      <c r="G66" s="195" t="n">
        <v>44418</v>
      </c>
      <c r="H66" s="111" t="s">
        <v>1193</v>
      </c>
      <c r="I66" s="113" t="n">
        <v>13391</v>
      </c>
      <c r="J66" s="1" t="s">
        <v>784</v>
      </c>
    </row>
    <row r="67" customFormat="false" ht="15" hidden="false" customHeight="false" outlineLevel="0" collapsed="false">
      <c r="A67" s="102" t="s">
        <v>86</v>
      </c>
      <c r="B67" s="131" t="s">
        <v>1360</v>
      </c>
      <c r="C67" s="48" t="s">
        <v>81</v>
      </c>
      <c r="D67" s="61" t="s">
        <v>274</v>
      </c>
      <c r="E67" s="61" t="s">
        <v>1304</v>
      </c>
      <c r="F67" s="102" t="s">
        <v>276</v>
      </c>
      <c r="G67" s="195" t="n">
        <v>44432</v>
      </c>
      <c r="H67" s="111" t="s">
        <v>1193</v>
      </c>
      <c r="I67" s="61" t="n">
        <v>13507</v>
      </c>
      <c r="J67" s="1" t="s">
        <v>784</v>
      </c>
    </row>
    <row r="68" customFormat="false" ht="15" hidden="false" customHeight="false" outlineLevel="0" collapsed="false">
      <c r="A68" s="102" t="s">
        <v>86</v>
      </c>
      <c r="B68" s="131" t="s">
        <v>1301</v>
      </c>
      <c r="C68" s="48" t="s">
        <v>117</v>
      </c>
      <c r="D68" s="61" t="s">
        <v>1303</v>
      </c>
      <c r="E68" s="61" t="s">
        <v>1304</v>
      </c>
      <c r="F68" s="61" t="s">
        <v>1305</v>
      </c>
      <c r="G68" s="195" t="n">
        <v>44432</v>
      </c>
      <c r="H68" s="111" t="s">
        <v>1193</v>
      </c>
      <c r="I68" s="113" t="n">
        <v>13511</v>
      </c>
      <c r="J68" s="1" t="s">
        <v>784</v>
      </c>
    </row>
    <row r="69" customFormat="false" ht="15" hidden="false" customHeight="false" outlineLevel="0" collapsed="false">
      <c r="A69" s="102" t="s">
        <v>1263</v>
      </c>
      <c r="B69" s="131" t="s">
        <v>256</v>
      </c>
      <c r="C69" s="48" t="s">
        <v>84</v>
      </c>
      <c r="D69" s="61" t="s">
        <v>257</v>
      </c>
      <c r="E69" s="61" t="s">
        <v>1361</v>
      </c>
      <c r="F69" s="61" t="s">
        <v>1362</v>
      </c>
      <c r="G69" s="195" t="n">
        <v>44433</v>
      </c>
      <c r="H69" s="111" t="s">
        <v>1193</v>
      </c>
      <c r="I69" s="61" t="n">
        <v>13652</v>
      </c>
      <c r="J69" s="1" t="s">
        <v>784</v>
      </c>
    </row>
    <row r="70" customFormat="false" ht="15" hidden="false" customHeight="false" outlineLevel="0" collapsed="false">
      <c r="A70" s="102" t="s">
        <v>1263</v>
      </c>
      <c r="B70" s="131" t="s">
        <v>258</v>
      </c>
      <c r="C70" s="48" t="s">
        <v>84</v>
      </c>
      <c r="D70" s="61" t="s">
        <v>257</v>
      </c>
      <c r="E70" s="61" t="s">
        <v>1361</v>
      </c>
      <c r="F70" s="61" t="s">
        <v>1362</v>
      </c>
      <c r="G70" s="195" t="n">
        <v>44433</v>
      </c>
      <c r="H70" s="111" t="s">
        <v>1193</v>
      </c>
      <c r="I70" s="61" t="n">
        <v>13661</v>
      </c>
      <c r="J70" s="1" t="s">
        <v>784</v>
      </c>
    </row>
    <row r="71" customFormat="false" ht="15" hidden="false" customHeight="false" outlineLevel="0" collapsed="false">
      <c r="A71" s="102" t="s">
        <v>1263</v>
      </c>
      <c r="B71" s="131" t="s">
        <v>259</v>
      </c>
      <c r="C71" s="48" t="s">
        <v>81</v>
      </c>
      <c r="D71" s="61" t="s">
        <v>260</v>
      </c>
      <c r="E71" s="61" t="s">
        <v>1361</v>
      </c>
      <c r="F71" s="61" t="s">
        <v>1362</v>
      </c>
      <c r="G71" s="195" t="n">
        <v>44433</v>
      </c>
      <c r="H71" s="111" t="s">
        <v>1193</v>
      </c>
      <c r="I71" s="61" t="n">
        <v>13668</v>
      </c>
      <c r="J71" s="1" t="s">
        <v>784</v>
      </c>
    </row>
    <row r="72" customFormat="false" ht="15" hidden="false" customHeight="false" outlineLevel="0" collapsed="false">
      <c r="A72" s="102" t="s">
        <v>1263</v>
      </c>
      <c r="B72" s="131" t="n">
        <v>6253970</v>
      </c>
      <c r="C72" s="48" t="s">
        <v>84</v>
      </c>
      <c r="E72" s="207" t="s">
        <v>1363</v>
      </c>
      <c r="F72" s="207"/>
      <c r="G72" s="195" t="n">
        <v>44442</v>
      </c>
      <c r="H72" s="111" t="s">
        <v>1193</v>
      </c>
      <c r="I72" s="61" t="n">
        <v>13694</v>
      </c>
      <c r="J72" s="1" t="s">
        <v>784</v>
      </c>
    </row>
    <row r="73" customFormat="false" ht="15" hidden="false" customHeight="false" outlineLevel="0" collapsed="false">
      <c r="A73" s="102" t="s">
        <v>360</v>
      </c>
      <c r="B73" s="131" t="s">
        <v>480</v>
      </c>
      <c r="C73" s="48" t="s">
        <v>81</v>
      </c>
      <c r="D73" s="61" t="s">
        <v>82</v>
      </c>
      <c r="E73" s="207"/>
      <c r="F73" s="207"/>
      <c r="G73" s="195" t="n">
        <v>44442</v>
      </c>
      <c r="H73" s="111" t="s">
        <v>1193</v>
      </c>
      <c r="I73" s="61" t="n">
        <v>13758</v>
      </c>
      <c r="J73" s="1" t="s">
        <v>784</v>
      </c>
    </row>
    <row r="74" customFormat="false" ht="15" hidden="false" customHeight="false" outlineLevel="0" collapsed="false">
      <c r="A74" s="102" t="s">
        <v>360</v>
      </c>
      <c r="B74" s="131" t="s">
        <v>415</v>
      </c>
      <c r="C74" s="48" t="s">
        <v>81</v>
      </c>
      <c r="D74" s="61" t="s">
        <v>82</v>
      </c>
      <c r="E74" s="208"/>
      <c r="F74" s="208"/>
      <c r="G74" s="195" t="n">
        <v>44442</v>
      </c>
      <c r="H74" s="111" t="s">
        <v>1193</v>
      </c>
      <c r="I74" s="61" t="n">
        <v>13759</v>
      </c>
      <c r="J74" s="1" t="s">
        <v>784</v>
      </c>
    </row>
    <row r="75" customFormat="false" ht="15" hidden="false" customHeight="false" outlineLevel="0" collapsed="false">
      <c r="A75" s="102" t="s">
        <v>86</v>
      </c>
      <c r="B75" s="118" t="s">
        <v>104</v>
      </c>
      <c r="C75" s="102" t="s">
        <v>1364</v>
      </c>
      <c r="D75" s="118" t="s">
        <v>106</v>
      </c>
      <c r="E75" s="61" t="s">
        <v>1365</v>
      </c>
      <c r="F75" s="102" t="s">
        <v>1366</v>
      </c>
      <c r="G75" s="195" t="n">
        <v>44455</v>
      </c>
      <c r="H75" s="111" t="s">
        <v>1193</v>
      </c>
      <c r="I75" s="61" t="n">
        <v>13762</v>
      </c>
      <c r="J75" s="1" t="s">
        <v>784</v>
      </c>
    </row>
    <row r="76" customFormat="false" ht="15" hidden="false" customHeight="false" outlineLevel="0" collapsed="false">
      <c r="A76" s="102" t="s">
        <v>86</v>
      </c>
      <c r="B76" s="118" t="s">
        <v>107</v>
      </c>
      <c r="C76" s="102" t="s">
        <v>288</v>
      </c>
      <c r="D76" s="118" t="s">
        <v>1367</v>
      </c>
      <c r="E76" s="61" t="s">
        <v>1365</v>
      </c>
      <c r="F76" s="102" t="s">
        <v>1366</v>
      </c>
      <c r="G76" s="195" t="n">
        <v>44455</v>
      </c>
      <c r="H76" s="111" t="s">
        <v>1193</v>
      </c>
      <c r="I76" s="61" t="n">
        <v>13763</v>
      </c>
      <c r="J76" s="1" t="s">
        <v>784</v>
      </c>
    </row>
    <row r="77" customFormat="false" ht="15" hidden="false" customHeight="false" outlineLevel="0" collapsed="false">
      <c r="A77" s="61" t="s">
        <v>450</v>
      </c>
      <c r="B77" s="118" t="s">
        <v>451</v>
      </c>
      <c r="C77" s="102" t="s">
        <v>452</v>
      </c>
      <c r="D77" s="118"/>
      <c r="E77" s="102" t="s">
        <v>1203</v>
      </c>
      <c r="F77" s="61" t="s">
        <v>1368</v>
      </c>
      <c r="G77" s="195" t="n">
        <v>44461</v>
      </c>
      <c r="H77" s="111" t="s">
        <v>1193</v>
      </c>
      <c r="I77" s="102" t="n">
        <v>13907</v>
      </c>
      <c r="J77" s="1" t="s">
        <v>784</v>
      </c>
    </row>
    <row r="78" customFormat="false" ht="15" hidden="false" customHeight="false" outlineLevel="0" collapsed="false">
      <c r="A78" s="102" t="s">
        <v>1263</v>
      </c>
      <c r="B78" s="118" t="s">
        <v>1369</v>
      </c>
      <c r="C78" s="102" t="s">
        <v>1103</v>
      </c>
      <c r="D78" s="102" t="s">
        <v>141</v>
      </c>
      <c r="E78" s="102" t="s">
        <v>1370</v>
      </c>
      <c r="F78" s="61" t="s">
        <v>1317</v>
      </c>
      <c r="G78" s="195" t="n">
        <v>44459</v>
      </c>
      <c r="H78" s="111" t="s">
        <v>1193</v>
      </c>
      <c r="I78" s="61" t="n">
        <v>13834</v>
      </c>
      <c r="J78" s="1" t="s">
        <v>784</v>
      </c>
    </row>
    <row r="79" customFormat="false" ht="15" hidden="false" customHeight="false" outlineLevel="0" collapsed="false">
      <c r="A79" s="102" t="s">
        <v>1338</v>
      </c>
      <c r="B79" s="118" t="s">
        <v>145</v>
      </c>
      <c r="C79" s="48" t="s">
        <v>81</v>
      </c>
      <c r="D79" s="102" t="s">
        <v>91</v>
      </c>
      <c r="E79" s="102" t="s">
        <v>1370</v>
      </c>
      <c r="F79" s="61" t="s">
        <v>1317</v>
      </c>
      <c r="G79" s="195" t="n">
        <v>44459</v>
      </c>
      <c r="H79" s="111" t="s">
        <v>1193</v>
      </c>
      <c r="I79" s="102" t="n">
        <v>13835</v>
      </c>
      <c r="J79" s="1" t="s">
        <v>784</v>
      </c>
    </row>
    <row r="80" customFormat="false" ht="15" hidden="false" customHeight="false" outlineLevel="0" collapsed="false">
      <c r="A80" s="102" t="s">
        <v>101</v>
      </c>
      <c r="B80" s="118" t="s">
        <v>147</v>
      </c>
      <c r="C80" s="48" t="s">
        <v>81</v>
      </c>
      <c r="D80" s="118" t="s">
        <v>148</v>
      </c>
      <c r="E80" s="102" t="s">
        <v>1370</v>
      </c>
      <c r="F80" s="61" t="s">
        <v>1317</v>
      </c>
      <c r="G80" s="195" t="n">
        <v>44459</v>
      </c>
      <c r="H80" s="111" t="s">
        <v>1193</v>
      </c>
      <c r="I80" s="102" t="n">
        <v>13835</v>
      </c>
      <c r="J80" s="1" t="s">
        <v>784</v>
      </c>
    </row>
    <row r="81" customFormat="false" ht="15" hidden="false" customHeight="false" outlineLevel="0" collapsed="false">
      <c r="A81" s="102" t="s">
        <v>83</v>
      </c>
      <c r="B81" s="118" t="s">
        <v>131</v>
      </c>
      <c r="C81" s="48" t="s">
        <v>84</v>
      </c>
      <c r="D81" s="118" t="s">
        <v>1371</v>
      </c>
      <c r="E81" s="61" t="s">
        <v>1370</v>
      </c>
      <c r="F81" s="61" t="s">
        <v>1317</v>
      </c>
      <c r="G81" s="195" t="n">
        <v>44459</v>
      </c>
      <c r="H81" s="111" t="s">
        <v>1193</v>
      </c>
      <c r="I81" s="102" t="n">
        <v>13835</v>
      </c>
      <c r="J81" s="1" t="s">
        <v>784</v>
      </c>
    </row>
    <row r="82" customFormat="false" ht="15" hidden="false" customHeight="false" outlineLevel="0" collapsed="false">
      <c r="A82" s="102" t="s">
        <v>86</v>
      </c>
      <c r="B82" s="61" t="n">
        <v>893769</v>
      </c>
      <c r="C82" s="48" t="s">
        <v>1003</v>
      </c>
      <c r="D82" s="61" t="s">
        <v>151</v>
      </c>
      <c r="E82" s="102" t="s">
        <v>1370</v>
      </c>
      <c r="F82" s="61" t="s">
        <v>1317</v>
      </c>
      <c r="G82" s="195" t="n">
        <v>44459</v>
      </c>
      <c r="H82" s="111" t="s">
        <v>1193</v>
      </c>
      <c r="I82" s="61" t="n">
        <v>13926</v>
      </c>
      <c r="J82" s="1" t="s">
        <v>784</v>
      </c>
    </row>
    <row r="83" customFormat="false" ht="15" hidden="false" customHeight="false" outlineLevel="0" collapsed="false">
      <c r="A83" s="102" t="s">
        <v>86</v>
      </c>
      <c r="B83" s="61" t="n">
        <v>51302520</v>
      </c>
      <c r="C83" s="48" t="s">
        <v>117</v>
      </c>
      <c r="D83" s="102" t="s">
        <v>1372</v>
      </c>
      <c r="E83" s="102" t="s">
        <v>1370</v>
      </c>
      <c r="F83" s="61" t="s">
        <v>1317</v>
      </c>
      <c r="G83" s="195" t="n">
        <v>44459</v>
      </c>
      <c r="H83" s="111" t="s">
        <v>1193</v>
      </c>
      <c r="I83" s="102" t="n">
        <v>13838</v>
      </c>
      <c r="J83" s="1" t="s">
        <v>784</v>
      </c>
    </row>
    <row r="84" customFormat="false" ht="15" hidden="false" customHeight="false" outlineLevel="0" collapsed="false">
      <c r="A84" s="102" t="s">
        <v>1338</v>
      </c>
      <c r="B84" s="118" t="s">
        <v>145</v>
      </c>
      <c r="C84" s="48" t="s">
        <v>81</v>
      </c>
      <c r="D84" s="118" t="s">
        <v>1373</v>
      </c>
      <c r="E84" s="102" t="s">
        <v>1370</v>
      </c>
      <c r="F84" s="61" t="s">
        <v>1317</v>
      </c>
      <c r="G84" s="195" t="n">
        <v>44459</v>
      </c>
      <c r="H84" s="111" t="s">
        <v>1193</v>
      </c>
      <c r="I84" s="102" t="n">
        <v>13835</v>
      </c>
      <c r="J84" s="1" t="s">
        <v>784</v>
      </c>
    </row>
    <row r="85" customFormat="false" ht="15" hidden="false" customHeight="false" outlineLevel="0" collapsed="false">
      <c r="A85" s="102" t="s">
        <v>1263</v>
      </c>
      <c r="B85" s="118" t="s">
        <v>1369</v>
      </c>
      <c r="C85" s="102" t="s">
        <v>1103</v>
      </c>
      <c r="D85" s="118" t="s">
        <v>1374</v>
      </c>
      <c r="E85" s="102" t="s">
        <v>1370</v>
      </c>
      <c r="F85" s="61" t="s">
        <v>1317</v>
      </c>
      <c r="G85" s="195" t="n">
        <v>44459</v>
      </c>
      <c r="H85" s="111" t="s">
        <v>1193</v>
      </c>
      <c r="I85" s="102" t="n">
        <v>13834</v>
      </c>
      <c r="J85" s="1" t="s">
        <v>784</v>
      </c>
    </row>
    <row r="86" customFormat="false" ht="15" hidden="false" customHeight="false" outlineLevel="0" collapsed="false">
      <c r="A86" s="102" t="s">
        <v>115</v>
      </c>
      <c r="B86" s="118" t="s">
        <v>1375</v>
      </c>
      <c r="C86" s="48" t="s">
        <v>117</v>
      </c>
      <c r="D86" s="118" t="s">
        <v>129</v>
      </c>
      <c r="E86" s="102" t="s">
        <v>1370</v>
      </c>
      <c r="F86" s="61" t="s">
        <v>1317</v>
      </c>
      <c r="G86" s="195" t="n">
        <v>44459</v>
      </c>
      <c r="H86" s="111" t="s">
        <v>1193</v>
      </c>
      <c r="I86" s="102" t="n">
        <v>13833</v>
      </c>
      <c r="J86" s="1" t="s">
        <v>784</v>
      </c>
    </row>
    <row r="87" customFormat="false" ht="15" hidden="false" customHeight="false" outlineLevel="0" collapsed="false">
      <c r="A87" s="102" t="s">
        <v>86</v>
      </c>
      <c r="B87" s="118" t="s">
        <v>150</v>
      </c>
      <c r="C87" s="48" t="s">
        <v>1003</v>
      </c>
      <c r="D87" s="118" t="s">
        <v>151</v>
      </c>
      <c r="E87" s="102" t="s">
        <v>1370</v>
      </c>
      <c r="F87" s="61" t="s">
        <v>1317</v>
      </c>
      <c r="G87" s="195" t="n">
        <v>44459</v>
      </c>
      <c r="H87" s="111" t="s">
        <v>1193</v>
      </c>
      <c r="I87" s="102" t="n">
        <v>13925</v>
      </c>
      <c r="J87" s="1" t="s">
        <v>784</v>
      </c>
    </row>
    <row r="88" customFormat="false" ht="15" hidden="false" customHeight="false" outlineLevel="0" collapsed="false">
      <c r="A88" s="102" t="s">
        <v>86</v>
      </c>
      <c r="B88" s="61" t="n">
        <v>2062585</v>
      </c>
      <c r="C88" s="48" t="s">
        <v>1003</v>
      </c>
      <c r="D88" s="61" t="s">
        <v>137</v>
      </c>
      <c r="E88" s="102" t="s">
        <v>1370</v>
      </c>
      <c r="F88" s="61" t="s">
        <v>1317</v>
      </c>
      <c r="G88" s="195" t="n">
        <v>44459</v>
      </c>
      <c r="H88" s="111" t="s">
        <v>1193</v>
      </c>
      <c r="I88" s="102" t="n">
        <v>13927</v>
      </c>
      <c r="J88" s="1" t="s">
        <v>784</v>
      </c>
    </row>
    <row r="89" customFormat="false" ht="15" hidden="false" customHeight="false" outlineLevel="0" collapsed="false">
      <c r="A89" s="115" t="s">
        <v>79</v>
      </c>
      <c r="B89" s="118" t="s">
        <v>152</v>
      </c>
      <c r="C89" s="48" t="s">
        <v>81</v>
      </c>
      <c r="D89" s="118" t="s">
        <v>153</v>
      </c>
      <c r="E89" s="102" t="s">
        <v>1370</v>
      </c>
      <c r="F89" s="61" t="s">
        <v>1317</v>
      </c>
      <c r="G89" s="195" t="n">
        <v>44459</v>
      </c>
      <c r="H89" s="111" t="s">
        <v>1193</v>
      </c>
      <c r="I89" s="102" t="n">
        <v>13906</v>
      </c>
      <c r="J89" s="1" t="s">
        <v>784</v>
      </c>
    </row>
    <row r="90" customFormat="false" ht="15" hidden="false" customHeight="false" outlineLevel="0" collapsed="false">
      <c r="A90" s="115" t="s">
        <v>79</v>
      </c>
      <c r="B90" s="118" t="s">
        <v>154</v>
      </c>
      <c r="C90" s="48" t="s">
        <v>81</v>
      </c>
      <c r="D90" s="118" t="s">
        <v>82</v>
      </c>
      <c r="E90" s="102" t="s">
        <v>1370</v>
      </c>
      <c r="F90" s="61" t="s">
        <v>1376</v>
      </c>
      <c r="G90" s="195" t="n">
        <v>44459</v>
      </c>
      <c r="H90" s="111" t="s">
        <v>1193</v>
      </c>
      <c r="I90" s="102" t="n">
        <v>13830</v>
      </c>
      <c r="J90" s="1" t="s">
        <v>784</v>
      </c>
    </row>
    <row r="91" customFormat="false" ht="15" hidden="false" customHeight="false" outlineLevel="0" collapsed="false">
      <c r="A91" s="102" t="s">
        <v>1338</v>
      </c>
      <c r="B91" s="118" t="s">
        <v>155</v>
      </c>
      <c r="C91" s="48" t="s">
        <v>81</v>
      </c>
      <c r="D91" s="118" t="s">
        <v>91</v>
      </c>
      <c r="E91" s="102" t="s">
        <v>1370</v>
      </c>
      <c r="F91" s="61" t="s">
        <v>1376</v>
      </c>
      <c r="G91" s="195" t="n">
        <v>44459</v>
      </c>
      <c r="H91" s="111" t="s">
        <v>1193</v>
      </c>
      <c r="I91" s="102" t="n">
        <v>13823</v>
      </c>
      <c r="J91" s="1" t="s">
        <v>784</v>
      </c>
    </row>
    <row r="92" customFormat="false" ht="15" hidden="false" customHeight="false" outlineLevel="0" collapsed="false">
      <c r="A92" s="102" t="s">
        <v>83</v>
      </c>
      <c r="B92" s="61" t="n">
        <v>49441</v>
      </c>
      <c r="C92" s="102" t="s">
        <v>87</v>
      </c>
      <c r="D92" s="119" t="s">
        <v>378</v>
      </c>
      <c r="E92" s="102" t="s">
        <v>1370</v>
      </c>
      <c r="F92" s="61" t="s">
        <v>1376</v>
      </c>
      <c r="G92" s="195" t="n">
        <v>44459</v>
      </c>
      <c r="H92" s="111" t="s">
        <v>1193</v>
      </c>
      <c r="I92" s="102" t="n">
        <v>13824</v>
      </c>
      <c r="J92" s="1" t="s">
        <v>784</v>
      </c>
    </row>
    <row r="93" customFormat="false" ht="15" hidden="false" customHeight="false" outlineLevel="0" collapsed="false">
      <c r="A93" s="115" t="s">
        <v>79</v>
      </c>
      <c r="B93" s="118" t="s">
        <v>1377</v>
      </c>
      <c r="C93" s="48" t="s">
        <v>81</v>
      </c>
      <c r="D93" s="118" t="s">
        <v>82</v>
      </c>
      <c r="E93" s="102" t="s">
        <v>1370</v>
      </c>
      <c r="F93" s="61" t="s">
        <v>1376</v>
      </c>
      <c r="G93" s="195" t="n">
        <v>44459</v>
      </c>
      <c r="H93" s="111" t="s">
        <v>1193</v>
      </c>
      <c r="I93" s="102" t="n">
        <v>13825</v>
      </c>
      <c r="J93" s="1" t="s">
        <v>784</v>
      </c>
    </row>
    <row r="94" customFormat="false" ht="15" hidden="false" customHeight="false" outlineLevel="0" collapsed="false">
      <c r="A94" s="115" t="s">
        <v>79</v>
      </c>
      <c r="B94" s="118" t="s">
        <v>1378</v>
      </c>
      <c r="C94" s="48" t="s">
        <v>81</v>
      </c>
      <c r="D94" s="48" t="s">
        <v>1321</v>
      </c>
      <c r="E94" s="61" t="s">
        <v>1379</v>
      </c>
      <c r="H94" s="111" t="s">
        <v>1193</v>
      </c>
      <c r="I94" s="102"/>
    </row>
    <row r="95" customFormat="false" ht="15" hidden="false" customHeight="false" outlineLevel="0" collapsed="false">
      <c r="A95" s="102" t="s">
        <v>1338</v>
      </c>
      <c r="B95" s="118" t="s">
        <v>315</v>
      </c>
      <c r="C95" s="102" t="s">
        <v>224</v>
      </c>
      <c r="D95" s="118"/>
      <c r="E95" s="102" t="s">
        <v>1298</v>
      </c>
      <c r="F95" s="1" t="s">
        <v>784</v>
      </c>
      <c r="G95" s="195" t="n">
        <v>44469</v>
      </c>
      <c r="H95" s="111" t="s">
        <v>1193</v>
      </c>
      <c r="I95" s="102" t="n">
        <v>13962</v>
      </c>
      <c r="J95" s="1" t="s">
        <v>784</v>
      </c>
    </row>
    <row r="96" customFormat="false" ht="15" hidden="false" customHeight="false" outlineLevel="0" collapsed="false">
      <c r="A96" s="102" t="s">
        <v>83</v>
      </c>
      <c r="B96" s="118" t="s">
        <v>316</v>
      </c>
      <c r="C96" s="48" t="s">
        <v>84</v>
      </c>
      <c r="D96" s="118"/>
      <c r="E96" s="102" t="s">
        <v>1298</v>
      </c>
      <c r="F96" s="1" t="s">
        <v>784</v>
      </c>
      <c r="G96" s="195" t="n">
        <v>44469</v>
      </c>
      <c r="H96" s="111" t="s">
        <v>1193</v>
      </c>
      <c r="I96" s="102" t="n">
        <v>13963</v>
      </c>
      <c r="J96" s="1" t="s">
        <v>784</v>
      </c>
    </row>
    <row r="97" customFormat="false" ht="15" hidden="false" customHeight="false" outlineLevel="0" collapsed="false">
      <c r="A97" s="102" t="s">
        <v>83</v>
      </c>
      <c r="B97" s="118" t="s">
        <v>317</v>
      </c>
      <c r="C97" s="48" t="s">
        <v>84</v>
      </c>
      <c r="D97" s="118"/>
      <c r="E97" s="102" t="s">
        <v>1298</v>
      </c>
      <c r="F97" s="1" t="s">
        <v>784</v>
      </c>
      <c r="G97" s="195" t="n">
        <v>44469</v>
      </c>
      <c r="H97" s="111" t="s">
        <v>1193</v>
      </c>
      <c r="I97" s="102" t="n">
        <v>13964</v>
      </c>
      <c r="J97" s="1" t="s">
        <v>784</v>
      </c>
    </row>
    <row r="98" customFormat="false" ht="15" hidden="false" customHeight="false" outlineLevel="0" collapsed="false">
      <c r="A98" s="102" t="s">
        <v>83</v>
      </c>
      <c r="B98" s="118" t="s">
        <v>319</v>
      </c>
      <c r="C98" s="48" t="s">
        <v>84</v>
      </c>
      <c r="D98" s="118"/>
      <c r="E98" s="102" t="s">
        <v>1298</v>
      </c>
      <c r="F98" s="1" t="s">
        <v>784</v>
      </c>
      <c r="G98" s="195" t="n">
        <v>44469</v>
      </c>
      <c r="H98" s="111" t="s">
        <v>1193</v>
      </c>
      <c r="I98" s="102" t="n">
        <v>13965</v>
      </c>
      <c r="J98" s="1" t="s">
        <v>784</v>
      </c>
    </row>
    <row r="99" customFormat="false" ht="15" hidden="false" customHeight="false" outlineLevel="0" collapsed="false">
      <c r="A99" s="102" t="s">
        <v>101</v>
      </c>
      <c r="B99" s="119" t="n">
        <v>1531607</v>
      </c>
      <c r="C99" s="48" t="s">
        <v>81</v>
      </c>
      <c r="D99" s="119" t="s">
        <v>1341</v>
      </c>
      <c r="E99" s="61" t="s">
        <v>722</v>
      </c>
      <c r="F99" s="1" t="s">
        <v>784</v>
      </c>
      <c r="G99" s="195" t="n">
        <v>44498</v>
      </c>
      <c r="H99" s="111" t="s">
        <v>1193</v>
      </c>
      <c r="I99" s="102" t="n">
        <v>13965</v>
      </c>
      <c r="J99" s="1" t="s">
        <v>784</v>
      </c>
    </row>
    <row r="100" customFormat="false" ht="15" hidden="false" customHeight="false" outlineLevel="0" collapsed="false">
      <c r="A100" s="102" t="s">
        <v>86</v>
      </c>
      <c r="B100" s="118" t="s">
        <v>320</v>
      </c>
      <c r="C100" s="102" t="s">
        <v>321</v>
      </c>
      <c r="D100" s="118"/>
      <c r="E100" s="102" t="s">
        <v>1298</v>
      </c>
      <c r="F100" s="1" t="s">
        <v>784</v>
      </c>
      <c r="G100" s="195" t="n">
        <v>44497</v>
      </c>
      <c r="H100" s="111" t="s">
        <v>1193</v>
      </c>
      <c r="I100" s="102" t="n">
        <v>13971</v>
      </c>
      <c r="J100" s="1" t="s">
        <v>784</v>
      </c>
    </row>
    <row r="101" customFormat="false" ht="15" hidden="false" customHeight="false" outlineLevel="0" collapsed="false">
      <c r="A101" s="102" t="s">
        <v>86</v>
      </c>
      <c r="B101" s="118" t="s">
        <v>322</v>
      </c>
      <c r="C101" s="102" t="s">
        <v>321</v>
      </c>
      <c r="D101" s="118"/>
      <c r="E101" s="102" t="s">
        <v>1298</v>
      </c>
      <c r="F101" s="1" t="s">
        <v>784</v>
      </c>
      <c r="G101" s="195" t="n">
        <v>44497</v>
      </c>
      <c r="H101" s="111" t="s">
        <v>1193</v>
      </c>
      <c r="I101" s="102" t="n">
        <v>14168</v>
      </c>
      <c r="J101" s="1" t="s">
        <v>784</v>
      </c>
    </row>
    <row r="102" customFormat="false" ht="15" hidden="false" customHeight="false" outlineLevel="0" collapsed="false">
      <c r="A102" s="102" t="s">
        <v>86</v>
      </c>
      <c r="B102" s="201" t="s">
        <v>412</v>
      </c>
      <c r="C102" s="102" t="s">
        <v>1364</v>
      </c>
      <c r="D102" s="118" t="s">
        <v>106</v>
      </c>
      <c r="E102" s="102" t="s">
        <v>404</v>
      </c>
      <c r="F102" s="102" t="s">
        <v>405</v>
      </c>
      <c r="G102" s="112" t="n">
        <v>44523</v>
      </c>
      <c r="H102" s="111" t="s">
        <v>1193</v>
      </c>
      <c r="I102" s="113" t="n">
        <v>14626</v>
      </c>
      <c r="J102" s="102" t="s">
        <v>784</v>
      </c>
      <c r="K102" s="102" t="n">
        <v>0</v>
      </c>
      <c r="L102" s="128" t="s">
        <v>1318</v>
      </c>
      <c r="M102" s="209"/>
      <c r="O102" s="1"/>
      <c r="P102" s="203"/>
    </row>
    <row r="103" customFormat="false" ht="15" hidden="false" customHeight="false" outlineLevel="0" collapsed="false">
      <c r="A103" s="102" t="s">
        <v>1263</v>
      </c>
      <c r="B103" s="201" t="s">
        <v>414</v>
      </c>
      <c r="C103" s="48" t="s">
        <v>84</v>
      </c>
      <c r="D103" s="102" t="s">
        <v>219</v>
      </c>
      <c r="E103" s="102" t="s">
        <v>404</v>
      </c>
      <c r="F103" s="102" t="s">
        <v>405</v>
      </c>
      <c r="G103" s="112" t="n">
        <v>44523</v>
      </c>
      <c r="H103" s="111" t="s">
        <v>1193</v>
      </c>
      <c r="I103" s="113" t="n">
        <v>14625</v>
      </c>
      <c r="J103" s="102" t="s">
        <v>784</v>
      </c>
      <c r="K103" s="102" t="n">
        <v>0</v>
      </c>
      <c r="L103" s="128" t="s">
        <v>1318</v>
      </c>
      <c r="M103" s="209"/>
      <c r="O103" s="1"/>
      <c r="P103" s="203"/>
    </row>
    <row r="104" customFormat="false" ht="15" hidden="false" customHeight="false" outlineLevel="0" collapsed="false">
      <c r="A104" s="102" t="s">
        <v>86</v>
      </c>
      <c r="B104" s="201" t="s">
        <v>199</v>
      </c>
      <c r="C104" s="102" t="s">
        <v>87</v>
      </c>
      <c r="D104" s="119" t="s">
        <v>222</v>
      </c>
      <c r="E104" s="61" t="s">
        <v>1380</v>
      </c>
      <c r="F104" s="61" t="s">
        <v>189</v>
      </c>
      <c r="G104" s="195" t="n">
        <v>44509</v>
      </c>
      <c r="H104" s="111" t="s">
        <v>1193</v>
      </c>
    </row>
    <row r="105" customFormat="false" ht="15" hidden="false" customHeight="false" outlineLevel="0" collapsed="false">
      <c r="A105" s="102" t="s">
        <v>83</v>
      </c>
      <c r="B105" s="201" t="s">
        <v>201</v>
      </c>
      <c r="C105" s="102" t="s">
        <v>87</v>
      </c>
      <c r="D105" s="119" t="s">
        <v>378</v>
      </c>
      <c r="E105" s="61" t="s">
        <v>1380</v>
      </c>
      <c r="F105" s="61" t="s">
        <v>189</v>
      </c>
      <c r="G105" s="195" t="n">
        <v>44513</v>
      </c>
      <c r="H105" s="111" t="s">
        <v>1193</v>
      </c>
    </row>
    <row r="106" customFormat="false" ht="15" hidden="false" customHeight="false" outlineLevel="0" collapsed="false">
      <c r="A106" s="102" t="s">
        <v>101</v>
      </c>
      <c r="B106" s="119" t="s">
        <v>184</v>
      </c>
      <c r="C106" s="48" t="s">
        <v>81</v>
      </c>
      <c r="D106" s="48" t="s">
        <v>1321</v>
      </c>
      <c r="E106" s="61" t="s">
        <v>1381</v>
      </c>
      <c r="F106" s="61" t="s">
        <v>1362</v>
      </c>
      <c r="G106" s="195" t="n">
        <v>44501</v>
      </c>
      <c r="H106" s="111" t="s">
        <v>1193</v>
      </c>
    </row>
    <row r="107" customFormat="false" ht="15" hidden="false" customHeight="false" outlineLevel="0" collapsed="false">
      <c r="A107" s="102" t="s">
        <v>1338</v>
      </c>
      <c r="B107" s="119" t="s">
        <v>190</v>
      </c>
      <c r="C107" s="48" t="s">
        <v>81</v>
      </c>
      <c r="D107" s="119" t="s">
        <v>191</v>
      </c>
      <c r="E107" s="61" t="s">
        <v>1382</v>
      </c>
      <c r="F107" s="61" t="s">
        <v>1362</v>
      </c>
      <c r="G107" s="195" t="n">
        <v>44501</v>
      </c>
      <c r="H107" s="111" t="s">
        <v>1193</v>
      </c>
    </row>
    <row r="108" customFormat="false" ht="15" hidden="false" customHeight="false" outlineLevel="0" collapsed="false">
      <c r="A108" s="61" t="s">
        <v>75</v>
      </c>
      <c r="B108" s="119" t="s">
        <v>203</v>
      </c>
      <c r="C108" s="48" t="s">
        <v>81</v>
      </c>
      <c r="D108" s="119" t="s">
        <v>123</v>
      </c>
      <c r="E108" s="61" t="s">
        <v>1380</v>
      </c>
      <c r="F108" s="61" t="s">
        <v>189</v>
      </c>
      <c r="G108" s="195" t="n">
        <v>44501</v>
      </c>
      <c r="H108" s="111" t="s">
        <v>1193</v>
      </c>
    </row>
    <row r="109" customFormat="false" ht="15" hidden="false" customHeight="false" outlineLevel="0" collapsed="false">
      <c r="A109" s="102" t="s">
        <v>1263</v>
      </c>
      <c r="B109" s="119" t="n">
        <v>6273835</v>
      </c>
      <c r="C109" s="48" t="s">
        <v>84</v>
      </c>
      <c r="D109" s="119" t="s">
        <v>219</v>
      </c>
      <c r="E109" s="102" t="s">
        <v>1383</v>
      </c>
      <c r="F109" s="102" t="s">
        <v>78</v>
      </c>
      <c r="G109" s="195" t="n">
        <v>44623</v>
      </c>
      <c r="H109" s="111" t="s">
        <v>1193</v>
      </c>
      <c r="I109" s="61" t="n">
        <v>15642</v>
      </c>
      <c r="J109" s="0" t="s">
        <v>784</v>
      </c>
      <c r="L109" s="0" t="s">
        <v>344</v>
      </c>
    </row>
    <row r="110" customFormat="false" ht="15" hidden="false" customHeight="false" outlineLevel="0" collapsed="false">
      <c r="A110" s="115" t="s">
        <v>79</v>
      </c>
      <c r="B110" s="119" t="s">
        <v>676</v>
      </c>
      <c r="C110" s="48" t="s">
        <v>81</v>
      </c>
      <c r="D110" s="119" t="s">
        <v>82</v>
      </c>
      <c r="E110" s="61" t="s">
        <v>1350</v>
      </c>
      <c r="F110" s="61" t="s">
        <v>1384</v>
      </c>
      <c r="G110" s="195" t="n">
        <v>44531</v>
      </c>
      <c r="H110" s="111" t="s">
        <v>1193</v>
      </c>
      <c r="I110" s="61" t="n">
        <v>14863</v>
      </c>
      <c r="J110" s="61" t="s">
        <v>784</v>
      </c>
      <c r="L110" s="0" t="s">
        <v>344</v>
      </c>
    </row>
    <row r="111" customFormat="false" ht="15" hidden="false" customHeight="false" outlineLevel="0" collapsed="false">
      <c r="A111" s="102" t="s">
        <v>86</v>
      </c>
      <c r="B111" s="199" t="n">
        <v>200710001495</v>
      </c>
      <c r="C111" s="48" t="s">
        <v>81</v>
      </c>
      <c r="D111" s="119" t="s">
        <v>374</v>
      </c>
      <c r="E111" s="61" t="s">
        <v>1385</v>
      </c>
      <c r="F111" s="61" t="s">
        <v>432</v>
      </c>
      <c r="G111" s="195" t="n">
        <v>44643</v>
      </c>
      <c r="H111" s="111" t="s">
        <v>1193</v>
      </c>
      <c r="I111" s="61" t="n">
        <v>15872</v>
      </c>
      <c r="J111" s="61" t="s">
        <v>784</v>
      </c>
      <c r="K111" s="61" t="s">
        <v>1153</v>
      </c>
      <c r="L111" s="0" t="s">
        <v>344</v>
      </c>
    </row>
    <row r="112" customFormat="false" ht="15" hidden="false" customHeight="false" outlineLevel="0" collapsed="false">
      <c r="A112" s="102" t="s">
        <v>360</v>
      </c>
      <c r="B112" s="199" t="n">
        <v>132850002046</v>
      </c>
      <c r="C112" s="48" t="s">
        <v>81</v>
      </c>
      <c r="D112" s="48" t="s">
        <v>1321</v>
      </c>
      <c r="E112" s="61" t="s">
        <v>1385</v>
      </c>
      <c r="F112" s="61" t="s">
        <v>432</v>
      </c>
      <c r="G112" s="195" t="n">
        <v>44643</v>
      </c>
      <c r="H112" s="111" t="s">
        <v>1193</v>
      </c>
      <c r="I112" s="61" t="n">
        <v>15874</v>
      </c>
      <c r="J112" s="61" t="s">
        <v>784</v>
      </c>
      <c r="L112" s="0" t="s">
        <v>344</v>
      </c>
    </row>
    <row r="113" customFormat="false" ht="15" hidden="false" customHeight="false" outlineLevel="0" collapsed="false">
      <c r="A113" s="102" t="s">
        <v>1263</v>
      </c>
      <c r="B113" s="118" t="s">
        <v>466</v>
      </c>
      <c r="C113" s="48" t="s">
        <v>84</v>
      </c>
      <c r="D113" s="102" t="s">
        <v>219</v>
      </c>
      <c r="E113" s="48" t="s">
        <v>1386</v>
      </c>
      <c r="F113" s="102" t="s">
        <v>182</v>
      </c>
      <c r="G113" s="112" t="n">
        <v>44642</v>
      </c>
      <c r="H113" s="111" t="s">
        <v>1193</v>
      </c>
      <c r="I113" s="113" t="n">
        <v>15859</v>
      </c>
      <c r="J113" s="102" t="s">
        <v>784</v>
      </c>
      <c r="K113" s="102" t="s">
        <v>1158</v>
      </c>
      <c r="L113" s="128" t="s">
        <v>344</v>
      </c>
    </row>
    <row r="114" customFormat="false" ht="15" hidden="false" customHeight="false" outlineLevel="0" collapsed="false">
      <c r="A114" s="102" t="s">
        <v>1338</v>
      </c>
      <c r="B114" s="118" t="s">
        <v>467</v>
      </c>
      <c r="C114" s="48" t="s">
        <v>81</v>
      </c>
      <c r="D114" s="102" t="s">
        <v>91</v>
      </c>
      <c r="E114" s="48" t="s">
        <v>1386</v>
      </c>
      <c r="F114" s="102" t="s">
        <v>182</v>
      </c>
      <c r="G114" s="112" t="n">
        <v>44642</v>
      </c>
      <c r="H114" s="111" t="s">
        <v>1193</v>
      </c>
      <c r="I114" s="113" t="n">
        <v>15861</v>
      </c>
      <c r="J114" s="102" t="s">
        <v>784</v>
      </c>
      <c r="K114" s="102" t="n">
        <v>0</v>
      </c>
      <c r="L114" s="128" t="s">
        <v>344</v>
      </c>
    </row>
    <row r="115" customFormat="false" ht="15" hidden="false" customHeight="false" outlineLevel="0" collapsed="false">
      <c r="A115" s="102" t="s">
        <v>115</v>
      </c>
      <c r="B115" s="118" t="s">
        <v>468</v>
      </c>
      <c r="C115" s="48" t="s">
        <v>117</v>
      </c>
      <c r="D115" s="102"/>
      <c r="E115" s="48" t="s">
        <v>1386</v>
      </c>
      <c r="F115" s="102" t="s">
        <v>182</v>
      </c>
      <c r="G115" s="112" t="n">
        <v>44642</v>
      </c>
      <c r="H115" s="111" t="s">
        <v>1193</v>
      </c>
      <c r="I115" s="113" t="n">
        <v>15866</v>
      </c>
      <c r="J115" s="102" t="s">
        <v>784</v>
      </c>
      <c r="K115" s="102" t="n">
        <v>0</v>
      </c>
      <c r="L115" s="128" t="s">
        <v>344</v>
      </c>
    </row>
    <row r="116" customFormat="false" ht="15" hidden="false" customHeight="false" outlineLevel="0" collapsed="false">
      <c r="A116" s="115" t="s">
        <v>79</v>
      </c>
      <c r="B116" s="118" t="s">
        <v>239</v>
      </c>
      <c r="C116" s="48" t="s">
        <v>81</v>
      </c>
      <c r="D116" s="48" t="s">
        <v>1321</v>
      </c>
      <c r="E116" s="48" t="s">
        <v>1296</v>
      </c>
      <c r="F116" s="102"/>
      <c r="G116" s="112" t="n">
        <f aca="false">IFERROR(VLOOKUP(B116,'Obs Tecnicas'!$D$68:$I$379,5,0),#REF!)</f>
        <v>44645</v>
      </c>
      <c r="H116" s="111" t="str">
        <f aca="true">IF(G116&lt;&gt;"",IF(G116+365&gt;TODAY(),"Calibrado","Vencido"),"")</f>
        <v>Calibrado</v>
      </c>
      <c r="I116" s="113" t="n">
        <f aca="false">IFERROR(VLOOKUP(B116,'Obs Tecnicas'!$D$68:$G$399,2,0),"")</f>
        <v>15948</v>
      </c>
      <c r="J116" s="102" t="str">
        <f aca="false">IFERROR(VLOOKUP(B116,'Obs Tecnicas'!$D$68:$G$403,3,0),"Hexis")</f>
        <v>ER ANALITICA</v>
      </c>
      <c r="K116" s="102" t="n">
        <f aca="false">IFERROR(VLOOKUP(B116,'Obs Tecnicas'!$D$68:$G$403,4,0),"")</f>
        <v>0</v>
      </c>
      <c r="L116" s="128" t="s">
        <v>344</v>
      </c>
    </row>
    <row r="117" customFormat="false" ht="15" hidden="false" customHeight="false" outlineLevel="0" collapsed="false">
      <c r="A117" s="102" t="s">
        <v>86</v>
      </c>
      <c r="B117" s="201" t="s">
        <v>571</v>
      </c>
      <c r="C117" s="48" t="s">
        <v>1003</v>
      </c>
      <c r="D117" s="102" t="s">
        <v>137</v>
      </c>
      <c r="E117" s="102" t="s">
        <v>553</v>
      </c>
      <c r="F117" s="102" t="s">
        <v>554</v>
      </c>
      <c r="G117" s="112" t="n">
        <f aca="false">IFERROR(VLOOKUP(B117,'Obs Tecnicas'!$D$68:$I$379,5,0),#REF!)</f>
        <v>44678</v>
      </c>
      <c r="H117" s="111" t="s">
        <v>1193</v>
      </c>
      <c r="I117" s="113" t="n">
        <v>16222</v>
      </c>
      <c r="J117" s="102" t="s">
        <v>784</v>
      </c>
      <c r="K117" s="102" t="n">
        <v>0</v>
      </c>
      <c r="L117" s="128" t="s">
        <v>344</v>
      </c>
    </row>
    <row r="118" customFormat="false" ht="15" hidden="false" customHeight="false" outlineLevel="0" collapsed="false">
      <c r="A118" s="102" t="s">
        <v>89</v>
      </c>
      <c r="B118" s="102" t="s">
        <v>728</v>
      </c>
      <c r="C118" s="48" t="s">
        <v>81</v>
      </c>
      <c r="D118" s="118" t="s">
        <v>91</v>
      </c>
      <c r="E118" s="61" t="s">
        <v>722</v>
      </c>
      <c r="F118" s="61" t="s">
        <v>554</v>
      </c>
    </row>
    <row r="119" customFormat="false" ht="15" hidden="false" customHeight="false" outlineLevel="0" collapsed="false">
      <c r="A119" s="102" t="s">
        <v>360</v>
      </c>
      <c r="B119" s="140" t="s">
        <v>729</v>
      </c>
      <c r="C119" s="48" t="s">
        <v>81</v>
      </c>
      <c r="D119" s="118" t="s">
        <v>82</v>
      </c>
      <c r="E119" s="61" t="s">
        <v>722</v>
      </c>
      <c r="F119" s="61" t="s">
        <v>554</v>
      </c>
    </row>
    <row r="120" customFormat="false" ht="15" hidden="false" customHeight="false" outlineLevel="0" collapsed="false">
      <c r="A120" s="102" t="s">
        <v>360</v>
      </c>
      <c r="B120" s="140" t="s">
        <v>730</v>
      </c>
      <c r="C120" s="48" t="s">
        <v>81</v>
      </c>
      <c r="D120" s="118" t="s">
        <v>82</v>
      </c>
      <c r="E120" s="61" t="s">
        <v>722</v>
      </c>
      <c r="F120" s="61" t="s">
        <v>554</v>
      </c>
    </row>
    <row r="121" customFormat="false" ht="15" hidden="false" customHeight="false" outlineLevel="0" collapsed="false">
      <c r="A121" s="102" t="s">
        <v>896</v>
      </c>
      <c r="B121" s="140" t="n">
        <v>4224376</v>
      </c>
      <c r="C121" s="48" t="s">
        <v>84</v>
      </c>
      <c r="D121" s="102" t="s">
        <v>364</v>
      </c>
      <c r="E121" s="61" t="s">
        <v>722</v>
      </c>
      <c r="F121" s="61" t="s">
        <v>554</v>
      </c>
    </row>
    <row r="122" customFormat="false" ht="15" hidden="false" customHeight="false" outlineLevel="0" collapsed="false">
      <c r="A122" s="102" t="s">
        <v>86</v>
      </c>
      <c r="B122" s="140" t="n">
        <v>1584381</v>
      </c>
      <c r="C122" s="48" t="s">
        <v>1003</v>
      </c>
      <c r="D122" s="102" t="s">
        <v>137</v>
      </c>
      <c r="E122" s="61" t="s">
        <v>722</v>
      </c>
      <c r="F122" s="61" t="s">
        <v>554</v>
      </c>
    </row>
    <row r="123" customFormat="false" ht="15" hidden="false" customHeight="false" outlineLevel="0" collapsed="false">
      <c r="A123" s="102" t="s">
        <v>731</v>
      </c>
      <c r="B123" s="140" t="s">
        <v>732</v>
      </c>
      <c r="C123" s="102" t="s">
        <v>733</v>
      </c>
      <c r="D123" s="102" t="s">
        <v>734</v>
      </c>
      <c r="E123" s="61" t="s">
        <v>722</v>
      </c>
      <c r="F123" s="61" t="s">
        <v>554</v>
      </c>
    </row>
    <row r="124" customFormat="false" ht="15" hidden="false" customHeight="false" outlineLevel="0" collapsed="false">
      <c r="A124" s="61" t="s">
        <v>1387</v>
      </c>
      <c r="B124" s="119" t="n">
        <v>4240430</v>
      </c>
      <c r="C124" s="119" t="s">
        <v>84</v>
      </c>
      <c r="D124" s="119" t="s">
        <v>364</v>
      </c>
      <c r="E124" s="61" t="s">
        <v>1388</v>
      </c>
      <c r="F124" s="61" t="s">
        <v>78</v>
      </c>
    </row>
    <row r="125" customFormat="false" ht="15" hidden="false" customHeight="false" outlineLevel="0" collapsed="false">
      <c r="A125" s="118" t="s">
        <v>1389</v>
      </c>
      <c r="B125" s="102" t="n">
        <v>20390019932</v>
      </c>
      <c r="C125" s="102" t="s">
        <v>81</v>
      </c>
      <c r="D125" s="140" t="s">
        <v>82</v>
      </c>
      <c r="E125" s="61" t="s">
        <v>666</v>
      </c>
      <c r="F125" s="61" t="s">
        <v>694</v>
      </c>
    </row>
  </sheetData>
  <autoFilter ref="A1:AF124"/>
  <mergeCells count="1">
    <mergeCell ref="E72:F73"/>
  </mergeCells>
  <conditionalFormatting sqref="A3">
    <cfRule type="colorScale" priority="2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A4">
    <cfRule type="colorScale" priority="3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A5">
    <cfRule type="colorScale" priority="4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A8">
    <cfRule type="colorScale" priority="5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A27:A28 A9 A66 A89:A90 A93:A94 A110 A116">
    <cfRule type="colorScale" priority="6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H2:H112">
    <cfRule type="expression" priority="7" aboveAverage="0" equalAverage="0" bottom="0" percent="0" rank="0" text="" dxfId="165">
      <formula>IF(G2&lt;=TODAY()-365,1)</formula>
    </cfRule>
    <cfRule type="expression" priority="8" aboveAverage="0" equalAverage="0" bottom="0" percent="0" rank="0" text="" dxfId="166">
      <formula>IF(G2&lt;(TODAY())-320,1)</formula>
    </cfRule>
    <cfRule type="expression" priority="9" aboveAverage="0" equalAverage="0" bottom="0" percent="0" rank="0" text="" dxfId="167">
      <formula>IF(G2&lt;(TODAY())+0,1)</formula>
    </cfRule>
  </conditionalFormatting>
  <conditionalFormatting sqref="H113">
    <cfRule type="expression" priority="10" aboveAverage="0" equalAverage="0" bottom="0" percent="0" rank="0" text="" dxfId="168">
      <formula>IF(G113&lt;=TODAY()-365,1)</formula>
    </cfRule>
    <cfRule type="expression" priority="11" aboveAverage="0" equalAverage="0" bottom="0" percent="0" rank="0" text="" dxfId="169">
      <formula>IF(G113&lt;(TODAY())-320,1)</formula>
    </cfRule>
    <cfRule type="expression" priority="12" aboveAverage="0" equalAverage="0" bottom="0" percent="0" rank="0" text="" dxfId="170">
      <formula>IF(G113&lt;(TODAY())+0,1)</formula>
    </cfRule>
  </conditionalFormatting>
  <conditionalFormatting sqref="H114">
    <cfRule type="expression" priority="13" aboveAverage="0" equalAverage="0" bottom="0" percent="0" rank="0" text="" dxfId="171">
      <formula>IF(G114&lt;=TODAY()-365,1)</formula>
    </cfRule>
    <cfRule type="expression" priority="14" aboveAverage="0" equalAverage="0" bottom="0" percent="0" rank="0" text="" dxfId="172">
      <formula>IF(G114&lt;(TODAY())-320,1)</formula>
    </cfRule>
    <cfRule type="expression" priority="15" aboveAverage="0" equalAverage="0" bottom="0" percent="0" rank="0" text="" dxfId="173">
      <formula>IF(G114&lt;(TODAY())+0,1)</formula>
    </cfRule>
  </conditionalFormatting>
  <conditionalFormatting sqref="H115">
    <cfRule type="expression" priority="16" aboveAverage="0" equalAverage="0" bottom="0" percent="0" rank="0" text="" dxfId="174">
      <formula>IF(G115&lt;=TODAY()-365,1)</formula>
    </cfRule>
    <cfRule type="expression" priority="17" aboveAverage="0" equalAverage="0" bottom="0" percent="0" rank="0" text="" dxfId="175">
      <formula>IF(G115&lt;(TODAY())-320,1)</formula>
    </cfRule>
    <cfRule type="expression" priority="18" aboveAverage="0" equalAverage="0" bottom="0" percent="0" rank="0" text="" dxfId="176">
      <formula>IF(G115&lt;(TODAY())+0,1)</formula>
    </cfRule>
  </conditionalFormatting>
  <conditionalFormatting sqref="H116">
    <cfRule type="expression" priority="19" aboveAverage="0" equalAverage="0" bottom="0" percent="0" rank="0" text="" dxfId="177">
      <formula>IF(G116&lt;=TODAY()-365,1)</formula>
    </cfRule>
    <cfRule type="expression" priority="20" aboveAverage="0" equalAverage="0" bottom="0" percent="0" rank="0" text="" dxfId="178">
      <formula>IF(G116&lt;(TODAY())-320,1)</formula>
    </cfRule>
    <cfRule type="expression" priority="21" aboveAverage="0" equalAverage="0" bottom="0" percent="0" rank="0" text="" dxfId="179">
      <formula>IF(G116&lt;(TODAY())+0,1)</formula>
    </cfRule>
  </conditionalFormatting>
  <conditionalFormatting sqref="H117">
    <cfRule type="expression" priority="22" aboveAverage="0" equalAverage="0" bottom="0" percent="0" rank="0" text="" dxfId="180">
      <formula>IF(G117&lt;=TODAY()-365,1)</formula>
    </cfRule>
    <cfRule type="expression" priority="23" aboveAverage="0" equalAverage="0" bottom="0" percent="0" rank="0" text="" dxfId="181">
      <formula>IF(G117&lt;(TODAY())-320,1)</formula>
    </cfRule>
    <cfRule type="expression" priority="24" aboveAverage="0" equalAverage="0" bottom="0" percent="0" rank="0" text="" dxfId="182">
      <formula>IF(G117&lt;(TODAY())+0,1)</formula>
    </cfRule>
  </conditionalFormatting>
  <dataValidations count="2">
    <dataValidation allowBlank="true" operator="between" showDropDown="false" showErrorMessage="true" showInputMessage="true" sqref="L1:L21" type="list">
      <formula1>"ADICIONADO,REALIZADO,DESATIVADO,NÃO ENCONTRADO,AGENDADO,SEM RETORNO DO OWNER"</formula1>
      <formula2>0</formula2>
    </dataValidation>
    <dataValidation allowBlank="true" operator="between" showDropDown="false" showErrorMessage="true" showInputMessage="true" sqref="L22:L46 U46 L102:L103 L113:L117" type="list">
      <formula1>"ADICIONADO,REALIZADO,DESATIVADO,NÃO ENCONTRADO,AGENDADO,SEM RETORNO DO OWNER,EM CONTATO"</formula1>
      <formula2>0</formula2>
    </dataValidation>
  </dataValidation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2EEB0C6D83CB4ABAEB488C050756FA" ma:contentTypeVersion="2" ma:contentTypeDescription="Crie um novo documento." ma:contentTypeScope="" ma:versionID="6fe2b01dc6d16f409ff34c1c35645731">
  <xsd:schema xmlns:xsd="http://www.w3.org/2001/XMLSchema" xmlns:xs="http://www.w3.org/2001/XMLSchema" xmlns:p="http://schemas.microsoft.com/office/2006/metadata/properties" xmlns:ns2="8b948e9f-9399-4ed5-b03b-f0dc618b0f11" targetNamespace="http://schemas.microsoft.com/office/2006/metadata/properties" ma:root="true" ma:fieldsID="59c8b3b3d58cca2393442b7abdcfdb33" ns2:_="">
    <xsd:import namespace="8b948e9f-9399-4ed5-b03b-f0dc618b0f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48e9f-9399-4ed5-b03b-f0dc618b0f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3DDBED-9AB6-49FB-A763-F3AA2AF5C66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787DBD5-EEFE-42E4-BFE5-EEC484ADD7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948e9f-9399-4ed5-b03b-f0dc618b0f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1E1A46-8859-49EE-A463-9D4611E50A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2021-05-21T17:16:48Z</dcterms:created>
  <dc:creator>Daniel</dc:creator>
  <dc:description/>
  <dc:language>en-US</dc:language>
  <cp:lastModifiedBy>Vendas 01 - ER Analitica</cp:lastModifiedBy>
  <dcterms:modified xsi:type="dcterms:W3CDTF">2022-07-12T13:52:42Z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lianceAssetId">
    <vt:lpwstr/>
  </property>
  <property fmtid="{D5CDD505-2E9C-101B-9397-08002B2CF9AE}" pid="4" name="ContentTypeId">
    <vt:lpwstr>0x010100082EEB0C6D83CB4ABAEB488C050756FA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_ExtendedDescription">
    <vt:lpwstr/>
  </property>
</Properties>
</file>