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rnalitica.sharepoint.com/sites/Vendas-ERAnaltica/Documentos Compartilhados/General/DOCUMENTOS CLIENTES/Suez/Indicador financeiro - Contrato 2021 x 2022/"/>
    </mc:Choice>
  </mc:AlternateContent>
  <xr:revisionPtr revIDLastSave="2726" documentId="8_{BB3083A0-D7FC-4202-B118-D674D3634377}" xr6:coauthVersionLast="47" xr6:coauthVersionMax="47" xr10:uidLastSave="{3C4C1906-1710-4120-9035-845ED0377496}"/>
  <bookViews>
    <workbookView xWindow="-120" yWindow="-120" windowWidth="20730" windowHeight="11160" tabRatio="926" xr2:uid="{AD070F9C-EAB9-4B3C-8938-EAA9ECFCC45D}"/>
  </bookViews>
  <sheets>
    <sheet name="Gráficos " sheetId="13" r:id="rId1"/>
    <sheet name="Indicadores" sheetId="7" r:id="rId2"/>
    <sheet name="Extrato - seviço " sheetId="3" r:id="rId3"/>
    <sheet name="Extrato - Deslocamento " sheetId="19" r:id="rId4"/>
    <sheet name="Atual - Equipamentos " sheetId="2" r:id="rId5"/>
    <sheet name="Inicial - Equipamentos " sheetId="8" r:id="rId6"/>
    <sheet name="Atual - Não encontrados " sheetId="11" state="hidden" r:id="rId7"/>
    <sheet name="Equipamentos" sheetId="20" state="hidden" r:id="rId8"/>
    <sheet name="Atual - Desativados" sheetId="12" state="hidden" r:id="rId9"/>
    <sheet name="Inicial - Não encontrados " sheetId="10" state="hidden" r:id="rId10"/>
  </sheets>
  <externalReferences>
    <externalReference r:id="rId11"/>
  </externalReferences>
  <definedNames>
    <definedName name="_xlnm._FilterDatabase" localSheetId="8" hidden="1">'Atual - Desativados'!$A$1:$X$1</definedName>
    <definedName name="_xlnm._FilterDatabase" localSheetId="4" hidden="1">'Atual - Equipamentos '!$A$1:$W$326</definedName>
    <definedName name="_xlnm._FilterDatabase" localSheetId="6" hidden="1">'Atual - Não encontrados '!$A$1:$X$44</definedName>
    <definedName name="_xlnm._FilterDatabase" localSheetId="3" hidden="1">'Extrato - Deslocamento '!$A$1:$K$56</definedName>
    <definedName name="_xlnm._FilterDatabase" localSheetId="2" hidden="1">'Extrato - seviço '!$A$2:$A$14</definedName>
    <definedName name="_xlnm._FilterDatabase" localSheetId="5" hidden="1">'Inicial - Equipamentos '!$A$1:$V$271</definedName>
    <definedName name="_xlnm._FilterDatabase" localSheetId="9" hidden="1">'Inicial - Não encontrados '!$A$1:$O$1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19" l="1"/>
  <c r="T324" i="2"/>
  <c r="S324" i="2"/>
  <c r="R324" i="2"/>
  <c r="P324" i="2"/>
  <c r="Q324" i="2" s="1"/>
  <c r="T323" i="2"/>
  <c r="S323" i="2"/>
  <c r="R323" i="2"/>
  <c r="P323" i="2"/>
  <c r="Q323" i="2" s="1"/>
  <c r="T322" i="2"/>
  <c r="S322" i="2"/>
  <c r="R322" i="2"/>
  <c r="P322" i="2"/>
  <c r="V322" i="2" s="1"/>
  <c r="T321" i="2"/>
  <c r="S321" i="2"/>
  <c r="R321" i="2"/>
  <c r="P321" i="2"/>
  <c r="V321" i="2" s="1"/>
  <c r="T320" i="2"/>
  <c r="S320" i="2"/>
  <c r="R320" i="2"/>
  <c r="P320" i="2"/>
  <c r="Q320" i="2" s="1"/>
  <c r="T319" i="2"/>
  <c r="R319" i="2"/>
  <c r="P319" i="2"/>
  <c r="V319" i="2" s="1"/>
  <c r="T318" i="2"/>
  <c r="S318" i="2"/>
  <c r="R318" i="2"/>
  <c r="P318" i="2"/>
  <c r="Q318" i="2" s="1"/>
  <c r="V317" i="2"/>
  <c r="R317" i="2"/>
  <c r="V316" i="2"/>
  <c r="R316" i="2"/>
  <c r="T315" i="2"/>
  <c r="S315" i="2"/>
  <c r="R315" i="2"/>
  <c r="P315" i="2"/>
  <c r="V315" i="2" s="1"/>
  <c r="T314" i="2"/>
  <c r="S314" i="2"/>
  <c r="R314" i="2"/>
  <c r="P314" i="2"/>
  <c r="Q314" i="2" s="1"/>
  <c r="T313" i="2"/>
  <c r="S313" i="2"/>
  <c r="R313" i="2"/>
  <c r="P313" i="2"/>
  <c r="Q313" i="2" s="1"/>
  <c r="T312" i="2"/>
  <c r="S312" i="2"/>
  <c r="R312" i="2"/>
  <c r="P312" i="2"/>
  <c r="V312" i="2" s="1"/>
  <c r="T311" i="2"/>
  <c r="S311" i="2"/>
  <c r="R311" i="2"/>
  <c r="P311" i="2"/>
  <c r="Q311" i="2" s="1"/>
  <c r="T310" i="2"/>
  <c r="S310" i="2"/>
  <c r="R310" i="2"/>
  <c r="P310" i="2"/>
  <c r="V310" i="2" s="1"/>
  <c r="T309" i="2"/>
  <c r="S309" i="2"/>
  <c r="R309" i="2"/>
  <c r="P309" i="2"/>
  <c r="V309" i="2" s="1"/>
  <c r="T308" i="2"/>
  <c r="S308" i="2"/>
  <c r="R308" i="2"/>
  <c r="P308" i="2"/>
  <c r="Q308" i="2" s="1"/>
  <c r="T307" i="2"/>
  <c r="S307" i="2"/>
  <c r="R307" i="2"/>
  <c r="P307" i="2"/>
  <c r="Q307" i="2" s="1"/>
  <c r="T306" i="2"/>
  <c r="S306" i="2"/>
  <c r="R306" i="2"/>
  <c r="P306" i="2"/>
  <c r="V306" i="2" s="1"/>
  <c r="T305" i="2"/>
  <c r="S305" i="2"/>
  <c r="R305" i="2"/>
  <c r="P305" i="2"/>
  <c r="V305" i="2" s="1"/>
  <c r="T304" i="2"/>
  <c r="S304" i="2"/>
  <c r="R304" i="2"/>
  <c r="P304" i="2"/>
  <c r="Q304" i="2" s="1"/>
  <c r="T303" i="2"/>
  <c r="S303" i="2"/>
  <c r="R303" i="2"/>
  <c r="P303" i="2"/>
  <c r="Q303" i="2" s="1"/>
  <c r="T302" i="2"/>
  <c r="S302" i="2"/>
  <c r="R302" i="2"/>
  <c r="P302" i="2"/>
  <c r="V302" i="2" s="1"/>
  <c r="T301" i="2"/>
  <c r="S301" i="2"/>
  <c r="R301" i="2"/>
  <c r="P301" i="2"/>
  <c r="V301" i="2" s="1"/>
  <c r="T300" i="2"/>
  <c r="S300" i="2"/>
  <c r="R300" i="2"/>
  <c r="P300" i="2"/>
  <c r="Q300" i="2" s="1"/>
  <c r="T299" i="2"/>
  <c r="S299" i="2"/>
  <c r="R299" i="2"/>
  <c r="P299" i="2"/>
  <c r="Q299" i="2" s="1"/>
  <c r="T298" i="2"/>
  <c r="S298" i="2"/>
  <c r="R298" i="2"/>
  <c r="P298" i="2"/>
  <c r="V298" i="2" s="1"/>
  <c r="T297" i="2"/>
  <c r="S297" i="2"/>
  <c r="R297" i="2"/>
  <c r="P297" i="2"/>
  <c r="V297" i="2" s="1"/>
  <c r="T296" i="2"/>
  <c r="S296" i="2"/>
  <c r="R296" i="2"/>
  <c r="P296" i="2"/>
  <c r="Q296" i="2" s="1"/>
  <c r="T295" i="2"/>
  <c r="S295" i="2"/>
  <c r="R295" i="2"/>
  <c r="P295" i="2"/>
  <c r="Q295" i="2" s="1"/>
  <c r="T294" i="2"/>
  <c r="S294" i="2"/>
  <c r="R294" i="2"/>
  <c r="P294" i="2"/>
  <c r="V294" i="2" s="1"/>
  <c r="T293" i="2"/>
  <c r="S293" i="2"/>
  <c r="R293" i="2"/>
  <c r="P293" i="2"/>
  <c r="V293" i="2" s="1"/>
  <c r="S292" i="2"/>
  <c r="R292" i="2"/>
  <c r="P292" i="2"/>
  <c r="Q292" i="2" s="1"/>
  <c r="S291" i="2"/>
  <c r="R291" i="2"/>
  <c r="P291" i="2"/>
  <c r="V291" i="2" s="1"/>
  <c r="S290" i="2"/>
  <c r="R290" i="2"/>
  <c r="P290" i="2"/>
  <c r="V290" i="2" s="1"/>
  <c r="S289" i="2"/>
  <c r="R289" i="2"/>
  <c r="P289" i="2"/>
  <c r="Q289" i="2" s="1"/>
  <c r="S288" i="2"/>
  <c r="R288" i="2"/>
  <c r="P288" i="2"/>
  <c r="V288" i="2" s="1"/>
  <c r="S287" i="2"/>
  <c r="R287" i="2"/>
  <c r="P287" i="2"/>
  <c r="Q287" i="2" s="1"/>
  <c r="S286" i="2"/>
  <c r="R286" i="2"/>
  <c r="P286" i="2"/>
  <c r="V286" i="2" s="1"/>
  <c r="S285" i="2"/>
  <c r="R285" i="2"/>
  <c r="P285" i="2"/>
  <c r="Q285" i="2" s="1"/>
  <c r="S284" i="2"/>
  <c r="R284" i="2"/>
  <c r="P284" i="2"/>
  <c r="Q284" i="2" s="1"/>
  <c r="S283" i="2"/>
  <c r="R283" i="2"/>
  <c r="P283" i="2"/>
  <c r="V283" i="2" s="1"/>
  <c r="S282" i="2"/>
  <c r="R282" i="2"/>
  <c r="P282" i="2"/>
  <c r="V282" i="2" s="1"/>
  <c r="S281" i="2"/>
  <c r="R281" i="2"/>
  <c r="P281" i="2"/>
  <c r="Q281" i="2" s="1"/>
  <c r="S280" i="2"/>
  <c r="R280" i="2"/>
  <c r="P280" i="2"/>
  <c r="V280" i="2" s="1"/>
  <c r="S279" i="2"/>
  <c r="R279" i="2"/>
  <c r="P279" i="2"/>
  <c r="Q279" i="2" s="1"/>
  <c r="S278" i="2"/>
  <c r="R278" i="2"/>
  <c r="P278" i="2"/>
  <c r="Q278" i="2" s="1"/>
  <c r="T277" i="2"/>
  <c r="S277" i="2"/>
  <c r="R277" i="2"/>
  <c r="P277" i="2"/>
  <c r="V277" i="2" s="1"/>
  <c r="T276" i="2"/>
  <c r="S276" i="2"/>
  <c r="R276" i="2"/>
  <c r="P276" i="2"/>
  <c r="Q276" i="2" s="1"/>
  <c r="T275" i="2"/>
  <c r="S275" i="2"/>
  <c r="R275" i="2"/>
  <c r="P275" i="2"/>
  <c r="V275" i="2" s="1"/>
  <c r="T274" i="2"/>
  <c r="S274" i="2"/>
  <c r="R274" i="2"/>
  <c r="P274" i="2"/>
  <c r="V274" i="2" s="1"/>
  <c r="T273" i="2"/>
  <c r="S273" i="2"/>
  <c r="R273" i="2"/>
  <c r="P273" i="2"/>
  <c r="V273" i="2" s="1"/>
  <c r="T272" i="2"/>
  <c r="S272" i="2"/>
  <c r="R272" i="2"/>
  <c r="P272" i="2"/>
  <c r="V272" i="2" s="1"/>
  <c r="T271" i="2"/>
  <c r="S271" i="2"/>
  <c r="R271" i="2"/>
  <c r="P271" i="2"/>
  <c r="V271" i="2" s="1"/>
  <c r="S270" i="2"/>
  <c r="R270" i="2"/>
  <c r="P270" i="2"/>
  <c r="V270" i="2" s="1"/>
  <c r="S269" i="2"/>
  <c r="R269" i="2"/>
  <c r="P269" i="2"/>
  <c r="V269" i="2" s="1"/>
  <c r="S268" i="2"/>
  <c r="R268" i="2"/>
  <c r="P268" i="2"/>
  <c r="Q268" i="2" s="1"/>
  <c r="S267" i="2"/>
  <c r="R267" i="2"/>
  <c r="P267" i="2"/>
  <c r="V267" i="2" s="1"/>
  <c r="S266" i="2"/>
  <c r="R266" i="2"/>
  <c r="P266" i="2"/>
  <c r="Q266" i="2" s="1"/>
  <c r="R265" i="2"/>
  <c r="P265" i="2"/>
  <c r="V265" i="2" s="1"/>
  <c r="T264" i="2"/>
  <c r="S264" i="2"/>
  <c r="R264" i="2"/>
  <c r="P264" i="2"/>
  <c r="V264" i="2" s="1"/>
  <c r="T263" i="2"/>
  <c r="S263" i="2"/>
  <c r="R263" i="2"/>
  <c r="P263" i="2"/>
  <c r="Q263" i="2" s="1"/>
  <c r="T262" i="2"/>
  <c r="S262" i="2"/>
  <c r="R262" i="2"/>
  <c r="P262" i="2"/>
  <c r="Q262" i="2" s="1"/>
  <c r="T261" i="2"/>
  <c r="S261" i="2"/>
  <c r="R261" i="2"/>
  <c r="P261" i="2"/>
  <c r="V261" i="2" s="1"/>
  <c r="T260" i="2"/>
  <c r="S260" i="2"/>
  <c r="R260" i="2"/>
  <c r="P260" i="2"/>
  <c r="V260" i="2" s="1"/>
  <c r="T259" i="2"/>
  <c r="S259" i="2"/>
  <c r="R259" i="2"/>
  <c r="P259" i="2"/>
  <c r="Q259" i="2" s="1"/>
  <c r="T258" i="2"/>
  <c r="S258" i="2"/>
  <c r="R258" i="2"/>
  <c r="P258" i="2"/>
  <c r="Q258" i="2" s="1"/>
  <c r="T257" i="2"/>
  <c r="S257" i="2"/>
  <c r="R257" i="2"/>
  <c r="P257" i="2"/>
  <c r="V257" i="2" s="1"/>
  <c r="T256" i="2"/>
  <c r="S256" i="2"/>
  <c r="R256" i="2"/>
  <c r="P256" i="2"/>
  <c r="V256" i="2" s="1"/>
  <c r="T255" i="2"/>
  <c r="S255" i="2"/>
  <c r="R255" i="2"/>
  <c r="P255" i="2"/>
  <c r="Q255" i="2" s="1"/>
  <c r="T254" i="2"/>
  <c r="S254" i="2"/>
  <c r="R254" i="2"/>
  <c r="P254" i="2"/>
  <c r="Q254" i="2" s="1"/>
  <c r="T253" i="2"/>
  <c r="S253" i="2"/>
  <c r="R253" i="2"/>
  <c r="P253" i="2"/>
  <c r="V253" i="2" s="1"/>
  <c r="T252" i="2"/>
  <c r="S252" i="2"/>
  <c r="R252" i="2"/>
  <c r="P252" i="2"/>
  <c r="V252" i="2" s="1"/>
  <c r="T251" i="2"/>
  <c r="S251" i="2"/>
  <c r="R251" i="2"/>
  <c r="P251" i="2"/>
  <c r="Q251" i="2" s="1"/>
  <c r="T250" i="2"/>
  <c r="S250" i="2"/>
  <c r="R250" i="2"/>
  <c r="P250" i="2"/>
  <c r="Q250" i="2" s="1"/>
  <c r="T249" i="2"/>
  <c r="S249" i="2"/>
  <c r="R249" i="2"/>
  <c r="P249" i="2"/>
  <c r="V249" i="2" s="1"/>
  <c r="T248" i="2"/>
  <c r="S248" i="2"/>
  <c r="R248" i="2"/>
  <c r="P248" i="2"/>
  <c r="V248" i="2" s="1"/>
  <c r="T247" i="2"/>
  <c r="S247" i="2"/>
  <c r="R247" i="2"/>
  <c r="P247" i="2"/>
  <c r="Q247" i="2" s="1"/>
  <c r="T246" i="2"/>
  <c r="S246" i="2"/>
  <c r="R246" i="2"/>
  <c r="P246" i="2"/>
  <c r="Q246" i="2" s="1"/>
  <c r="T245" i="2"/>
  <c r="S245" i="2"/>
  <c r="R245" i="2"/>
  <c r="P245" i="2"/>
  <c r="V245" i="2" s="1"/>
  <c r="T244" i="2"/>
  <c r="S244" i="2"/>
  <c r="R244" i="2"/>
  <c r="P244" i="2"/>
  <c r="V244" i="2" s="1"/>
  <c r="T243" i="2"/>
  <c r="S243" i="2"/>
  <c r="R243" i="2"/>
  <c r="P243" i="2"/>
  <c r="Q243" i="2" s="1"/>
  <c r="T242" i="2"/>
  <c r="S242" i="2"/>
  <c r="R242" i="2"/>
  <c r="P242" i="2"/>
  <c r="Q242" i="2" s="1"/>
  <c r="T241" i="2"/>
  <c r="S241" i="2"/>
  <c r="R241" i="2"/>
  <c r="P241" i="2"/>
  <c r="V241" i="2" s="1"/>
  <c r="T240" i="2"/>
  <c r="R240" i="2"/>
  <c r="P240" i="2"/>
  <c r="V240" i="2" s="1"/>
  <c r="T239" i="2"/>
  <c r="S239" i="2"/>
  <c r="R239" i="2"/>
  <c r="P239" i="2"/>
  <c r="V239" i="2" s="1"/>
  <c r="T238" i="2"/>
  <c r="S238" i="2"/>
  <c r="R238" i="2"/>
  <c r="P238" i="2"/>
  <c r="V238" i="2" s="1"/>
  <c r="T237" i="2"/>
  <c r="S237" i="2"/>
  <c r="R237" i="2"/>
  <c r="P237" i="2"/>
  <c r="V237" i="2" s="1"/>
  <c r="T236" i="2"/>
  <c r="S236" i="2"/>
  <c r="R236" i="2"/>
  <c r="P236" i="2"/>
  <c r="V236" i="2" s="1"/>
  <c r="T235" i="2"/>
  <c r="S235" i="2"/>
  <c r="R235" i="2"/>
  <c r="P235" i="2"/>
  <c r="V235" i="2" s="1"/>
  <c r="T234" i="2"/>
  <c r="S234" i="2"/>
  <c r="R234" i="2"/>
  <c r="P234" i="2"/>
  <c r="Q234" i="2" s="1"/>
  <c r="T233" i="2"/>
  <c r="S233" i="2"/>
  <c r="R233" i="2"/>
  <c r="P233" i="2"/>
  <c r="V233" i="2" s="1"/>
  <c r="T232" i="2"/>
  <c r="S232" i="2"/>
  <c r="R232" i="2"/>
  <c r="P232" i="2"/>
  <c r="V232" i="2" s="1"/>
  <c r="T231" i="2"/>
  <c r="S231" i="2"/>
  <c r="R231" i="2"/>
  <c r="P231" i="2"/>
  <c r="Q231" i="2" s="1"/>
  <c r="T230" i="2"/>
  <c r="S230" i="2"/>
  <c r="R230" i="2"/>
  <c r="P230" i="2"/>
  <c r="Q230" i="2" s="1"/>
  <c r="T229" i="2"/>
  <c r="S229" i="2"/>
  <c r="R229" i="2"/>
  <c r="P229" i="2"/>
  <c r="V229" i="2" s="1"/>
  <c r="T228" i="2"/>
  <c r="S228" i="2"/>
  <c r="R228" i="2"/>
  <c r="P228" i="2"/>
  <c r="Q228" i="2" s="1"/>
  <c r="T227" i="2"/>
  <c r="S227" i="2"/>
  <c r="R227" i="2"/>
  <c r="P227" i="2"/>
  <c r="Q227" i="2" s="1"/>
  <c r="T226" i="2"/>
  <c r="S226" i="2"/>
  <c r="R226" i="2"/>
  <c r="P226" i="2"/>
  <c r="V226" i="2" s="1"/>
  <c r="T225" i="2"/>
  <c r="S225" i="2"/>
  <c r="R225" i="2"/>
  <c r="P225" i="2"/>
  <c r="V225" i="2" s="1"/>
  <c r="T224" i="2"/>
  <c r="S224" i="2"/>
  <c r="R224" i="2"/>
  <c r="P224" i="2"/>
  <c r="Q224" i="2" s="1"/>
  <c r="T223" i="2"/>
  <c r="S223" i="2"/>
  <c r="R223" i="2"/>
  <c r="P223" i="2"/>
  <c r="V223" i="2" s="1"/>
  <c r="T222" i="2"/>
  <c r="S222" i="2"/>
  <c r="R222" i="2"/>
  <c r="P222" i="2"/>
  <c r="V222" i="2" s="1"/>
  <c r="T221" i="2"/>
  <c r="S221" i="2"/>
  <c r="R221" i="2"/>
  <c r="P221" i="2"/>
  <c r="Q221" i="2" s="1"/>
  <c r="V220" i="2"/>
  <c r="T220" i="2"/>
  <c r="S220" i="2"/>
  <c r="R220" i="2"/>
  <c r="Q220" i="2"/>
  <c r="T219" i="2"/>
  <c r="S219" i="2"/>
  <c r="R219" i="2"/>
  <c r="P219" i="2"/>
  <c r="Q219" i="2" s="1"/>
  <c r="T218" i="2"/>
  <c r="S218" i="2"/>
  <c r="R218" i="2"/>
  <c r="P218" i="2"/>
  <c r="V218" i="2" s="1"/>
  <c r="T217" i="2"/>
  <c r="S217" i="2"/>
  <c r="R217" i="2"/>
  <c r="P217" i="2"/>
  <c r="V217" i="2" s="1"/>
  <c r="T216" i="2"/>
  <c r="S216" i="2"/>
  <c r="R216" i="2"/>
  <c r="P216" i="2"/>
  <c r="V216" i="2" s="1"/>
  <c r="T215" i="2"/>
  <c r="S215" i="2"/>
  <c r="R215" i="2"/>
  <c r="P215" i="2"/>
  <c r="V215" i="2" s="1"/>
  <c r="T214" i="2"/>
  <c r="S214" i="2"/>
  <c r="R214" i="2"/>
  <c r="P214" i="2"/>
  <c r="V214" i="2" s="1"/>
  <c r="T213" i="2"/>
  <c r="S213" i="2"/>
  <c r="R213" i="2"/>
  <c r="P213" i="2"/>
  <c r="V213" i="2" s="1"/>
  <c r="T212" i="2"/>
  <c r="S212" i="2"/>
  <c r="R212" i="2"/>
  <c r="P212" i="2"/>
  <c r="V212" i="2" s="1"/>
  <c r="T211" i="2"/>
  <c r="S211" i="2"/>
  <c r="R211" i="2"/>
  <c r="P211" i="2"/>
  <c r="V211" i="2" s="1"/>
  <c r="T210" i="2"/>
  <c r="S210" i="2"/>
  <c r="R210" i="2"/>
  <c r="P210" i="2"/>
  <c r="V210" i="2" s="1"/>
  <c r="T209" i="2"/>
  <c r="S209" i="2"/>
  <c r="R209" i="2"/>
  <c r="P209" i="2"/>
  <c r="V209" i="2" s="1"/>
  <c r="T208" i="2"/>
  <c r="S208" i="2"/>
  <c r="R208" i="2"/>
  <c r="P208" i="2"/>
  <c r="Q208" i="2" s="1"/>
  <c r="T207" i="2"/>
  <c r="S207" i="2"/>
  <c r="R207" i="2"/>
  <c r="P207" i="2"/>
  <c r="V207" i="2" s="1"/>
  <c r="T206" i="2"/>
  <c r="S206" i="2"/>
  <c r="R206" i="2"/>
  <c r="P206" i="2"/>
  <c r="V206" i="2" s="1"/>
  <c r="T205" i="2"/>
  <c r="S205" i="2"/>
  <c r="R205" i="2"/>
  <c r="P205" i="2"/>
  <c r="Q205" i="2" s="1"/>
  <c r="T204" i="2"/>
  <c r="S204" i="2"/>
  <c r="R204" i="2"/>
  <c r="P204" i="2"/>
  <c r="V204" i="2" s="1"/>
  <c r="T203" i="2"/>
  <c r="S203" i="2"/>
  <c r="R203" i="2"/>
  <c r="P203" i="2"/>
  <c r="V203" i="2" s="1"/>
  <c r="T202" i="2"/>
  <c r="S202" i="2"/>
  <c r="R202" i="2"/>
  <c r="P202" i="2"/>
  <c r="V202" i="2" s="1"/>
  <c r="T201" i="2"/>
  <c r="S201" i="2"/>
  <c r="R201" i="2"/>
  <c r="P201" i="2"/>
  <c r="Q201" i="2" s="1"/>
  <c r="T200" i="2"/>
  <c r="S200" i="2"/>
  <c r="R200" i="2"/>
  <c r="P200" i="2"/>
  <c r="V200" i="2" s="1"/>
  <c r="T199" i="2"/>
  <c r="S199" i="2"/>
  <c r="R199" i="2"/>
  <c r="P199" i="2"/>
  <c r="V199" i="2" s="1"/>
  <c r="T198" i="2"/>
  <c r="S198" i="2"/>
  <c r="R198" i="2"/>
  <c r="P198" i="2"/>
  <c r="V198" i="2" s="1"/>
  <c r="T197" i="2"/>
  <c r="S197" i="2"/>
  <c r="R197" i="2"/>
  <c r="P197" i="2"/>
  <c r="Q197" i="2" s="1"/>
  <c r="T196" i="2"/>
  <c r="S196" i="2"/>
  <c r="R196" i="2"/>
  <c r="P196" i="2"/>
  <c r="Q196" i="2" s="1"/>
  <c r="T195" i="2"/>
  <c r="S195" i="2"/>
  <c r="R195" i="2"/>
  <c r="P195" i="2"/>
  <c r="V195" i="2" s="1"/>
  <c r="T194" i="2"/>
  <c r="S194" i="2"/>
  <c r="R194" i="2"/>
  <c r="P194" i="2"/>
  <c r="V194" i="2" s="1"/>
  <c r="T193" i="2"/>
  <c r="S193" i="2"/>
  <c r="R193" i="2"/>
  <c r="P193" i="2"/>
  <c r="Q193" i="2" s="1"/>
  <c r="T192" i="2"/>
  <c r="S192" i="2"/>
  <c r="R192" i="2"/>
  <c r="P192" i="2"/>
  <c r="Q192" i="2" s="1"/>
  <c r="T191" i="2"/>
  <c r="S191" i="2"/>
  <c r="R191" i="2"/>
  <c r="P191" i="2"/>
  <c r="V191" i="2" s="1"/>
  <c r="T190" i="2"/>
  <c r="S190" i="2"/>
  <c r="R190" i="2"/>
  <c r="P190" i="2"/>
  <c r="V190" i="2" s="1"/>
  <c r="T189" i="2"/>
  <c r="S189" i="2"/>
  <c r="R189" i="2"/>
  <c r="P189" i="2"/>
  <c r="Q189" i="2" s="1"/>
  <c r="T188" i="2"/>
  <c r="S188" i="2"/>
  <c r="R188" i="2"/>
  <c r="P188" i="2"/>
  <c r="V188" i="2" s="1"/>
  <c r="T187" i="2"/>
  <c r="S187" i="2"/>
  <c r="R187" i="2"/>
  <c r="P187" i="2"/>
  <c r="V187" i="2" s="1"/>
  <c r="T186" i="2"/>
  <c r="S186" i="2"/>
  <c r="R186" i="2"/>
  <c r="P186" i="2"/>
  <c r="V186" i="2" s="1"/>
  <c r="T185" i="2"/>
  <c r="S185" i="2"/>
  <c r="R185" i="2"/>
  <c r="P185" i="2"/>
  <c r="Q185" i="2" s="1"/>
  <c r="T184" i="2"/>
  <c r="S184" i="2"/>
  <c r="R184" i="2"/>
  <c r="P184" i="2"/>
  <c r="Q184" i="2" s="1"/>
  <c r="T183" i="2"/>
  <c r="S183" i="2"/>
  <c r="R183" i="2"/>
  <c r="P183" i="2"/>
  <c r="V183" i="2" s="1"/>
  <c r="T182" i="2"/>
  <c r="S182" i="2"/>
  <c r="R182" i="2"/>
  <c r="P182" i="2"/>
  <c r="V182" i="2" s="1"/>
  <c r="T181" i="2"/>
  <c r="S181" i="2"/>
  <c r="R181" i="2"/>
  <c r="P181" i="2"/>
  <c r="Q181" i="2" s="1"/>
  <c r="T180" i="2"/>
  <c r="S180" i="2"/>
  <c r="R180" i="2"/>
  <c r="P180" i="2"/>
  <c r="Q180" i="2" s="1"/>
  <c r="T179" i="2"/>
  <c r="S179" i="2"/>
  <c r="R179" i="2"/>
  <c r="P179" i="2"/>
  <c r="V179" i="2" s="1"/>
  <c r="T178" i="2"/>
  <c r="S178" i="2"/>
  <c r="R178" i="2"/>
  <c r="P178" i="2"/>
  <c r="V178" i="2" s="1"/>
  <c r="T177" i="2"/>
  <c r="S177" i="2"/>
  <c r="R177" i="2"/>
  <c r="P177" i="2"/>
  <c r="Q177" i="2" s="1"/>
  <c r="T176" i="2"/>
  <c r="S176" i="2"/>
  <c r="R176" i="2"/>
  <c r="P176" i="2"/>
  <c r="Q176" i="2" s="1"/>
  <c r="T175" i="2"/>
  <c r="S175" i="2"/>
  <c r="R175" i="2"/>
  <c r="P175" i="2"/>
  <c r="V175" i="2" s="1"/>
  <c r="T174" i="2"/>
  <c r="S174" i="2"/>
  <c r="R174" i="2"/>
  <c r="P174" i="2"/>
  <c r="V174" i="2" s="1"/>
  <c r="T173" i="2"/>
  <c r="S173" i="2"/>
  <c r="R173" i="2"/>
  <c r="P173" i="2"/>
  <c r="Q173" i="2" s="1"/>
  <c r="T172" i="2"/>
  <c r="S172" i="2"/>
  <c r="R172" i="2"/>
  <c r="P172" i="2"/>
  <c r="Q172" i="2" s="1"/>
  <c r="T171" i="2"/>
  <c r="S171" i="2"/>
  <c r="R171" i="2"/>
  <c r="P171" i="2"/>
  <c r="V171" i="2" s="1"/>
  <c r="T170" i="2"/>
  <c r="S170" i="2"/>
  <c r="R170" i="2"/>
  <c r="P170" i="2"/>
  <c r="V170" i="2" s="1"/>
  <c r="T169" i="2"/>
  <c r="S169" i="2"/>
  <c r="R169" i="2"/>
  <c r="P169" i="2"/>
  <c r="Q169" i="2" s="1"/>
  <c r="T168" i="2"/>
  <c r="S168" i="2"/>
  <c r="R168" i="2"/>
  <c r="P168" i="2"/>
  <c r="Q168" i="2" s="1"/>
  <c r="T167" i="2"/>
  <c r="S167" i="2"/>
  <c r="R167" i="2"/>
  <c r="P167" i="2"/>
  <c r="V167" i="2" s="1"/>
  <c r="T166" i="2"/>
  <c r="S166" i="2"/>
  <c r="R166" i="2"/>
  <c r="P166" i="2"/>
  <c r="V166" i="2" s="1"/>
  <c r="T165" i="2"/>
  <c r="S165" i="2"/>
  <c r="R165" i="2"/>
  <c r="P165" i="2"/>
  <c r="Q165" i="2" s="1"/>
  <c r="T164" i="2"/>
  <c r="S164" i="2"/>
  <c r="R164" i="2"/>
  <c r="P164" i="2"/>
  <c r="Q164" i="2" s="1"/>
  <c r="T163" i="2"/>
  <c r="S163" i="2"/>
  <c r="R163" i="2"/>
  <c r="P163" i="2"/>
  <c r="V163" i="2" s="1"/>
  <c r="T162" i="2"/>
  <c r="S162" i="2"/>
  <c r="R162" i="2"/>
  <c r="P162" i="2"/>
  <c r="V162" i="2" s="1"/>
  <c r="T161" i="2"/>
  <c r="S161" i="2"/>
  <c r="R161" i="2"/>
  <c r="P161" i="2"/>
  <c r="Q161" i="2" s="1"/>
  <c r="T160" i="2"/>
  <c r="S160" i="2"/>
  <c r="R160" i="2"/>
  <c r="P160" i="2"/>
  <c r="Q160" i="2" s="1"/>
  <c r="T159" i="2"/>
  <c r="S159" i="2"/>
  <c r="R159" i="2"/>
  <c r="P159" i="2"/>
  <c r="V159" i="2" s="1"/>
  <c r="T158" i="2"/>
  <c r="S158" i="2"/>
  <c r="R158" i="2"/>
  <c r="P158" i="2"/>
  <c r="V158" i="2" s="1"/>
  <c r="T157" i="2"/>
  <c r="S157" i="2"/>
  <c r="R157" i="2"/>
  <c r="P157" i="2"/>
  <c r="Q157" i="2" s="1"/>
  <c r="T156" i="2"/>
  <c r="S156" i="2"/>
  <c r="R156" i="2"/>
  <c r="P156" i="2"/>
  <c r="Q156" i="2" s="1"/>
  <c r="T155" i="2"/>
  <c r="S155" i="2"/>
  <c r="R155" i="2"/>
  <c r="P155" i="2"/>
  <c r="V155" i="2" s="1"/>
  <c r="T154" i="2"/>
  <c r="S154" i="2"/>
  <c r="R154" i="2"/>
  <c r="P154" i="2"/>
  <c r="V154" i="2" s="1"/>
  <c r="T153" i="2"/>
  <c r="S153" i="2"/>
  <c r="R153" i="2"/>
  <c r="P153" i="2"/>
  <c r="Q153" i="2" s="1"/>
  <c r="T152" i="2"/>
  <c r="S152" i="2"/>
  <c r="R152" i="2"/>
  <c r="P152" i="2"/>
  <c r="Q152" i="2" s="1"/>
  <c r="T151" i="2"/>
  <c r="S151" i="2"/>
  <c r="R151" i="2"/>
  <c r="P151" i="2"/>
  <c r="V151" i="2" s="1"/>
  <c r="T150" i="2"/>
  <c r="S150" i="2"/>
  <c r="R150" i="2"/>
  <c r="P150" i="2"/>
  <c r="V150" i="2" s="1"/>
  <c r="T149" i="2"/>
  <c r="S149" i="2"/>
  <c r="R149" i="2"/>
  <c r="P149" i="2"/>
  <c r="Q149" i="2" s="1"/>
  <c r="T148" i="2"/>
  <c r="S148" i="2"/>
  <c r="R148" i="2"/>
  <c r="P148" i="2"/>
  <c r="Q148" i="2" s="1"/>
  <c r="T147" i="2"/>
  <c r="S147" i="2"/>
  <c r="R147" i="2"/>
  <c r="P147" i="2"/>
  <c r="V147" i="2" s="1"/>
  <c r="T146" i="2"/>
  <c r="S146" i="2"/>
  <c r="P146" i="2"/>
  <c r="Q146" i="2" s="1"/>
  <c r="T145" i="2"/>
  <c r="S145" i="2"/>
  <c r="P145" i="2"/>
  <c r="Q145" i="2" s="1"/>
  <c r="T144" i="2"/>
  <c r="S144" i="2"/>
  <c r="P144" i="2"/>
  <c r="V144" i="2" s="1"/>
  <c r="T143" i="2"/>
  <c r="S143" i="2"/>
  <c r="P143" i="2"/>
  <c r="V143" i="2" s="1"/>
  <c r="T142" i="2"/>
  <c r="S142" i="2"/>
  <c r="P142" i="2"/>
  <c r="V142" i="2" s="1"/>
  <c r="T141" i="2"/>
  <c r="S141" i="2"/>
  <c r="P141" i="2"/>
  <c r="V141" i="2" s="1"/>
  <c r="T140" i="2"/>
  <c r="S140" i="2"/>
  <c r="Q140" i="2"/>
  <c r="P140" i="2"/>
  <c r="V140" i="2" s="1"/>
  <c r="T139" i="2"/>
  <c r="S139" i="2"/>
  <c r="R139" i="2"/>
  <c r="P139" i="2"/>
  <c r="Q139" i="2" s="1"/>
  <c r="T138" i="2"/>
  <c r="S138" i="2"/>
  <c r="R138" i="2"/>
  <c r="P138" i="2"/>
  <c r="Q138" i="2" s="1"/>
  <c r="T137" i="2"/>
  <c r="S137" i="2"/>
  <c r="R137" i="2"/>
  <c r="P137" i="2"/>
  <c r="V137" i="2" s="1"/>
  <c r="T136" i="2"/>
  <c r="S136" i="2"/>
  <c r="R136" i="2"/>
  <c r="P136" i="2"/>
  <c r="Q136" i="2" s="1"/>
  <c r="T135" i="2"/>
  <c r="S135" i="2"/>
  <c r="R135" i="2"/>
  <c r="P135" i="2"/>
  <c r="V135" i="2" s="1"/>
  <c r="T134" i="2"/>
  <c r="S134" i="2"/>
  <c r="R134" i="2"/>
  <c r="P134" i="2"/>
  <c r="V134" i="2" s="1"/>
  <c r="T133" i="2"/>
  <c r="S133" i="2"/>
  <c r="R133" i="2"/>
  <c r="P133" i="2"/>
  <c r="V133" i="2" s="1"/>
  <c r="T132" i="2"/>
  <c r="S132" i="2"/>
  <c r="R132" i="2"/>
  <c r="P132" i="2"/>
  <c r="V132" i="2" s="1"/>
  <c r="T131" i="2"/>
  <c r="S131" i="2"/>
  <c r="R131" i="2"/>
  <c r="P131" i="2"/>
  <c r="V131" i="2" s="1"/>
  <c r="T130" i="2"/>
  <c r="S130" i="2"/>
  <c r="R130" i="2"/>
  <c r="P130" i="2"/>
  <c r="Q130" i="2" s="1"/>
  <c r="T129" i="2"/>
  <c r="S129" i="2"/>
  <c r="R129" i="2"/>
  <c r="P129" i="2"/>
  <c r="V129" i="2" s="1"/>
  <c r="T128" i="2"/>
  <c r="S128" i="2"/>
  <c r="R128" i="2"/>
  <c r="P128" i="2"/>
  <c r="V128" i="2" s="1"/>
  <c r="T127" i="2"/>
  <c r="S127" i="2"/>
  <c r="R127" i="2"/>
  <c r="P127" i="2"/>
  <c r="V127" i="2" s="1"/>
  <c r="T126" i="2"/>
  <c r="S126" i="2"/>
  <c r="R126" i="2"/>
  <c r="P126" i="2"/>
  <c r="Q126" i="2" s="1"/>
  <c r="T125" i="2"/>
  <c r="S125" i="2"/>
  <c r="R125" i="2"/>
  <c r="P125" i="2"/>
  <c r="V125" i="2" s="1"/>
  <c r="T124" i="2"/>
  <c r="S124" i="2"/>
  <c r="R124" i="2"/>
  <c r="P124" i="2"/>
  <c r="V124" i="2" s="1"/>
  <c r="T123" i="2"/>
  <c r="S123" i="2"/>
  <c r="R123" i="2"/>
  <c r="P123" i="2"/>
  <c r="Q123" i="2" s="1"/>
  <c r="T122" i="2"/>
  <c r="S122" i="2"/>
  <c r="R122" i="2"/>
  <c r="P122" i="2"/>
  <c r="V122" i="2" s="1"/>
  <c r="T121" i="2"/>
  <c r="S121" i="2"/>
  <c r="R121" i="2"/>
  <c r="P121" i="2"/>
  <c r="V121" i="2" s="1"/>
  <c r="T120" i="2"/>
  <c r="S120" i="2"/>
  <c r="R120" i="2"/>
  <c r="P120" i="2"/>
  <c r="Q120" i="2" s="1"/>
  <c r="T119" i="2"/>
  <c r="S119" i="2"/>
  <c r="R119" i="2"/>
  <c r="P119" i="2"/>
  <c r="Q119" i="2" s="1"/>
  <c r="T118" i="2"/>
  <c r="S118" i="2"/>
  <c r="R118" i="2"/>
  <c r="P118" i="2"/>
  <c r="V118" i="2" s="1"/>
  <c r="T117" i="2"/>
  <c r="S117" i="2"/>
  <c r="R117" i="2"/>
  <c r="P117" i="2"/>
  <c r="V117" i="2" s="1"/>
  <c r="T116" i="2"/>
  <c r="S116" i="2"/>
  <c r="R116" i="2"/>
  <c r="P116" i="2"/>
  <c r="Q116" i="2" s="1"/>
  <c r="T115" i="2"/>
  <c r="S115" i="2"/>
  <c r="R115" i="2"/>
  <c r="P115" i="2"/>
  <c r="V115" i="2" s="1"/>
  <c r="T114" i="2"/>
  <c r="S114" i="2"/>
  <c r="R114" i="2"/>
  <c r="P114" i="2"/>
  <c r="V114" i="2" s="1"/>
  <c r="T113" i="2"/>
  <c r="S113" i="2"/>
  <c r="R113" i="2"/>
  <c r="P113" i="2"/>
  <c r="V113" i="2" s="1"/>
  <c r="T112" i="2"/>
  <c r="S112" i="2"/>
  <c r="R112" i="2"/>
  <c r="P112" i="2"/>
  <c r="V112" i="2" s="1"/>
  <c r="T111" i="2"/>
  <c r="S111" i="2"/>
  <c r="R111" i="2"/>
  <c r="P111" i="2"/>
  <c r="V111" i="2" s="1"/>
  <c r="T110" i="2"/>
  <c r="S110" i="2"/>
  <c r="R110" i="2"/>
  <c r="P110" i="2"/>
  <c r="V110" i="2" s="1"/>
  <c r="T109" i="2"/>
  <c r="S109" i="2"/>
  <c r="R109" i="2"/>
  <c r="P109" i="2"/>
  <c r="V109" i="2" s="1"/>
  <c r="T108" i="2"/>
  <c r="S108" i="2"/>
  <c r="R108" i="2"/>
  <c r="P108" i="2"/>
  <c r="Q108" i="2" s="1"/>
  <c r="T107" i="2"/>
  <c r="S107" i="2"/>
  <c r="R107" i="2"/>
  <c r="P107" i="2"/>
  <c r="V107" i="2" s="1"/>
  <c r="T106" i="2"/>
  <c r="S106" i="2"/>
  <c r="R106" i="2"/>
  <c r="P106" i="2"/>
  <c r="V106" i="2" s="1"/>
  <c r="T105" i="2"/>
  <c r="S105" i="2"/>
  <c r="R105" i="2"/>
  <c r="P105" i="2"/>
  <c r="V105" i="2" s="1"/>
  <c r="T104" i="2"/>
  <c r="S104" i="2"/>
  <c r="R104" i="2"/>
  <c r="P104" i="2"/>
  <c r="Q104" i="2" s="1"/>
  <c r="T103" i="2"/>
  <c r="S103" i="2"/>
  <c r="R103" i="2"/>
  <c r="P103" i="2"/>
  <c r="V103" i="2" s="1"/>
  <c r="T102" i="2"/>
  <c r="S102" i="2"/>
  <c r="R102" i="2"/>
  <c r="P102" i="2"/>
  <c r="V102" i="2" s="1"/>
  <c r="T101" i="2"/>
  <c r="S101" i="2"/>
  <c r="R101" i="2"/>
  <c r="P101" i="2"/>
  <c r="V101" i="2" s="1"/>
  <c r="T100" i="2"/>
  <c r="S100" i="2"/>
  <c r="R100" i="2"/>
  <c r="P100" i="2"/>
  <c r="Q100" i="2" s="1"/>
  <c r="T99" i="2"/>
  <c r="S99" i="2"/>
  <c r="R99" i="2"/>
  <c r="P99" i="2"/>
  <c r="V99" i="2" s="1"/>
  <c r="T98" i="2"/>
  <c r="S98" i="2"/>
  <c r="R98" i="2"/>
  <c r="P98" i="2"/>
  <c r="V98" i="2" s="1"/>
  <c r="T97" i="2"/>
  <c r="S97" i="2"/>
  <c r="R97" i="2"/>
  <c r="P97" i="2"/>
  <c r="V97" i="2" s="1"/>
  <c r="T96" i="2"/>
  <c r="S96" i="2"/>
  <c r="R96" i="2"/>
  <c r="P96" i="2"/>
  <c r="Q96" i="2" s="1"/>
  <c r="T95" i="2"/>
  <c r="S95" i="2"/>
  <c r="R95" i="2"/>
  <c r="P95" i="2"/>
  <c r="V95" i="2" s="1"/>
  <c r="T94" i="2"/>
  <c r="S94" i="2"/>
  <c r="R94" i="2"/>
  <c r="Q94" i="2"/>
  <c r="P94" i="2"/>
  <c r="V94" i="2" s="1"/>
  <c r="T93" i="2"/>
  <c r="S93" i="2"/>
  <c r="R93" i="2"/>
  <c r="P93" i="2"/>
  <c r="V93" i="2" s="1"/>
  <c r="T92" i="2"/>
  <c r="S92" i="2"/>
  <c r="R92" i="2"/>
  <c r="P92" i="2"/>
  <c r="Q92" i="2" s="1"/>
  <c r="T91" i="2"/>
  <c r="S91" i="2"/>
  <c r="R91" i="2"/>
  <c r="P91" i="2"/>
  <c r="V91" i="2" s="1"/>
  <c r="T90" i="2"/>
  <c r="S90" i="2"/>
  <c r="R90" i="2"/>
  <c r="P90" i="2"/>
  <c r="V90" i="2" s="1"/>
  <c r="T89" i="2"/>
  <c r="S89" i="2"/>
  <c r="R89" i="2"/>
  <c r="P89" i="2"/>
  <c r="V89" i="2" s="1"/>
  <c r="T88" i="2"/>
  <c r="S88" i="2"/>
  <c r="R88" i="2"/>
  <c r="P88" i="2"/>
  <c r="Q88" i="2" s="1"/>
  <c r="T87" i="2"/>
  <c r="S87" i="2"/>
  <c r="R87" i="2"/>
  <c r="P87" i="2"/>
  <c r="V87" i="2" s="1"/>
  <c r="T86" i="2"/>
  <c r="S86" i="2"/>
  <c r="R86" i="2"/>
  <c r="Q86" i="2"/>
  <c r="P86" i="2"/>
  <c r="V86" i="2" s="1"/>
  <c r="T85" i="2"/>
  <c r="S85" i="2"/>
  <c r="R85" i="2"/>
  <c r="P85" i="2"/>
  <c r="V85" i="2" s="1"/>
  <c r="T84" i="2"/>
  <c r="S84" i="2"/>
  <c r="R84" i="2"/>
  <c r="P84" i="2"/>
  <c r="Q84" i="2" s="1"/>
  <c r="T83" i="2"/>
  <c r="S83" i="2"/>
  <c r="R83" i="2"/>
  <c r="P83" i="2"/>
  <c r="V83" i="2" s="1"/>
  <c r="T82" i="2"/>
  <c r="S82" i="2"/>
  <c r="R82" i="2"/>
  <c r="P82" i="2"/>
  <c r="V82" i="2" s="1"/>
  <c r="T81" i="2"/>
  <c r="S81" i="2"/>
  <c r="R81" i="2"/>
  <c r="P81" i="2"/>
  <c r="V81" i="2" s="1"/>
  <c r="T80" i="2"/>
  <c r="S80" i="2"/>
  <c r="R80" i="2"/>
  <c r="P80" i="2"/>
  <c r="Q80" i="2" s="1"/>
  <c r="V79" i="2"/>
  <c r="V78" i="2"/>
  <c r="V77" i="2"/>
  <c r="V76" i="2"/>
  <c r="V75" i="2"/>
  <c r="T74" i="2"/>
  <c r="S74" i="2"/>
  <c r="R74" i="2"/>
  <c r="P74" i="2"/>
  <c r="V74" i="2" s="1"/>
  <c r="T73" i="2"/>
  <c r="S73" i="2"/>
  <c r="R73" i="2"/>
  <c r="P73" i="2"/>
  <c r="Q73" i="2" s="1"/>
  <c r="T72" i="2"/>
  <c r="S72" i="2"/>
  <c r="R72" i="2"/>
  <c r="P72" i="2"/>
  <c r="Q72" i="2" s="1"/>
  <c r="T71" i="2"/>
  <c r="S71" i="2"/>
  <c r="R71" i="2"/>
  <c r="P71" i="2"/>
  <c r="V71" i="2" s="1"/>
  <c r="T70" i="2"/>
  <c r="S70" i="2"/>
  <c r="R70" i="2"/>
  <c r="P70" i="2"/>
  <c r="V70" i="2" s="1"/>
  <c r="T69" i="2"/>
  <c r="S69" i="2"/>
  <c r="R69" i="2"/>
  <c r="P69" i="2"/>
  <c r="Q69" i="2" s="1"/>
  <c r="T68" i="2"/>
  <c r="S68" i="2"/>
  <c r="R68" i="2"/>
  <c r="P68" i="2"/>
  <c r="Q68" i="2" s="1"/>
  <c r="T67" i="2"/>
  <c r="S67" i="2"/>
  <c r="R67" i="2"/>
  <c r="P67" i="2"/>
  <c r="V67" i="2" s="1"/>
  <c r="T66" i="2"/>
  <c r="S66" i="2"/>
  <c r="R66" i="2"/>
  <c r="P66" i="2"/>
  <c r="V66" i="2" s="1"/>
  <c r="T65" i="2"/>
  <c r="S65" i="2"/>
  <c r="R65" i="2"/>
  <c r="P65" i="2"/>
  <c r="Q65" i="2" s="1"/>
  <c r="T64" i="2"/>
  <c r="S64" i="2"/>
  <c r="R64" i="2"/>
  <c r="P64" i="2"/>
  <c r="Q64" i="2" s="1"/>
  <c r="T63" i="2"/>
  <c r="S63" i="2"/>
  <c r="R63" i="2"/>
  <c r="P63" i="2"/>
  <c r="V63" i="2" s="1"/>
  <c r="T62" i="2"/>
  <c r="S62" i="2"/>
  <c r="R62" i="2"/>
  <c r="P62" i="2"/>
  <c r="V62" i="2" s="1"/>
  <c r="T61" i="2"/>
  <c r="S61" i="2"/>
  <c r="R61" i="2"/>
  <c r="P61" i="2"/>
  <c r="Q61" i="2" s="1"/>
  <c r="T60" i="2"/>
  <c r="S60" i="2"/>
  <c r="R60" i="2"/>
  <c r="P60" i="2"/>
  <c r="Q60" i="2" s="1"/>
  <c r="T59" i="2"/>
  <c r="S59" i="2"/>
  <c r="R59" i="2"/>
  <c r="P59" i="2"/>
  <c r="V59" i="2" s="1"/>
  <c r="T58" i="2"/>
  <c r="S58" i="2"/>
  <c r="R58" i="2"/>
  <c r="P58" i="2"/>
  <c r="V58" i="2" s="1"/>
  <c r="T57" i="2"/>
  <c r="S57" i="2"/>
  <c r="R57" i="2"/>
  <c r="P57" i="2"/>
  <c r="Q57" i="2" s="1"/>
  <c r="T56" i="2"/>
  <c r="S56" i="2"/>
  <c r="R56" i="2"/>
  <c r="P56" i="2"/>
  <c r="Q56" i="2" s="1"/>
  <c r="T55" i="2"/>
  <c r="S55" i="2"/>
  <c r="R55" i="2"/>
  <c r="P55" i="2"/>
  <c r="V55" i="2" s="1"/>
  <c r="T54" i="2"/>
  <c r="S54" i="2"/>
  <c r="R54" i="2"/>
  <c r="P54" i="2"/>
  <c r="V54" i="2" s="1"/>
  <c r="T53" i="2"/>
  <c r="S53" i="2"/>
  <c r="R53" i="2"/>
  <c r="P53" i="2"/>
  <c r="Q53" i="2" s="1"/>
  <c r="T52" i="2"/>
  <c r="S52" i="2"/>
  <c r="R52" i="2"/>
  <c r="P52" i="2"/>
  <c r="Q52" i="2" s="1"/>
  <c r="T51" i="2"/>
  <c r="S51" i="2"/>
  <c r="R51" i="2"/>
  <c r="P51" i="2"/>
  <c r="V51" i="2" s="1"/>
  <c r="T50" i="2"/>
  <c r="S50" i="2"/>
  <c r="R50" i="2"/>
  <c r="P50" i="2"/>
  <c r="V50" i="2" s="1"/>
  <c r="T49" i="2"/>
  <c r="S49" i="2"/>
  <c r="R49" i="2"/>
  <c r="P49" i="2"/>
  <c r="Q49" i="2" s="1"/>
  <c r="T48" i="2"/>
  <c r="S48" i="2"/>
  <c r="R48" i="2"/>
  <c r="P48" i="2"/>
  <c r="Q48" i="2" s="1"/>
  <c r="T47" i="2"/>
  <c r="S47" i="2"/>
  <c r="R47" i="2"/>
  <c r="P47" i="2"/>
  <c r="V47" i="2" s="1"/>
  <c r="T46" i="2"/>
  <c r="S46" i="2"/>
  <c r="R46" i="2"/>
  <c r="P46" i="2"/>
  <c r="V46" i="2" s="1"/>
  <c r="T45" i="2"/>
  <c r="S45" i="2"/>
  <c r="R45" i="2"/>
  <c r="P45" i="2"/>
  <c r="Q45" i="2" s="1"/>
  <c r="T44" i="2"/>
  <c r="S44" i="2"/>
  <c r="R44" i="2"/>
  <c r="P44" i="2"/>
  <c r="Q44" i="2" s="1"/>
  <c r="T43" i="2"/>
  <c r="S43" i="2"/>
  <c r="R43" i="2"/>
  <c r="P43" i="2"/>
  <c r="V43" i="2" s="1"/>
  <c r="T42" i="2"/>
  <c r="S42" i="2"/>
  <c r="R42" i="2"/>
  <c r="P42" i="2"/>
  <c r="V42" i="2" s="1"/>
  <c r="T41" i="2"/>
  <c r="S41" i="2"/>
  <c r="R41" i="2"/>
  <c r="P41" i="2"/>
  <c r="Q41" i="2" s="1"/>
  <c r="T40" i="2"/>
  <c r="S40" i="2"/>
  <c r="R40" i="2"/>
  <c r="P40" i="2"/>
  <c r="Q40" i="2" s="1"/>
  <c r="T39" i="2"/>
  <c r="S39" i="2"/>
  <c r="R39" i="2"/>
  <c r="P39" i="2"/>
  <c r="V39" i="2" s="1"/>
  <c r="T38" i="2"/>
  <c r="S38" i="2"/>
  <c r="R38" i="2"/>
  <c r="P38" i="2"/>
  <c r="V38" i="2" s="1"/>
  <c r="T37" i="2"/>
  <c r="S37" i="2"/>
  <c r="R37" i="2"/>
  <c r="P37" i="2"/>
  <c r="Q37" i="2" s="1"/>
  <c r="T36" i="2"/>
  <c r="S36" i="2"/>
  <c r="R36" i="2"/>
  <c r="P36" i="2"/>
  <c r="Q36" i="2" s="1"/>
  <c r="T35" i="2"/>
  <c r="S35" i="2"/>
  <c r="R35" i="2"/>
  <c r="P35" i="2"/>
  <c r="V35" i="2" s="1"/>
  <c r="T34" i="2"/>
  <c r="S34" i="2"/>
  <c r="R34" i="2"/>
  <c r="P34" i="2"/>
  <c r="V34" i="2" s="1"/>
  <c r="T33" i="2"/>
  <c r="S33" i="2"/>
  <c r="R33" i="2"/>
  <c r="P33" i="2"/>
  <c r="Q33" i="2" s="1"/>
  <c r="T32" i="2"/>
  <c r="S32" i="2"/>
  <c r="R32" i="2"/>
  <c r="P32" i="2"/>
  <c r="Q32" i="2" s="1"/>
  <c r="T31" i="2"/>
  <c r="S31" i="2"/>
  <c r="R31" i="2"/>
  <c r="P31" i="2"/>
  <c r="V31" i="2" s="1"/>
  <c r="T30" i="2"/>
  <c r="S30" i="2"/>
  <c r="R30" i="2"/>
  <c r="P30" i="2"/>
  <c r="V30" i="2" s="1"/>
  <c r="T29" i="2"/>
  <c r="S29" i="2"/>
  <c r="R29" i="2"/>
  <c r="P29" i="2"/>
  <c r="Q29" i="2" s="1"/>
  <c r="T28" i="2"/>
  <c r="S28" i="2"/>
  <c r="R28" i="2"/>
  <c r="P28" i="2"/>
  <c r="Q28" i="2" s="1"/>
  <c r="T27" i="2"/>
  <c r="S27" i="2"/>
  <c r="R27" i="2"/>
  <c r="P27" i="2"/>
  <c r="V27" i="2" s="1"/>
  <c r="T26" i="2"/>
  <c r="S26" i="2"/>
  <c r="R26" i="2"/>
  <c r="P26" i="2"/>
  <c r="V26" i="2" s="1"/>
  <c r="T25" i="2"/>
  <c r="S25" i="2"/>
  <c r="R25" i="2"/>
  <c r="P25" i="2"/>
  <c r="Q25" i="2" s="1"/>
  <c r="T24" i="2"/>
  <c r="S24" i="2"/>
  <c r="R24" i="2"/>
  <c r="P24" i="2"/>
  <c r="Q24" i="2" s="1"/>
  <c r="T23" i="2"/>
  <c r="S23" i="2"/>
  <c r="R23" i="2"/>
  <c r="P23" i="2"/>
  <c r="V23" i="2" s="1"/>
  <c r="T22" i="2"/>
  <c r="S22" i="2"/>
  <c r="R22" i="2"/>
  <c r="P22" i="2"/>
  <c r="V22" i="2" s="1"/>
  <c r="T21" i="2"/>
  <c r="S21" i="2"/>
  <c r="R21" i="2"/>
  <c r="P21" i="2"/>
  <c r="Q21" i="2" s="1"/>
  <c r="T20" i="2"/>
  <c r="S20" i="2"/>
  <c r="R20" i="2"/>
  <c r="P20" i="2"/>
  <c r="Q20" i="2" s="1"/>
  <c r="T19" i="2"/>
  <c r="S19" i="2"/>
  <c r="R19" i="2"/>
  <c r="P19" i="2"/>
  <c r="V19" i="2" s="1"/>
  <c r="T18" i="2"/>
  <c r="S18" i="2"/>
  <c r="R18" i="2"/>
  <c r="P18" i="2"/>
  <c r="V18" i="2" s="1"/>
  <c r="T17" i="2"/>
  <c r="S17" i="2"/>
  <c r="R17" i="2"/>
  <c r="P17" i="2"/>
  <c r="Q17" i="2" s="1"/>
  <c r="T16" i="2"/>
  <c r="S16" i="2"/>
  <c r="R16" i="2"/>
  <c r="P16" i="2"/>
  <c r="Q16" i="2" s="1"/>
  <c r="T15" i="2"/>
  <c r="S15" i="2"/>
  <c r="R15" i="2"/>
  <c r="P15" i="2"/>
  <c r="V15" i="2" s="1"/>
  <c r="T14" i="2"/>
  <c r="S14" i="2"/>
  <c r="R14" i="2"/>
  <c r="P14" i="2"/>
  <c r="V14" i="2" s="1"/>
  <c r="T13" i="2"/>
  <c r="S13" i="2"/>
  <c r="R13" i="2"/>
  <c r="P13" i="2"/>
  <c r="Q13" i="2" s="1"/>
  <c r="T12" i="2"/>
  <c r="S12" i="2"/>
  <c r="R12" i="2"/>
  <c r="P12" i="2"/>
  <c r="Q12" i="2" s="1"/>
  <c r="T11" i="2"/>
  <c r="S11" i="2"/>
  <c r="R11" i="2"/>
  <c r="P11" i="2"/>
  <c r="V11" i="2" s="1"/>
  <c r="T10" i="2"/>
  <c r="S10" i="2"/>
  <c r="R10" i="2"/>
  <c r="P10" i="2"/>
  <c r="V10" i="2" s="1"/>
  <c r="T9" i="2"/>
  <c r="S9" i="2"/>
  <c r="R9" i="2"/>
  <c r="P9" i="2"/>
  <c r="Q9" i="2" s="1"/>
  <c r="T8" i="2"/>
  <c r="S8" i="2"/>
  <c r="R8" i="2"/>
  <c r="P8" i="2"/>
  <c r="Q8" i="2" s="1"/>
  <c r="T7" i="2"/>
  <c r="S7" i="2"/>
  <c r="R7" i="2"/>
  <c r="P7" i="2"/>
  <c r="V7" i="2" s="1"/>
  <c r="T6" i="2"/>
  <c r="S6" i="2"/>
  <c r="R6" i="2"/>
  <c r="P6" i="2"/>
  <c r="V6" i="2" s="1"/>
  <c r="T5" i="2"/>
  <c r="S5" i="2"/>
  <c r="R5" i="2"/>
  <c r="P5" i="2"/>
  <c r="Q5" i="2" s="1"/>
  <c r="T4" i="2"/>
  <c r="S4" i="2"/>
  <c r="R4" i="2"/>
  <c r="P4" i="2"/>
  <c r="Q4" i="2" s="1"/>
  <c r="T3" i="2"/>
  <c r="S3" i="2"/>
  <c r="R3" i="2"/>
  <c r="P3" i="2"/>
  <c r="V3" i="2" s="1"/>
  <c r="T2" i="2"/>
  <c r="S2" i="2"/>
  <c r="R2" i="2"/>
  <c r="P2" i="2"/>
  <c r="V2" i="2" s="1"/>
  <c r="N54" i="19"/>
  <c r="C30" i="20"/>
  <c r="D30" i="20" s="1"/>
  <c r="B14" i="20" s="1"/>
  <c r="B30" i="20"/>
  <c r="C29" i="20"/>
  <c r="D29" i="20" s="1"/>
  <c r="B13" i="20" s="1"/>
  <c r="B29" i="20"/>
  <c r="C28" i="20"/>
  <c r="D28" i="20" s="1"/>
  <c r="B28" i="20"/>
  <c r="C27" i="20"/>
  <c r="D27" i="20" s="1"/>
  <c r="B11" i="20" s="1"/>
  <c r="B27" i="20"/>
  <c r="C26" i="20"/>
  <c r="D26" i="20" s="1"/>
  <c r="B10" i="20" s="1"/>
  <c r="B26" i="20"/>
  <c r="C25" i="20"/>
  <c r="D25" i="20" s="1"/>
  <c r="B9" i="20" s="1"/>
  <c r="B25" i="20"/>
  <c r="C24" i="20"/>
  <c r="D24" i="20" s="1"/>
  <c r="B8" i="20" s="1"/>
  <c r="B24" i="20"/>
  <c r="C23" i="20"/>
  <c r="D23" i="20" s="1"/>
  <c r="B7" i="20" s="1"/>
  <c r="B23" i="20"/>
  <c r="C22" i="20"/>
  <c r="D22" i="20" s="1"/>
  <c r="B6" i="20" s="1"/>
  <c r="B22" i="20"/>
  <c r="C21" i="20"/>
  <c r="D21" i="20" s="1"/>
  <c r="B5" i="20" s="1"/>
  <c r="B21" i="20"/>
  <c r="C20" i="20"/>
  <c r="D20" i="20" s="1"/>
  <c r="B4" i="20" s="1"/>
  <c r="B20" i="20"/>
  <c r="C19" i="20"/>
  <c r="D19" i="20" s="1"/>
  <c r="B3" i="20" s="1"/>
  <c r="B19" i="20"/>
  <c r="I14" i="20"/>
  <c r="C14" i="20" s="1"/>
  <c r="H14" i="20"/>
  <c r="I13" i="20"/>
  <c r="H13" i="20"/>
  <c r="C13" i="20"/>
  <c r="I12" i="20"/>
  <c r="C12" i="20" s="1"/>
  <c r="H12" i="20"/>
  <c r="I11" i="20"/>
  <c r="H11" i="20"/>
  <c r="C11" i="20"/>
  <c r="I10" i="20"/>
  <c r="H10" i="20"/>
  <c r="C10" i="20"/>
  <c r="I9" i="20"/>
  <c r="C9" i="20" s="1"/>
  <c r="H9" i="20"/>
  <c r="I8" i="20"/>
  <c r="H8" i="20"/>
  <c r="C8" i="20"/>
  <c r="I7" i="20"/>
  <c r="C7" i="20" s="1"/>
  <c r="H7" i="20"/>
  <c r="I6" i="20"/>
  <c r="C6" i="20" s="1"/>
  <c r="H6" i="20"/>
  <c r="I5" i="20"/>
  <c r="H5" i="20"/>
  <c r="C5" i="20"/>
  <c r="I4" i="20"/>
  <c r="C4" i="20" s="1"/>
  <c r="H4" i="20"/>
  <c r="I3" i="20"/>
  <c r="I15" i="20" s="1"/>
  <c r="C15" i="20" s="1"/>
  <c r="H3" i="20"/>
  <c r="H15" i="20" s="1"/>
  <c r="C3" i="20"/>
  <c r="E10" i="3"/>
  <c r="E12" i="3"/>
  <c r="E4" i="3"/>
  <c r="E5" i="3"/>
  <c r="E6" i="3"/>
  <c r="E7" i="3"/>
  <c r="E8" i="3"/>
  <c r="E9" i="3"/>
  <c r="E11" i="3"/>
  <c r="E13" i="3"/>
  <c r="E14" i="3"/>
  <c r="E3" i="3"/>
  <c r="Q95" i="2" l="1"/>
  <c r="Q239" i="2"/>
  <c r="Q275" i="2"/>
  <c r="Q135" i="2"/>
  <c r="V208" i="2"/>
  <c r="Q83" i="2"/>
  <c r="Q124" i="2"/>
  <c r="Q213" i="2"/>
  <c r="Q114" i="2"/>
  <c r="V243" i="2"/>
  <c r="V119" i="2"/>
  <c r="V130" i="2"/>
  <c r="Q90" i="2"/>
  <c r="Q111" i="2"/>
  <c r="Q106" i="2"/>
  <c r="Q99" i="2"/>
  <c r="V100" i="2"/>
  <c r="Q110" i="2"/>
  <c r="V116" i="2"/>
  <c r="Q122" i="2"/>
  <c r="Q127" i="2"/>
  <c r="Q132" i="2"/>
  <c r="V138" i="2"/>
  <c r="Q211" i="2"/>
  <c r="Q216" i="2"/>
  <c r="V104" i="2"/>
  <c r="Q200" i="2"/>
  <c r="Q286" i="2"/>
  <c r="Q291" i="2"/>
  <c r="V314" i="2"/>
  <c r="V278" i="2"/>
  <c r="V247" i="2"/>
  <c r="Q91" i="2"/>
  <c r="Q302" i="2"/>
  <c r="Q142" i="2"/>
  <c r="V96" i="2"/>
  <c r="V318" i="2"/>
  <c r="Q102" i="2"/>
  <c r="Q107" i="2"/>
  <c r="Q188" i="2"/>
  <c r="Q223" i="2"/>
  <c r="Q253" i="2"/>
  <c r="Q272" i="2"/>
  <c r="Q82" i="2"/>
  <c r="Q87" i="2"/>
  <c r="V88" i="2"/>
  <c r="V108" i="2"/>
  <c r="Q112" i="2"/>
  <c r="Q115" i="2"/>
  <c r="Q118" i="2"/>
  <c r="V120" i="2"/>
  <c r="V123" i="2"/>
  <c r="V126" i="2"/>
  <c r="Q128" i="2"/>
  <c r="Q131" i="2"/>
  <c r="Q134" i="2"/>
  <c r="V136" i="2"/>
  <c r="V139" i="2"/>
  <c r="Q209" i="2"/>
  <c r="Q212" i="2"/>
  <c r="Q215" i="2"/>
  <c r="V219" i="2"/>
  <c r="V228" i="2"/>
  <c r="Q236" i="2"/>
  <c r="Q261" i="2"/>
  <c r="V146" i="2"/>
  <c r="V80" i="2"/>
  <c r="V234" i="2"/>
  <c r="V92" i="2"/>
  <c r="V192" i="2"/>
  <c r="Q306" i="2"/>
  <c r="Q98" i="2"/>
  <c r="Q103" i="2"/>
  <c r="Q226" i="2"/>
  <c r="V263" i="2"/>
  <c r="Q283" i="2"/>
  <c r="V300" i="2"/>
  <c r="Q312" i="2"/>
  <c r="V84" i="2"/>
  <c r="V145" i="2"/>
  <c r="V231" i="2"/>
  <c r="Q81" i="2"/>
  <c r="Q85" i="2"/>
  <c r="Q89" i="2"/>
  <c r="Q93" i="2"/>
  <c r="Q97" i="2"/>
  <c r="Q101" i="2"/>
  <c r="Q105" i="2"/>
  <c r="Q109" i="2"/>
  <c r="Q113" i="2"/>
  <c r="Q117" i="2"/>
  <c r="Q121" i="2"/>
  <c r="Q125" i="2"/>
  <c r="Q129" i="2"/>
  <c r="Q133" i="2"/>
  <c r="Q137" i="2"/>
  <c r="Q207" i="2"/>
  <c r="Q217" i="2"/>
  <c r="V292" i="2"/>
  <c r="Q298" i="2"/>
  <c r="V308" i="2"/>
  <c r="Q319" i="2"/>
  <c r="Q144" i="2"/>
  <c r="V196" i="2"/>
  <c r="Q204" i="2"/>
  <c r="Q222" i="2"/>
  <c r="V224" i="2"/>
  <c r="V227" i="2"/>
  <c r="V230" i="2"/>
  <c r="Q232" i="2"/>
  <c r="Q235" i="2"/>
  <c r="Q238" i="2"/>
  <c r="Q241" i="2"/>
  <c r="V251" i="2"/>
  <c r="Q257" i="2"/>
  <c r="Q271" i="2"/>
  <c r="Q274" i="2"/>
  <c r="V276" i="2"/>
  <c r="V284" i="2"/>
  <c r="V313" i="2"/>
  <c r="Q315" i="2"/>
  <c r="V205" i="2"/>
  <c r="V266" i="2"/>
  <c r="V296" i="2"/>
  <c r="Q245" i="2"/>
  <c r="V255" i="2"/>
  <c r="Q240" i="2"/>
  <c r="Q249" i="2"/>
  <c r="V259" i="2"/>
  <c r="Q265" i="2"/>
  <c r="Q270" i="2"/>
  <c r="V285" i="2"/>
  <c r="Q290" i="2"/>
  <c r="V279" i="2"/>
  <c r="Q282" i="2"/>
  <c r="Q294" i="2"/>
  <c r="V304" i="2"/>
  <c r="Q310" i="2"/>
  <c r="Q3" i="2"/>
  <c r="V5" i="2"/>
  <c r="Q7" i="2"/>
  <c r="V9" i="2"/>
  <c r="Q11" i="2"/>
  <c r="V13" i="2"/>
  <c r="Q15" i="2"/>
  <c r="V17" i="2"/>
  <c r="Q19" i="2"/>
  <c r="V21" i="2"/>
  <c r="Q23" i="2"/>
  <c r="V25" i="2"/>
  <c r="Q27" i="2"/>
  <c r="V29" i="2"/>
  <c r="Q31" i="2"/>
  <c r="V33" i="2"/>
  <c r="Q35" i="2"/>
  <c r="V37" i="2"/>
  <c r="Q39" i="2"/>
  <c r="V41" i="2"/>
  <c r="Q43" i="2"/>
  <c r="V45" i="2"/>
  <c r="Q47" i="2"/>
  <c r="V49" i="2"/>
  <c r="Q51" i="2"/>
  <c r="V53" i="2"/>
  <c r="Q55" i="2"/>
  <c r="V57" i="2"/>
  <c r="Q59" i="2"/>
  <c r="V61" i="2"/>
  <c r="Q63" i="2"/>
  <c r="V65" i="2"/>
  <c r="Q67" i="2"/>
  <c r="V69" i="2"/>
  <c r="Q71" i="2"/>
  <c r="V73" i="2"/>
  <c r="Q147" i="2"/>
  <c r="V149" i="2"/>
  <c r="Q151" i="2"/>
  <c r="V153" i="2"/>
  <c r="Q155" i="2"/>
  <c r="V157" i="2"/>
  <c r="Q159" i="2"/>
  <c r="V161" i="2"/>
  <c r="Q163" i="2"/>
  <c r="V165" i="2"/>
  <c r="Q167" i="2"/>
  <c r="V169" i="2"/>
  <c r="Q171" i="2"/>
  <c r="V173" i="2"/>
  <c r="Q175" i="2"/>
  <c r="V177" i="2"/>
  <c r="Q179" i="2"/>
  <c r="V181" i="2"/>
  <c r="Q183" i="2"/>
  <c r="V185" i="2"/>
  <c r="Q187" i="2"/>
  <c r="V189" i="2"/>
  <c r="Q191" i="2"/>
  <c r="V193" i="2"/>
  <c r="Q195" i="2"/>
  <c r="V197" i="2"/>
  <c r="Q199" i="2"/>
  <c r="V201" i="2"/>
  <c r="Q203" i="2"/>
  <c r="V287" i="2"/>
  <c r="V320" i="2"/>
  <c r="Q322" i="2"/>
  <c r="Q2" i="2"/>
  <c r="V4" i="2"/>
  <c r="Q6" i="2"/>
  <c r="V8" i="2"/>
  <c r="Q10" i="2"/>
  <c r="V12" i="2"/>
  <c r="Q14" i="2"/>
  <c r="V16" i="2"/>
  <c r="Q18" i="2"/>
  <c r="V20" i="2"/>
  <c r="Q22" i="2"/>
  <c r="V24" i="2"/>
  <c r="Q26" i="2"/>
  <c r="V28" i="2"/>
  <c r="Q30" i="2"/>
  <c r="V32" i="2"/>
  <c r="Q34" i="2"/>
  <c r="V36" i="2"/>
  <c r="Q38" i="2"/>
  <c r="V40" i="2"/>
  <c r="Q42" i="2"/>
  <c r="V44" i="2"/>
  <c r="Q46" i="2"/>
  <c r="V48" i="2"/>
  <c r="Q50" i="2"/>
  <c r="V52" i="2"/>
  <c r="Q54" i="2"/>
  <c r="V56" i="2"/>
  <c r="Q58" i="2"/>
  <c r="V60" i="2"/>
  <c r="Q62" i="2"/>
  <c r="V64" i="2"/>
  <c r="Q66" i="2"/>
  <c r="V68" i="2"/>
  <c r="Q70" i="2"/>
  <c r="V72" i="2"/>
  <c r="Q74" i="2"/>
  <c r="Q141" i="2"/>
  <c r="V148" i="2"/>
  <c r="Q150" i="2"/>
  <c r="V152" i="2"/>
  <c r="Q154" i="2"/>
  <c r="V156" i="2"/>
  <c r="Q158" i="2"/>
  <c r="V160" i="2"/>
  <c r="Q162" i="2"/>
  <c r="V164" i="2"/>
  <c r="Q166" i="2"/>
  <c r="V168" i="2"/>
  <c r="Q170" i="2"/>
  <c r="V172" i="2"/>
  <c r="Q174" i="2"/>
  <c r="V176" i="2"/>
  <c r="Q178" i="2"/>
  <c r="V180" i="2"/>
  <c r="Q182" i="2"/>
  <c r="V184" i="2"/>
  <c r="Q186" i="2"/>
  <c r="Q190" i="2"/>
  <c r="Q194" i="2"/>
  <c r="Q198" i="2"/>
  <c r="Q202" i="2"/>
  <c r="Q206" i="2"/>
  <c r="Q210" i="2"/>
  <c r="Q214" i="2"/>
  <c r="Q218" i="2"/>
  <c r="Q225" i="2"/>
  <c r="Q229" i="2"/>
  <c r="Q233" i="2"/>
  <c r="Q237" i="2"/>
  <c r="Q267" i="2"/>
  <c r="V268" i="2"/>
  <c r="Q273" i="2"/>
  <c r="Q277" i="2"/>
  <c r="Q280" i="2"/>
  <c r="V281" i="2"/>
  <c r="Q288" i="2"/>
  <c r="V289" i="2"/>
  <c r="Q321" i="2"/>
  <c r="V323" i="2"/>
  <c r="V242" i="2"/>
  <c r="Q244" i="2"/>
  <c r="V246" i="2"/>
  <c r="Q248" i="2"/>
  <c r="V250" i="2"/>
  <c r="Q252" i="2"/>
  <c r="V254" i="2"/>
  <c r="Q256" i="2"/>
  <c r="V258" i="2"/>
  <c r="Q260" i="2"/>
  <c r="V262" i="2"/>
  <c r="Q264" i="2"/>
  <c r="Q293" i="2"/>
  <c r="V295" i="2"/>
  <c r="Q297" i="2"/>
  <c r="V299" i="2"/>
  <c r="Q301" i="2"/>
  <c r="V303" i="2"/>
  <c r="Q305" i="2"/>
  <c r="V307" i="2"/>
  <c r="Q309" i="2"/>
  <c r="V311" i="2"/>
  <c r="Q143" i="2"/>
  <c r="Q269" i="2"/>
  <c r="D31" i="20"/>
  <c r="B15" i="20" s="1"/>
  <c r="B12" i="20"/>
  <c r="P11" i="19"/>
  <c r="D23" i="7" s="1"/>
  <c r="F54" i="19"/>
  <c r="I5" i="3" l="1"/>
  <c r="I13" i="3"/>
  <c r="H9" i="3"/>
  <c r="F12" i="3"/>
  <c r="F6" i="3"/>
  <c r="I6" i="3"/>
  <c r="I7" i="3"/>
  <c r="I3" i="3"/>
  <c r="I8" i="3"/>
  <c r="I9" i="3"/>
  <c r="H5" i="3"/>
  <c r="H13" i="3"/>
  <c r="F8" i="3"/>
  <c r="I14" i="3"/>
  <c r="F14" i="3"/>
  <c r="I10" i="3"/>
  <c r="H6" i="3"/>
  <c r="H14" i="3"/>
  <c r="F9" i="3"/>
  <c r="F3" i="3"/>
  <c r="H10" i="3"/>
  <c r="H11" i="3"/>
  <c r="F7" i="3"/>
  <c r="I11" i="3"/>
  <c r="H7" i="3"/>
  <c r="H3" i="3"/>
  <c r="F10" i="3"/>
  <c r="F4" i="3"/>
  <c r="F13" i="3"/>
  <c r="H12" i="3"/>
  <c r="I4" i="3"/>
  <c r="I12" i="3"/>
  <c r="H8" i="3"/>
  <c r="F11" i="3"/>
  <c r="F5" i="3"/>
  <c r="H4" i="3"/>
  <c r="H51" i="19"/>
  <c r="G51" i="19"/>
  <c r="I51" i="19" s="1"/>
  <c r="J51" i="19" s="1"/>
  <c r="K51" i="19" s="1"/>
  <c r="H2" i="19"/>
  <c r="G2" i="19"/>
  <c r="I2" i="19" s="1"/>
  <c r="G5" i="19"/>
  <c r="I5" i="19" s="1"/>
  <c r="H3" i="19"/>
  <c r="H4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1" i="19"/>
  <c r="H30" i="19" s="1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2" i="19"/>
  <c r="H53" i="19"/>
  <c r="G31" i="19"/>
  <c r="I31" i="19" s="1"/>
  <c r="G3" i="19"/>
  <c r="I3" i="19" s="1"/>
  <c r="J3" i="19" s="1"/>
  <c r="K3" i="19" s="1"/>
  <c r="G4" i="19"/>
  <c r="I4" i="19" s="1"/>
  <c r="J4" i="19" s="1"/>
  <c r="K4" i="19" s="1"/>
  <c r="G6" i="19"/>
  <c r="I6" i="19" s="1"/>
  <c r="J6" i="19" s="1"/>
  <c r="K6" i="19" s="1"/>
  <c r="G7" i="19"/>
  <c r="I7" i="19" s="1"/>
  <c r="J7" i="19" s="1"/>
  <c r="K7" i="19" s="1"/>
  <c r="G8" i="19"/>
  <c r="I8" i="19" s="1"/>
  <c r="G9" i="19"/>
  <c r="I9" i="19" s="1"/>
  <c r="G10" i="19"/>
  <c r="I10" i="19" s="1"/>
  <c r="J10" i="19" s="1"/>
  <c r="K10" i="19" s="1"/>
  <c r="G11" i="19"/>
  <c r="I11" i="19" s="1"/>
  <c r="G12" i="19"/>
  <c r="I12" i="19" s="1"/>
  <c r="J12" i="19" s="1"/>
  <c r="K12" i="19" s="1"/>
  <c r="G13" i="19"/>
  <c r="I13" i="19" s="1"/>
  <c r="J13" i="19" s="1"/>
  <c r="K13" i="19" s="1"/>
  <c r="G14" i="19"/>
  <c r="I14" i="19" s="1"/>
  <c r="J14" i="19" s="1"/>
  <c r="K14" i="19" s="1"/>
  <c r="G15" i="19"/>
  <c r="I15" i="19" s="1"/>
  <c r="G16" i="19"/>
  <c r="I16" i="19" s="1"/>
  <c r="G17" i="19"/>
  <c r="I17" i="19" s="1"/>
  <c r="G18" i="19"/>
  <c r="I18" i="19" s="1"/>
  <c r="G19" i="19"/>
  <c r="I19" i="19" s="1"/>
  <c r="J19" i="19" s="1"/>
  <c r="K19" i="19" s="1"/>
  <c r="G20" i="19"/>
  <c r="I20" i="19" s="1"/>
  <c r="J20" i="19" s="1"/>
  <c r="K20" i="19" s="1"/>
  <c r="G21" i="19"/>
  <c r="I21" i="19" s="1"/>
  <c r="J21" i="19" s="1"/>
  <c r="G22" i="19"/>
  <c r="I22" i="19" s="1"/>
  <c r="J22" i="19" s="1"/>
  <c r="K22" i="19" s="1"/>
  <c r="G23" i="19"/>
  <c r="I23" i="19" s="1"/>
  <c r="G24" i="19"/>
  <c r="I24" i="19" s="1"/>
  <c r="J24" i="19" s="1"/>
  <c r="K24" i="19" s="1"/>
  <c r="G25" i="19"/>
  <c r="I25" i="19" s="1"/>
  <c r="G26" i="19"/>
  <c r="I26" i="19" s="1"/>
  <c r="J26" i="19" s="1"/>
  <c r="K26" i="19" s="1"/>
  <c r="G27" i="19"/>
  <c r="I27" i="19" s="1"/>
  <c r="J27" i="19" s="1"/>
  <c r="K27" i="19" s="1"/>
  <c r="G28" i="19"/>
  <c r="I28" i="19" s="1"/>
  <c r="G29" i="19"/>
  <c r="I29" i="19" s="1"/>
  <c r="G32" i="19"/>
  <c r="I32" i="19" s="1"/>
  <c r="J32" i="19" s="1"/>
  <c r="K32" i="19" s="1"/>
  <c r="G33" i="19"/>
  <c r="I33" i="19" s="1"/>
  <c r="J33" i="19" s="1"/>
  <c r="K33" i="19" s="1"/>
  <c r="I34" i="19"/>
  <c r="J34" i="19" s="1"/>
  <c r="K34" i="19" s="1"/>
  <c r="G35" i="19"/>
  <c r="I35" i="19" s="1"/>
  <c r="J35" i="19" s="1"/>
  <c r="K35" i="19" s="1"/>
  <c r="G36" i="19"/>
  <c r="I36" i="19" s="1"/>
  <c r="J36" i="19" s="1"/>
  <c r="K36" i="19" s="1"/>
  <c r="G37" i="19"/>
  <c r="I37" i="19" s="1"/>
  <c r="J37" i="19" s="1"/>
  <c r="K37" i="19" s="1"/>
  <c r="G38" i="19"/>
  <c r="I38" i="19" s="1"/>
  <c r="G39" i="19"/>
  <c r="I39" i="19" s="1"/>
  <c r="J39" i="19" s="1"/>
  <c r="K39" i="19" s="1"/>
  <c r="G40" i="19"/>
  <c r="I40" i="19" s="1"/>
  <c r="J40" i="19" s="1"/>
  <c r="K40" i="19" s="1"/>
  <c r="G41" i="19"/>
  <c r="I41" i="19" s="1"/>
  <c r="J41" i="19" s="1"/>
  <c r="K41" i="19" s="1"/>
  <c r="G42" i="19"/>
  <c r="I42" i="19" s="1"/>
  <c r="J42" i="19" s="1"/>
  <c r="K42" i="19" s="1"/>
  <c r="G43" i="19"/>
  <c r="I43" i="19" s="1"/>
  <c r="J43" i="19" s="1"/>
  <c r="K43" i="19" s="1"/>
  <c r="G44" i="19"/>
  <c r="I44" i="19" s="1"/>
  <c r="J44" i="19" s="1"/>
  <c r="K44" i="19" s="1"/>
  <c r="G45" i="19"/>
  <c r="I45" i="19" s="1"/>
  <c r="J45" i="19" s="1"/>
  <c r="K45" i="19" s="1"/>
  <c r="G46" i="19"/>
  <c r="I46" i="19" s="1"/>
  <c r="J46" i="19" s="1"/>
  <c r="K46" i="19" s="1"/>
  <c r="G47" i="19"/>
  <c r="I47" i="19" s="1"/>
  <c r="J47" i="19" s="1"/>
  <c r="K47" i="19" s="1"/>
  <c r="G48" i="19"/>
  <c r="I48" i="19" s="1"/>
  <c r="J48" i="19" s="1"/>
  <c r="K48" i="19" s="1"/>
  <c r="G49" i="19"/>
  <c r="I49" i="19" s="1"/>
  <c r="J49" i="19" s="1"/>
  <c r="K49" i="19" s="1"/>
  <c r="G50" i="19"/>
  <c r="I50" i="19" s="1"/>
  <c r="J50" i="19" s="1"/>
  <c r="K50" i="19" s="1"/>
  <c r="G52" i="19"/>
  <c r="I52" i="19" s="1"/>
  <c r="J52" i="19" s="1"/>
  <c r="K52" i="19" s="1"/>
  <c r="G53" i="19"/>
  <c r="I53" i="19" s="1"/>
  <c r="J53" i="19" s="1"/>
  <c r="K53" i="19" s="1"/>
  <c r="P4" i="19"/>
  <c r="D16" i="7" s="1"/>
  <c r="P5" i="19"/>
  <c r="D17" i="7" s="1"/>
  <c r="P6" i="19"/>
  <c r="D18" i="7" s="1"/>
  <c r="P7" i="19"/>
  <c r="D19" i="7" s="1"/>
  <c r="P8" i="19"/>
  <c r="D20" i="7" s="1"/>
  <c r="P9" i="19"/>
  <c r="D21" i="7" s="1"/>
  <c r="P10" i="19"/>
  <c r="D22" i="7" s="1"/>
  <c r="P12" i="19"/>
  <c r="D24" i="7" s="1"/>
  <c r="P13" i="19"/>
  <c r="D25" i="7" s="1"/>
  <c r="P14" i="19"/>
  <c r="D26" i="7" s="1"/>
  <c r="P3" i="19"/>
  <c r="D15" i="7" l="1"/>
  <c r="P15" i="19"/>
  <c r="F15" i="3"/>
  <c r="Q3" i="19"/>
  <c r="G30" i="19"/>
  <c r="I30" i="19" s="1"/>
  <c r="J30" i="19" s="1"/>
  <c r="K30" i="19" s="1"/>
  <c r="J2" i="19"/>
  <c r="Q7" i="19"/>
  <c r="G19" i="7" s="1"/>
  <c r="Q9" i="19"/>
  <c r="G21" i="7" s="1"/>
  <c r="Q10" i="19"/>
  <c r="G22" i="7" s="1"/>
  <c r="Q6" i="19"/>
  <c r="G18" i="7" s="1"/>
  <c r="Q14" i="19"/>
  <c r="G26" i="7" s="1"/>
  <c r="Q5" i="19"/>
  <c r="G17" i="7" s="1"/>
  <c r="Q13" i="19"/>
  <c r="G25" i="7" s="1"/>
  <c r="Q4" i="19"/>
  <c r="G16" i="7" s="1"/>
  <c r="Q12" i="19"/>
  <c r="G24" i="7" s="1"/>
  <c r="G15" i="7" l="1"/>
  <c r="J54" i="19"/>
  <c r="D5" i="7" s="1"/>
  <c r="Q11" i="19"/>
  <c r="G23" i="7" s="1"/>
  <c r="Q8" i="19"/>
  <c r="G20" i="7" s="1"/>
  <c r="K2" i="19"/>
  <c r="K54" i="19" l="1"/>
  <c r="J5" i="7" s="1"/>
  <c r="Q15" i="19"/>
  <c r="E5" i="7"/>
  <c r="I2" i="7" l="1"/>
  <c r="I15" i="7" l="1"/>
  <c r="I16" i="7"/>
  <c r="I17" i="7"/>
  <c r="I18" i="7"/>
  <c r="I19" i="7"/>
  <c r="I20" i="7"/>
  <c r="I21" i="7"/>
  <c r="I22" i="7"/>
  <c r="I23" i="7"/>
  <c r="I24" i="7"/>
  <c r="I25" i="7"/>
  <c r="I26" i="7"/>
  <c r="E23" i="3" l="1"/>
  <c r="E25" i="3"/>
  <c r="E22" i="3"/>
  <c r="G19" i="3" s="1"/>
  <c r="E24" i="3"/>
  <c r="G23" i="3" s="1"/>
  <c r="U4" i="8"/>
  <c r="U3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201" i="8"/>
  <c r="U202" i="8"/>
  <c r="U203" i="8"/>
  <c r="U204" i="8"/>
  <c r="U205" i="8"/>
  <c r="U206" i="8"/>
  <c r="U207" i="8"/>
  <c r="U208" i="8"/>
  <c r="U209" i="8"/>
  <c r="U210" i="8"/>
  <c r="U211" i="8"/>
  <c r="U212" i="8"/>
  <c r="U213" i="8"/>
  <c r="U214" i="8"/>
  <c r="U215" i="8"/>
  <c r="U216" i="8"/>
  <c r="U217" i="8"/>
  <c r="U218" i="8"/>
  <c r="U219" i="8"/>
  <c r="U220" i="8"/>
  <c r="U221" i="8"/>
  <c r="U222" i="8"/>
  <c r="U223" i="8"/>
  <c r="U224" i="8"/>
  <c r="U225" i="8"/>
  <c r="U226" i="8"/>
  <c r="U227" i="8"/>
  <c r="U228" i="8"/>
  <c r="U229" i="8"/>
  <c r="U230" i="8"/>
  <c r="U231" i="8"/>
  <c r="U232" i="8"/>
  <c r="U233" i="8"/>
  <c r="U234" i="8"/>
  <c r="U235" i="8"/>
  <c r="U236" i="8"/>
  <c r="U237" i="8"/>
  <c r="U238" i="8"/>
  <c r="U239" i="8"/>
  <c r="U240" i="8"/>
  <c r="U241" i="8"/>
  <c r="U242" i="8"/>
  <c r="U243" i="8"/>
  <c r="U244" i="8"/>
  <c r="U245" i="8"/>
  <c r="U246" i="8"/>
  <c r="U247" i="8"/>
  <c r="U248" i="8"/>
  <c r="U249" i="8"/>
  <c r="U250" i="8"/>
  <c r="U251" i="8"/>
  <c r="U252" i="8"/>
  <c r="U253" i="8"/>
  <c r="U254" i="8"/>
  <c r="U255" i="8"/>
  <c r="U256" i="8"/>
  <c r="U257" i="8"/>
  <c r="U258" i="8"/>
  <c r="U259" i="8"/>
  <c r="U260" i="8"/>
  <c r="U261" i="8"/>
  <c r="U262" i="8"/>
  <c r="U263" i="8"/>
  <c r="U264" i="8"/>
  <c r="U265" i="8"/>
  <c r="U266" i="8"/>
  <c r="U267" i="8"/>
  <c r="U268" i="8"/>
  <c r="U269" i="8"/>
  <c r="U270" i="8"/>
  <c r="U271" i="8"/>
  <c r="U2" i="8"/>
  <c r="W123" i="2"/>
  <c r="W128" i="2"/>
  <c r="W129" i="2"/>
  <c r="W130" i="2"/>
  <c r="W131" i="2"/>
  <c r="W132" i="2"/>
  <c r="W265" i="2"/>
  <c r="W266" i="2"/>
  <c r="W267" i="2"/>
  <c r="G26" i="3" l="1"/>
  <c r="Q4" i="7"/>
  <c r="W292" i="2" s="1"/>
  <c r="Q5" i="7"/>
  <c r="Q6" i="7"/>
  <c r="W2" i="2" s="1"/>
  <c r="Q7" i="7"/>
  <c r="Q8" i="7"/>
  <c r="Q9" i="7"/>
  <c r="Q10" i="7"/>
  <c r="Q12" i="7"/>
  <c r="Q14" i="7"/>
  <c r="Q15" i="7"/>
  <c r="E20" i="3"/>
  <c r="E21" i="3"/>
  <c r="E19" i="3"/>
  <c r="V82" i="8" l="1"/>
  <c r="V162" i="8"/>
  <c r="V250" i="8"/>
  <c r="V100" i="8"/>
  <c r="V133" i="8"/>
  <c r="V119" i="8"/>
  <c r="V126" i="8"/>
  <c r="V2" i="8"/>
  <c r="V33" i="8"/>
  <c r="V81" i="8"/>
  <c r="V153" i="8"/>
  <c r="V143" i="8"/>
  <c r="V13" i="8"/>
  <c r="V141" i="8"/>
  <c r="V47" i="8"/>
  <c r="V78" i="8"/>
  <c r="V9" i="8"/>
  <c r="V129" i="8"/>
  <c r="V234" i="8"/>
  <c r="V242" i="8"/>
  <c r="V266" i="8"/>
  <c r="V111" i="8"/>
  <c r="V27" i="8"/>
  <c r="V75" i="8"/>
  <c r="V155" i="8"/>
  <c r="V219" i="8"/>
  <c r="V235" i="8"/>
  <c r="V267" i="8"/>
  <c r="V15" i="8"/>
  <c r="V255" i="8"/>
  <c r="V52" i="8"/>
  <c r="V68" i="8"/>
  <c r="V124" i="8"/>
  <c r="V132" i="8"/>
  <c r="V196" i="8"/>
  <c r="V244" i="8"/>
  <c r="V159" i="8"/>
  <c r="V247" i="8"/>
  <c r="V5" i="8"/>
  <c r="V69" i="8"/>
  <c r="V93" i="8"/>
  <c r="V149" i="8"/>
  <c r="V181" i="8"/>
  <c r="V253" i="8"/>
  <c r="V38" i="8"/>
  <c r="V102" i="8"/>
  <c r="V150" i="8"/>
  <c r="V182" i="8"/>
  <c r="V222" i="8"/>
  <c r="V254" i="8"/>
  <c r="V8" i="8"/>
  <c r="V16" i="8"/>
  <c r="V32" i="8"/>
  <c r="V64" i="8"/>
  <c r="V88" i="8"/>
  <c r="V112" i="8"/>
  <c r="V200" i="8"/>
  <c r="V17" i="8"/>
  <c r="V57" i="8"/>
  <c r="V113" i="8"/>
  <c r="V201" i="8"/>
  <c r="V183" i="8"/>
  <c r="V26" i="8"/>
  <c r="V74" i="8"/>
  <c r="V122" i="8"/>
  <c r="V154" i="8"/>
  <c r="V218" i="8"/>
  <c r="V31" i="8"/>
  <c r="V55" i="8"/>
  <c r="V4" i="8"/>
  <c r="V19" i="8"/>
  <c r="V67" i="8"/>
  <c r="V107" i="8"/>
  <c r="V123" i="8"/>
  <c r="V211" i="8"/>
  <c r="V251" i="8"/>
  <c r="V63" i="8"/>
  <c r="V135" i="8"/>
  <c r="V207" i="8"/>
  <c r="V36" i="8"/>
  <c r="V60" i="8"/>
  <c r="V92" i="8"/>
  <c r="V148" i="8"/>
  <c r="V164" i="8"/>
  <c r="V228" i="8"/>
  <c r="V252" i="8"/>
  <c r="V37" i="8"/>
  <c r="V101" i="8"/>
  <c r="V109" i="8"/>
  <c r="V117" i="8"/>
  <c r="V165" i="8"/>
  <c r="V87" i="8"/>
  <c r="V223" i="8"/>
  <c r="V54" i="8"/>
  <c r="V62" i="8"/>
  <c r="V86" i="8"/>
  <c r="V110" i="8"/>
  <c r="V134" i="8"/>
  <c r="V158" i="8"/>
  <c r="V190" i="8"/>
  <c r="V206" i="8"/>
  <c r="V230" i="8"/>
  <c r="V56" i="8"/>
  <c r="V72" i="8"/>
  <c r="V80" i="8"/>
  <c r="V136" i="8"/>
  <c r="V216" i="8"/>
  <c r="V240" i="8"/>
  <c r="V265" i="8"/>
  <c r="V25" i="8"/>
  <c r="V49" i="8"/>
  <c r="V73" i="8"/>
  <c r="V145" i="8"/>
  <c r="V241" i="8"/>
  <c r="V34" i="8"/>
  <c r="V66" i="8"/>
  <c r="V106" i="8"/>
  <c r="V170" i="8"/>
  <c r="V194" i="8"/>
  <c r="V226" i="8"/>
  <c r="V23" i="8"/>
  <c r="V35" i="8"/>
  <c r="V51" i="8"/>
  <c r="V59" i="8"/>
  <c r="V99" i="8"/>
  <c r="V163" i="8"/>
  <c r="V187" i="8"/>
  <c r="V195" i="8"/>
  <c r="V227" i="8"/>
  <c r="V243" i="8"/>
  <c r="V167" i="8"/>
  <c r="V84" i="8"/>
  <c r="V116" i="8"/>
  <c r="V172" i="8"/>
  <c r="V236" i="8"/>
  <c r="V71" i="8"/>
  <c r="V127" i="8"/>
  <c r="V61" i="8"/>
  <c r="V85" i="8"/>
  <c r="V173" i="8"/>
  <c r="V189" i="8"/>
  <c r="V205" i="8"/>
  <c r="V6" i="8"/>
  <c r="V215" i="8"/>
  <c r="V144" i="8"/>
  <c r="V208" i="8"/>
  <c r="V224" i="8"/>
  <c r="V193" i="8"/>
  <c r="V225" i="8"/>
  <c r="V233" i="8"/>
  <c r="V121" i="8"/>
  <c r="V209" i="8"/>
  <c r="V18" i="8"/>
  <c r="V42" i="8"/>
  <c r="V50" i="8"/>
  <c r="V58" i="8"/>
  <c r="V90" i="8"/>
  <c r="V138" i="8"/>
  <c r="V146" i="8"/>
  <c r="V79" i="8"/>
  <c r="V239" i="8"/>
  <c r="V11" i="8"/>
  <c r="V43" i="8"/>
  <c r="V115" i="8"/>
  <c r="V139" i="8"/>
  <c r="V203" i="8"/>
  <c r="V259" i="8"/>
  <c r="V103" i="8"/>
  <c r="V3" i="8"/>
  <c r="V12" i="8"/>
  <c r="V44" i="8"/>
  <c r="V108" i="8"/>
  <c r="V140" i="8"/>
  <c r="V156" i="8"/>
  <c r="V212" i="8"/>
  <c r="V220" i="8"/>
  <c r="V260" i="8"/>
  <c r="V268" i="8"/>
  <c r="V39" i="8"/>
  <c r="V199" i="8"/>
  <c r="V29" i="8"/>
  <c r="V45" i="8"/>
  <c r="V77" i="8"/>
  <c r="V213" i="8"/>
  <c r="V221" i="8"/>
  <c r="V229" i="8"/>
  <c r="V237" i="8"/>
  <c r="V261" i="8"/>
  <c r="V269" i="8"/>
  <c r="V151" i="8"/>
  <c r="V22" i="8"/>
  <c r="V30" i="8"/>
  <c r="V46" i="8"/>
  <c r="V70" i="8"/>
  <c r="V166" i="8"/>
  <c r="V214" i="8"/>
  <c r="V238" i="8"/>
  <c r="V246" i="8"/>
  <c r="V262" i="8"/>
  <c r="V270" i="8"/>
  <c r="V48" i="8"/>
  <c r="V96" i="8"/>
  <c r="V128" i="8"/>
  <c r="V168" i="8"/>
  <c r="V232" i="8"/>
  <c r="V249" i="8"/>
  <c r="V41" i="8"/>
  <c r="V65" i="8"/>
  <c r="V89" i="8"/>
  <c r="V137" i="8"/>
  <c r="V161" i="8"/>
  <c r="V169" i="8"/>
  <c r="V217" i="8"/>
  <c r="V271" i="8"/>
  <c r="V114" i="8"/>
  <c r="V178" i="8"/>
  <c r="V202" i="8"/>
  <c r="V258" i="8"/>
  <c r="V191" i="8"/>
  <c r="V171" i="8"/>
  <c r="V179" i="8"/>
  <c r="V20" i="8"/>
  <c r="V28" i="8"/>
  <c r="V76" i="8"/>
  <c r="V180" i="8"/>
  <c r="V188" i="8"/>
  <c r="V95" i="8"/>
  <c r="V21" i="8"/>
  <c r="V125" i="8"/>
  <c r="V197" i="8"/>
  <c r="V245" i="8"/>
  <c r="V175" i="8"/>
  <c r="V94" i="8"/>
  <c r="V174" i="8"/>
  <c r="V198" i="8"/>
  <c r="V40" i="8"/>
  <c r="V104" i="8"/>
  <c r="V160" i="8"/>
  <c r="V176" i="8"/>
  <c r="V184" i="8"/>
  <c r="V192" i="8"/>
  <c r="V248" i="8"/>
  <c r="V256" i="8"/>
  <c r="V231" i="8"/>
  <c r="V177" i="8"/>
  <c r="V257" i="8"/>
  <c r="V10" i="8"/>
  <c r="V98" i="8"/>
  <c r="V130" i="8"/>
  <c r="V186" i="8"/>
  <c r="V210" i="8"/>
  <c r="V83" i="8"/>
  <c r="V91" i="8"/>
  <c r="V131" i="8"/>
  <c r="V147" i="8"/>
  <c r="V204" i="8"/>
  <c r="V53" i="8"/>
  <c r="V157" i="8"/>
  <c r="V7" i="8"/>
  <c r="V263" i="8"/>
  <c r="V14" i="8"/>
  <c r="V118" i="8"/>
  <c r="V142" i="8"/>
  <c r="V24" i="8"/>
  <c r="V120" i="8"/>
  <c r="V152" i="8"/>
  <c r="V264" i="8"/>
  <c r="V97" i="8"/>
  <c r="V105" i="8"/>
  <c r="V185" i="8"/>
  <c r="W65" i="2"/>
  <c r="W73" i="2"/>
  <c r="W145" i="2"/>
  <c r="W177" i="2"/>
  <c r="W225" i="2"/>
  <c r="W313" i="2"/>
  <c r="W58" i="2"/>
  <c r="W66" i="2"/>
  <c r="W74" i="2"/>
  <c r="W106" i="2"/>
  <c r="W202" i="2"/>
  <c r="W218" i="2"/>
  <c r="W51" i="2"/>
  <c r="W83" i="2"/>
  <c r="W155" i="2"/>
  <c r="W203" i="2"/>
  <c r="W251" i="2"/>
  <c r="W24" i="2"/>
  <c r="W112" i="2"/>
  <c r="W216" i="2"/>
  <c r="W28" i="2"/>
  <c r="W36" i="2"/>
  <c r="W156" i="2"/>
  <c r="W212" i="2"/>
  <c r="W236" i="2"/>
  <c r="W260" i="2"/>
  <c r="W120" i="2"/>
  <c r="W280" i="2"/>
  <c r="W37" i="2"/>
  <c r="W117" i="2"/>
  <c r="W189" i="2"/>
  <c r="W261" i="2"/>
  <c r="W8" i="2"/>
  <c r="W64" i="2"/>
  <c r="W176" i="2"/>
  <c r="W224" i="2"/>
  <c r="W38" i="2"/>
  <c r="W198" i="2"/>
  <c r="W222" i="2"/>
  <c r="W208" i="2"/>
  <c r="W7" i="2"/>
  <c r="W15" i="2"/>
  <c r="W79" i="2"/>
  <c r="W167" i="2"/>
  <c r="W175" i="2"/>
  <c r="W239" i="2"/>
  <c r="W279" i="2"/>
  <c r="W295" i="2"/>
  <c r="W113" i="2"/>
  <c r="W153" i="2"/>
  <c r="W161" i="2"/>
  <c r="W201" i="2"/>
  <c r="W217" i="2"/>
  <c r="W241" i="2"/>
  <c r="W305" i="2"/>
  <c r="W10" i="2"/>
  <c r="W90" i="2"/>
  <c r="W98" i="2"/>
  <c r="W186" i="2"/>
  <c r="W91" i="2"/>
  <c r="W171" i="2"/>
  <c r="W187" i="2"/>
  <c r="W235" i="2"/>
  <c r="W283" i="2"/>
  <c r="W152" i="2"/>
  <c r="W100" i="2"/>
  <c r="W252" i="2"/>
  <c r="W308" i="2"/>
  <c r="W320" i="2"/>
  <c r="W141" i="2"/>
  <c r="W149" i="2"/>
  <c r="W197" i="2"/>
  <c r="W253" i="2"/>
  <c r="W304" i="2"/>
  <c r="W134" i="2"/>
  <c r="W142" i="2"/>
  <c r="W158" i="2"/>
  <c r="W238" i="2"/>
  <c r="W326" i="2"/>
  <c r="W31" i="2"/>
  <c r="W55" i="2"/>
  <c r="W231" i="2"/>
  <c r="W271" i="2"/>
  <c r="W272" i="2"/>
  <c r="W122" i="2"/>
  <c r="W210" i="2"/>
  <c r="W306" i="2"/>
  <c r="W259" i="2"/>
  <c r="W299" i="2"/>
  <c r="W68" i="2"/>
  <c r="W76" i="2"/>
  <c r="W148" i="2"/>
  <c r="W172" i="2"/>
  <c r="W228" i="2"/>
  <c r="W324" i="2"/>
  <c r="W133" i="2"/>
  <c r="W165" i="2"/>
  <c r="W181" i="2"/>
  <c r="W237" i="2"/>
  <c r="W309" i="2"/>
  <c r="W14" i="2"/>
  <c r="W46" i="2"/>
  <c r="W206" i="2"/>
  <c r="W294" i="2"/>
  <c r="W88" i="2"/>
  <c r="W87" i="2"/>
  <c r="W103" i="2"/>
  <c r="W111" i="2"/>
  <c r="W151" i="2"/>
  <c r="W80" i="2"/>
  <c r="W232" i="2"/>
  <c r="W33" i="2"/>
  <c r="W89" i="2"/>
  <c r="W185" i="2"/>
  <c r="W11" i="2"/>
  <c r="W108" i="2"/>
  <c r="W124" i="2"/>
  <c r="W180" i="2"/>
  <c r="W104" i="2"/>
  <c r="W109" i="2"/>
  <c r="W125" i="2"/>
  <c r="W301" i="2"/>
  <c r="W325" i="2"/>
  <c r="W126" i="2"/>
  <c r="W182" i="2"/>
  <c r="W16" i="2"/>
  <c r="W47" i="2"/>
  <c r="W71" i="2"/>
  <c r="W48" i="2"/>
  <c r="W57" i="2"/>
  <c r="W81" i="2"/>
  <c r="W121" i="2"/>
  <c r="W99" i="2"/>
  <c r="W195" i="2"/>
  <c r="W13" i="2"/>
  <c r="W119" i="2"/>
  <c r="W17" i="2"/>
  <c r="W49" i="2"/>
  <c r="W105" i="2"/>
  <c r="W233" i="2"/>
  <c r="W257" i="2"/>
  <c r="W281" i="2"/>
  <c r="W18" i="2"/>
  <c r="W34" i="2"/>
  <c r="W50" i="2"/>
  <c r="W82" i="2"/>
  <c r="W114" i="2"/>
  <c r="W138" i="2"/>
  <c r="W154" i="2"/>
  <c r="W162" i="2"/>
  <c r="W242" i="2"/>
  <c r="W250" i="2"/>
  <c r="W3" i="2"/>
  <c r="W19" i="2"/>
  <c r="W27" i="2"/>
  <c r="W35" i="2"/>
  <c r="W59" i="2"/>
  <c r="W115" i="2"/>
  <c r="W139" i="2"/>
  <c r="W211" i="2"/>
  <c r="W219" i="2"/>
  <c r="W227" i="2"/>
  <c r="W307" i="2"/>
  <c r="W184" i="2"/>
  <c r="W296" i="2"/>
  <c r="W116" i="2"/>
  <c r="W188" i="2"/>
  <c r="W244" i="2"/>
  <c r="W268" i="2"/>
  <c r="W5" i="2"/>
  <c r="W101" i="2"/>
  <c r="W173" i="2"/>
  <c r="W245" i="2"/>
  <c r="W70" i="2"/>
  <c r="W78" i="2"/>
  <c r="W150" i="2"/>
  <c r="W166" i="2"/>
  <c r="W174" i="2"/>
  <c r="W246" i="2"/>
  <c r="W254" i="2"/>
  <c r="W310" i="2"/>
  <c r="W72" i="2"/>
  <c r="W144" i="2"/>
  <c r="W248" i="2"/>
  <c r="W143" i="2"/>
  <c r="W159" i="2"/>
  <c r="W207" i="2"/>
  <c r="W215" i="2"/>
  <c r="W311" i="2"/>
  <c r="W32" i="2"/>
  <c r="W312" i="2"/>
  <c r="W9" i="2"/>
  <c r="W137" i="2"/>
  <c r="W169" i="2"/>
  <c r="W193" i="2"/>
  <c r="W209" i="2"/>
  <c r="W249" i="2"/>
  <c r="W273" i="2"/>
  <c r="W297" i="2"/>
  <c r="W321" i="2"/>
  <c r="W26" i="2"/>
  <c r="W42" i="2"/>
  <c r="W146" i="2"/>
  <c r="W170" i="2"/>
  <c r="W194" i="2"/>
  <c r="W226" i="2"/>
  <c r="W234" i="2"/>
  <c r="W258" i="2"/>
  <c r="W274" i="2"/>
  <c r="W282" i="2"/>
  <c r="W298" i="2"/>
  <c r="W314" i="2"/>
  <c r="W43" i="2"/>
  <c r="W75" i="2"/>
  <c r="W107" i="2"/>
  <c r="W147" i="2"/>
  <c r="W179" i="2"/>
  <c r="W243" i="2"/>
  <c r="W275" i="2"/>
  <c r="W315" i="2"/>
  <c r="W256" i="2"/>
  <c r="W4" i="2"/>
  <c r="W12" i="2"/>
  <c r="W20" i="2"/>
  <c r="W44" i="2"/>
  <c r="W52" i="2"/>
  <c r="W140" i="2"/>
  <c r="W196" i="2"/>
  <c r="W220" i="2"/>
  <c r="W276" i="2"/>
  <c r="W284" i="2"/>
  <c r="W160" i="2"/>
  <c r="W200" i="2"/>
  <c r="W240" i="2"/>
  <c r="W21" i="2"/>
  <c r="W29" i="2"/>
  <c r="W45" i="2"/>
  <c r="W53" i="2"/>
  <c r="W77" i="2"/>
  <c r="W157" i="2"/>
  <c r="W205" i="2"/>
  <c r="W221" i="2"/>
  <c r="W229" i="2"/>
  <c r="W277" i="2"/>
  <c r="W285" i="2"/>
  <c r="W317" i="2"/>
  <c r="W136" i="2"/>
  <c r="W6" i="2"/>
  <c r="W22" i="2"/>
  <c r="W30" i="2"/>
  <c r="W54" i="2"/>
  <c r="W62" i="2"/>
  <c r="W86" i="2"/>
  <c r="W102" i="2"/>
  <c r="W110" i="2"/>
  <c r="W118" i="2"/>
  <c r="W214" i="2"/>
  <c r="W230" i="2"/>
  <c r="W302" i="2"/>
  <c r="W168" i="2"/>
  <c r="W23" i="2"/>
  <c r="W127" i="2"/>
  <c r="W135" i="2"/>
  <c r="W183" i="2"/>
  <c r="W191" i="2"/>
  <c r="W255" i="2"/>
  <c r="W303" i="2"/>
  <c r="W56" i="2"/>
  <c r="W192" i="2"/>
  <c r="W25" i="2"/>
  <c r="W41" i="2"/>
  <c r="W97" i="2"/>
  <c r="W289" i="2"/>
  <c r="W178" i="2"/>
  <c r="W67" i="2"/>
  <c r="W163" i="2"/>
  <c r="W323" i="2"/>
  <c r="W60" i="2"/>
  <c r="W84" i="2"/>
  <c r="W92" i="2"/>
  <c r="W164" i="2"/>
  <c r="W204" i="2"/>
  <c r="W300" i="2"/>
  <c r="W316" i="2"/>
  <c r="W40" i="2"/>
  <c r="W61" i="2"/>
  <c r="W69" i="2"/>
  <c r="W85" i="2"/>
  <c r="W93" i="2"/>
  <c r="W213" i="2"/>
  <c r="W269" i="2"/>
  <c r="W293" i="2"/>
  <c r="W96" i="2"/>
  <c r="W264" i="2"/>
  <c r="W94" i="2"/>
  <c r="W190" i="2"/>
  <c r="W270" i="2"/>
  <c r="W278" i="2"/>
  <c r="W286" i="2"/>
  <c r="W318" i="2"/>
  <c r="W288" i="2"/>
  <c r="W39" i="2"/>
  <c r="W63" i="2"/>
  <c r="W95" i="2"/>
  <c r="W199" i="2"/>
  <c r="W223" i="2"/>
  <c r="W247" i="2"/>
  <c r="W263" i="2"/>
  <c r="W287" i="2"/>
  <c r="W319" i="2"/>
  <c r="W290" i="2"/>
  <c r="W322" i="2"/>
  <c r="W291" i="2"/>
  <c r="W262" i="2"/>
  <c r="G11" i="3" l="1"/>
  <c r="G3" i="3"/>
  <c r="G14" i="3"/>
  <c r="G12" i="3"/>
  <c r="K12" i="3" s="1"/>
  <c r="G5" i="3"/>
  <c r="G13" i="3"/>
  <c r="G9" i="3"/>
  <c r="G7" i="3"/>
  <c r="G10" i="3"/>
  <c r="K10" i="3" s="1"/>
  <c r="G8" i="3"/>
  <c r="G6" i="3"/>
  <c r="G4" i="3"/>
  <c r="C18" i="7"/>
  <c r="E18" i="7" s="1"/>
  <c r="C25" i="7"/>
  <c r="E25" i="7" s="1"/>
  <c r="C16" i="7"/>
  <c r="E16" i="7" s="1"/>
  <c r="C19" i="7"/>
  <c r="E19" i="7" s="1"/>
  <c r="C15" i="7"/>
  <c r="E15" i="7" s="1"/>
  <c r="C22" i="7"/>
  <c r="E22" i="7" s="1"/>
  <c r="C17" i="7"/>
  <c r="E17" i="7" s="1"/>
  <c r="C26" i="7"/>
  <c r="E26" i="7" s="1"/>
  <c r="C20" i="7"/>
  <c r="E20" i="7" s="1"/>
  <c r="C21" i="7"/>
  <c r="E21" i="7" s="1"/>
  <c r="C23" i="7"/>
  <c r="E23" i="7" s="1"/>
  <c r="C24" i="7"/>
  <c r="E24" i="7" s="1"/>
  <c r="X12" i="12"/>
  <c r="W12" i="12"/>
  <c r="T12" i="12"/>
  <c r="S12" i="12"/>
  <c r="R12" i="12"/>
  <c r="P12" i="12"/>
  <c r="V12" i="12" s="1"/>
  <c r="T11" i="12"/>
  <c r="R11" i="12"/>
  <c r="P11" i="12"/>
  <c r="R10" i="12"/>
  <c r="P10" i="12"/>
  <c r="R9" i="12"/>
  <c r="P9" i="12"/>
  <c r="X8" i="12"/>
  <c r="W8" i="12"/>
  <c r="T8" i="12"/>
  <c r="R8" i="12"/>
  <c r="P8" i="12"/>
  <c r="V8" i="12" s="1"/>
  <c r="X7" i="12"/>
  <c r="W7" i="12"/>
  <c r="V7" i="12"/>
  <c r="T7" i="12"/>
  <c r="R7" i="12"/>
  <c r="P7" i="12"/>
  <c r="X6" i="12"/>
  <c r="W6" i="12"/>
  <c r="T6" i="12"/>
  <c r="R6" i="12"/>
  <c r="P6" i="12"/>
  <c r="V6" i="12" s="1"/>
  <c r="X5" i="12"/>
  <c r="W5" i="12"/>
  <c r="T5" i="12"/>
  <c r="S5" i="12"/>
  <c r="R5" i="12"/>
  <c r="P5" i="12"/>
  <c r="V5" i="12" s="1"/>
  <c r="V4" i="12"/>
  <c r="T4" i="12"/>
  <c r="P4" i="12"/>
  <c r="V3" i="12"/>
  <c r="P3" i="12"/>
  <c r="V2" i="12"/>
  <c r="P2" i="12"/>
  <c r="T44" i="11"/>
  <c r="S44" i="11"/>
  <c r="P44" i="11"/>
  <c r="O44" i="11"/>
  <c r="N44" i="11"/>
  <c r="L44" i="11"/>
  <c r="R44" i="11" s="1"/>
  <c r="O43" i="11"/>
  <c r="N43" i="11"/>
  <c r="L43" i="11"/>
  <c r="M43" i="11" s="1"/>
  <c r="T42" i="11"/>
  <c r="S42" i="11"/>
  <c r="P42" i="11"/>
  <c r="O42" i="11"/>
  <c r="N42" i="11"/>
  <c r="L42" i="11"/>
  <c r="M42" i="11" s="1"/>
  <c r="T41" i="11"/>
  <c r="S41" i="11"/>
  <c r="P41" i="11"/>
  <c r="O41" i="11"/>
  <c r="N41" i="11"/>
  <c r="L41" i="11"/>
  <c r="M41" i="11" s="1"/>
  <c r="T40" i="11"/>
  <c r="S40" i="11"/>
  <c r="P40" i="11"/>
  <c r="O40" i="11"/>
  <c r="N40" i="11"/>
  <c r="L40" i="11"/>
  <c r="M40" i="11" s="1"/>
  <c r="T39" i="11"/>
  <c r="S39" i="11"/>
  <c r="P39" i="11"/>
  <c r="O39" i="11"/>
  <c r="N39" i="11"/>
  <c r="L39" i="11"/>
  <c r="M39" i="11" s="1"/>
  <c r="T38" i="11"/>
  <c r="S38" i="11"/>
  <c r="P38" i="11"/>
  <c r="O38" i="11"/>
  <c r="N38" i="11"/>
  <c r="L38" i="11"/>
  <c r="M38" i="11" s="1"/>
  <c r="T37" i="11"/>
  <c r="S37" i="11"/>
  <c r="P37" i="11"/>
  <c r="O37" i="11"/>
  <c r="N37" i="11"/>
  <c r="L37" i="11"/>
  <c r="M37" i="11" s="1"/>
  <c r="T36" i="11"/>
  <c r="S36" i="11"/>
  <c r="P36" i="11"/>
  <c r="O36" i="11"/>
  <c r="N36" i="11"/>
  <c r="L36" i="11"/>
  <c r="M36" i="11" s="1"/>
  <c r="T35" i="11"/>
  <c r="S35" i="11"/>
  <c r="P35" i="11"/>
  <c r="O35" i="11"/>
  <c r="N35" i="11"/>
  <c r="L35" i="11"/>
  <c r="M35" i="11" s="1"/>
  <c r="T34" i="11"/>
  <c r="S34" i="11"/>
  <c r="P34" i="11"/>
  <c r="O34" i="11"/>
  <c r="N34" i="11"/>
  <c r="L34" i="11"/>
  <c r="M34" i="11" s="1"/>
  <c r="T33" i="11"/>
  <c r="S33" i="11"/>
  <c r="P33" i="11"/>
  <c r="O33" i="11"/>
  <c r="N33" i="11"/>
  <c r="L33" i="11"/>
  <c r="M33" i="11" s="1"/>
  <c r="T32" i="11"/>
  <c r="S32" i="11"/>
  <c r="P32" i="11"/>
  <c r="O32" i="11"/>
  <c r="N32" i="11"/>
  <c r="L32" i="11"/>
  <c r="M32" i="11" s="1"/>
  <c r="T31" i="11"/>
  <c r="S31" i="11"/>
  <c r="P31" i="11"/>
  <c r="O31" i="11"/>
  <c r="N31" i="11"/>
  <c r="L31" i="11"/>
  <c r="M31" i="11" s="1"/>
  <c r="T30" i="11"/>
  <c r="S30" i="11"/>
  <c r="P30" i="11"/>
  <c r="O30" i="11"/>
  <c r="N30" i="11"/>
  <c r="L30" i="11"/>
  <c r="M30" i="11" s="1"/>
  <c r="T29" i="11"/>
  <c r="S29" i="11"/>
  <c r="P29" i="11"/>
  <c r="O29" i="11"/>
  <c r="N29" i="11"/>
  <c r="L29" i="11"/>
  <c r="M29" i="11" s="1"/>
  <c r="T28" i="11"/>
  <c r="S28" i="11"/>
  <c r="P28" i="11"/>
  <c r="O28" i="11"/>
  <c r="N28" i="11"/>
  <c r="L28" i="11"/>
  <c r="M28" i="11" s="1"/>
  <c r="T27" i="11"/>
  <c r="S27" i="11"/>
  <c r="P27" i="11"/>
  <c r="O27" i="11"/>
  <c r="N27" i="11"/>
  <c r="L27" i="11"/>
  <c r="M27" i="11" s="1"/>
  <c r="T25" i="11"/>
  <c r="S25" i="11"/>
  <c r="P25" i="11"/>
  <c r="O25" i="11"/>
  <c r="N25" i="11"/>
  <c r="L25" i="11"/>
  <c r="M25" i="11" s="1"/>
  <c r="T24" i="11"/>
  <c r="S24" i="11"/>
  <c r="P24" i="11"/>
  <c r="O24" i="11"/>
  <c r="N24" i="11"/>
  <c r="L24" i="11"/>
  <c r="M24" i="11" s="1"/>
  <c r="T23" i="11"/>
  <c r="S23" i="11"/>
  <c r="P23" i="11"/>
  <c r="O23" i="11"/>
  <c r="N23" i="11"/>
  <c r="L23" i="11"/>
  <c r="M23" i="11" s="1"/>
  <c r="T22" i="11"/>
  <c r="S22" i="11"/>
  <c r="P22" i="11"/>
  <c r="O22" i="11"/>
  <c r="N22" i="11"/>
  <c r="L22" i="11"/>
  <c r="M22" i="11" s="1"/>
  <c r="T21" i="11"/>
  <c r="S21" i="11"/>
  <c r="P21" i="11"/>
  <c r="O21" i="11"/>
  <c r="N21" i="11"/>
  <c r="L21" i="11"/>
  <c r="M21" i="11" s="1"/>
  <c r="T20" i="11"/>
  <c r="S20" i="11"/>
  <c r="P20" i="11"/>
  <c r="O20" i="11"/>
  <c r="N20" i="11"/>
  <c r="L20" i="11"/>
  <c r="M20" i="11" s="1"/>
  <c r="T19" i="11"/>
  <c r="S19" i="11"/>
  <c r="P19" i="11"/>
  <c r="O19" i="11"/>
  <c r="N19" i="11"/>
  <c r="L19" i="11"/>
  <c r="M19" i="11" s="1"/>
  <c r="T18" i="11"/>
  <c r="S18" i="11"/>
  <c r="P18" i="11"/>
  <c r="O18" i="11"/>
  <c r="N18" i="11"/>
  <c r="L18" i="11"/>
  <c r="M18" i="11" s="1"/>
  <c r="T17" i="11"/>
  <c r="S17" i="11"/>
  <c r="P17" i="11"/>
  <c r="O17" i="11"/>
  <c r="N17" i="11"/>
  <c r="L17" i="11"/>
  <c r="M17" i="11" s="1"/>
  <c r="T16" i="11"/>
  <c r="S16" i="11"/>
  <c r="P16" i="11"/>
  <c r="O16" i="11"/>
  <c r="N16" i="11"/>
  <c r="L16" i="11"/>
  <c r="M16" i="11" s="1"/>
  <c r="T14" i="11"/>
  <c r="S14" i="11"/>
  <c r="O14" i="11"/>
  <c r="N14" i="11"/>
  <c r="L14" i="11"/>
  <c r="R14" i="11" s="1"/>
  <c r="T13" i="11"/>
  <c r="S13" i="11"/>
  <c r="O13" i="11"/>
  <c r="N13" i="11"/>
  <c r="L13" i="11"/>
  <c r="R13" i="11" s="1"/>
  <c r="T12" i="11"/>
  <c r="S12" i="11"/>
  <c r="O12" i="11"/>
  <c r="N12" i="11"/>
  <c r="L12" i="11"/>
  <c r="R12" i="11" s="1"/>
  <c r="T11" i="11"/>
  <c r="S11" i="11"/>
  <c r="O11" i="11"/>
  <c r="N11" i="11"/>
  <c r="L11" i="11"/>
  <c r="R11" i="11" s="1"/>
  <c r="T10" i="11"/>
  <c r="S10" i="11"/>
  <c r="O10" i="11"/>
  <c r="N10" i="11"/>
  <c r="L10" i="11"/>
  <c r="R10" i="11" s="1"/>
  <c r="T9" i="11"/>
  <c r="S9" i="11"/>
  <c r="N9" i="11"/>
  <c r="L9" i="11"/>
  <c r="R9" i="11" s="1"/>
  <c r="T7" i="11"/>
  <c r="S7" i="11"/>
  <c r="N7" i="11"/>
  <c r="L7" i="11"/>
  <c r="R7" i="11" s="1"/>
  <c r="T6" i="11"/>
  <c r="S6" i="11"/>
  <c r="N6" i="11"/>
  <c r="L6" i="11"/>
  <c r="M6" i="11" s="1"/>
  <c r="T5" i="11"/>
  <c r="S5" i="11"/>
  <c r="N5" i="11"/>
  <c r="L5" i="11"/>
  <c r="R5" i="11" s="1"/>
  <c r="T4" i="11"/>
  <c r="S4" i="11"/>
  <c r="N4" i="11"/>
  <c r="L4" i="11"/>
  <c r="R4" i="11" s="1"/>
  <c r="T3" i="11"/>
  <c r="S3" i="11"/>
  <c r="N3" i="11"/>
  <c r="L3" i="11"/>
  <c r="M3" i="11" s="1"/>
  <c r="G15" i="3" l="1"/>
  <c r="M10" i="11"/>
  <c r="R3" i="11"/>
  <c r="M9" i="11"/>
  <c r="M5" i="11"/>
  <c r="M7" i="11"/>
  <c r="M4" i="11"/>
  <c r="M14" i="11"/>
  <c r="Q12" i="12"/>
  <c r="M12" i="11"/>
  <c r="M13" i="11"/>
  <c r="M11" i="11"/>
  <c r="R16" i="11"/>
  <c r="R17" i="11"/>
  <c r="R18" i="11"/>
  <c r="R19" i="11"/>
  <c r="R20" i="11"/>
  <c r="R21" i="11"/>
  <c r="R22" i="11"/>
  <c r="R23" i="11"/>
  <c r="R24" i="11"/>
  <c r="R25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M44" i="11"/>
  <c r="R6" i="11"/>
  <c r="H30" i="20" l="1"/>
  <c r="D14" i="20" s="1"/>
  <c r="H28" i="20"/>
  <c r="D12" i="20" s="1"/>
  <c r="H26" i="20"/>
  <c r="D10" i="20" s="1"/>
  <c r="H24" i="20"/>
  <c r="D8" i="20" s="1"/>
  <c r="H22" i="20"/>
  <c r="D6" i="20" s="1"/>
  <c r="H20" i="20"/>
  <c r="D4" i="20" s="1"/>
  <c r="H29" i="20"/>
  <c r="D13" i="20" s="1"/>
  <c r="H27" i="20"/>
  <c r="D11" i="20" s="1"/>
  <c r="H25" i="20"/>
  <c r="D9" i="20" s="1"/>
  <c r="H23" i="20"/>
  <c r="D7" i="20" s="1"/>
  <c r="H21" i="20"/>
  <c r="D5" i="20" s="1"/>
  <c r="H19" i="20"/>
  <c r="I5" i="7"/>
  <c r="K5" i="7" s="1"/>
  <c r="F16" i="7"/>
  <c r="H16" i="7" s="1"/>
  <c r="F18" i="7"/>
  <c r="H18" i="7" s="1"/>
  <c r="F26" i="7"/>
  <c r="F23" i="7"/>
  <c r="H23" i="7" s="1"/>
  <c r="F15" i="7"/>
  <c r="H15" i="7" s="1"/>
  <c r="F22" i="7"/>
  <c r="F17" i="7"/>
  <c r="F21" i="7"/>
  <c r="F19" i="7"/>
  <c r="F20" i="7"/>
  <c r="F25" i="7"/>
  <c r="H25" i="7" s="1"/>
  <c r="F24" i="7"/>
  <c r="H31" i="20" l="1"/>
  <c r="D15" i="20" s="1"/>
  <c r="D3" i="20"/>
  <c r="H5" i="7"/>
  <c r="H21" i="7"/>
  <c r="H22" i="7"/>
  <c r="H24" i="7"/>
  <c r="H26" i="7"/>
  <c r="H20" i="7"/>
  <c r="H19" i="7"/>
  <c r="H17" i="7"/>
  <c r="D4" i="3"/>
  <c r="K4" i="3" s="1"/>
  <c r="D5" i="3"/>
  <c r="K5" i="3" s="1"/>
  <c r="D6" i="3"/>
  <c r="K6" i="3" s="1"/>
  <c r="D7" i="3"/>
  <c r="K7" i="3" s="1"/>
  <c r="D8" i="3"/>
  <c r="K8" i="3" s="1"/>
  <c r="D9" i="3"/>
  <c r="K9" i="3" s="1"/>
  <c r="D11" i="3"/>
  <c r="K11" i="3" s="1"/>
  <c r="D13" i="3"/>
  <c r="K13" i="3" s="1"/>
  <c r="D14" i="3"/>
  <c r="K14" i="3" s="1"/>
  <c r="D3" i="3"/>
  <c r="J3" i="3" l="1"/>
  <c r="K3" i="3"/>
  <c r="J11" i="3"/>
  <c r="O11" i="3" s="1"/>
  <c r="J10" i="3"/>
  <c r="O10" i="3" s="1"/>
  <c r="J7" i="3"/>
  <c r="O7" i="3" s="1"/>
  <c r="J4" i="3"/>
  <c r="O4" i="3" s="1"/>
  <c r="J5" i="3"/>
  <c r="O5" i="3" s="1"/>
  <c r="J14" i="3"/>
  <c r="O14" i="3" s="1"/>
  <c r="J13" i="3"/>
  <c r="O13" i="3" s="1"/>
  <c r="J6" i="3"/>
  <c r="O6" i="3" s="1"/>
  <c r="J12" i="3"/>
  <c r="O12" i="3" s="1"/>
  <c r="J9" i="3"/>
  <c r="O9" i="3" s="1"/>
  <c r="J8" i="3"/>
  <c r="O8" i="3" s="1"/>
  <c r="K15" i="3" l="1"/>
  <c r="J4" i="7" s="1"/>
  <c r="J3" i="7" s="1"/>
  <c r="F85" i="13" s="1"/>
  <c r="O3" i="3"/>
  <c r="J15" i="3"/>
  <c r="D4" i="7" l="1"/>
  <c r="D3" i="7" s="1"/>
  <c r="E3" i="7" s="1"/>
  <c r="K29" i="13" s="1"/>
  <c r="O15" i="3"/>
  <c r="I3" i="7" l="1"/>
  <c r="K3" i="7" s="1"/>
  <c r="K85" i="13" s="1"/>
  <c r="I4" i="7"/>
  <c r="H4" i="7" s="1"/>
  <c r="F29" i="13"/>
  <c r="E4" i="7"/>
  <c r="D8" i="7"/>
  <c r="E8" i="7" s="1"/>
  <c r="H3" i="7" l="1"/>
  <c r="A85" i="13" s="1"/>
  <c r="K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ERNB10 - Vendas 01</author>
  </authors>
  <commentList>
    <comment ref="J15" authorId="0" shapeId="0" xr:uid="{58277CFC-A427-45BA-BBD0-B14397DD5C58}">
      <text>
        <r>
          <rPr>
            <b/>
            <sz val="9"/>
            <color indexed="81"/>
            <rFont val="Segoe UI"/>
            <family val="2"/>
          </rPr>
          <t>ERNB10 - Vendas 01:</t>
        </r>
        <r>
          <rPr>
            <sz val="9"/>
            <color indexed="81"/>
            <rFont val="Segoe UI"/>
            <family val="2"/>
          </rPr>
          <t xml:space="preserve">
Retirados da soma os valores de Pedidos Spot.
</t>
        </r>
      </text>
    </comment>
    <comment ref="K15" authorId="0" shapeId="0" xr:uid="{BE1A62CE-20CF-4F69-80A7-A1C2218C0D09}">
      <text>
        <r>
          <rPr>
            <b/>
            <sz val="9"/>
            <color indexed="81"/>
            <rFont val="Segoe UI"/>
            <family val="2"/>
          </rPr>
          <t>ERNB10 - Vendas 01:</t>
        </r>
        <r>
          <rPr>
            <sz val="9"/>
            <color indexed="81"/>
            <rFont val="Segoe UI"/>
            <family val="2"/>
          </rPr>
          <t xml:space="preserve">
Retirados da soma o valor de 32 equipamentos que não serão realizados dentro desta vigência.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</author>
    <author>ERNB10 - Vendas 01</author>
  </authors>
  <commentList>
    <comment ref="F11" authorId="0" shapeId="0" xr:uid="{C84632A3-36B1-46A9-8F27-68A1D0528050}">
      <text>
        <r>
          <rPr>
            <b/>
            <sz val="9"/>
            <color indexed="81"/>
            <rFont val="Segoe UI"/>
            <family val="2"/>
          </rPr>
          <t>Daniel:</t>
        </r>
        <r>
          <rPr>
            <sz val="9"/>
            <color indexed="81"/>
            <rFont val="Segoe UI"/>
            <family val="2"/>
          </rPr>
          <t xml:space="preserve">
Sugestão: ER envia o DR890 que possui e o técnico manda o dele para realizarmos o serviço em SP. Cobrança será só da preventiva+calibração.</t>
        </r>
      </text>
    </comment>
    <comment ref="C26" authorId="0" shapeId="0" xr:uid="{70BBB507-40A8-4B5A-875E-8193F817732F}">
      <text>
        <r>
          <rPr>
            <b/>
            <sz val="9"/>
            <color indexed="81"/>
            <rFont val="Segoe UI"/>
            <family val="2"/>
          </rPr>
          <t>Daniel:</t>
        </r>
        <r>
          <rPr>
            <sz val="9"/>
            <color indexed="81"/>
            <rFont val="Segoe UI"/>
            <family val="2"/>
          </rPr>
          <t xml:space="preserve">
Sugestão: Realiza junto com Duque de Caxias e Itaguaí</t>
        </r>
      </text>
    </comment>
    <comment ref="N50" authorId="0" shapeId="0" xr:uid="{F6F87931-45E9-4C17-8C1C-982614094196}">
      <text>
        <r>
          <rPr>
            <b/>
            <sz val="9"/>
            <color indexed="81"/>
            <rFont val="Segoe UI"/>
            <family val="2"/>
          </rPr>
          <t>Daniel:</t>
        </r>
        <r>
          <rPr>
            <sz val="9"/>
            <color indexed="81"/>
            <rFont val="Segoe UI"/>
            <family val="2"/>
          </rPr>
          <t xml:space="preserve">
Sugestão: ER envia o DR890 que possui e o técnico manda o dele para realizarmos o serviço em SP. Cobrança será só da preventiva+calibração.</t>
        </r>
      </text>
    </comment>
    <comment ref="F53" authorId="0" shapeId="0" xr:uid="{216FF48C-482D-4627-A673-667ACDAC55CE}">
      <text>
        <r>
          <rPr>
            <b/>
            <sz val="9"/>
            <color indexed="81"/>
            <rFont val="Segoe UI"/>
            <family val="2"/>
          </rPr>
          <t>Daniel:</t>
        </r>
        <r>
          <rPr>
            <sz val="9"/>
            <color indexed="81"/>
            <rFont val="Segoe UI"/>
            <family val="2"/>
          </rPr>
          <t xml:space="preserve">
Não será cobrado deslocamento, pois estamos na mesma cidade. </t>
        </r>
      </text>
    </comment>
    <comment ref="J54" authorId="1" shapeId="0" xr:uid="{DD96CEED-7507-4549-94D3-6A5FC06AA08D}">
      <text>
        <r>
          <rPr>
            <b/>
            <sz val="9"/>
            <color indexed="81"/>
            <rFont val="Segoe UI"/>
            <family val="2"/>
          </rPr>
          <t>ERNB10 - Vendas 01:</t>
        </r>
        <r>
          <rPr>
            <sz val="9"/>
            <color indexed="81"/>
            <rFont val="Segoe UI"/>
            <family val="2"/>
          </rPr>
          <t xml:space="preserve">
Foram retirados da soma os valores destacados em amarelo, pois não houve deslocamento. 
</t>
        </r>
      </text>
    </comment>
  </commentList>
</comments>
</file>

<file path=xl/sharedStrings.xml><?xml version="1.0" encoding="utf-8"?>
<sst xmlns="http://schemas.openxmlformats.org/spreadsheetml/2006/main" count="11655" uniqueCount="1500">
  <si>
    <t>Valor Unit. Manutenção</t>
  </si>
  <si>
    <t>Valor Unit. Calibração</t>
  </si>
  <si>
    <t>Balança Analítica</t>
  </si>
  <si>
    <t>Colorímetro</t>
  </si>
  <si>
    <t>Condutivímetro</t>
  </si>
  <si>
    <t>Espectrofotômetro</t>
  </si>
  <si>
    <t>Multiparametro</t>
  </si>
  <si>
    <t>pHmetro</t>
  </si>
  <si>
    <t>Reator DQO</t>
  </si>
  <si>
    <t>Turbidímetro</t>
  </si>
  <si>
    <t>Region/State</t>
  </si>
  <si>
    <t>Equipment</t>
  </si>
  <si>
    <t>Serial Number</t>
  </si>
  <si>
    <t>Brand</t>
  </si>
  <si>
    <t>Model</t>
  </si>
  <si>
    <t>City</t>
  </si>
  <si>
    <t>Mês</t>
  </si>
  <si>
    <t>Status</t>
  </si>
  <si>
    <t>Custo deslocamento</t>
  </si>
  <si>
    <t>AL</t>
  </si>
  <si>
    <t>09049BC21221</t>
  </si>
  <si>
    <t>HACH</t>
  </si>
  <si>
    <t>DR/890</t>
  </si>
  <si>
    <t>Maceió-AL</t>
  </si>
  <si>
    <t>set</t>
  </si>
  <si>
    <t>Calibrado</t>
  </si>
  <si>
    <t>Myron L Company</t>
  </si>
  <si>
    <t>4PII</t>
  </si>
  <si>
    <t>16030C048264</t>
  </si>
  <si>
    <t>2100Q</t>
  </si>
  <si>
    <t>POLILAB</t>
  </si>
  <si>
    <t>DIGIMED</t>
  </si>
  <si>
    <t xml:space="preserve">DM22 </t>
  </si>
  <si>
    <t>AM</t>
  </si>
  <si>
    <t>DR/2800</t>
  </si>
  <si>
    <t>Manaus - AM</t>
  </si>
  <si>
    <t>EC71</t>
  </si>
  <si>
    <t>PM31</t>
  </si>
  <si>
    <t>Quimis</t>
  </si>
  <si>
    <t>pH</t>
  </si>
  <si>
    <t>BA</t>
  </si>
  <si>
    <t>Camaçari-BA</t>
  </si>
  <si>
    <t>ago</t>
  </si>
  <si>
    <t>10110C0840</t>
  </si>
  <si>
    <t>DRB/200</t>
  </si>
  <si>
    <t>11110C014243</t>
  </si>
  <si>
    <t>Vencido</t>
  </si>
  <si>
    <t>B147469098</t>
  </si>
  <si>
    <t>Mettler Toledo</t>
  </si>
  <si>
    <t>MS204</t>
  </si>
  <si>
    <t>Simões Filho</t>
  </si>
  <si>
    <t>12039BC22006</t>
  </si>
  <si>
    <t>16020C047582</t>
  </si>
  <si>
    <t>DM22</t>
  </si>
  <si>
    <t>Policontrol</t>
  </si>
  <si>
    <t>Thermo Digest</t>
  </si>
  <si>
    <t>GE</t>
  </si>
  <si>
    <t>L6606</t>
  </si>
  <si>
    <t>METLER TOLEDO</t>
  </si>
  <si>
    <t>SEVENGO</t>
  </si>
  <si>
    <t>11080C011203</t>
  </si>
  <si>
    <t>B21662</t>
  </si>
  <si>
    <t>Orion</t>
  </si>
  <si>
    <t>Orion 3 Star</t>
  </si>
  <si>
    <t>B449346278</t>
  </si>
  <si>
    <t>B06517</t>
  </si>
  <si>
    <t>THERMO</t>
  </si>
  <si>
    <t>Orion 4 Star</t>
  </si>
  <si>
    <t>B27525</t>
  </si>
  <si>
    <t>pH31</t>
  </si>
  <si>
    <t>Ilheus - BA</t>
  </si>
  <si>
    <t>dez</t>
  </si>
  <si>
    <t>09069BC21306</t>
  </si>
  <si>
    <t>CE</t>
  </si>
  <si>
    <t>DM32</t>
  </si>
  <si>
    <t>Fortaleza-CE</t>
  </si>
  <si>
    <t>B640102303</t>
  </si>
  <si>
    <t>Maracanaú - CE</t>
  </si>
  <si>
    <t>DR/3900</t>
  </si>
  <si>
    <t>150060001017</t>
  </si>
  <si>
    <t>DR/1900</t>
  </si>
  <si>
    <t>Quixeré - CE</t>
  </si>
  <si>
    <t>DM TV</t>
  </si>
  <si>
    <t>ES</t>
  </si>
  <si>
    <t>6PFC</t>
  </si>
  <si>
    <t>Serra-ES</t>
  </si>
  <si>
    <t>Jul</t>
  </si>
  <si>
    <t>AP2000</t>
  </si>
  <si>
    <t>DM-22</t>
  </si>
  <si>
    <t>DM-TU</t>
  </si>
  <si>
    <t>051090C56708</t>
  </si>
  <si>
    <t>D452201361</t>
  </si>
  <si>
    <t>SHIMADZU</t>
  </si>
  <si>
    <t>AY220</t>
  </si>
  <si>
    <t>MA</t>
  </si>
  <si>
    <t>133510002009</t>
  </si>
  <si>
    <t>DR/900</t>
  </si>
  <si>
    <t>Imperatriz - MA</t>
  </si>
  <si>
    <t>MG</t>
  </si>
  <si>
    <t>9216/19</t>
  </si>
  <si>
    <t>Analyser</t>
  </si>
  <si>
    <t>350M</t>
  </si>
  <si>
    <t>Juatuba - MG</t>
  </si>
  <si>
    <t>Mar</t>
  </si>
  <si>
    <t>650MA</t>
  </si>
  <si>
    <t>Hach</t>
  </si>
  <si>
    <t>060390C58361</t>
  </si>
  <si>
    <t>M606994</t>
  </si>
  <si>
    <t>MP6</t>
  </si>
  <si>
    <t>Uberlândia - MG</t>
  </si>
  <si>
    <t>jul</t>
  </si>
  <si>
    <t>09049BC21223</t>
  </si>
  <si>
    <t>141980001025</t>
  </si>
  <si>
    <t>M607036</t>
  </si>
  <si>
    <t>Divinópolis</t>
  </si>
  <si>
    <t>14090C35115</t>
  </si>
  <si>
    <t>Ultrameter</t>
  </si>
  <si>
    <t>11059BC21741</t>
  </si>
  <si>
    <t>Juiz de Fora - MG</t>
  </si>
  <si>
    <t>DM-3P</t>
  </si>
  <si>
    <t>Ouro Branco - MG</t>
  </si>
  <si>
    <t>M609346</t>
  </si>
  <si>
    <t>03070005800</t>
  </si>
  <si>
    <t>DR/2500</t>
  </si>
  <si>
    <t>0083</t>
  </si>
  <si>
    <t>Bioprecisa</t>
  </si>
  <si>
    <t>FA-2104N</t>
  </si>
  <si>
    <t>13090C028101</t>
  </si>
  <si>
    <t>17040C057193</t>
  </si>
  <si>
    <t>DM-2P</t>
  </si>
  <si>
    <t>Perapetinga-MG</t>
  </si>
  <si>
    <t>11039BC21695</t>
  </si>
  <si>
    <t>Pirapetinga- MG</t>
  </si>
  <si>
    <t>Hanna</t>
  </si>
  <si>
    <t>HANNA</t>
  </si>
  <si>
    <t>Montes Claros - MG</t>
  </si>
  <si>
    <t>Multiparâmetro</t>
  </si>
  <si>
    <t>Montes Claros MG</t>
  </si>
  <si>
    <t>MS</t>
  </si>
  <si>
    <t>Dourados-MS</t>
  </si>
  <si>
    <t>Out</t>
  </si>
  <si>
    <t>sensION pH1</t>
  </si>
  <si>
    <t>PE</t>
  </si>
  <si>
    <t>H59329</t>
  </si>
  <si>
    <t>A200</t>
  </si>
  <si>
    <t>JAB GUARARAPES</t>
  </si>
  <si>
    <t>B17138</t>
  </si>
  <si>
    <t>9706B0000371</t>
  </si>
  <si>
    <t>DR/2010</t>
  </si>
  <si>
    <t>B24943</t>
  </si>
  <si>
    <t>Star</t>
  </si>
  <si>
    <t>PI</t>
  </si>
  <si>
    <t>Teresina - PI</t>
  </si>
  <si>
    <t>jan</t>
  </si>
  <si>
    <t>10090C040251</t>
  </si>
  <si>
    <t>2100P</t>
  </si>
  <si>
    <t>PR</t>
  </si>
  <si>
    <t>Astorga-PR</t>
  </si>
  <si>
    <t>15030C039256</t>
  </si>
  <si>
    <t>Ponta Grossa - PR</t>
  </si>
  <si>
    <t>17121575001016</t>
  </si>
  <si>
    <t>9203/19</t>
  </si>
  <si>
    <t>182190001001</t>
  </si>
  <si>
    <t>10049BC21424</t>
  </si>
  <si>
    <t>RJ</t>
  </si>
  <si>
    <t>B21649</t>
  </si>
  <si>
    <t>Itaguaí - RJ</t>
  </si>
  <si>
    <t>fev</t>
  </si>
  <si>
    <t>PH31</t>
  </si>
  <si>
    <t>11060C009644</t>
  </si>
  <si>
    <t>B347032029</t>
  </si>
  <si>
    <t>New C ML</t>
  </si>
  <si>
    <t>Duque de Caxias - RJ</t>
  </si>
  <si>
    <t>Sartorius</t>
  </si>
  <si>
    <t>TE214S</t>
  </si>
  <si>
    <t>Macacu-RJ</t>
  </si>
  <si>
    <t>Dez</t>
  </si>
  <si>
    <t>RS</t>
  </si>
  <si>
    <t>Porto Alegre - RS</t>
  </si>
  <si>
    <t>012119BC22205</t>
  </si>
  <si>
    <t>10069BC21449</t>
  </si>
  <si>
    <t>12079BC22146</t>
  </si>
  <si>
    <t>Triunfo-RS</t>
  </si>
  <si>
    <t>UP-25058168</t>
  </si>
  <si>
    <t>Denver</t>
  </si>
  <si>
    <t>UP-25</t>
  </si>
  <si>
    <t>Uruguaiana - RS</t>
  </si>
  <si>
    <t>UP-10066426</t>
  </si>
  <si>
    <t>UP-10</t>
  </si>
  <si>
    <t>Akso</t>
  </si>
  <si>
    <t>AK151</t>
  </si>
  <si>
    <t>11050C0013</t>
  </si>
  <si>
    <t>pH 31</t>
  </si>
  <si>
    <t>pH 1</t>
  </si>
  <si>
    <t>AL204</t>
  </si>
  <si>
    <t>SC</t>
  </si>
  <si>
    <t>203166601040</t>
  </si>
  <si>
    <t>Xanxerê - SC</t>
  </si>
  <si>
    <t>jun</t>
  </si>
  <si>
    <t>09059BC21257</t>
  </si>
  <si>
    <t>Jaraguá do Sul - SC</t>
  </si>
  <si>
    <t>192330001025</t>
  </si>
  <si>
    <t>SP</t>
  </si>
  <si>
    <t>142380001002</t>
  </si>
  <si>
    <t>Agudos - SP</t>
  </si>
  <si>
    <t>Jun</t>
  </si>
  <si>
    <t>Orion 115</t>
  </si>
  <si>
    <t>Alumínio-SP</t>
  </si>
  <si>
    <t>Maio</t>
  </si>
  <si>
    <t>H59327</t>
  </si>
  <si>
    <t>AE 200</t>
  </si>
  <si>
    <t>Araraquara-SP</t>
  </si>
  <si>
    <t>Fev</t>
  </si>
  <si>
    <t>203166601039</t>
  </si>
  <si>
    <t>Campinas-SP</t>
  </si>
  <si>
    <t>mar</t>
  </si>
  <si>
    <t>VED1404020</t>
  </si>
  <si>
    <t>Micronal</t>
  </si>
  <si>
    <t>AJX1600</t>
  </si>
  <si>
    <t>Cotia - SP</t>
  </si>
  <si>
    <t>472748 (ou 42478)</t>
  </si>
  <si>
    <t>Qualxtron</t>
  </si>
  <si>
    <t>QX1500</t>
  </si>
  <si>
    <t>mai</t>
  </si>
  <si>
    <t>12070C019229</t>
  </si>
  <si>
    <t>Metrohm</t>
  </si>
  <si>
    <t>827 PH LAB</t>
  </si>
  <si>
    <t>14090C035220</t>
  </si>
  <si>
    <t>14070C034003</t>
  </si>
  <si>
    <t>10090C0150</t>
  </si>
  <si>
    <t>Promissão-SP</t>
  </si>
  <si>
    <t>D452202153</t>
  </si>
  <si>
    <t>Shimadzu</t>
  </si>
  <si>
    <t>1611C053296</t>
  </si>
  <si>
    <t>Rio Claro -SP</t>
  </si>
  <si>
    <t>19040C075336</t>
  </si>
  <si>
    <t>Santo André - SP</t>
  </si>
  <si>
    <t>56618 (ou 52218)</t>
  </si>
  <si>
    <t>52462 (ou 52162)</t>
  </si>
  <si>
    <t>120890C91018</t>
  </si>
  <si>
    <t>LOVIBOND</t>
  </si>
  <si>
    <t>TB 250 WL</t>
  </si>
  <si>
    <t>DM 3</t>
  </si>
  <si>
    <t>12100C0301</t>
  </si>
  <si>
    <t>YOKOGAWA</t>
  </si>
  <si>
    <t>SC 82</t>
  </si>
  <si>
    <t>09059BC21244</t>
  </si>
  <si>
    <t>out</t>
  </si>
  <si>
    <t>nov</t>
  </si>
  <si>
    <t>10079BCZ21465</t>
  </si>
  <si>
    <t>São José dos Campos - SP</t>
  </si>
  <si>
    <t>12039BC22007</t>
  </si>
  <si>
    <t>São Paulo - SP</t>
  </si>
  <si>
    <t>142240001031</t>
  </si>
  <si>
    <t>16020C047676</t>
  </si>
  <si>
    <t>182190001002</t>
  </si>
  <si>
    <t>DM3P</t>
  </si>
  <si>
    <t>06129BC20563</t>
  </si>
  <si>
    <t>DR/2000</t>
  </si>
  <si>
    <t>B02206</t>
  </si>
  <si>
    <t>ORION</t>
  </si>
  <si>
    <t>3 Star</t>
  </si>
  <si>
    <t>Orion 115A+</t>
  </si>
  <si>
    <t>VED1304018</t>
  </si>
  <si>
    <t>B380AJX1600</t>
  </si>
  <si>
    <t>Sorocaba - SP</t>
  </si>
  <si>
    <t>DR/2700</t>
  </si>
  <si>
    <t>13060C026283</t>
  </si>
  <si>
    <t>B474</t>
  </si>
  <si>
    <t>B746974184</t>
  </si>
  <si>
    <t>S220</t>
  </si>
  <si>
    <t>1912001002164</t>
  </si>
  <si>
    <t>09059BC21258</t>
  </si>
  <si>
    <t>Varzea Paulista</t>
  </si>
  <si>
    <t>Owner</t>
  </si>
  <si>
    <t>e-mail</t>
  </si>
  <si>
    <t>Cel #</t>
  </si>
  <si>
    <t>Leader</t>
  </si>
  <si>
    <t>email (leader)</t>
  </si>
  <si>
    <t>District</t>
  </si>
  <si>
    <t>Customer</t>
  </si>
  <si>
    <t>form</t>
  </si>
  <si>
    <t>Calibration Date</t>
  </si>
  <si>
    <t>Certificate</t>
  </si>
  <si>
    <t>Vendor</t>
  </si>
  <si>
    <t>STATUS</t>
  </si>
  <si>
    <t>William Leite Romano</t>
  </si>
  <si>
    <t>william.leiteromano@suez.com</t>
  </si>
  <si>
    <t>(37) 9965-3947</t>
  </si>
  <si>
    <t>Heavy Industry - Zeus</t>
  </si>
  <si>
    <t>Smurfit Kappa</t>
  </si>
  <si>
    <t>REALIZADO</t>
  </si>
  <si>
    <t>8677501</t>
  </si>
  <si>
    <t xml:space="preserve">Thiago Henrique Miné de Morais </t>
  </si>
  <si>
    <t xml:space="preserve">thiago.morais@suez.com </t>
  </si>
  <si>
    <t>(31) 99680-1591</t>
  </si>
  <si>
    <t>Carlos Santos</t>
  </si>
  <si>
    <t>carlos.santos@suez.com</t>
  </si>
  <si>
    <t>MM S&amp;E Sud&amp;NE</t>
  </si>
  <si>
    <t>17121575001003</t>
  </si>
  <si>
    <t>Ambev</t>
  </si>
  <si>
    <t>Gerson Miranda  (AcM Carlos Santos)</t>
  </si>
  <si>
    <t>gerson.miranda@suez.com</t>
  </si>
  <si>
    <t>(31) 99744-8598</t>
  </si>
  <si>
    <t>Belo Horizonte - MG</t>
  </si>
  <si>
    <t>no fixed customer (carried by owner)</t>
  </si>
  <si>
    <t>Thiago Ferreira da Silva</t>
  </si>
  <si>
    <t>thiago.ferreiradasilva@suez.com</t>
  </si>
  <si>
    <t>(11) 96068-7071</t>
  </si>
  <si>
    <t>Davi Santos</t>
  </si>
  <si>
    <t>davi.santos@suez.com</t>
  </si>
  <si>
    <t>585193</t>
  </si>
  <si>
    <t>ABC - SP</t>
  </si>
  <si>
    <t>Thais Silva Nunes</t>
  </si>
  <si>
    <t>thais.nunes@suez.com</t>
  </si>
  <si>
    <t>(51) 98182-5891</t>
  </si>
  <si>
    <t>Paulo Corsete</t>
  </si>
  <si>
    <t>paulo.corsete@suez.com</t>
  </si>
  <si>
    <t>MM CO&amp;Sul</t>
  </si>
  <si>
    <t>Tatiana Almeida</t>
  </si>
  <si>
    <t>tatiana.almeida@suez.com</t>
  </si>
  <si>
    <t>(71) 9714-5909</t>
  </si>
  <si>
    <t>Marcelo Soto</t>
  </si>
  <si>
    <t>marcelo.soto@suez.com</t>
  </si>
  <si>
    <t>Unigel / Braskem</t>
  </si>
  <si>
    <t>4223997</t>
  </si>
  <si>
    <t>1308011</t>
  </si>
  <si>
    <t>Sonia Cristina De Jesus Oliveira</t>
  </si>
  <si>
    <t>sonia.jesus@suez.com</t>
  </si>
  <si>
    <t>(16) 99636-8332</t>
  </si>
  <si>
    <t>MM S&amp;E Sude</t>
  </si>
  <si>
    <t>1532591</t>
  </si>
  <si>
    <t>Suez WTS (Laboratório)</t>
  </si>
  <si>
    <t>6227214</t>
  </si>
  <si>
    <t>50008</t>
  </si>
  <si>
    <t>Rosangela de Lima Valente Soares</t>
  </si>
  <si>
    <t>rosangela.soares@suez.com</t>
  </si>
  <si>
    <t>(55) 98146-8350</t>
  </si>
  <si>
    <t>Adalberto Diniz</t>
  </si>
  <si>
    <t>adalberto.diniz@suez.com</t>
  </si>
  <si>
    <t>Wartsila</t>
  </si>
  <si>
    <t>1264624</t>
  </si>
  <si>
    <t xml:space="preserve"> 2996109</t>
  </si>
  <si>
    <t>Oaklon</t>
  </si>
  <si>
    <t>PH5+</t>
  </si>
  <si>
    <t xml:space="preserve"> HAO4421691</t>
  </si>
  <si>
    <t xml:space="preserve"> HI98107</t>
  </si>
  <si>
    <t>Romildo Gonçalves</t>
  </si>
  <si>
    <t>romildo.goncalves@suez.com</t>
  </si>
  <si>
    <t>(11) 94278-5357</t>
  </si>
  <si>
    <t>Amadeu Peixoto</t>
  </si>
  <si>
    <t>amadeu.peixoto@suez.com</t>
  </si>
  <si>
    <t>Heavy Industry - Lobos</t>
  </si>
  <si>
    <t>REVAP</t>
  </si>
  <si>
    <t>52395</t>
  </si>
  <si>
    <t>Rodrigo Aparecido Teixeira Amaro</t>
  </si>
  <si>
    <t>rodrigo.amaro@suez.com</t>
  </si>
  <si>
    <t>(14) 99688-0361</t>
  </si>
  <si>
    <t>Marfrig</t>
  </si>
  <si>
    <t>EM CONTATO</t>
  </si>
  <si>
    <t>53253</t>
  </si>
  <si>
    <t>4220742</t>
  </si>
  <si>
    <t>1562954</t>
  </si>
  <si>
    <t>142380001005</t>
  </si>
  <si>
    <t>6213434</t>
  </si>
  <si>
    <t>53320</t>
  </si>
  <si>
    <t>538624</t>
  </si>
  <si>
    <t>2905640</t>
  </si>
  <si>
    <t>2848909</t>
  </si>
  <si>
    <t>Raul Oliveira</t>
  </si>
  <si>
    <t>raul.oliveira@suez.com</t>
  </si>
  <si>
    <t>(11) 97586 9162</t>
  </si>
  <si>
    <t xml:space="preserve">Saulo Colenci </t>
  </si>
  <si>
    <t>saulo.colenci@suez.com</t>
  </si>
  <si>
    <t>Cotia (Laboratórios)</t>
  </si>
  <si>
    <t>B042078134</t>
  </si>
  <si>
    <t>M Toledo</t>
  </si>
  <si>
    <t>1113112822</t>
  </si>
  <si>
    <t>Rafaela Gomes</t>
  </si>
  <si>
    <t>rafaela.gomes@suez.com</t>
  </si>
  <si>
    <t>(11) 97192-7984</t>
  </si>
  <si>
    <t>Vinicius de Paula</t>
  </si>
  <si>
    <t>vinicius.paula@suez.com</t>
  </si>
  <si>
    <t>4220739</t>
  </si>
  <si>
    <t>CBA</t>
  </si>
  <si>
    <t>4211535</t>
  </si>
  <si>
    <t>1358800</t>
  </si>
  <si>
    <t>612331</t>
  </si>
  <si>
    <t>Rafael Vieira Da Silva</t>
  </si>
  <si>
    <t>ra.silva@suez.com</t>
  </si>
  <si>
    <t>(67) 98115-2450</t>
  </si>
  <si>
    <t>Rafael Nascimento</t>
  </si>
  <si>
    <t>rafael.nascimento@suez.com</t>
  </si>
  <si>
    <t>1563933</t>
  </si>
  <si>
    <t>Cliente</t>
  </si>
  <si>
    <t>417246</t>
  </si>
  <si>
    <t>Rafael Rodrigues De Campos</t>
  </si>
  <si>
    <t>rafael.campos@suez.com</t>
  </si>
  <si>
    <t>(11) 95784-0665</t>
  </si>
  <si>
    <t>Rafael Campos</t>
  </si>
  <si>
    <t>153160001028</t>
  </si>
  <si>
    <t>AGENDADO</t>
  </si>
  <si>
    <t>160110001009</t>
  </si>
  <si>
    <t>(44) 99172-5427</t>
  </si>
  <si>
    <t>6263667</t>
  </si>
  <si>
    <t>Nova Produtiva</t>
  </si>
  <si>
    <t>150750001006</t>
  </si>
  <si>
    <t>150700001005</t>
  </si>
  <si>
    <t>1483375</t>
  </si>
  <si>
    <t>6252724</t>
  </si>
  <si>
    <t>4220749</t>
  </si>
  <si>
    <t>Lab Suplly</t>
  </si>
  <si>
    <t>sp</t>
  </si>
  <si>
    <t>4239606</t>
  </si>
  <si>
    <t xml:space="preserve">Aliny Nunes </t>
  </si>
  <si>
    <t>aliny.nunes@suez.com</t>
  </si>
  <si>
    <t>(11) 95569-1312</t>
  </si>
  <si>
    <t>20090148</t>
  </si>
  <si>
    <t>M214AI</t>
  </si>
  <si>
    <t>Pecém-CE</t>
  </si>
  <si>
    <t>CSP</t>
  </si>
  <si>
    <t xml:space="preserve">Glaydiane Melo </t>
  </si>
  <si>
    <t>glaydiane.melo@suez.com</t>
  </si>
  <si>
    <t>(15) 99731-4948</t>
  </si>
  <si>
    <t>59331</t>
  </si>
  <si>
    <t xml:space="preserve">Maracanaú-CE </t>
  </si>
  <si>
    <t>GERDAU</t>
  </si>
  <si>
    <t>1788818</t>
  </si>
  <si>
    <t>Quixeré-CE</t>
  </si>
  <si>
    <t>Apodi Quixeré</t>
  </si>
  <si>
    <t>59343</t>
  </si>
  <si>
    <t>59792</t>
  </si>
  <si>
    <t>72555 </t>
  </si>
  <si>
    <t>Digimed</t>
  </si>
  <si>
    <t>DM22 </t>
  </si>
  <si>
    <t>72561 </t>
  </si>
  <si>
    <t>DIGIMED </t>
  </si>
  <si>
    <t>DM32 </t>
  </si>
  <si>
    <t>CSP </t>
  </si>
  <si>
    <t>13-Nov-21 </t>
  </si>
  <si>
    <t>212256601040 </t>
  </si>
  <si>
    <t>HACH </t>
  </si>
  <si>
    <t>DR900 </t>
  </si>
  <si>
    <t>Gerdal </t>
  </si>
  <si>
    <t>21080D000413 </t>
  </si>
  <si>
    <t>2100Qis </t>
  </si>
  <si>
    <t>GERDAL</t>
  </si>
  <si>
    <t>20030C0092</t>
  </si>
  <si>
    <t>DRB200</t>
  </si>
  <si>
    <t>Ozeas Boone Rufino</t>
  </si>
  <si>
    <t>ozeas.rufino@suez.com</t>
  </si>
  <si>
    <t>(13) 98138-9202</t>
  </si>
  <si>
    <t>Rodrigo Silva</t>
  </si>
  <si>
    <t>rodrigo.silva@suez.com</t>
  </si>
  <si>
    <t>12199</t>
  </si>
  <si>
    <t>Arcelor Mittal</t>
  </si>
  <si>
    <t>1199043</t>
  </si>
  <si>
    <t>6247839</t>
  </si>
  <si>
    <t>6261856</t>
  </si>
  <si>
    <t>48493</t>
  </si>
  <si>
    <t>1521</t>
  </si>
  <si>
    <t>68553</t>
  </si>
  <si>
    <t>Fabiano Argolo</t>
  </si>
  <si>
    <t>fabiano.argolo@suez.com</t>
  </si>
  <si>
    <t>(21) 99657-0065</t>
  </si>
  <si>
    <t>Miguel Frug</t>
  </si>
  <si>
    <t>miguel.frug@suez.com</t>
  </si>
  <si>
    <t>Ambev Macacu-RJ</t>
  </si>
  <si>
    <t>AMBEV</t>
  </si>
  <si>
    <t>Matheus Hermes Bahr</t>
  </si>
  <si>
    <t>matheus.bahr@suez.com</t>
  </si>
  <si>
    <t>(47) 99138-6501</t>
  </si>
  <si>
    <t>WEG</t>
  </si>
  <si>
    <t>4212780</t>
  </si>
  <si>
    <t>6253769</t>
  </si>
  <si>
    <t>6251804</t>
  </si>
  <si>
    <t>6258650</t>
  </si>
  <si>
    <t>6253770</t>
  </si>
  <si>
    <t>6247088</t>
  </si>
  <si>
    <t>Matheus Henrique Veloso Ferreira</t>
  </si>
  <si>
    <t>matheus.ferreira@suez.com</t>
  </si>
  <si>
    <t>(38) 99722-7683</t>
  </si>
  <si>
    <t>182180001049</t>
  </si>
  <si>
    <t>Coteminas S.A.</t>
  </si>
  <si>
    <t>Luiz Silva</t>
  </si>
  <si>
    <t>luiz.silva@suez.com</t>
  </si>
  <si>
    <t>(82) 98160-7731</t>
  </si>
  <si>
    <t>Edmilson Santos</t>
  </si>
  <si>
    <t>edmilson.santos@suez.com</t>
  </si>
  <si>
    <t>Luciene Irmao</t>
  </si>
  <si>
    <t>luciene.irmao@suez.com</t>
  </si>
  <si>
    <t>(81) 98872-0404</t>
  </si>
  <si>
    <t>H53323</t>
  </si>
  <si>
    <t>970680000371</t>
  </si>
  <si>
    <t>Leonardo Gonçalves</t>
  </si>
  <si>
    <t>leonardo.goncalves@suez.com</t>
  </si>
  <si>
    <t>21 99607-3132</t>
  </si>
  <si>
    <t>Lab E&amp;P</t>
  </si>
  <si>
    <t>B207696042</t>
  </si>
  <si>
    <t>Ohaus</t>
  </si>
  <si>
    <t>28708450</t>
  </si>
  <si>
    <t>Leonardo Felipe Goncalves</t>
  </si>
  <si>
    <t>(21) 99607-3132</t>
  </si>
  <si>
    <t>1827001035259</t>
  </si>
  <si>
    <t>1217253</t>
  </si>
  <si>
    <t>Larissa Robert Da Silva</t>
  </si>
  <si>
    <t>larissa.silva@suez.com</t>
  </si>
  <si>
    <t>RHODIA</t>
  </si>
  <si>
    <t>49334</t>
  </si>
  <si>
    <t>31520</t>
  </si>
  <si>
    <t>12587</t>
  </si>
  <si>
    <t>141490001004</t>
  </si>
  <si>
    <t>768951</t>
  </si>
  <si>
    <t>Kleber Lima</t>
  </si>
  <si>
    <t>kleber.silva@suez.com</t>
  </si>
  <si>
    <t>(11) 2139-2013</t>
  </si>
  <si>
    <t>1207916</t>
  </si>
  <si>
    <t>1137166</t>
  </si>
  <si>
    <t>Lab Aguas</t>
  </si>
  <si>
    <t>Pipeta</t>
  </si>
  <si>
    <t>P31644C</t>
  </si>
  <si>
    <t>Eppendorf</t>
  </si>
  <si>
    <t>27308347</t>
  </si>
  <si>
    <t>Lab Prep Amostras</t>
  </si>
  <si>
    <t>D452201536</t>
  </si>
  <si>
    <t>B142364760</t>
  </si>
  <si>
    <t>X09247</t>
  </si>
  <si>
    <t>Thermo</t>
  </si>
  <si>
    <t>ME905279</t>
  </si>
  <si>
    <t>Boeco</t>
  </si>
  <si>
    <t>ME905258</t>
  </si>
  <si>
    <t>20D57924</t>
  </si>
  <si>
    <t>19B28639</t>
  </si>
  <si>
    <t>M23227B</t>
  </si>
  <si>
    <t>Ygor Marinho</t>
  </si>
  <si>
    <t>ygor.marinho@suez.com</t>
  </si>
  <si>
    <t>(37) 9964-6048</t>
  </si>
  <si>
    <t>133510002005</t>
  </si>
  <si>
    <t>José Alexandre do Nascimento</t>
  </si>
  <si>
    <t>jose.nascimento@suez.com</t>
  </si>
  <si>
    <t>(31) 99217-1073</t>
  </si>
  <si>
    <t>341053</t>
  </si>
  <si>
    <t>Juiz de Fora- MG</t>
  </si>
  <si>
    <t>Mercedes Benz</t>
  </si>
  <si>
    <t>Jobson Rodrigo Larrubia Da Silva</t>
  </si>
  <si>
    <t>jobson-rodrigo.silva@suez.com</t>
  </si>
  <si>
    <t>(21) 98110-2537</t>
  </si>
  <si>
    <t>1228415241</t>
  </si>
  <si>
    <t>Mettle Toledo</t>
  </si>
  <si>
    <t>Seven GO</t>
  </si>
  <si>
    <t>mercedes Benz</t>
  </si>
  <si>
    <t>4224380</t>
  </si>
  <si>
    <t>Arlanxeo</t>
  </si>
  <si>
    <t>4226194</t>
  </si>
  <si>
    <t>1518973</t>
  </si>
  <si>
    <t xml:space="preserve">Ronaldo Melo </t>
  </si>
  <si>
    <t>ronaldo.melo@suez.com</t>
  </si>
  <si>
    <t>133510002007</t>
  </si>
  <si>
    <t>Jardiel Jose de Oliveira</t>
  </si>
  <si>
    <t>jardiel.oliveira@suez.com</t>
  </si>
  <si>
    <t>(86) 99408-7574</t>
  </si>
  <si>
    <t>182790001035</t>
  </si>
  <si>
    <t>4227209</t>
  </si>
  <si>
    <t>4227316</t>
  </si>
  <si>
    <t>181790001011</t>
  </si>
  <si>
    <t>2224264</t>
  </si>
  <si>
    <t>2068798</t>
  </si>
  <si>
    <t>Jackson Augusto Gomes</t>
  </si>
  <si>
    <t>jackson.gomes@suez.com</t>
  </si>
  <si>
    <t>(32) 99132-8924</t>
  </si>
  <si>
    <t>Mercedez Bens</t>
  </si>
  <si>
    <t>4222111</t>
  </si>
  <si>
    <t>1646</t>
  </si>
  <si>
    <t>Jonathan Giovedy</t>
  </si>
  <si>
    <t>jonathan.giovedy@suez.com</t>
  </si>
  <si>
    <t>(19) 99965-7673</t>
  </si>
  <si>
    <t>Gustavo Rowe</t>
  </si>
  <si>
    <t>gustavo.rowe@suez.com</t>
  </si>
  <si>
    <t>Humberto de Campos Junior</t>
  </si>
  <si>
    <t>humberto.junior@suez.com</t>
  </si>
  <si>
    <t>(19) 97147 2917</t>
  </si>
  <si>
    <t>Gustavo Pereira</t>
  </si>
  <si>
    <t>gustavo.pereira@suez.com</t>
  </si>
  <si>
    <t>ELEKEIROS</t>
  </si>
  <si>
    <t>4222088</t>
  </si>
  <si>
    <t>1314664</t>
  </si>
  <si>
    <t>1378680</t>
  </si>
  <si>
    <t>893757</t>
  </si>
  <si>
    <t>Hugo Cavalcante</t>
  </si>
  <si>
    <t>hugo.cavalcante@suez.com</t>
  </si>
  <si>
    <t>(85) 99991-8828</t>
  </si>
  <si>
    <t>Osvaldo Melo (Dib)</t>
  </si>
  <si>
    <t>osvaldo.melo@suez.com</t>
  </si>
  <si>
    <t>140690002033</t>
  </si>
  <si>
    <t>TBM</t>
  </si>
  <si>
    <t>67108</t>
  </si>
  <si>
    <t>68352</t>
  </si>
  <si>
    <t>Glauber Ruiz</t>
  </si>
  <si>
    <t>glauber.ruiz@suez.com</t>
  </si>
  <si>
    <t>42 99157-6316</t>
  </si>
  <si>
    <t>Leandro Zunkowski</t>
  </si>
  <si>
    <t>leandro.zunkowski@suez.com</t>
  </si>
  <si>
    <t>6273833</t>
  </si>
  <si>
    <t>Giovana Tardelli</t>
  </si>
  <si>
    <t>giovana.tardelli@suez.com</t>
  </si>
  <si>
    <t>(11) 96343-9697</t>
  </si>
  <si>
    <t>Ana Oliveira</t>
  </si>
  <si>
    <t>ana.oliveira@suez.com</t>
  </si>
  <si>
    <t>Sorocaba (Laboratórios)</t>
  </si>
  <si>
    <t>1306C026283</t>
  </si>
  <si>
    <t>1027001034317</t>
  </si>
  <si>
    <t>1827001034324</t>
  </si>
  <si>
    <t>2102266601021</t>
  </si>
  <si>
    <t>Gabriel Lourenço</t>
  </si>
  <si>
    <t>gabriel.lourenco@suez.com</t>
  </si>
  <si>
    <t>(31) 99838-4748</t>
  </si>
  <si>
    <t>63442</t>
  </si>
  <si>
    <t>4212782</t>
  </si>
  <si>
    <t>Flaminio Neto</t>
  </si>
  <si>
    <t>flaminio.neto@suez.com</t>
  </si>
  <si>
    <t>(16) 99610-2979</t>
  </si>
  <si>
    <t>Araraquara (Lab)</t>
  </si>
  <si>
    <t>Fernanda Kaiser</t>
  </si>
  <si>
    <t>fernanda.kaiser@suez.com</t>
  </si>
  <si>
    <t>(51) 98105-8910</t>
  </si>
  <si>
    <t>Heavy Industry - Fenix</t>
  </si>
  <si>
    <t>4212781</t>
  </si>
  <si>
    <t>Braskem</t>
  </si>
  <si>
    <t>1228420502</t>
  </si>
  <si>
    <t>141160002025</t>
  </si>
  <si>
    <t>133570002031</t>
  </si>
  <si>
    <t>4223906</t>
  </si>
  <si>
    <t>1401857</t>
  </si>
  <si>
    <t>10003036</t>
  </si>
  <si>
    <t>2068764</t>
  </si>
  <si>
    <t>2068786</t>
  </si>
  <si>
    <t>2224284</t>
  </si>
  <si>
    <t>728690</t>
  </si>
  <si>
    <t>11050C0018</t>
  </si>
  <si>
    <t>2068717</t>
  </si>
  <si>
    <t>Felipe Viegas</t>
  </si>
  <si>
    <t>felipe.viegas@suez.com</t>
  </si>
  <si>
    <t>(34) 98170-2525</t>
  </si>
  <si>
    <t>Cargill</t>
  </si>
  <si>
    <t>(34) 98170-2526</t>
  </si>
  <si>
    <t>1378679</t>
  </si>
  <si>
    <t>hach</t>
  </si>
  <si>
    <t>DR2800</t>
  </si>
  <si>
    <t>Thiago Tomazelli</t>
  </si>
  <si>
    <t>thiago.tomazelli@suez.com</t>
  </si>
  <si>
    <t>6255191</t>
  </si>
  <si>
    <t>Felipe Rokicki</t>
  </si>
  <si>
    <t>bianca.dossantos@suez.com</t>
  </si>
  <si>
    <t>(11) 98251-1011</t>
  </si>
  <si>
    <t>felipe.rokicki@suez.com</t>
  </si>
  <si>
    <t>10079C21465</t>
  </si>
  <si>
    <t>Everton Delturqui</t>
  </si>
  <si>
    <t>everton.delturqui@suez.com</t>
  </si>
  <si>
    <t>(12) 99783-1123</t>
  </si>
  <si>
    <t>150080001029</t>
  </si>
  <si>
    <t>DELTA</t>
  </si>
  <si>
    <t>40400007670</t>
  </si>
  <si>
    <t>6257535</t>
  </si>
  <si>
    <t>50009</t>
  </si>
  <si>
    <t>Eduardo Mello</t>
  </si>
  <si>
    <t>eduardo.mello@suez.com</t>
  </si>
  <si>
    <t>(21) 98103-6080</t>
  </si>
  <si>
    <t>143160001033</t>
  </si>
  <si>
    <t>782590</t>
  </si>
  <si>
    <t>4211933</t>
  </si>
  <si>
    <t>1512638</t>
  </si>
  <si>
    <t>6244344</t>
  </si>
  <si>
    <t>1518977</t>
  </si>
  <si>
    <t>Eduardo Garcia Zotto</t>
  </si>
  <si>
    <t>eduardo.zotto@suez.com</t>
  </si>
  <si>
    <t xml:space="preserve">(14)  99836 9382  </t>
  </si>
  <si>
    <t>Rafael Pietro</t>
  </si>
  <si>
    <t>rafael.pietro@suez.com</t>
  </si>
  <si>
    <t>179</t>
  </si>
  <si>
    <t xml:space="preserve">(31) 99735-2775 </t>
  </si>
  <si>
    <t>Deivid elias</t>
  </si>
  <si>
    <t>deivid.elias@suez.com</t>
  </si>
  <si>
    <t>(55) 9626-8529</t>
  </si>
  <si>
    <t>Karla Perin</t>
  </si>
  <si>
    <t>karla.perin@suez.com</t>
  </si>
  <si>
    <t>150580001012</t>
  </si>
  <si>
    <t>AES</t>
  </si>
  <si>
    <t>4P</t>
  </si>
  <si>
    <t xml:space="preserve">Caio Tascano </t>
  </si>
  <si>
    <t>caio.tascano@suez.com</t>
  </si>
  <si>
    <t>(11) 2139 -1121</t>
  </si>
  <si>
    <t>Ajmicronal</t>
  </si>
  <si>
    <t>David De Oliveira Dos Santos</t>
  </si>
  <si>
    <t>david.santos@suez.com</t>
  </si>
  <si>
    <t>(11) 2139-2082</t>
  </si>
  <si>
    <t>472748</t>
  </si>
  <si>
    <t>Davi Nascimento Santos</t>
  </si>
  <si>
    <t>(11) 98371-6541</t>
  </si>
  <si>
    <t>4212786</t>
  </si>
  <si>
    <t>2901955</t>
  </si>
  <si>
    <t>2901959</t>
  </si>
  <si>
    <t>Clovis Oliveira</t>
  </si>
  <si>
    <t>clovis.oliveira@suez.com</t>
  </si>
  <si>
    <t>(24) 98112-8147</t>
  </si>
  <si>
    <t>Bianca dos Santos</t>
  </si>
  <si>
    <t>(11) 95163-4425</t>
  </si>
  <si>
    <t>Mateus Ambrosio</t>
  </si>
  <si>
    <t>matheus.ambrosio@suez.com</t>
  </si>
  <si>
    <t>10030C001527</t>
  </si>
  <si>
    <t>Gustavo Sant'ana</t>
  </si>
  <si>
    <t>gustavo.santana@suez.com</t>
  </si>
  <si>
    <t>(11) 99885-5618</t>
  </si>
  <si>
    <t>Fábio Morais</t>
  </si>
  <si>
    <t>fabio.morais@suez.com</t>
  </si>
  <si>
    <t>56698</t>
  </si>
  <si>
    <t>1394478</t>
  </si>
  <si>
    <t>4396</t>
  </si>
  <si>
    <t>Antonio Aguimar Ribeiro</t>
  </si>
  <si>
    <t>a.ribeiro@suez.com</t>
  </si>
  <si>
    <t>(11) 95476-9333</t>
  </si>
  <si>
    <t>Nitroquimica</t>
  </si>
  <si>
    <t>940600030283</t>
  </si>
  <si>
    <t>2830186</t>
  </si>
  <si>
    <t>Anderson Brandão de Souza</t>
  </si>
  <si>
    <t>anderson.souza@suez.com</t>
  </si>
  <si>
    <t>(73) 9198-0509</t>
  </si>
  <si>
    <t>Antonio Santos</t>
  </si>
  <si>
    <t>an.santos@suez.com</t>
  </si>
  <si>
    <t>Barry Callebaut</t>
  </si>
  <si>
    <t>ER ANALITICA</t>
  </si>
  <si>
    <t>410480</t>
  </si>
  <si>
    <t>Myron L</t>
  </si>
  <si>
    <t>614031</t>
  </si>
  <si>
    <t>4210448</t>
  </si>
  <si>
    <t xml:space="preserve">Myron L </t>
  </si>
  <si>
    <t>Renato Chialastri</t>
  </si>
  <si>
    <t>renato.chialastri@suez.com</t>
  </si>
  <si>
    <t>Myron L company</t>
  </si>
  <si>
    <t>6263666</t>
  </si>
  <si>
    <t>Myron L. Company</t>
  </si>
  <si>
    <t>Utrameter II 6P</t>
  </si>
  <si>
    <t>Caarapó- MS</t>
  </si>
  <si>
    <t>4220746</t>
  </si>
  <si>
    <t>DR1900</t>
  </si>
  <si>
    <t>210266601021</t>
  </si>
  <si>
    <t>DR900</t>
  </si>
  <si>
    <t>210246661016</t>
  </si>
  <si>
    <t>A15763</t>
  </si>
  <si>
    <t>Anderson Oliveira</t>
  </si>
  <si>
    <t>PA</t>
  </si>
  <si>
    <t>200710001808</t>
  </si>
  <si>
    <t>Pocket Pro</t>
  </si>
  <si>
    <t>Barcarena-PA</t>
  </si>
  <si>
    <t>200710001815</t>
  </si>
  <si>
    <t>68923</t>
  </si>
  <si>
    <t>DM-32</t>
  </si>
  <si>
    <t>68768</t>
  </si>
  <si>
    <t>69755</t>
  </si>
  <si>
    <t>2005741</t>
  </si>
  <si>
    <t>DR3900</t>
  </si>
  <si>
    <t>Marcelo Bovolenta</t>
  </si>
  <si>
    <t>(65) 98124- 4236</t>
  </si>
  <si>
    <t>MT</t>
  </si>
  <si>
    <t>1404677</t>
  </si>
  <si>
    <t xml:space="preserve"> Hach</t>
  </si>
  <si>
    <t>Nova Olimpia-MT</t>
  </si>
  <si>
    <t xml:space="preserve">Usinas Itamarati </t>
  </si>
  <si>
    <t>(65) 98124- 4237</t>
  </si>
  <si>
    <t>Fotômetro</t>
  </si>
  <si>
    <t>10079BC21470</t>
  </si>
  <si>
    <t>DR890</t>
  </si>
  <si>
    <t>(65) 98124- 4238</t>
  </si>
  <si>
    <t>4221150</t>
  </si>
  <si>
    <t>Myron</t>
  </si>
  <si>
    <t>(65) 98124- 4239</t>
  </si>
  <si>
    <t>6213432</t>
  </si>
  <si>
    <t xml:space="preserve">6P </t>
  </si>
  <si>
    <t>(65) 98124- 4240</t>
  </si>
  <si>
    <t xml:space="preserve">Micropipeta </t>
  </si>
  <si>
    <t>NJ01239</t>
  </si>
  <si>
    <t xml:space="preserve">Finnpipette F2 100 - 1000uL </t>
  </si>
  <si>
    <t>(65) 98124- 4241</t>
  </si>
  <si>
    <t>NJ01219</t>
  </si>
  <si>
    <t>Finnpipette F2 10 - 100uL</t>
  </si>
  <si>
    <t>(65) 98124- 4242</t>
  </si>
  <si>
    <t>NJ01259</t>
  </si>
  <si>
    <t xml:space="preserve"> Finnpipette F2 1-10mL </t>
  </si>
  <si>
    <t>Natália Correia</t>
  </si>
  <si>
    <t>natalia.correa@suez.com</t>
  </si>
  <si>
    <t>(16) 99756-8086</t>
  </si>
  <si>
    <t>4229146</t>
  </si>
  <si>
    <t xml:space="preserve"> 4P</t>
  </si>
  <si>
    <t>6273676</t>
  </si>
  <si>
    <t>6P</t>
  </si>
  <si>
    <t>6270110</t>
  </si>
  <si>
    <t>210246601028</t>
  </si>
  <si>
    <t>2015768</t>
  </si>
  <si>
    <t>2905626</t>
  </si>
  <si>
    <t>13034</t>
  </si>
  <si>
    <t>2905620</t>
  </si>
  <si>
    <t>2901943</t>
  </si>
  <si>
    <t>L6607</t>
  </si>
  <si>
    <t>6263410</t>
  </si>
  <si>
    <t>1983628</t>
  </si>
  <si>
    <t>1397596</t>
  </si>
  <si>
    <t xml:space="preserve"> DR2800</t>
  </si>
  <si>
    <t>Amanda Mendes</t>
  </si>
  <si>
    <t>amanda.mendes@suez.com</t>
  </si>
  <si>
    <t xml:space="preserve">(16) 9 8156-3130 </t>
  </si>
  <si>
    <t>Rony Funes</t>
  </si>
  <si>
    <t>rony.funes@suez.com</t>
  </si>
  <si>
    <t xml:space="preserve"> DM-3P</t>
  </si>
  <si>
    <t>Prometeon</t>
  </si>
  <si>
    <t>(16) 9 8156-3131</t>
  </si>
  <si>
    <t xml:space="preserve"> L6606</t>
  </si>
  <si>
    <t>(16) 9 8156-3132</t>
  </si>
  <si>
    <t>6266879</t>
  </si>
  <si>
    <t>Ultrameter II 6P</t>
  </si>
  <si>
    <t xml:space="preserve">Divinópolis- MG </t>
  </si>
  <si>
    <t>6269690</t>
  </si>
  <si>
    <t>MP-6</t>
  </si>
  <si>
    <t>Myron L C</t>
  </si>
  <si>
    <t>Aguardando informações do Guillermo</t>
  </si>
  <si>
    <t>12119BC222005</t>
  </si>
  <si>
    <t xml:space="preserve">Aguardando infromações do Guillermo </t>
  </si>
  <si>
    <t>Braulio Heherra</t>
  </si>
  <si>
    <t>braulio.herrera@suez.com</t>
  </si>
  <si>
    <t>(19)99906-7480</t>
  </si>
  <si>
    <t>Analisador de Umidade</t>
  </si>
  <si>
    <t>D207302309</t>
  </si>
  <si>
    <t xml:space="preserve">Laboratório Cotia </t>
  </si>
  <si>
    <t>Itana Sousa</t>
  </si>
  <si>
    <t>itana.souza@suez.com</t>
  </si>
  <si>
    <t>(71) 99714-5909</t>
  </si>
  <si>
    <t>Braskem Q-1</t>
  </si>
  <si>
    <t xml:space="preserve">Multiparâmetro </t>
  </si>
  <si>
    <t xml:space="preserve"> Thermo Scientific</t>
  </si>
  <si>
    <t>(71) 99714-5910</t>
  </si>
  <si>
    <t>Braskem Q-2</t>
  </si>
  <si>
    <t xml:space="preserve"> 11080C011203</t>
  </si>
  <si>
    <t>(71) 99714-5911</t>
  </si>
  <si>
    <t>Braskem Q-3</t>
  </si>
  <si>
    <t xml:space="preserve"> 1591465</t>
  </si>
  <si>
    <t xml:space="preserve"> DR3900</t>
  </si>
  <si>
    <t>(71) 99714-5912</t>
  </si>
  <si>
    <t>Braskem Q-4</t>
  </si>
  <si>
    <t>Myron Company</t>
  </si>
  <si>
    <t>Ultrameter II</t>
  </si>
  <si>
    <t>(71) 99714-5913</t>
  </si>
  <si>
    <t>Braskem Q-5</t>
  </si>
  <si>
    <t>GE Infrastructure</t>
  </si>
  <si>
    <t>(71) 99714-5914</t>
  </si>
  <si>
    <t>Braskem Q-6</t>
  </si>
  <si>
    <t>Seven 2 Go</t>
  </si>
  <si>
    <t>(71) 99714-5915</t>
  </si>
  <si>
    <t>Braskem Q-7</t>
  </si>
  <si>
    <t xml:space="preserve"> 2100Q</t>
  </si>
  <si>
    <t>(71) 99714-5916</t>
  </si>
  <si>
    <t>Braskem Q-8</t>
  </si>
  <si>
    <t xml:space="preserve"> Orion 4 Star</t>
  </si>
  <si>
    <t>(71) 99714-5917</t>
  </si>
  <si>
    <t>Braskem Q-9</t>
  </si>
  <si>
    <t>MS204S</t>
  </si>
  <si>
    <t>(71) 99714-5918</t>
  </si>
  <si>
    <t>Braskem Q-10</t>
  </si>
  <si>
    <t>2062403</t>
  </si>
  <si>
    <t>(71) 99714-5919</t>
  </si>
  <si>
    <t>Braskem Q-11</t>
  </si>
  <si>
    <t>Anderson Souza</t>
  </si>
  <si>
    <t>(73) 99198-0509</t>
  </si>
  <si>
    <t>Antonio Ferreira</t>
  </si>
  <si>
    <t>antonio.ferreira@suez.com</t>
  </si>
  <si>
    <t>12049BC22029</t>
  </si>
  <si>
    <t xml:space="preserve"> DR890</t>
  </si>
  <si>
    <t>121290C93261</t>
  </si>
  <si>
    <t xml:space="preserve"> 16020C047582</t>
  </si>
  <si>
    <t>José Nascimento</t>
  </si>
  <si>
    <t>2736</t>
  </si>
  <si>
    <t>4211939</t>
  </si>
  <si>
    <t>Myron L.C</t>
  </si>
  <si>
    <t>4222022</t>
  </si>
  <si>
    <t xml:space="preserve"> 4PII</t>
  </si>
  <si>
    <t>4226993</t>
  </si>
  <si>
    <t>1531607</t>
  </si>
  <si>
    <t>DR 3900</t>
  </si>
  <si>
    <t xml:space="preserve"> 2017108474</t>
  </si>
  <si>
    <t>Prominent</t>
  </si>
  <si>
    <t xml:space="preserve"> 2017006235</t>
  </si>
  <si>
    <t>6265833</t>
  </si>
  <si>
    <t>3008531</t>
  </si>
  <si>
    <t>Oakton</t>
  </si>
  <si>
    <t>pH 5+</t>
  </si>
  <si>
    <t>6247093</t>
  </si>
  <si>
    <t xml:space="preserve">Braskem </t>
  </si>
  <si>
    <t>Valor total</t>
  </si>
  <si>
    <t>Realizado</t>
  </si>
  <si>
    <t>A realizar</t>
  </si>
  <si>
    <t>Country</t>
  </si>
  <si>
    <t>Obs.</t>
  </si>
  <si>
    <t>Brasil</t>
  </si>
  <si>
    <t>096601_01</t>
  </si>
  <si>
    <t>Hexis</t>
  </si>
  <si>
    <t>LQ-3012/21</t>
  </si>
  <si>
    <t>LQ-3150/21</t>
  </si>
  <si>
    <t>090497_01</t>
  </si>
  <si>
    <t>092216_01</t>
  </si>
  <si>
    <t>092252_01</t>
  </si>
  <si>
    <t>092230_01</t>
  </si>
  <si>
    <t>092274_01</t>
  </si>
  <si>
    <t>092250_01</t>
  </si>
  <si>
    <t>092242_01</t>
  </si>
  <si>
    <t>092241_01</t>
  </si>
  <si>
    <t>092247_01</t>
  </si>
  <si>
    <t>092251_01</t>
  </si>
  <si>
    <t>092235_01</t>
  </si>
  <si>
    <t>092231_01</t>
  </si>
  <si>
    <t>LO-7879/21</t>
  </si>
  <si>
    <t>LQ-3011/21</t>
  </si>
  <si>
    <t>LQ-3013/21</t>
  </si>
  <si>
    <t>LQ-3014/21</t>
  </si>
  <si>
    <t>LQ-3016/20</t>
  </si>
  <si>
    <t>LQ-3015/21</t>
  </si>
  <si>
    <t>089853_01</t>
  </si>
  <si>
    <t>bianca.santos@suez.com</t>
  </si>
  <si>
    <t>Higor Mendonça Jesus</t>
  </si>
  <si>
    <t>higor.mendoncadejesus@suez.com</t>
  </si>
  <si>
    <t>090500_01</t>
  </si>
  <si>
    <t>091359_01</t>
  </si>
  <si>
    <t>093175_01</t>
  </si>
  <si>
    <t>093174_01</t>
  </si>
  <si>
    <t>093172_01</t>
  </si>
  <si>
    <t>093173_01</t>
  </si>
  <si>
    <t xml:space="preserve">093195_01 </t>
  </si>
  <si>
    <t>093193_01</t>
  </si>
  <si>
    <t>093191_01</t>
  </si>
  <si>
    <t>093190_01</t>
  </si>
  <si>
    <t>093197_01</t>
  </si>
  <si>
    <t xml:space="preserve">093188_01 </t>
  </si>
  <si>
    <t>093187_01</t>
  </si>
  <si>
    <t>093189_01</t>
  </si>
  <si>
    <t>093185_01</t>
  </si>
  <si>
    <t>093186_01</t>
  </si>
  <si>
    <t xml:space="preserve">093181_01 </t>
  </si>
  <si>
    <t>093179_01</t>
  </si>
  <si>
    <t xml:space="preserve">093194_01 </t>
  </si>
  <si>
    <t>093178_01</t>
  </si>
  <si>
    <t>093184_01</t>
  </si>
  <si>
    <t xml:space="preserve">093182_01 </t>
  </si>
  <si>
    <t>093192_01</t>
  </si>
  <si>
    <t xml:space="preserve">093180_01 </t>
  </si>
  <si>
    <t>LQ-3043/21</t>
  </si>
  <si>
    <t>LQ-3044/21</t>
  </si>
  <si>
    <t>LO-7980/21</t>
  </si>
  <si>
    <t>LO-7981/21</t>
  </si>
  <si>
    <t>LO-7979/21</t>
  </si>
  <si>
    <t>092227_01</t>
  </si>
  <si>
    <t>092228_01</t>
  </si>
  <si>
    <t>092239_01</t>
  </si>
  <si>
    <t>092234_01</t>
  </si>
  <si>
    <t>092245_01</t>
  </si>
  <si>
    <t>093696_01</t>
  </si>
  <si>
    <t>093230_01</t>
  </si>
  <si>
    <t>092501_01</t>
  </si>
  <si>
    <t>092503_01</t>
  </si>
  <si>
    <t xml:space="preserve">092504_01 </t>
  </si>
  <si>
    <t>092502_01</t>
  </si>
  <si>
    <t>092500_01</t>
  </si>
  <si>
    <t>093555_01</t>
  </si>
  <si>
    <t>093556_01</t>
  </si>
  <si>
    <t>093554_01</t>
  </si>
  <si>
    <t>093632_01</t>
  </si>
  <si>
    <t>093557_01</t>
  </si>
  <si>
    <t xml:space="preserve">093629_01 </t>
  </si>
  <si>
    <t>093621_01</t>
  </si>
  <si>
    <t xml:space="preserve">093630_01 </t>
  </si>
  <si>
    <t>093625_01</t>
  </si>
  <si>
    <t>093624_01</t>
  </si>
  <si>
    <t xml:space="preserve">093654_01 </t>
  </si>
  <si>
    <t>093619_01</t>
  </si>
  <si>
    <t>093620_01</t>
  </si>
  <si>
    <t>Rhodia Poliamida</t>
  </si>
  <si>
    <t>LQ-2866/20</t>
  </si>
  <si>
    <t>LQ-3047/79</t>
  </si>
  <si>
    <t>SANTA CRUZ - RJ</t>
  </si>
  <si>
    <t>088550_01</t>
  </si>
  <si>
    <t>Patricia Campos</t>
  </si>
  <si>
    <t>patricia.campos@suez.com</t>
  </si>
  <si>
    <t>(85) 98185-8515</t>
  </si>
  <si>
    <t>088961_01</t>
  </si>
  <si>
    <t>089022_01</t>
  </si>
  <si>
    <t>Isaac Alves Pinto</t>
  </si>
  <si>
    <t>isaac.pinto@suez.com</t>
  </si>
  <si>
    <t>(99) 99144-4609</t>
  </si>
  <si>
    <t>090292_01</t>
  </si>
  <si>
    <t>090588_01</t>
  </si>
  <si>
    <t>090587_01</t>
  </si>
  <si>
    <t>090687_01</t>
  </si>
  <si>
    <t>090686_01</t>
  </si>
  <si>
    <t>090586_01</t>
  </si>
  <si>
    <t>090590_01</t>
  </si>
  <si>
    <t>090589_01</t>
  </si>
  <si>
    <t xml:space="preserve">092516_01 </t>
  </si>
  <si>
    <t>092513_01</t>
  </si>
  <si>
    <t xml:space="preserve">092511_01 </t>
  </si>
  <si>
    <t>092517_01</t>
  </si>
  <si>
    <t>092515_01</t>
  </si>
  <si>
    <t>092514_01</t>
  </si>
  <si>
    <t>092518_18</t>
  </si>
  <si>
    <t>Thales Eduardo Soares Menezes de Souza</t>
  </si>
  <si>
    <t>thales.souza@suez.com</t>
  </si>
  <si>
    <t>092512_01</t>
  </si>
  <si>
    <t>Jamesson Amaro</t>
  </si>
  <si>
    <t>jamesson.amarodasilva@suez.com</t>
  </si>
  <si>
    <t>092507_01</t>
  </si>
  <si>
    <t xml:space="preserve">092510_01 </t>
  </si>
  <si>
    <t>092509_01</t>
  </si>
  <si>
    <t>092508_01</t>
  </si>
  <si>
    <t>092690_01</t>
  </si>
  <si>
    <t>092700_01</t>
  </si>
  <si>
    <t>092693_01</t>
  </si>
  <si>
    <t>092694_01</t>
  </si>
  <si>
    <t>092692_01</t>
  </si>
  <si>
    <t>092713_01</t>
  </si>
  <si>
    <t>092710_01</t>
  </si>
  <si>
    <t>092711_01</t>
  </si>
  <si>
    <t>092716_01</t>
  </si>
  <si>
    <t>092717_01</t>
  </si>
  <si>
    <t>092709_01</t>
  </si>
  <si>
    <t>gerdau</t>
  </si>
  <si>
    <t>092715_01</t>
  </si>
  <si>
    <t>092704_01</t>
  </si>
  <si>
    <t>092706_01</t>
  </si>
  <si>
    <t>092705_01</t>
  </si>
  <si>
    <t>092718_01</t>
  </si>
  <si>
    <t>092719_01</t>
  </si>
  <si>
    <t>092695_01</t>
  </si>
  <si>
    <t>092701_01</t>
  </si>
  <si>
    <t>092702_01</t>
  </si>
  <si>
    <t>092696_01</t>
  </si>
  <si>
    <t>092699_01</t>
  </si>
  <si>
    <t>093572_01</t>
  </si>
  <si>
    <t>093575_01</t>
  </si>
  <si>
    <t>093569_01</t>
  </si>
  <si>
    <t>093571_01</t>
  </si>
  <si>
    <t>093577_01</t>
  </si>
  <si>
    <t>093578_01</t>
  </si>
  <si>
    <t>093574_01</t>
  </si>
  <si>
    <t>093562_01</t>
  </si>
  <si>
    <t>093563_01</t>
  </si>
  <si>
    <t>093560_01</t>
  </si>
  <si>
    <t>093570_01</t>
  </si>
  <si>
    <t>093566_01</t>
  </si>
  <si>
    <t>093564_01</t>
  </si>
  <si>
    <t>093559_01</t>
  </si>
  <si>
    <t>093568_01</t>
  </si>
  <si>
    <t>093561_01</t>
  </si>
  <si>
    <t>093567_01</t>
  </si>
  <si>
    <t>093743_01</t>
  </si>
  <si>
    <t>093740_01</t>
  </si>
  <si>
    <t>093471_01</t>
  </si>
  <si>
    <t>093739_01</t>
  </si>
  <si>
    <t>093742_01</t>
  </si>
  <si>
    <t>093958_01</t>
  </si>
  <si>
    <t>093955_01</t>
  </si>
  <si>
    <t>093954_01</t>
  </si>
  <si>
    <t>093957_01</t>
  </si>
  <si>
    <t>093956_01</t>
  </si>
  <si>
    <t>092768_01</t>
  </si>
  <si>
    <t>LQ-3001/21</t>
  </si>
  <si>
    <t>LO-7791/21</t>
  </si>
  <si>
    <t>LQ-3005/21</t>
  </si>
  <si>
    <t>LO-7789/21</t>
  </si>
  <si>
    <t>LQ-2997-21</t>
  </si>
  <si>
    <t>LO-7788/21</t>
  </si>
  <si>
    <t>LQ-2998/21</t>
  </si>
  <si>
    <t>LQ-2999-21</t>
  </si>
  <si>
    <t>Rio de Janeiro</t>
  </si>
  <si>
    <t>095758_01</t>
  </si>
  <si>
    <t>LO-8077/21</t>
  </si>
  <si>
    <t>LQ-3076/21</t>
  </si>
  <si>
    <t>LQ-3075/21</t>
  </si>
  <si>
    <t>LQ-3077/21</t>
  </si>
  <si>
    <t>LO-8132/21</t>
  </si>
  <si>
    <t>089044_01</t>
  </si>
  <si>
    <t>089045_01</t>
  </si>
  <si>
    <t>Jackson Ritt</t>
  </si>
  <si>
    <t>jackson.ritt@suez.com</t>
  </si>
  <si>
    <t>(41) 99157-2650</t>
  </si>
  <si>
    <t>089898_01</t>
  </si>
  <si>
    <t>092896_01</t>
  </si>
  <si>
    <t>091410_01</t>
  </si>
  <si>
    <t>091411_01</t>
  </si>
  <si>
    <t>091412_01</t>
  </si>
  <si>
    <t>091413_01</t>
  </si>
  <si>
    <t>091414_01</t>
  </si>
  <si>
    <t>091415_01</t>
  </si>
  <si>
    <t>091416_01</t>
  </si>
  <si>
    <t>091417_01</t>
  </si>
  <si>
    <t>091418_01</t>
  </si>
  <si>
    <t>092573_01</t>
  </si>
  <si>
    <t>092574_01</t>
  </si>
  <si>
    <t>092575_01</t>
  </si>
  <si>
    <t xml:space="preserve">092578_01 </t>
  </si>
  <si>
    <t>092576_01</t>
  </si>
  <si>
    <t>092577_01</t>
  </si>
  <si>
    <t>092955_01</t>
  </si>
  <si>
    <t>092956_01</t>
  </si>
  <si>
    <t>092569_01</t>
  </si>
  <si>
    <t xml:space="preserve">092567_01 </t>
  </si>
  <si>
    <t xml:space="preserve">092566_01 </t>
  </si>
  <si>
    <t>092568_01</t>
  </si>
  <si>
    <t>093121_01</t>
  </si>
  <si>
    <t>093122_01</t>
  </si>
  <si>
    <t>093123_01</t>
  </si>
  <si>
    <t>093120_01</t>
  </si>
  <si>
    <t>093124_01</t>
  </si>
  <si>
    <t>093126_01</t>
  </si>
  <si>
    <t>093125_01</t>
  </si>
  <si>
    <t>093408_01</t>
  </si>
  <si>
    <t>093411_01</t>
  </si>
  <si>
    <t>093407_01</t>
  </si>
  <si>
    <t>093410_01</t>
  </si>
  <si>
    <t>093409_01</t>
  </si>
  <si>
    <t>LO-7870/21</t>
  </si>
  <si>
    <t>092218_01</t>
  </si>
  <si>
    <t>092217_01</t>
  </si>
  <si>
    <t>092278_01</t>
  </si>
  <si>
    <t>092249_01</t>
  </si>
  <si>
    <t>092296_01</t>
  </si>
  <si>
    <t>092297_01</t>
  </si>
  <si>
    <t>092298_01</t>
  </si>
  <si>
    <t>093583_01</t>
  </si>
  <si>
    <t>093582_01</t>
  </si>
  <si>
    <t xml:space="preserve">Ambev </t>
  </si>
  <si>
    <t>(21) 97174-7544</t>
  </si>
  <si>
    <t>LO-7665/20</t>
  </si>
  <si>
    <t>LQ-2936/20</t>
  </si>
  <si>
    <t>LQ-2937/20</t>
  </si>
  <si>
    <t>Izack Gomes</t>
  </si>
  <si>
    <t>izack.gomes@suez.com</t>
  </si>
  <si>
    <t>(11) 94379-0134</t>
  </si>
  <si>
    <t>Cristiano Lima</t>
  </si>
  <si>
    <t>cristiano.lima@suez.com</t>
  </si>
  <si>
    <t>(14) 98117-0984</t>
  </si>
  <si>
    <t>089391_01</t>
  </si>
  <si>
    <t>Ulisses Alves De Sibia</t>
  </si>
  <si>
    <t>ulisses.sibia@suez.com</t>
  </si>
  <si>
    <t>(14) 98157-5005</t>
  </si>
  <si>
    <t>089394_01</t>
  </si>
  <si>
    <t>Mauricio borges</t>
  </si>
  <si>
    <t>mauricio.borges@suez.com</t>
  </si>
  <si>
    <t>(62) 99654-5995</t>
  </si>
  <si>
    <t>091058_01</t>
  </si>
  <si>
    <t>092225_01</t>
  </si>
  <si>
    <t>(14) 99855-3966</t>
  </si>
  <si>
    <t>092506_01</t>
  </si>
  <si>
    <t>092505_01</t>
  </si>
  <si>
    <t>092689_01</t>
  </si>
  <si>
    <t>093263_01</t>
  </si>
  <si>
    <t>093262_01</t>
  </si>
  <si>
    <t>092687_01</t>
  </si>
  <si>
    <t>093205_01</t>
  </si>
  <si>
    <t>093207_01</t>
  </si>
  <si>
    <t>WS Científica</t>
  </si>
  <si>
    <t>093206_01</t>
  </si>
  <si>
    <t>094759_01</t>
  </si>
  <si>
    <t>LQ-2875/20</t>
  </si>
  <si>
    <t>LQ-2881/20</t>
  </si>
  <si>
    <t>LO-7566/20</t>
  </si>
  <si>
    <t>LO-7565/20</t>
  </si>
  <si>
    <t>LO-7501/20</t>
  </si>
  <si>
    <t>LQ-2874/20</t>
  </si>
  <si>
    <t>LQ-2878/20</t>
  </si>
  <si>
    <t>LO-2877/20</t>
  </si>
  <si>
    <t>LQ-2879/20</t>
  </si>
  <si>
    <t>LQ-2883/20</t>
  </si>
  <si>
    <t>LO-2876/20</t>
  </si>
  <si>
    <t>LQ-2882/20</t>
  </si>
  <si>
    <t>LO-7502/20</t>
  </si>
  <si>
    <t>092405_01</t>
  </si>
  <si>
    <t>092410_01</t>
  </si>
  <si>
    <t>092403_01</t>
  </si>
  <si>
    <t>092404_01</t>
  </si>
  <si>
    <t>092406_01</t>
  </si>
  <si>
    <t>092407_01</t>
  </si>
  <si>
    <t>092408_01</t>
  </si>
  <si>
    <t>092409_01</t>
  </si>
  <si>
    <t>CONTRATO</t>
  </si>
  <si>
    <t>ORIGEM</t>
  </si>
  <si>
    <t>QUANTIDADE REALIZADA</t>
  </si>
  <si>
    <t>VENDOR</t>
  </si>
  <si>
    <t>TOTAL</t>
  </si>
  <si>
    <t xml:space="preserve">EQUPAMENTOS </t>
  </si>
  <si>
    <t xml:space="preserve">ADICIONADOS </t>
  </si>
  <si>
    <t>País</t>
  </si>
  <si>
    <t>Responsável</t>
  </si>
  <si>
    <t>email</t>
  </si>
  <si>
    <t>Região</t>
  </si>
  <si>
    <t>Equipamento</t>
  </si>
  <si>
    <t>Número de série</t>
  </si>
  <si>
    <t>Marca</t>
  </si>
  <si>
    <t>Modelo</t>
  </si>
  <si>
    <t>Cidade</t>
  </si>
  <si>
    <t>Data da ultima calibração</t>
  </si>
  <si>
    <t>Certificado</t>
  </si>
  <si>
    <t>Proveedor</t>
  </si>
  <si>
    <t>Task Gensuite</t>
  </si>
  <si>
    <t>Antonio Conceicao Dos Santos</t>
  </si>
  <si>
    <t>089305_01</t>
  </si>
  <si>
    <t>-</t>
  </si>
  <si>
    <t>Arthur Sampaio Lopes</t>
  </si>
  <si>
    <t>arthur.lopes@suez.com</t>
  </si>
  <si>
    <t>MYRON</t>
  </si>
  <si>
    <t>São Gonçalo do Amarantes-CE</t>
  </si>
  <si>
    <t>Caio Henrique Grignoli</t>
  </si>
  <si>
    <t>caio.grignoli@suez.com</t>
  </si>
  <si>
    <t>Carlane Lira</t>
  </si>
  <si>
    <t>carlane.lira@suez.com</t>
  </si>
  <si>
    <t>Carlos Eduardo Da Silva Xavier</t>
  </si>
  <si>
    <t>carlos.xavier@suez.com</t>
  </si>
  <si>
    <t>DM-31</t>
  </si>
  <si>
    <t>Danilo Francisco Mendes Batista</t>
  </si>
  <si>
    <t>danilo.batista@suez.com</t>
  </si>
  <si>
    <t>090190C72031</t>
  </si>
  <si>
    <t>Belém</t>
  </si>
  <si>
    <t>Q795M2</t>
  </si>
  <si>
    <t>Ultrameter II 4P</t>
  </si>
  <si>
    <t>Sension</t>
  </si>
  <si>
    <t>Edmilson Bispo Dos Santos</t>
  </si>
  <si>
    <t>DM31</t>
  </si>
  <si>
    <t>Cabo Sto Agostinho</t>
  </si>
  <si>
    <t>087555_01</t>
  </si>
  <si>
    <t>Edmir F. da Silva</t>
  </si>
  <si>
    <t>edmir.silva@suez.com</t>
  </si>
  <si>
    <t>10099BC21509</t>
  </si>
  <si>
    <t>Baixada Santista</t>
  </si>
  <si>
    <t>Transportado diariamente pelo responsável</t>
  </si>
  <si>
    <t>085507_01</t>
  </si>
  <si>
    <t>085506_01</t>
  </si>
  <si>
    <t>085509_01</t>
  </si>
  <si>
    <t>FABIANO ZANQUETE DE SOUA</t>
  </si>
  <si>
    <t>fabiano.souza@suez.com</t>
  </si>
  <si>
    <t>10069BC21451</t>
  </si>
  <si>
    <t>Jaragua do Sul</t>
  </si>
  <si>
    <t>FABIANO ZANQUETE DE SOUZA</t>
  </si>
  <si>
    <t>Fernanda De Cassia De Oliveira Kaiser</t>
  </si>
  <si>
    <t>Sension (PH+ORP)</t>
  </si>
  <si>
    <t>BRASKEM - Q2</t>
  </si>
  <si>
    <t>085498_03</t>
  </si>
  <si>
    <t>BRASKEM</t>
  </si>
  <si>
    <t>B234237277</t>
  </si>
  <si>
    <t>OHAUS</t>
  </si>
  <si>
    <t>PA214CP</t>
  </si>
  <si>
    <t>086585_01</t>
  </si>
  <si>
    <t>Itana Moreira Da Silva De Souza</t>
  </si>
  <si>
    <t xml:space="preserve">Luiz Magalhães </t>
  </si>
  <si>
    <t>086588_01</t>
  </si>
  <si>
    <t>086353_01</t>
  </si>
  <si>
    <t>Joao Paulo Santos</t>
  </si>
  <si>
    <t>joa.santos@suez.com</t>
  </si>
  <si>
    <t>Sto. Antônio dos Lopes-MA</t>
  </si>
  <si>
    <t>088815_01</t>
  </si>
  <si>
    <t>Resende</t>
  </si>
  <si>
    <t>13090C027909</t>
  </si>
  <si>
    <t>Joseane De Lima Macena</t>
  </si>
  <si>
    <t>joseane.macena@suez.com</t>
  </si>
  <si>
    <t>Itapessuma</t>
  </si>
  <si>
    <t>Karen Rosalino Villas Boas</t>
  </si>
  <si>
    <t>karen.rosalino@suez.com</t>
  </si>
  <si>
    <t>089292_01</t>
  </si>
  <si>
    <t>localizar</t>
  </si>
  <si>
    <t>adriano.braz@suez.com</t>
  </si>
  <si>
    <t>Nitro</t>
  </si>
  <si>
    <t>Lucimar Ferreira De Souza</t>
  </si>
  <si>
    <t>lucimar.souza@suez.com</t>
  </si>
  <si>
    <t>Pindamonhagaba</t>
  </si>
  <si>
    <t>089024_01</t>
  </si>
  <si>
    <t>Luiz Fernando Martins Mendes</t>
  </si>
  <si>
    <t>luiz.mendes@suez.com</t>
  </si>
  <si>
    <t>121290C93270</t>
  </si>
  <si>
    <t>Malila (validar owner)</t>
  </si>
  <si>
    <t>malila.nascimento@suez.com</t>
  </si>
  <si>
    <t>091204_01_02</t>
  </si>
  <si>
    <t>Marcelo Almeida Fernandez Soto</t>
  </si>
  <si>
    <t>Marcos Fernando da Silva</t>
  </si>
  <si>
    <t>marcos.silva@suez.com</t>
  </si>
  <si>
    <t xml:space="preserve">Manaus </t>
  </si>
  <si>
    <t>Portátil CE HI</t>
  </si>
  <si>
    <t>98129 - B</t>
  </si>
  <si>
    <t>Marina Machiaveli Savella</t>
  </si>
  <si>
    <t>marina.savella@suez.com</t>
  </si>
  <si>
    <t>MATHEUS HENRIQUE VELOSO FERREIRA</t>
  </si>
  <si>
    <t>Montes Claros</t>
  </si>
  <si>
    <t>087267_01</t>
  </si>
  <si>
    <t>09059BC21252</t>
  </si>
  <si>
    <t>084361_01</t>
  </si>
  <si>
    <t>SUN COKE</t>
  </si>
  <si>
    <t>088517_01</t>
  </si>
  <si>
    <t>ION</t>
  </si>
  <si>
    <t>CON 300</t>
  </si>
  <si>
    <t>088519_01</t>
  </si>
  <si>
    <t>KASVI</t>
  </si>
  <si>
    <t>AK90</t>
  </si>
  <si>
    <t>KDD6021A17071044</t>
  </si>
  <si>
    <t>088518_01</t>
  </si>
  <si>
    <t>B24900</t>
  </si>
  <si>
    <t>Serra</t>
  </si>
  <si>
    <t>Rafael Mendonca Siqueira</t>
  </si>
  <si>
    <t>rafael.siqueira@suez.com</t>
  </si>
  <si>
    <t>086350_01</t>
  </si>
  <si>
    <t>10119BC21590</t>
  </si>
  <si>
    <t>TB250</t>
  </si>
  <si>
    <t>Reinaldo Fernandes Dos Santos</t>
  </si>
  <si>
    <t>reinaldo.santos@suez.com</t>
  </si>
  <si>
    <t>Rio Verde</t>
  </si>
  <si>
    <t>Phmeter</t>
  </si>
  <si>
    <t>Renato Andreassa Chialastri</t>
  </si>
  <si>
    <t>UBERLANDIA - MG</t>
  </si>
  <si>
    <t>Cargill Agrícola</t>
  </si>
  <si>
    <t>088499_01</t>
  </si>
  <si>
    <t>088500_01</t>
  </si>
  <si>
    <t>Roberto Mota de Jesus</t>
  </si>
  <si>
    <t>roberto.jesus@suez.com</t>
  </si>
  <si>
    <t>Ipojuca</t>
  </si>
  <si>
    <t>89-12</t>
  </si>
  <si>
    <t>MICRONAL</t>
  </si>
  <si>
    <t>Roberto Nascimento</t>
  </si>
  <si>
    <t>roberto.nascimento@suez.com</t>
  </si>
  <si>
    <t>1475485</t>
  </si>
  <si>
    <t>Ultratube</t>
  </si>
  <si>
    <t>088821_01</t>
  </si>
  <si>
    <t>1480101</t>
  </si>
  <si>
    <t>088820_01</t>
  </si>
  <si>
    <t>110720041494</t>
  </si>
  <si>
    <t>1720E</t>
  </si>
  <si>
    <t>ENEVA</t>
  </si>
  <si>
    <t>088816_01</t>
  </si>
  <si>
    <t>120908212604</t>
  </si>
  <si>
    <t>088817_01</t>
  </si>
  <si>
    <t>140800500089</t>
  </si>
  <si>
    <t>088818_01</t>
  </si>
  <si>
    <t>140500496588</t>
  </si>
  <si>
    <t>088819_01</t>
  </si>
  <si>
    <t>HQ 40D</t>
  </si>
  <si>
    <t>088465_01</t>
  </si>
  <si>
    <t>Portátil Kasvi</t>
  </si>
  <si>
    <t>088466_01</t>
  </si>
  <si>
    <t>081997_01</t>
  </si>
  <si>
    <t>086905_01</t>
  </si>
  <si>
    <t>086912_01</t>
  </si>
  <si>
    <t>C708</t>
  </si>
  <si>
    <t>João Monlevade</t>
  </si>
  <si>
    <t>086438_01</t>
  </si>
  <si>
    <t>Contagem</t>
  </si>
  <si>
    <t>B06710</t>
  </si>
  <si>
    <t>086437_01</t>
  </si>
  <si>
    <t>Vinicius Canesin de Paula Chaves</t>
  </si>
  <si>
    <t>050690C55662</t>
  </si>
  <si>
    <t>Paulinía - Replan</t>
  </si>
  <si>
    <t xml:space="preserve">CONTRATO </t>
  </si>
  <si>
    <t/>
  </si>
  <si>
    <t>Em visita tecnico Guilherme não encontrou</t>
  </si>
  <si>
    <t>NÃO ENCONTRADO</t>
  </si>
  <si>
    <t>2902019</t>
  </si>
  <si>
    <t>410580</t>
  </si>
  <si>
    <t>96115</t>
  </si>
  <si>
    <t>6203838</t>
  </si>
  <si>
    <t>52328</t>
  </si>
  <si>
    <t>52044</t>
  </si>
  <si>
    <t>6247091</t>
  </si>
  <si>
    <t>48564</t>
  </si>
  <si>
    <t>1282924</t>
  </si>
  <si>
    <t>6553970</t>
  </si>
  <si>
    <t>4212773</t>
  </si>
  <si>
    <t>1526469</t>
  </si>
  <si>
    <t>1347596</t>
  </si>
  <si>
    <t>4222113</t>
  </si>
  <si>
    <t>604097</t>
  </si>
  <si>
    <t>929021</t>
  </si>
  <si>
    <t>39281</t>
  </si>
  <si>
    <t>6247841</t>
  </si>
  <si>
    <t>343250</t>
  </si>
  <si>
    <t>1378445</t>
  </si>
  <si>
    <t>414013</t>
  </si>
  <si>
    <t>8101742</t>
  </si>
  <si>
    <t>9301589</t>
  </si>
  <si>
    <t>x</t>
  </si>
  <si>
    <t>6271336</t>
  </si>
  <si>
    <t>Data da Baixa</t>
  </si>
  <si>
    <t>mês</t>
  </si>
  <si>
    <t>570687</t>
  </si>
  <si>
    <t>DESATIVADO</t>
  </si>
  <si>
    <t>1518994</t>
  </si>
  <si>
    <t>6217524</t>
  </si>
  <si>
    <t>4221160</t>
  </si>
  <si>
    <t>5307</t>
  </si>
  <si>
    <t>1420968</t>
  </si>
  <si>
    <t>62044</t>
  </si>
  <si>
    <t>23409689</t>
  </si>
  <si>
    <t xml:space="preserve">NÃO ENCONTRADOS </t>
  </si>
  <si>
    <t xml:space="preserve">EQUIPAMENTOS </t>
  </si>
  <si>
    <t>INICIAL</t>
  </si>
  <si>
    <t>ATUAL</t>
  </si>
  <si>
    <t>PEDIDOS SPOT</t>
  </si>
  <si>
    <t>EQUIPAMENTOS</t>
  </si>
  <si>
    <t xml:space="preserve">Adicionados </t>
  </si>
  <si>
    <t xml:space="preserve">Não encontrados </t>
  </si>
  <si>
    <t xml:space="preserve"> INICIAL </t>
  </si>
  <si>
    <t xml:space="preserve"> ATUAL </t>
  </si>
  <si>
    <t xml:space="preserve">Desativados </t>
  </si>
  <si>
    <t xml:space="preserve">Adriano Ribeiro </t>
  </si>
  <si>
    <t>adriano.ribeiro@suez.com</t>
  </si>
  <si>
    <t xml:space="preserve">(85) 98145-1455 </t>
  </si>
  <si>
    <t>anderson.oliveira@suez.com</t>
  </si>
  <si>
    <t>Pocket Pro PH</t>
  </si>
  <si>
    <t>6273837</t>
  </si>
  <si>
    <t>21070D000217</t>
  </si>
  <si>
    <t>140070001031</t>
  </si>
  <si>
    <t>Equpament</t>
  </si>
  <si>
    <t>Quantidade</t>
  </si>
  <si>
    <t xml:space="preserve">Valor unitário </t>
  </si>
  <si>
    <t xml:space="preserve">Valor total </t>
  </si>
  <si>
    <t xml:space="preserve">DESATIVADOS </t>
  </si>
  <si>
    <t>QUANT.</t>
  </si>
  <si>
    <t xml:space="preserve">Ref. Valores </t>
  </si>
  <si>
    <t xml:space="preserve">Total </t>
  </si>
  <si>
    <t xml:space="preserve">Informações do Contrato </t>
  </si>
  <si>
    <t xml:space="preserve">Serviços </t>
  </si>
  <si>
    <t xml:space="preserve">Consumo </t>
  </si>
  <si>
    <t xml:space="preserve">Previsão de Saldo </t>
  </si>
  <si>
    <t xml:space="preserve">Deslocameneto </t>
  </si>
  <si>
    <t xml:space="preserve">Consumo Mensal do Contrato </t>
  </si>
  <si>
    <t>Previsto</t>
  </si>
  <si>
    <t xml:space="preserve">Ponderado Médio </t>
  </si>
  <si>
    <t xml:space="preserve">Mês </t>
  </si>
  <si>
    <t xml:space="preserve">QUANTIDADE A REALIZAR </t>
  </si>
  <si>
    <t xml:space="preserve">Serviço </t>
  </si>
  <si>
    <t xml:space="preserve">Deslocamento </t>
  </si>
  <si>
    <t>Serviço</t>
  </si>
  <si>
    <t>Deslocamento</t>
  </si>
  <si>
    <t>Total</t>
  </si>
  <si>
    <t xml:space="preserve">Pipeta </t>
  </si>
  <si>
    <t>Gasto por equipamento</t>
  </si>
  <si>
    <t xml:space="preserve">Total a descontar </t>
  </si>
  <si>
    <t>Jan</t>
  </si>
  <si>
    <t>Abr</t>
  </si>
  <si>
    <t>Mai</t>
  </si>
  <si>
    <t>Ago</t>
  </si>
  <si>
    <t>Set</t>
  </si>
  <si>
    <t>Nov</t>
  </si>
  <si>
    <t xml:space="preserve">A ser utilizado </t>
  </si>
  <si>
    <t xml:space="preserve">A ser realizado </t>
  </si>
  <si>
    <t>Contrato</t>
  </si>
  <si>
    <t xml:space="preserve">Previsão do Acumulado X Contrato </t>
  </si>
  <si>
    <t>Acumulado</t>
  </si>
  <si>
    <t xml:space="preserve">CONSUMO </t>
  </si>
  <si>
    <t xml:space="preserve">A SER UTILIZADO </t>
  </si>
  <si>
    <t xml:space="preserve">A SER REALIZADO </t>
  </si>
  <si>
    <t xml:space="preserve">PREVISÃO DE GASTO TOTAL </t>
  </si>
  <si>
    <t xml:space="preserve">SALDO </t>
  </si>
  <si>
    <t>CONSUMO MENSAL</t>
  </si>
  <si>
    <t>hexis</t>
  </si>
  <si>
    <t>(91) 99292-7121</t>
  </si>
  <si>
    <t>X</t>
  </si>
  <si>
    <t xml:space="preserve">Realizado </t>
  </si>
  <si>
    <t>MÊS</t>
  </si>
  <si>
    <t>marcelo.bovolenta@suez.com</t>
  </si>
  <si>
    <t>Triunfo- RS</t>
  </si>
  <si>
    <t>Executado</t>
  </si>
  <si>
    <t xml:space="preserve">MÊS </t>
  </si>
  <si>
    <t xml:space="preserve">PREVISTO </t>
  </si>
  <si>
    <t xml:space="preserve">EXECUTADO </t>
  </si>
  <si>
    <t>Valor a subtrair</t>
  </si>
  <si>
    <t>SO-01738 / 4503639824</t>
  </si>
  <si>
    <t>SO / Pedido de Compra do Cliente</t>
  </si>
  <si>
    <t>SO-01756 / 4503647615</t>
  </si>
  <si>
    <t>Pipeta/ Micropipeta</t>
  </si>
  <si>
    <t xml:space="preserve">Fotômetro / Colorímetro </t>
  </si>
  <si>
    <t>Determinador de Umidade</t>
  </si>
  <si>
    <t xml:space="preserve">VALOR REALIZADO </t>
  </si>
  <si>
    <t>VALOR A REALIZAR</t>
  </si>
  <si>
    <t>DESLOCAMENTOS NÃO REALIZADOS</t>
  </si>
  <si>
    <t xml:space="preserve">TOTAL </t>
  </si>
  <si>
    <t xml:space="preserve">VISÃO GERAL DO CONTRATO </t>
  </si>
  <si>
    <t xml:space="preserve">PREVISÃO FINAL </t>
  </si>
  <si>
    <t>141480001016</t>
  </si>
  <si>
    <t>688630</t>
  </si>
  <si>
    <t>Thiago Garcia</t>
  </si>
  <si>
    <t>thiago.garcia@suez.com</t>
  </si>
  <si>
    <t>Presidente Prudente - SP</t>
  </si>
  <si>
    <t>Ulisses Alves de Sibia</t>
  </si>
  <si>
    <t>(14) 98157 5005</t>
  </si>
  <si>
    <t>16100C053269</t>
  </si>
  <si>
    <t>2902426</t>
  </si>
  <si>
    <t>5370058101</t>
  </si>
  <si>
    <t>Hi98703</t>
  </si>
  <si>
    <t>1373274</t>
  </si>
  <si>
    <t xml:space="preserve">Brasil </t>
  </si>
  <si>
    <t>Condutívimetro</t>
  </si>
  <si>
    <t>4236903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</si>
</sst>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[$-409]d\-mmm\-yyyy;@"/>
    <numFmt numFmtId="165" formatCode="[$-409]dd\-mmm\-yy;@"/>
    <numFmt numFmtId="166" formatCode="[$-409]d\-mmm\-yy;@"/>
    <numFmt numFmtId="167" formatCode="[$-416]dd\-mmm\-yy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FF00"/>
      <name val="Arial"/>
      <family val="2"/>
    </font>
    <font>
      <sz val="11"/>
      <name val="Calibri"/>
      <family val="2"/>
      <scheme val="minor"/>
    </font>
    <font>
      <sz val="11"/>
      <color theme="1"/>
      <name val="GE Inspira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u/>
      <sz val="11"/>
      <color theme="10"/>
      <name val="Calibri"/>
      <family val="2"/>
      <scheme val="minor"/>
    </font>
    <font>
      <sz val="10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242424"/>
      <name val="Segoe UI"/>
      <family val="2"/>
    </font>
    <font>
      <sz val="11"/>
      <color theme="1"/>
      <name val="Calibri Light"/>
      <family val="2"/>
    </font>
    <font>
      <sz val="12"/>
      <color theme="1"/>
      <name val="Arial"/>
      <family val="2"/>
    </font>
    <font>
      <sz val="11"/>
      <color rgb="FF333333"/>
      <name val="Calibri"/>
      <family val="2"/>
      <scheme val="minor"/>
    </font>
    <font>
      <sz val="11"/>
      <color theme="1"/>
      <name val="GE Inspira"/>
    </font>
    <font>
      <sz val="12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CB8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09">
    <xf numFmtId="0" fontId="0" fillId="0" borderId="0" xfId="0"/>
    <xf numFmtId="44" fontId="0" fillId="0" borderId="1" xfId="1" applyFont="1" applyBorder="1"/>
    <xf numFmtId="15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0" fillId="0" borderId="1" xfId="1" applyFont="1" applyBorder="1" applyAlignment="1">
      <alignment vertical="center"/>
    </xf>
    <xf numFmtId="44" fontId="0" fillId="0" borderId="1" xfId="1" applyFont="1" applyBorder="1" applyAlignment="1"/>
    <xf numFmtId="164" fontId="4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Protection="1">
      <protection hidden="1"/>
    </xf>
    <xf numFmtId="0" fontId="7" fillId="0" borderId="0" xfId="2" applyAlignment="1" applyProtection="1">
      <alignment horizontal="center"/>
      <protection hidden="1"/>
    </xf>
    <xf numFmtId="1" fontId="3" fillId="0" borderId="0" xfId="0" applyNumberFormat="1" applyFont="1" applyAlignment="1" applyProtection="1">
      <alignment horizontal="center"/>
      <protection hidden="1"/>
    </xf>
    <xf numFmtId="164" fontId="4" fillId="3" borderId="0" xfId="0" applyNumberFormat="1" applyFont="1" applyFill="1" applyAlignment="1" applyProtection="1">
      <alignment horizontal="center"/>
      <protection hidden="1"/>
    </xf>
    <xf numFmtId="165" fontId="3" fillId="0" borderId="0" xfId="0" applyNumberFormat="1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44" fontId="0" fillId="0" borderId="0" xfId="1" applyFont="1" applyProtection="1">
      <protection hidden="1"/>
    </xf>
    <xf numFmtId="44" fontId="0" fillId="0" borderId="1" xfId="1" applyFont="1" applyBorder="1" applyProtection="1">
      <protection hidden="1"/>
    </xf>
    <xf numFmtId="16" fontId="9" fillId="0" borderId="0" xfId="0" applyNumberFormat="1" applyFont="1" applyProtection="1">
      <protection hidden="1"/>
    </xf>
    <xf numFmtId="0" fontId="9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14" fontId="0" fillId="0" borderId="0" xfId="0" applyNumberFormat="1" applyProtection="1">
      <protection hidden="1"/>
    </xf>
    <xf numFmtId="1" fontId="0" fillId="0" borderId="0" xfId="0" applyNumberFormat="1" applyAlignment="1" applyProtection="1">
      <alignment horizontal="center"/>
      <protection hidden="1"/>
    </xf>
    <xf numFmtId="0" fontId="1" fillId="0" borderId="0" xfId="0" applyFont="1" applyProtection="1">
      <protection hidden="1"/>
    </xf>
    <xf numFmtId="49" fontId="3" fillId="0" borderId="0" xfId="0" applyNumberFormat="1" applyFont="1" applyAlignment="1" applyProtection="1">
      <alignment horizontal="center"/>
      <protection hidden="1"/>
    </xf>
    <xf numFmtId="0" fontId="0" fillId="0" borderId="0" xfId="0" applyAlignment="1">
      <alignment horizontal="center" vertical="center"/>
    </xf>
    <xf numFmtId="0" fontId="9" fillId="3" borderId="0" xfId="0" applyFont="1" applyFill="1" applyProtection="1">
      <protection hidden="1"/>
    </xf>
    <xf numFmtId="0" fontId="10" fillId="0" borderId="0" xfId="0" applyFont="1" applyProtection="1">
      <protection hidden="1"/>
    </xf>
    <xf numFmtId="44" fontId="0" fillId="0" borderId="0" xfId="0" applyNumberFormat="1"/>
    <xf numFmtId="44" fontId="0" fillId="0" borderId="0" xfId="1" applyFont="1"/>
    <xf numFmtId="0" fontId="0" fillId="0" borderId="0" xfId="0" applyAlignment="1">
      <alignment horizontal="center"/>
    </xf>
    <xf numFmtId="44" fontId="0" fillId="0" borderId="1" xfId="0" applyNumberFormat="1" applyBorder="1"/>
    <xf numFmtId="0" fontId="0" fillId="0" borderId="1" xfId="0" applyBorder="1" applyAlignment="1" applyProtection="1">
      <alignment horizontal="center"/>
      <protection hidden="1"/>
    </xf>
    <xf numFmtId="0" fontId="0" fillId="0" borderId="1" xfId="0" applyBorder="1"/>
    <xf numFmtId="0" fontId="0" fillId="0" borderId="0" xfId="0" applyAlignment="1">
      <alignment horizontal="center"/>
    </xf>
    <xf numFmtId="15" fontId="2" fillId="2" borderId="2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7" fillId="0" borderId="0" xfId="2"/>
    <xf numFmtId="0" fontId="3" fillId="0" borderId="0" xfId="0" applyFont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49" fontId="7" fillId="0" borderId="0" xfId="2" applyNumberFormat="1"/>
    <xf numFmtId="0" fontId="1" fillId="0" borderId="0" xfId="0" applyFont="1" applyAlignment="1">
      <alignment horizontal="center"/>
    </xf>
    <xf numFmtId="0" fontId="9" fillId="0" borderId="0" xfId="0" applyFont="1"/>
    <xf numFmtId="0" fontId="1" fillId="0" borderId="0" xfId="0" applyFont="1"/>
    <xf numFmtId="1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1" fontId="3" fillId="0" borderId="0" xfId="0" quotePrefix="1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16" fontId="0" fillId="0" borderId="0" xfId="0" applyNumberFormat="1" applyAlignment="1">
      <alignment horizontal="center"/>
    </xf>
    <xf numFmtId="0" fontId="3" fillId="0" borderId="0" xfId="0" applyFont="1"/>
    <xf numFmtId="0" fontId="7" fillId="0" borderId="0" xfId="2" applyAlignment="1">
      <alignment vertical="top"/>
    </xf>
    <xf numFmtId="0" fontId="11" fillId="0" borderId="0" xfId="0" applyFont="1" applyAlignment="1">
      <alignment horizontal="center" vertical="top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0" fillId="0" borderId="0" xfId="0" applyFont="1"/>
    <xf numFmtId="8" fontId="0" fillId="0" borderId="0" xfId="0" applyNumberFormat="1"/>
    <xf numFmtId="1" fontId="1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5" fontId="2" fillId="2" borderId="1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0" fontId="7" fillId="0" borderId="0" xfId="2" applyProtection="1">
      <protection hidden="1"/>
    </xf>
    <xf numFmtId="0" fontId="0" fillId="0" borderId="1" xfId="0" applyBorder="1" applyProtection="1"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15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15" fontId="2" fillId="2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0" xfId="0" applyAlignment="1"/>
    <xf numFmtId="0" fontId="0" fillId="0" borderId="0" xfId="0" applyAlignment="1" applyProtection="1">
      <alignment horizontal="left" vertical="top"/>
      <protection hidden="1"/>
    </xf>
    <xf numFmtId="0" fontId="8" fillId="0" borderId="0" xfId="0" applyFont="1" applyAlignment="1" applyProtection="1">
      <protection hidden="1"/>
    </xf>
    <xf numFmtId="0" fontId="0" fillId="0" borderId="0" xfId="0" applyFill="1" applyBorder="1" applyAlignment="1" applyProtection="1"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 applyProtection="1">
      <alignment horizontal="left"/>
      <protection hidden="1"/>
    </xf>
    <xf numFmtId="0" fontId="0" fillId="0" borderId="1" xfId="0" applyFill="1" applyBorder="1" applyAlignment="1" applyProtection="1">
      <alignment horizontal="right"/>
      <protection hidden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 applyProtection="1">
      <alignment horizontal="left" vertical="center"/>
      <protection hidden="1"/>
    </xf>
    <xf numFmtId="0" fontId="13" fillId="0" borderId="1" xfId="0" applyFont="1" applyFill="1" applyBorder="1" applyAlignment="1" applyProtection="1">
      <alignment horizontal="right" vertical="center"/>
      <protection hidden="1"/>
    </xf>
    <xf numFmtId="0" fontId="13" fillId="0" borderId="1" xfId="0" applyFont="1" applyBorder="1" applyAlignment="1">
      <alignment vertical="center"/>
    </xf>
    <xf numFmtId="1" fontId="0" fillId="0" borderId="1" xfId="0" applyNumberFormat="1" applyBorder="1"/>
    <xf numFmtId="44" fontId="0" fillId="0" borderId="0" xfId="0" applyNumberFormat="1" applyBorder="1"/>
    <xf numFmtId="4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3" fillId="0" borderId="0" xfId="0" applyFont="1" applyAlignment="1"/>
    <xf numFmtId="44" fontId="8" fillId="0" borderId="0" xfId="1" applyFont="1" applyProtection="1">
      <protection hidden="1"/>
    </xf>
    <xf numFmtId="44" fontId="0" fillId="9" borderId="1" xfId="1" applyFont="1" applyFill="1" applyBorder="1" applyAlignment="1"/>
    <xf numFmtId="44" fontId="0" fillId="9" borderId="1" xfId="1" applyNumberFormat="1" applyFont="1" applyFill="1" applyBorder="1"/>
    <xf numFmtId="44" fontId="0" fillId="9" borderId="1" xfId="0" applyNumberFormat="1" applyFill="1" applyBorder="1"/>
    <xf numFmtId="44" fontId="13" fillId="12" borderId="1" xfId="1" applyFont="1" applyFill="1" applyBorder="1"/>
    <xf numFmtId="44" fontId="13" fillId="12" borderId="1" xfId="0" applyNumberFormat="1" applyFont="1" applyFill="1" applyBorder="1"/>
    <xf numFmtId="44" fontId="0" fillId="14" borderId="1" xfId="1" applyFont="1" applyFill="1" applyBorder="1"/>
    <xf numFmtId="44" fontId="0" fillId="9" borderId="1" xfId="1" applyFont="1" applyFill="1" applyBorder="1"/>
    <xf numFmtId="1" fontId="0" fillId="0" borderId="1" xfId="0" applyNumberFormat="1" applyBorder="1" applyAlignment="1">
      <alignment horizontal="center"/>
    </xf>
    <xf numFmtId="44" fontId="0" fillId="14" borderId="1" xfId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44" fontId="13" fillId="6" borderId="1" xfId="1" applyFont="1" applyFill="1" applyBorder="1" applyAlignment="1">
      <alignment horizontal="center"/>
    </xf>
    <xf numFmtId="44" fontId="13" fillId="0" borderId="1" xfId="1" applyFont="1" applyFill="1" applyBorder="1" applyAlignment="1">
      <alignment horizontal="center"/>
    </xf>
    <xf numFmtId="44" fontId="0" fillId="0" borderId="8" xfId="1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/>
    </xf>
    <xf numFmtId="44" fontId="13" fillId="11" borderId="1" xfId="1" applyFont="1" applyFill="1" applyBorder="1" applyAlignment="1">
      <alignment horizontal="center"/>
    </xf>
    <xf numFmtId="44" fontId="0" fillId="15" borderId="1" xfId="1" applyFont="1" applyFill="1" applyBorder="1" applyAlignment="1"/>
    <xf numFmtId="0" fontId="13" fillId="16" borderId="1" xfId="0" applyFont="1" applyFill="1" applyBorder="1" applyAlignment="1">
      <alignment horizontal="center" vertical="center"/>
    </xf>
    <xf numFmtId="44" fontId="0" fillId="5" borderId="1" xfId="1" applyFont="1" applyFill="1" applyBorder="1" applyAlignment="1"/>
    <xf numFmtId="0" fontId="13" fillId="1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0" xfId="0" applyFont="1" applyFill="1" applyBorder="1" applyAlignment="1" applyProtection="1">
      <alignment horizontal="center" vertical="center" wrapText="1"/>
      <protection hidden="1"/>
    </xf>
    <xf numFmtId="0" fontId="17" fillId="0" borderId="0" xfId="0" applyFont="1"/>
    <xf numFmtId="0" fontId="2" fillId="0" borderId="0" xfId="0" applyFont="1" applyFill="1" applyBorder="1" applyAlignment="1" applyProtection="1">
      <alignment vertical="center"/>
      <protection hidden="1"/>
    </xf>
    <xf numFmtId="44" fontId="13" fillId="0" borderId="0" xfId="1" applyFont="1" applyFill="1" applyBorder="1"/>
    <xf numFmtId="44" fontId="13" fillId="0" borderId="0" xfId="0" applyNumberFormat="1" applyFont="1" applyFill="1" applyBorder="1"/>
    <xf numFmtId="44" fontId="0" fillId="0" borderId="0" xfId="0" applyNumberFormat="1" applyFill="1" applyBorder="1"/>
    <xf numFmtId="44" fontId="0" fillId="0" borderId="0" xfId="1" applyFont="1" applyFill="1" applyBorder="1" applyAlignment="1"/>
    <xf numFmtId="44" fontId="13" fillId="0" borderId="0" xfId="1" applyFont="1" applyFill="1" applyBorder="1" applyAlignment="1"/>
    <xf numFmtId="44" fontId="0" fillId="0" borderId="0" xfId="1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44" fontId="0" fillId="0" borderId="2" xfId="1" applyFont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44" fontId="0" fillId="0" borderId="2" xfId="1" applyFont="1" applyBorder="1" applyAlignment="1">
      <alignment vertical="center"/>
    </xf>
    <xf numFmtId="2" fontId="4" fillId="3" borderId="2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 vertical="center"/>
    </xf>
    <xf numFmtId="44" fontId="0" fillId="0" borderId="2" xfId="1" applyFont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2" xfId="1" applyFont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/>
    </xf>
    <xf numFmtId="1" fontId="0" fillId="0" borderId="0" xfId="1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1" fontId="0" fillId="0" borderId="13" xfId="1" applyNumberFormat="1" applyFont="1" applyBorder="1" applyAlignment="1">
      <alignment vertical="center"/>
    </xf>
    <xf numFmtId="1" fontId="0" fillId="0" borderId="11" xfId="1" applyNumberFormat="1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/>
    <xf numFmtId="0" fontId="0" fillId="0" borderId="0" xfId="0" applyBorder="1" applyAlignment="1">
      <alignment horizontal="center" vertical="center"/>
    </xf>
    <xf numFmtId="0" fontId="0" fillId="0" borderId="4" xfId="0" applyBorder="1"/>
    <xf numFmtId="1" fontId="0" fillId="0" borderId="10" xfId="1" applyNumberFormat="1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/>
    <xf numFmtId="0" fontId="0" fillId="0" borderId="12" xfId="0" applyBorder="1"/>
    <xf numFmtId="0" fontId="0" fillId="0" borderId="0" xfId="0" applyBorder="1"/>
    <xf numFmtId="0" fontId="0" fillId="0" borderId="7" xfId="0" applyBorder="1"/>
    <xf numFmtId="1" fontId="0" fillId="0" borderId="3" xfId="1" applyNumberFormat="1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44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 applyProtection="1">
      <alignment horizontal="center"/>
      <protection hidden="1"/>
    </xf>
    <xf numFmtId="0" fontId="0" fillId="21" borderId="0" xfId="0" applyFill="1" applyAlignment="1" applyProtection="1">
      <alignment horizontal="center"/>
      <protection hidden="1"/>
    </xf>
    <xf numFmtId="0" fontId="0" fillId="4" borderId="0" xfId="0" applyFill="1" applyAlignment="1" applyProtection="1">
      <alignment horizontal="center"/>
      <protection hidden="1"/>
    </xf>
    <xf numFmtId="0" fontId="7" fillId="0" borderId="0" xfId="2" applyAlignment="1" applyProtection="1">
      <alignment horizontal="center" vertical="top"/>
      <protection hidden="1"/>
    </xf>
    <xf numFmtId="0" fontId="0" fillId="0" borderId="0" xfId="0" applyAlignment="1" applyProtection="1">
      <alignment horizontal="center" vertical="center"/>
      <protection hidden="1"/>
    </xf>
    <xf numFmtId="166" fontId="0" fillId="0" borderId="0" xfId="0" applyNumberFormat="1" applyAlignment="1">
      <alignment horizontal="center"/>
    </xf>
    <xf numFmtId="0" fontId="1" fillId="3" borderId="0" xfId="0" applyFont="1" applyFill="1" applyAlignment="1" applyProtection="1">
      <alignment horizontal="center"/>
      <protection hidden="1"/>
    </xf>
    <xf numFmtId="0" fontId="7" fillId="3" borderId="0" xfId="2" applyFill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165" fontId="3" fillId="3" borderId="0" xfId="0" applyNumberFormat="1" applyFont="1" applyFill="1" applyAlignment="1" applyProtection="1">
      <alignment horizontal="center"/>
      <protection hidden="1"/>
    </xf>
    <xf numFmtId="0" fontId="3" fillId="3" borderId="0" xfId="0" applyFont="1" applyFill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49" fontId="7" fillId="0" borderId="0" xfId="2" applyNumberFormat="1" applyAlignment="1" applyProtection="1">
      <alignment horizontal="center"/>
      <protection hidden="1"/>
    </xf>
    <xf numFmtId="49" fontId="0" fillId="0" borderId="0" xfId="0" applyNumberFormat="1" applyAlignment="1">
      <alignment horizontal="center"/>
    </xf>
    <xf numFmtId="0" fontId="3" fillId="0" borderId="0" xfId="0" applyFont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/>
      <protection hidden="1"/>
    </xf>
    <xf numFmtId="164" fontId="4" fillId="4" borderId="0" xfId="0" applyNumberFormat="1" applyFont="1" applyFill="1" applyAlignment="1" applyProtection="1">
      <alignment horizontal="center"/>
      <protection hidden="1"/>
    </xf>
    <xf numFmtId="0" fontId="7" fillId="0" borderId="0" xfId="2" applyAlignment="1">
      <alignment horizontal="center"/>
    </xf>
    <xf numFmtId="164" fontId="4" fillId="0" borderId="0" xfId="0" applyNumberFormat="1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20" fillId="0" borderId="0" xfId="0" applyFont="1" applyAlignment="1">
      <alignment horizontal="center" vertical="center"/>
    </xf>
    <xf numFmtId="164" fontId="21" fillId="3" borderId="0" xfId="0" applyNumberFormat="1" applyFont="1" applyFill="1" applyAlignment="1" applyProtection="1">
      <alignment horizontal="center"/>
      <protection hidden="1"/>
    </xf>
    <xf numFmtId="167" fontId="22" fillId="4" borderId="0" xfId="0" applyNumberFormat="1" applyFont="1" applyFill="1" applyProtection="1">
      <protection hidden="1"/>
    </xf>
    <xf numFmtId="166" fontId="0" fillId="0" borderId="0" xfId="0" applyNumberFormat="1" applyAlignment="1" applyProtection="1">
      <alignment horizontal="center"/>
      <protection hidden="1"/>
    </xf>
    <xf numFmtId="0" fontId="0" fillId="22" borderId="0" xfId="0" applyFill="1" applyAlignment="1" applyProtection="1">
      <alignment horizontal="center"/>
      <protection hidden="1"/>
    </xf>
    <xf numFmtId="0" fontId="0" fillId="22" borderId="0" xfId="0" applyFill="1" applyAlignment="1" applyProtection="1">
      <alignment horizontal="center" vertical="center"/>
      <protection hidden="1"/>
    </xf>
    <xf numFmtId="0" fontId="0" fillId="22" borderId="0" xfId="0" applyFill="1" applyProtection="1">
      <protection hidden="1"/>
    </xf>
    <xf numFmtId="164" fontId="4" fillId="23" borderId="0" xfId="0" applyNumberFormat="1" applyFont="1" applyFill="1" applyAlignment="1" applyProtection="1">
      <alignment horizontal="center"/>
      <protection hidden="1"/>
    </xf>
    <xf numFmtId="1" fontId="0" fillId="0" borderId="0" xfId="0" applyNumberFormat="1" applyAlignment="1">
      <alignment horizontal="center" vertical="center"/>
    </xf>
    <xf numFmtId="44" fontId="0" fillId="0" borderId="0" xfId="1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44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4" fillId="3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4" fontId="0" fillId="0" borderId="1" xfId="0" applyNumberFormat="1" applyBorder="1" applyAlignment="1">
      <alignment horizontal="center"/>
    </xf>
    <xf numFmtId="0" fontId="13" fillId="15" borderId="1" xfId="0" applyFont="1" applyFill="1" applyBorder="1" applyAlignment="1">
      <alignment horizontal="center"/>
    </xf>
    <xf numFmtId="4" fontId="0" fillId="0" borderId="0" xfId="0" applyNumberFormat="1"/>
    <xf numFmtId="44" fontId="13" fillId="14" borderId="1" xfId="0" applyNumberFormat="1" applyFont="1" applyFill="1" applyBorder="1" applyAlignment="1"/>
    <xf numFmtId="44" fontId="0" fillId="0" borderId="1" xfId="0" applyNumberFormat="1" applyBorder="1" applyAlignment="1">
      <alignment vertical="center"/>
    </xf>
    <xf numFmtId="44" fontId="0" fillId="0" borderId="1" xfId="1" applyFont="1" applyFill="1" applyBorder="1" applyAlignment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hidden="1"/>
    </xf>
    <xf numFmtId="1" fontId="0" fillId="0" borderId="0" xfId="0" applyNumberFormat="1" applyBorder="1"/>
    <xf numFmtId="0" fontId="13" fillId="0" borderId="0" xfId="0" applyFont="1" applyBorder="1" applyAlignment="1">
      <alignment horizontal="center"/>
    </xf>
    <xf numFmtId="1" fontId="13" fillId="0" borderId="0" xfId="0" applyNumberFormat="1" applyFont="1" applyBorder="1" applyAlignment="1">
      <alignment horizontal="center"/>
    </xf>
    <xf numFmtId="44" fontId="13" fillId="0" borderId="0" xfId="1" applyFont="1" applyBorder="1" applyAlignment="1">
      <alignment horizontal="center"/>
    </xf>
    <xf numFmtId="1" fontId="0" fillId="16" borderId="1" xfId="0" applyNumberFormat="1" applyFill="1" applyBorder="1"/>
    <xf numFmtId="0" fontId="13" fillId="16" borderId="1" xfId="0" applyFont="1" applyFill="1" applyBorder="1" applyAlignment="1">
      <alignment horizontal="center"/>
    </xf>
    <xf numFmtId="1" fontId="13" fillId="16" borderId="1" xfId="0" applyNumberFormat="1" applyFont="1" applyFill="1" applyBorder="1" applyAlignment="1">
      <alignment horizontal="center"/>
    </xf>
    <xf numFmtId="44" fontId="13" fillId="16" borderId="1" xfId="1" applyFont="1" applyFill="1" applyBorder="1" applyAlignment="1">
      <alignment horizontal="center"/>
    </xf>
    <xf numFmtId="44" fontId="0" fillId="16" borderId="0" xfId="0" applyNumberFormat="1" applyFill="1" applyBorder="1"/>
    <xf numFmtId="44" fontId="13" fillId="16" borderId="1" xfId="0" applyNumberFormat="1" applyFont="1" applyFill="1" applyBorder="1"/>
    <xf numFmtId="0" fontId="0" fillId="24" borderId="1" xfId="0" applyFill="1" applyBorder="1" applyAlignment="1">
      <alignment horizontal="center"/>
    </xf>
    <xf numFmtId="2" fontId="4" fillId="24" borderId="1" xfId="0" applyNumberFormat="1" applyFont="1" applyFill="1" applyBorder="1" applyAlignment="1">
      <alignment horizontal="center"/>
    </xf>
    <xf numFmtId="1" fontId="4" fillId="24" borderId="2" xfId="0" applyNumberFormat="1" applyFont="1" applyFill="1" applyBorder="1" applyAlignment="1">
      <alignment horizontal="center"/>
    </xf>
    <xf numFmtId="164" fontId="4" fillId="24" borderId="1" xfId="0" applyNumberFormat="1" applyFont="1" applyFill="1" applyBorder="1" applyAlignment="1">
      <alignment horizontal="center"/>
    </xf>
    <xf numFmtId="44" fontId="0" fillId="24" borderId="1" xfId="1" applyFont="1" applyFill="1" applyBorder="1" applyAlignment="1">
      <alignment vertical="center"/>
    </xf>
    <xf numFmtId="1" fontId="0" fillId="24" borderId="0" xfId="1" applyNumberFormat="1" applyFont="1" applyFill="1" applyBorder="1" applyAlignment="1">
      <alignment vertical="center"/>
    </xf>
    <xf numFmtId="0" fontId="0" fillId="24" borderId="0" xfId="0" applyFill="1" applyAlignment="1">
      <alignment horizontal="center" vertical="center"/>
    </xf>
    <xf numFmtId="0" fontId="0" fillId="24" borderId="0" xfId="0" applyFill="1"/>
    <xf numFmtId="44" fontId="0" fillId="24" borderId="2" xfId="1" applyFont="1" applyFill="1" applyBorder="1" applyAlignment="1">
      <alignment vertical="center"/>
    </xf>
    <xf numFmtId="44" fontId="0" fillId="24" borderId="1" xfId="1" applyFont="1" applyFill="1" applyBorder="1"/>
    <xf numFmtId="44" fontId="0" fillId="0" borderId="18" xfId="1" applyFont="1" applyFill="1" applyBorder="1" applyAlignment="1">
      <alignment vertical="center"/>
    </xf>
    <xf numFmtId="44" fontId="0" fillId="0" borderId="20" xfId="1" applyFont="1" applyFill="1" applyBorder="1" applyAlignment="1">
      <alignment vertical="center"/>
    </xf>
    <xf numFmtId="0" fontId="13" fillId="24" borderId="21" xfId="0" applyFont="1" applyFill="1" applyBorder="1" applyAlignment="1">
      <alignment horizontal="center"/>
    </xf>
    <xf numFmtId="44" fontId="0" fillId="24" borderId="22" xfId="0" applyNumberFormat="1" applyFill="1" applyBorder="1"/>
    <xf numFmtId="0" fontId="0" fillId="0" borderId="19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23" xfId="0" applyFill="1" applyBorder="1" applyAlignment="1">
      <alignment horizontal="left" vertical="center"/>
    </xf>
    <xf numFmtId="44" fontId="0" fillId="0" borderId="24" xfId="1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0" fontId="13" fillId="0" borderId="27" xfId="0" applyFont="1" applyBorder="1"/>
    <xf numFmtId="0" fontId="13" fillId="0" borderId="27" xfId="0" applyFont="1" applyBorder="1" applyAlignment="1">
      <alignment horizontal="center" vertical="center"/>
    </xf>
    <xf numFmtId="44" fontId="13" fillId="11" borderId="16" xfId="0" applyNumberFormat="1" applyFont="1" applyFill="1" applyBorder="1" applyAlignment="1"/>
    <xf numFmtId="44" fontId="13" fillId="4" borderId="16" xfId="0" applyNumberFormat="1" applyFont="1" applyFill="1" applyBorder="1"/>
    <xf numFmtId="44" fontId="13" fillId="7" borderId="26" xfId="0" applyNumberFormat="1" applyFont="1" applyFill="1" applyBorder="1"/>
    <xf numFmtId="44" fontId="0" fillId="24" borderId="2" xfId="1" applyFont="1" applyFill="1" applyBorder="1" applyAlignment="1">
      <alignment horizontal="center"/>
    </xf>
    <xf numFmtId="0" fontId="0" fillId="0" borderId="0" xfId="0" applyFill="1"/>
    <xf numFmtId="0" fontId="0" fillId="0" borderId="31" xfId="0" applyBorder="1"/>
    <xf numFmtId="0" fontId="13" fillId="0" borderId="32" xfId="0" applyFont="1" applyBorder="1" applyAlignment="1">
      <alignment horizontal="center"/>
    </xf>
    <xf numFmtId="0" fontId="0" fillId="0" borderId="32" xfId="0" applyBorder="1"/>
    <xf numFmtId="0" fontId="0" fillId="0" borderId="31" xfId="0" applyBorder="1" applyAlignment="1"/>
    <xf numFmtId="44" fontId="16" fillId="0" borderId="0" xfId="1" applyFont="1" applyFill="1" applyBorder="1" applyAlignment="1">
      <alignment horizontal="center"/>
    </xf>
    <xf numFmtId="44" fontId="16" fillId="0" borderId="0" xfId="0" applyNumberFormat="1" applyFont="1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5" fillId="0" borderId="0" xfId="0" applyFont="1" applyBorder="1"/>
    <xf numFmtId="44" fontId="13" fillId="13" borderId="1" xfId="1" applyFont="1" applyFill="1" applyBorder="1" applyAlignment="1">
      <alignment horizontal="center"/>
    </xf>
    <xf numFmtId="0" fontId="0" fillId="0" borderId="0" xfId="0" applyBorder="1" applyAlignment="1"/>
    <xf numFmtId="44" fontId="16" fillId="0" borderId="0" xfId="1" applyFont="1" applyFill="1" applyBorder="1" applyAlignment="1"/>
    <xf numFmtId="0" fontId="16" fillId="4" borderId="32" xfId="0" applyFont="1" applyFill="1" applyBorder="1" applyAlignment="1"/>
    <xf numFmtId="0" fontId="0" fillId="0" borderId="0" xfId="0" applyFill="1" applyBorder="1"/>
    <xf numFmtId="44" fontId="16" fillId="0" borderId="32" xfId="1" applyFont="1" applyFill="1" applyBorder="1" applyAlignment="1"/>
    <xf numFmtId="44" fontId="16" fillId="0" borderId="32" xfId="1" applyFont="1" applyFill="1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Fill="1" applyBorder="1"/>
    <xf numFmtId="0" fontId="16" fillId="0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44" fontId="16" fillId="0" borderId="0" xfId="0" applyNumberFormat="1" applyFont="1" applyFill="1" applyBorder="1" applyAlignment="1"/>
    <xf numFmtId="44" fontId="16" fillId="0" borderId="29" xfId="1" applyFont="1" applyFill="1" applyBorder="1" applyAlignment="1">
      <alignment horizontal="center"/>
    </xf>
    <xf numFmtId="44" fontId="16" fillId="0" borderId="30" xfId="1" applyFont="1" applyFill="1" applyBorder="1" applyAlignment="1">
      <alignment horizontal="center"/>
    </xf>
    <xf numFmtId="0" fontId="0" fillId="0" borderId="32" xfId="0" applyFill="1" applyBorder="1"/>
    <xf numFmtId="0" fontId="16" fillId="0" borderId="32" xfId="0" applyFont="1" applyFill="1" applyBorder="1" applyAlignment="1"/>
    <xf numFmtId="0" fontId="23" fillId="0" borderId="0" xfId="0" applyFont="1" applyFill="1" applyBorder="1" applyAlignment="1">
      <alignment vertical="center"/>
    </xf>
    <xf numFmtId="44" fontId="23" fillId="0" borderId="0" xfId="0" applyNumberFormat="1" applyFont="1" applyFill="1" applyBorder="1" applyAlignment="1">
      <alignment vertical="center"/>
    </xf>
    <xf numFmtId="15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15" fontId="2" fillId="2" borderId="2" xfId="0" applyNumberFormat="1" applyFont="1" applyFill="1" applyBorder="1" applyAlignment="1" applyProtection="1">
      <alignment horizontal="center" vertical="center" wrapText="1"/>
      <protection hidden="1"/>
    </xf>
    <xf numFmtId="44" fontId="13" fillId="0" borderId="10" xfId="1" applyFont="1" applyFill="1" applyBorder="1" applyAlignment="1"/>
    <xf numFmtId="0" fontId="0" fillId="11" borderId="31" xfId="0" applyFill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44" fontId="13" fillId="12" borderId="23" xfId="1" applyFont="1" applyFill="1" applyBorder="1" applyAlignment="1">
      <alignment vertical="center"/>
    </xf>
    <xf numFmtId="44" fontId="0" fillId="10" borderId="18" xfId="1" applyFont="1" applyFill="1" applyBorder="1" applyAlignment="1"/>
    <xf numFmtId="44" fontId="13" fillId="12" borderId="17" xfId="0" applyNumberFormat="1" applyFont="1" applyFill="1" applyBorder="1"/>
    <xf numFmtId="44" fontId="13" fillId="12" borderId="39" xfId="1" applyFont="1" applyFill="1" applyBorder="1"/>
    <xf numFmtId="44" fontId="13" fillId="12" borderId="40" xfId="1" applyFont="1" applyFill="1" applyBorder="1"/>
    <xf numFmtId="44" fontId="13" fillId="12" borderId="40" xfId="0" applyNumberFormat="1" applyFont="1" applyFill="1" applyBorder="1"/>
    <xf numFmtId="44" fontId="0" fillId="9" borderId="40" xfId="0" applyNumberFormat="1" applyFill="1" applyBorder="1"/>
    <xf numFmtId="44" fontId="0" fillId="10" borderId="41" xfId="1" applyFont="1" applyFill="1" applyBorder="1" applyAlignment="1"/>
    <xf numFmtId="0" fontId="0" fillId="0" borderId="17" xfId="0" applyBorder="1"/>
    <xf numFmtId="0" fontId="13" fillId="0" borderId="17" xfId="0" applyFont="1" applyBorder="1"/>
    <xf numFmtId="44" fontId="0" fillId="8" borderId="18" xfId="1" applyFont="1" applyFill="1" applyBorder="1" applyAlignment="1">
      <alignment vertical="center"/>
    </xf>
    <xf numFmtId="0" fontId="13" fillId="0" borderId="39" xfId="0" applyFont="1" applyBorder="1"/>
    <xf numFmtId="44" fontId="0" fillId="5" borderId="40" xfId="1" applyFont="1" applyFill="1" applyBorder="1" applyAlignment="1"/>
    <xf numFmtId="44" fontId="0" fillId="15" borderId="40" xfId="1" applyFont="1" applyFill="1" applyBorder="1" applyAlignment="1"/>
    <xf numFmtId="44" fontId="0" fillId="8" borderId="41" xfId="1" applyFont="1" applyFill="1" applyBorder="1" applyAlignment="1">
      <alignment vertical="center"/>
    </xf>
    <xf numFmtId="44" fontId="13" fillId="11" borderId="44" xfId="1" applyFont="1" applyFill="1" applyBorder="1" applyAlignment="1">
      <alignment horizontal="center"/>
    </xf>
    <xf numFmtId="0" fontId="13" fillId="6" borderId="45" xfId="0" applyFont="1" applyFill="1" applyBorder="1" applyAlignment="1">
      <alignment horizontal="center"/>
    </xf>
    <xf numFmtId="0" fontId="13" fillId="7" borderId="46" xfId="0" applyFont="1" applyFill="1" applyBorder="1" applyAlignment="1">
      <alignment horizontal="center"/>
    </xf>
    <xf numFmtId="9" fontId="13" fillId="12" borderId="39" xfId="1" applyNumberFormat="1" applyFont="1" applyFill="1" applyBorder="1"/>
    <xf numFmtId="9" fontId="13" fillId="9" borderId="40" xfId="1" applyNumberFormat="1" applyFont="1" applyFill="1" applyBorder="1"/>
    <xf numFmtId="9" fontId="13" fillId="10" borderId="41" xfId="1" applyNumberFormat="1" applyFont="1" applyFill="1" applyBorder="1"/>
    <xf numFmtId="44" fontId="13" fillId="0" borderId="17" xfId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44" fontId="0" fillId="8" borderId="18" xfId="0" applyNumberFormat="1" applyFill="1" applyBorder="1"/>
    <xf numFmtId="0" fontId="0" fillId="0" borderId="39" xfId="0" applyBorder="1" applyAlignment="1">
      <alignment horizontal="center"/>
    </xf>
    <xf numFmtId="0" fontId="0" fillId="0" borderId="40" xfId="0" applyFill="1" applyBorder="1" applyAlignment="1">
      <alignment horizontal="center"/>
    </xf>
    <xf numFmtId="44" fontId="0" fillId="14" borderId="40" xfId="1" applyFont="1" applyFill="1" applyBorder="1" applyAlignment="1">
      <alignment horizontal="center"/>
    </xf>
    <xf numFmtId="44" fontId="0" fillId="14" borderId="40" xfId="1" applyFont="1" applyFill="1" applyBorder="1"/>
    <xf numFmtId="44" fontId="0" fillId="9" borderId="40" xfId="1" applyFont="1" applyFill="1" applyBorder="1"/>
    <xf numFmtId="44" fontId="0" fillId="8" borderId="41" xfId="0" applyNumberFormat="1" applyFill="1" applyBorder="1"/>
    <xf numFmtId="0" fontId="2" fillId="2" borderId="17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0" fillId="0" borderId="18" xfId="0" applyBorder="1"/>
    <xf numFmtId="0" fontId="0" fillId="0" borderId="17" xfId="0" applyBorder="1" applyAlignment="1" applyProtection="1">
      <alignment horizontal="center"/>
      <protection hidden="1"/>
    </xf>
    <xf numFmtId="0" fontId="0" fillId="0" borderId="39" xfId="0" applyBorder="1" applyAlignment="1" applyProtection="1">
      <alignment horizontal="center"/>
      <protection hidden="1"/>
    </xf>
    <xf numFmtId="44" fontId="0" fillId="0" borderId="40" xfId="1" applyFont="1" applyBorder="1"/>
    <xf numFmtId="44" fontId="0" fillId="0" borderId="40" xfId="0" applyNumberFormat="1" applyBorder="1"/>
    <xf numFmtId="0" fontId="0" fillId="0" borderId="41" xfId="0" applyBorder="1"/>
    <xf numFmtId="0" fontId="0" fillId="0" borderId="0" xfId="0" applyAlignment="1">
      <alignment horizontal="center" vertical="center"/>
    </xf>
    <xf numFmtId="0" fontId="24" fillId="26" borderId="31" xfId="0" applyFont="1" applyFill="1" applyBorder="1" applyAlignment="1">
      <alignment horizontal="center"/>
    </xf>
    <xf numFmtId="0" fontId="24" fillId="26" borderId="0" xfId="0" applyFont="1" applyFill="1" applyBorder="1" applyAlignment="1">
      <alignment horizontal="center"/>
    </xf>
    <xf numFmtId="0" fontId="24" fillId="26" borderId="32" xfId="0" applyFont="1" applyFill="1" applyBorder="1" applyAlignment="1">
      <alignment horizontal="center"/>
    </xf>
    <xf numFmtId="0" fontId="23" fillId="17" borderId="31" xfId="0" applyFont="1" applyFill="1" applyBorder="1" applyAlignment="1">
      <alignment horizontal="center" vertical="center"/>
    </xf>
    <xf numFmtId="0" fontId="23" fillId="17" borderId="0" xfId="0" applyFont="1" applyFill="1" applyBorder="1" applyAlignment="1">
      <alignment horizontal="center" vertical="center"/>
    </xf>
    <xf numFmtId="44" fontId="23" fillId="5" borderId="31" xfId="0" applyNumberFormat="1" applyFont="1" applyFill="1" applyBorder="1" applyAlignment="1">
      <alignment horizontal="center" vertical="center"/>
    </xf>
    <xf numFmtId="44" fontId="23" fillId="5" borderId="0" xfId="0" applyNumberFormat="1" applyFont="1" applyFill="1" applyBorder="1" applyAlignment="1">
      <alignment horizontal="center" vertical="center"/>
    </xf>
    <xf numFmtId="0" fontId="23" fillId="16" borderId="0" xfId="0" applyFont="1" applyFill="1" applyBorder="1" applyAlignment="1">
      <alignment horizontal="center" vertical="center"/>
    </xf>
    <xf numFmtId="44" fontId="23" fillId="15" borderId="0" xfId="0" applyNumberFormat="1" applyFont="1" applyFill="1" applyBorder="1" applyAlignment="1">
      <alignment horizontal="center" vertical="center"/>
    </xf>
    <xf numFmtId="0" fontId="23" fillId="19" borderId="0" xfId="0" applyFont="1" applyFill="1" applyBorder="1" applyAlignment="1">
      <alignment horizontal="center" vertical="center"/>
    </xf>
    <xf numFmtId="0" fontId="23" fillId="19" borderId="32" xfId="0" applyFont="1" applyFill="1" applyBorder="1" applyAlignment="1">
      <alignment horizontal="center" vertical="center"/>
    </xf>
    <xf numFmtId="44" fontId="23" fillId="20" borderId="0" xfId="0" applyNumberFormat="1" applyFont="1" applyFill="1" applyBorder="1" applyAlignment="1">
      <alignment horizontal="center" vertical="center"/>
    </xf>
    <xf numFmtId="44" fontId="23" fillId="20" borderId="32" xfId="0" applyNumberFormat="1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/>
    </xf>
    <xf numFmtId="0" fontId="23" fillId="18" borderId="0" xfId="0" applyFont="1" applyFill="1" applyBorder="1" applyAlignment="1">
      <alignment horizontal="center"/>
    </xf>
    <xf numFmtId="0" fontId="23" fillId="18" borderId="32" xfId="0" applyFont="1" applyFill="1" applyBorder="1" applyAlignment="1">
      <alignment horizontal="center"/>
    </xf>
    <xf numFmtId="0" fontId="23" fillId="11" borderId="31" xfId="0" applyFont="1" applyFill="1" applyBorder="1" applyAlignment="1">
      <alignment horizontal="center"/>
    </xf>
    <xf numFmtId="0" fontId="23" fillId="11" borderId="0" xfId="0" applyFont="1" applyFill="1" applyBorder="1" applyAlignment="1">
      <alignment horizontal="center"/>
    </xf>
    <xf numFmtId="44" fontId="23" fillId="14" borderId="33" xfId="1" applyFont="1" applyFill="1" applyBorder="1" applyAlignment="1">
      <alignment horizontal="center"/>
    </xf>
    <xf numFmtId="44" fontId="23" fillId="14" borderId="34" xfId="1" applyFont="1" applyFill="1" applyBorder="1" applyAlignment="1">
      <alignment horizontal="center"/>
    </xf>
    <xf numFmtId="44" fontId="23" fillId="6" borderId="34" xfId="1" applyFont="1" applyFill="1" applyBorder="1" applyAlignment="1">
      <alignment horizontal="center"/>
    </xf>
    <xf numFmtId="44" fontId="23" fillId="7" borderId="34" xfId="0" applyNumberFormat="1" applyFont="1" applyFill="1" applyBorder="1" applyAlignment="1">
      <alignment horizontal="center"/>
    </xf>
    <xf numFmtId="44" fontId="23" fillId="7" borderId="35" xfId="0" applyNumberFormat="1" applyFont="1" applyFill="1" applyBorder="1" applyAlignment="1">
      <alignment horizontal="center"/>
    </xf>
    <xf numFmtId="0" fontId="13" fillId="6" borderId="10" xfId="0" applyFont="1" applyFill="1" applyBorder="1" applyAlignment="1">
      <alignment horizontal="center"/>
    </xf>
    <xf numFmtId="0" fontId="13" fillId="6" borderId="7" xfId="0" applyFont="1" applyFill="1" applyBorder="1" applyAlignment="1">
      <alignment horizontal="center"/>
    </xf>
    <xf numFmtId="0" fontId="13" fillId="6" borderId="15" xfId="0" applyFont="1" applyFill="1" applyBorder="1" applyAlignment="1">
      <alignment horizontal="center"/>
    </xf>
    <xf numFmtId="44" fontId="13" fillId="16" borderId="36" xfId="1" applyFont="1" applyFill="1" applyBorder="1" applyAlignment="1">
      <alignment horizontal="center"/>
    </xf>
    <xf numFmtId="44" fontId="13" fillId="16" borderId="37" xfId="1" applyFont="1" applyFill="1" applyBorder="1" applyAlignment="1">
      <alignment horizontal="center"/>
    </xf>
    <xf numFmtId="44" fontId="13" fillId="16" borderId="42" xfId="1" applyFont="1" applyFill="1" applyBorder="1" applyAlignment="1">
      <alignment horizontal="center"/>
    </xf>
    <xf numFmtId="44" fontId="13" fillId="0" borderId="44" xfId="1" applyFont="1" applyFill="1" applyBorder="1" applyAlignment="1">
      <alignment horizontal="center"/>
    </xf>
    <xf numFmtId="44" fontId="13" fillId="0" borderId="45" xfId="1" applyFont="1" applyFill="1" applyBorder="1" applyAlignment="1">
      <alignment horizontal="center"/>
    </xf>
    <xf numFmtId="44" fontId="13" fillId="0" borderId="46" xfId="1" applyFont="1" applyFill="1" applyBorder="1" applyAlignment="1">
      <alignment horizontal="center"/>
    </xf>
    <xf numFmtId="0" fontId="2" fillId="2" borderId="36" xfId="0" applyFont="1" applyFill="1" applyBorder="1" applyAlignment="1" applyProtection="1">
      <alignment horizontal="center" vertical="center"/>
      <protection hidden="1"/>
    </xf>
    <xf numFmtId="0" fontId="2" fillId="2" borderId="37" xfId="0" applyFont="1" applyFill="1" applyBorder="1" applyAlignment="1" applyProtection="1">
      <alignment horizontal="center" vertical="center"/>
      <protection hidden="1"/>
    </xf>
    <xf numFmtId="0" fontId="2" fillId="2" borderId="38" xfId="0" applyFont="1" applyFill="1" applyBorder="1" applyAlignment="1" applyProtection="1">
      <alignment horizontal="center" vertical="center"/>
      <protection hidden="1"/>
    </xf>
    <xf numFmtId="44" fontId="13" fillId="13" borderId="9" xfId="1" applyFont="1" applyFill="1" applyBorder="1" applyAlignment="1">
      <alignment horizontal="center"/>
    </xf>
    <xf numFmtId="44" fontId="13" fillId="5" borderId="47" xfId="1" applyFont="1" applyFill="1" applyBorder="1" applyAlignment="1">
      <alignment horizontal="center" vertical="center"/>
    </xf>
    <xf numFmtId="44" fontId="13" fillId="5" borderId="20" xfId="1" applyFont="1" applyFill="1" applyBorder="1" applyAlignment="1">
      <alignment horizontal="center" vertical="center"/>
    </xf>
    <xf numFmtId="44" fontId="13" fillId="11" borderId="36" xfId="1" applyFont="1" applyFill="1" applyBorder="1" applyAlignment="1">
      <alignment horizontal="center"/>
    </xf>
    <xf numFmtId="44" fontId="13" fillId="11" borderId="37" xfId="1" applyFont="1" applyFill="1" applyBorder="1" applyAlignment="1">
      <alignment horizontal="center"/>
    </xf>
    <xf numFmtId="44" fontId="13" fillId="11" borderId="38" xfId="1" applyFont="1" applyFill="1" applyBorder="1" applyAlignment="1">
      <alignment horizontal="center"/>
    </xf>
    <xf numFmtId="0" fontId="13" fillId="5" borderId="43" xfId="0" applyFont="1" applyFill="1" applyBorder="1" applyAlignment="1">
      <alignment horizontal="center" vertical="center" wrapText="1"/>
    </xf>
    <xf numFmtId="0" fontId="13" fillId="5" borderId="2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 applyProtection="1">
      <alignment horizontal="right" vertical="center"/>
      <protection hidden="1"/>
    </xf>
    <xf numFmtId="0" fontId="2" fillId="2" borderId="12" xfId="0" applyFont="1" applyFill="1" applyBorder="1" applyAlignment="1" applyProtection="1">
      <alignment horizontal="right" vertical="center"/>
      <protection hidden="1"/>
    </xf>
    <xf numFmtId="0" fontId="2" fillId="2" borderId="13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13" fillId="25" borderId="1" xfId="0" applyFont="1" applyFill="1" applyBorder="1" applyAlignment="1" applyProtection="1">
      <alignment horizontal="right" vertical="center"/>
      <protection hidden="1"/>
    </xf>
    <xf numFmtId="0" fontId="2" fillId="2" borderId="3" xfId="0" applyFont="1" applyFill="1" applyBorder="1" applyAlignment="1" applyProtection="1">
      <alignment horizontal="center" vertical="center"/>
      <protection hidden="1"/>
    </xf>
    <xf numFmtId="0" fontId="2" fillId="2" borderId="6" xfId="0" applyFont="1" applyFill="1" applyBorder="1" applyAlignment="1" applyProtection="1">
      <alignment horizontal="center" vertical="center"/>
      <protection hidden="1"/>
    </xf>
    <xf numFmtId="44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hidden="1"/>
    </xf>
    <xf numFmtId="44" fontId="0" fillId="0" borderId="2" xfId="1" applyFont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4" fillId="3" borderId="2" xfId="0" applyNumberFormat="1" applyFont="1" applyFill="1" applyBorder="1" applyAlignment="1">
      <alignment horizontal="center"/>
    </xf>
    <xf numFmtId="1" fontId="4" fillId="3" borderId="9" xfId="0" applyNumberFormat="1" applyFont="1" applyFill="1" applyBorder="1" applyAlignment="1">
      <alignment horizontal="center"/>
    </xf>
    <xf numFmtId="2" fontId="4" fillId="3" borderId="8" xfId="0" applyNumberFormat="1" applyFont="1" applyFill="1" applyBorder="1" applyAlignment="1">
      <alignment horizontal="center" vertical="center"/>
    </xf>
    <xf numFmtId="2" fontId="4" fillId="3" borderId="9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1" fontId="4" fillId="3" borderId="8" xfId="0" applyNumberFormat="1" applyFont="1" applyFill="1" applyBorder="1" applyAlignment="1">
      <alignment horizontal="center" vertical="center"/>
    </xf>
    <xf numFmtId="1" fontId="4" fillId="3" borderId="9" xfId="0" applyNumberFormat="1" applyFont="1" applyFill="1" applyBorder="1" applyAlignment="1">
      <alignment horizontal="center" vertical="center"/>
    </xf>
    <xf numFmtId="1" fontId="4" fillId="3" borderId="8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2" fontId="4" fillId="3" borderId="8" xfId="0" applyNumberFormat="1" applyFont="1" applyFill="1" applyBorder="1" applyAlignment="1">
      <alignment horizontal="center"/>
    </xf>
    <xf numFmtId="2" fontId="4" fillId="3" borderId="9" xfId="0" applyNumberFormat="1" applyFont="1" applyFill="1" applyBorder="1" applyAlignment="1">
      <alignment horizontal="center"/>
    </xf>
    <xf numFmtId="0" fontId="13" fillId="24" borderId="25" xfId="0" applyFont="1" applyFill="1" applyBorder="1" applyAlignment="1">
      <alignment horizontal="center" vertical="top"/>
    </xf>
    <xf numFmtId="0" fontId="13" fillId="24" borderId="26" xfId="0" applyFont="1" applyFill="1" applyBorder="1" applyAlignment="1">
      <alignment horizontal="center" vertical="top"/>
    </xf>
    <xf numFmtId="0" fontId="13" fillId="0" borderId="25" xfId="0" applyFont="1" applyBorder="1" applyAlignment="1">
      <alignment horizontal="right"/>
    </xf>
    <xf numFmtId="0" fontId="13" fillId="0" borderId="27" xfId="0" applyFont="1" applyBorder="1" applyAlignment="1">
      <alignment horizontal="right"/>
    </xf>
    <xf numFmtId="2" fontId="4" fillId="3" borderId="1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2" fillId="2" borderId="10" xfId="0" applyFont="1" applyFill="1" applyBorder="1" applyAlignment="1" applyProtection="1">
      <alignment horizontal="center" vertical="center"/>
      <protection hidden="1"/>
    </xf>
    <xf numFmtId="0" fontId="2" fillId="2" borderId="7" xfId="0" applyFont="1" applyFill="1" applyBorder="1" applyAlignment="1" applyProtection="1">
      <alignment horizontal="center" vertical="center"/>
      <protection hidden="1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/>
      <protection hidden="1"/>
    </xf>
    <xf numFmtId="0" fontId="0" fillId="0" borderId="5" xfId="0" applyFill="1" applyBorder="1" applyAlignment="1" applyProtection="1">
      <alignment horizontal="center"/>
      <protection hidden="1"/>
    </xf>
  </cellXfs>
  <cellStyles count="3">
    <cellStyle name="Hiperlink" xfId="2" builtinId="8"/>
    <cellStyle name="Moeda" xfId="1" builtinId="4"/>
    <cellStyle name="Normal" xfId="0" builtinId="0"/>
  </cellStyles>
  <dxfs count="95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000" b="1" i="0" baseline="0">
                <a:solidFill>
                  <a:schemeClr val="tx1"/>
                </a:solidFill>
                <a:effectLst/>
              </a:rPr>
              <a:t>Consumo Mensal do Contrato </a:t>
            </a:r>
            <a:endParaRPr lang="pt-BR" sz="2000" b="1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Previsto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Indicadores!$A$15:$A$26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Indicadores!$E$15:$E$26</c:f>
              <c:numCache>
                <c:formatCode>_("R$"* #,##0.00_);_("R$"* \(#,##0.00\);_("R$"* "-"??_);_(@_)</c:formatCode>
                <c:ptCount val="12"/>
                <c:pt idx="0">
                  <c:v>7342.24</c:v>
                </c:pt>
                <c:pt idx="1">
                  <c:v>13870.740000000002</c:v>
                </c:pt>
                <c:pt idx="2">
                  <c:v>11764.16</c:v>
                </c:pt>
                <c:pt idx="3">
                  <c:v>882.51</c:v>
                </c:pt>
                <c:pt idx="4">
                  <c:v>15004.680000000004</c:v>
                </c:pt>
                <c:pt idx="5">
                  <c:v>17247.670000000002</c:v>
                </c:pt>
                <c:pt idx="6">
                  <c:v>58922.810000000005</c:v>
                </c:pt>
                <c:pt idx="7">
                  <c:v>37043.849999999991</c:v>
                </c:pt>
                <c:pt idx="8">
                  <c:v>13191.919999999998</c:v>
                </c:pt>
                <c:pt idx="9">
                  <c:v>9236.01</c:v>
                </c:pt>
                <c:pt idx="10">
                  <c:v>1196.1300000000001</c:v>
                </c:pt>
                <c:pt idx="11">
                  <c:v>22495.390000000003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72-473A-8551-FDF01451E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46928"/>
        <c:axId val="143846096"/>
      </c:barChart>
      <c:lineChart>
        <c:grouping val="standard"/>
        <c:varyColors val="0"/>
        <c:ser>
          <c:idx val="1"/>
          <c:order val="1"/>
          <c:tx>
            <c:v>Executado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Indicadores!$B$15:$B$26</c:f>
            </c:multiLvlStrRef>
          </c:cat>
          <c:val>
            <c:numRef>
              <c:f>Indicadores!$H$15:$H$26</c:f>
              <c:numCache>
                <c:formatCode>_("R$"* #,##0.00_);_("R$"* \(#,##0.00\);_("R$"* "-"??_);_(@_)</c:formatCode>
                <c:ptCount val="12"/>
                <c:pt idx="0">
                  <c:v>552.64</c:v>
                </c:pt>
                <c:pt idx="1">
                  <c:v>0</c:v>
                </c:pt>
                <c:pt idx="2">
                  <c:v>23582.490000000005</c:v>
                </c:pt>
                <c:pt idx="3">
                  <c:v>9366.9900000000016</c:v>
                </c:pt>
                <c:pt idx="4">
                  <c:v>16479.630000000005</c:v>
                </c:pt>
                <c:pt idx="5">
                  <c:v>21650.670000000002</c:v>
                </c:pt>
                <c:pt idx="6">
                  <c:v>28172.939999999995</c:v>
                </c:pt>
                <c:pt idx="7">
                  <c:v>46457.929999999986</c:v>
                </c:pt>
                <c:pt idx="8">
                  <c:v>39839.589999999997</c:v>
                </c:pt>
                <c:pt idx="9">
                  <c:v>2533.54</c:v>
                </c:pt>
                <c:pt idx="10">
                  <c:v>13902.059999999998</c:v>
                </c:pt>
                <c:pt idx="11">
                  <c:v>1105.28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72-473A-8551-FDF01451E9E2}"/>
            </c:ext>
          </c:extLst>
        </c:ser>
        <c:ser>
          <c:idx val="2"/>
          <c:order val="2"/>
          <c:tx>
            <c:v>Ponderado médio 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Indicadores!$I$15:$I$26</c:f>
              <c:numCache>
                <c:formatCode>_("R$"* #,##0.00_);_("R$"* \(#,##0.00\);_("R$"* "-"??_);_(@_)</c:formatCode>
                <c:ptCount val="12"/>
                <c:pt idx="0">
                  <c:v>15638.06</c:v>
                </c:pt>
                <c:pt idx="1">
                  <c:v>15638.06</c:v>
                </c:pt>
                <c:pt idx="2">
                  <c:v>15638.06</c:v>
                </c:pt>
                <c:pt idx="3">
                  <c:v>15638.06</c:v>
                </c:pt>
                <c:pt idx="4">
                  <c:v>15638.06</c:v>
                </c:pt>
                <c:pt idx="5">
                  <c:v>15638.06</c:v>
                </c:pt>
                <c:pt idx="6">
                  <c:v>15638.06</c:v>
                </c:pt>
                <c:pt idx="7">
                  <c:v>15638.06</c:v>
                </c:pt>
                <c:pt idx="8">
                  <c:v>15638.06</c:v>
                </c:pt>
                <c:pt idx="9">
                  <c:v>15638.06</c:v>
                </c:pt>
                <c:pt idx="10">
                  <c:v>15638.06</c:v>
                </c:pt>
                <c:pt idx="11">
                  <c:v>15638.06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72-473A-8551-FDF01451E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46928"/>
        <c:axId val="143846096"/>
      </c:lineChart>
      <c:catAx>
        <c:axId val="1438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846096"/>
        <c:crosses val="autoZero"/>
        <c:auto val="1"/>
        <c:lblAlgn val="ctr"/>
        <c:lblOffset val="100"/>
        <c:noMultiLvlLbl val="0"/>
      </c:catAx>
      <c:valAx>
        <c:axId val="143846096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8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F4-49BF-910C-1C6BF1DE01A3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F4-49BF-910C-1C6BF1DE01A3}"/>
              </c:ext>
            </c:extLst>
          </c:dPt>
          <c:dLbls>
            <c:dLbl>
              <c:idx val="0"/>
              <c:layout>
                <c:manualLayout>
                  <c:x val="7.8350364208611412E-2"/>
                  <c:y val="-5.28302061210010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F4-49BF-910C-1C6BF1DE01A3}"/>
                </c:ext>
              </c:extLst>
            </c:dLbl>
            <c:dLbl>
              <c:idx val="1"/>
              <c:layout>
                <c:manualLayout>
                  <c:x val="-6.4104843443409443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F4-49BF-910C-1C6BF1DE01A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Indicadores!$D$7:$E$7</c:f>
              <c:strCache>
                <c:ptCount val="2"/>
                <c:pt idx="0">
                  <c:v>Consumo </c:v>
                </c:pt>
                <c:pt idx="1">
                  <c:v>A ser utilizado </c:v>
                </c:pt>
              </c:strCache>
            </c:strRef>
          </c:cat>
          <c:val>
            <c:numRef>
              <c:f>Indicadores!$D$8:$E$8</c:f>
              <c:numCache>
                <c:formatCode>0%</c:formatCode>
                <c:ptCount val="2"/>
                <c:pt idx="0">
                  <c:v>1.0134723126355401</c:v>
                </c:pt>
                <c:pt idx="1">
                  <c:v>-1.3472312635540051E-2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F4-49BF-910C-1C6BF1DE0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Indicadores!$B$2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Indicadores!$A$3:$A$5</c:f>
              <c:strCache>
                <c:ptCount val="3"/>
                <c:pt idx="0">
                  <c:v> Total  </c:v>
                </c:pt>
                <c:pt idx="1">
                  <c:v> Serviços  </c:v>
                </c:pt>
                <c:pt idx="2">
                  <c:v> Deslocameneto  </c:v>
                </c:pt>
              </c:strCache>
            </c:strRef>
          </c:cat>
          <c:val>
            <c:numRef>
              <c:f>Indicadores!$B$3:$B$5</c:f>
            </c:numRef>
          </c:val>
          <c:extLst>
            <c:ext xmlns:c16="http://schemas.microsoft.com/office/drawing/2014/chart" uri="{C3380CC4-5D6E-409C-BE32-E72D297353CC}">
              <c16:uniqueId val="{00000000-95DF-4764-A2BE-229B51DC2E51}"/>
            </c:ext>
          </c:extLst>
        </c:ser>
        <c:ser>
          <c:idx val="1"/>
          <c:order val="1"/>
          <c:tx>
            <c:strRef>
              <c:f>Indicadores!$C$2</c:f>
              <c:strCache>
                <c:ptCount val="1"/>
                <c:pt idx="0">
                  <c:v> Contrato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Indicadores!$A$3:$A$5</c:f>
              <c:strCache>
                <c:ptCount val="3"/>
                <c:pt idx="0">
                  <c:v> Total  </c:v>
                </c:pt>
                <c:pt idx="1">
                  <c:v> Serviços  </c:v>
                </c:pt>
                <c:pt idx="2">
                  <c:v> Deslocameneto  </c:v>
                </c:pt>
              </c:strCache>
            </c:strRef>
          </c:cat>
          <c:val>
            <c:numRef>
              <c:f>Indicadores!$C$3:$C$5</c:f>
              <c:numCache>
                <c:formatCode>_("R$"* #,##0.00_);_("R$"* \(#,##0.00\);_("R$"* "-"??_);_(@_)</c:formatCode>
                <c:ptCount val="3"/>
                <c:pt idx="0">
                  <c:v>187656.72</c:v>
                </c:pt>
                <c:pt idx="1">
                  <c:v>122926.27499999999</c:v>
                </c:pt>
                <c:pt idx="2">
                  <c:v>64730.493000000002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F-4764-A2BE-229B51DC2E51}"/>
            </c:ext>
          </c:extLst>
        </c:ser>
        <c:ser>
          <c:idx val="2"/>
          <c:order val="2"/>
          <c:tx>
            <c:strRef>
              <c:f>Indicadores!$D$2</c:f>
              <c:strCache>
                <c:ptCount val="1"/>
                <c:pt idx="0">
                  <c:v>Consumo 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Indicadores!$A$3:$A$5</c:f>
              <c:strCache>
                <c:ptCount val="3"/>
                <c:pt idx="0">
                  <c:v> Total  </c:v>
                </c:pt>
                <c:pt idx="1">
                  <c:v> Serviços  </c:v>
                </c:pt>
                <c:pt idx="2">
                  <c:v> Deslocameneto  </c:v>
                </c:pt>
              </c:strCache>
            </c:strRef>
          </c:cat>
          <c:val>
            <c:numRef>
              <c:f>Indicadores!$D$3:$D$5</c:f>
              <c:numCache>
                <c:formatCode>_("R$"* #,##0.00_);_("R$"* \(#,##0.00\);_("R$"* "-"??_);_(@_)</c:formatCode>
                <c:ptCount val="3"/>
                <c:pt idx="0">
                  <c:v>190184.88999999998</c:v>
                </c:pt>
                <c:pt idx="1">
                  <c:v>132512.53</c:v>
                </c:pt>
                <c:pt idx="2">
                  <c:v>57672.359999999993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DF-4764-A2BE-229B51DC2E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26181040"/>
        <c:axId val="1126178128"/>
      </c:barChart>
      <c:catAx>
        <c:axId val="1126181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6178128"/>
        <c:crosses val="autoZero"/>
        <c:auto val="1"/>
        <c:lblAlgn val="ctr"/>
        <c:lblOffset val="100"/>
        <c:noMultiLvlLbl val="0"/>
      </c:catAx>
      <c:valAx>
        <c:axId val="112617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618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800" b="0">
                <a:solidFill>
                  <a:schemeClr val="tx1"/>
                </a:solidFill>
              </a:rPr>
              <a:t>Previsão -</a:t>
            </a:r>
            <a:r>
              <a:rPr lang="pt-BR" sz="1800" b="0" baseline="0">
                <a:solidFill>
                  <a:schemeClr val="tx1"/>
                </a:solidFill>
              </a:rPr>
              <a:t> </a:t>
            </a:r>
            <a:r>
              <a:rPr lang="pt-BR" sz="1800" b="0">
                <a:solidFill>
                  <a:schemeClr val="tx1"/>
                </a:solidFill>
              </a:rPr>
              <a:t>Acumulado do Contrato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Indicadores!$B$2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Indicadores!$G$3:$G$5</c:f>
              <c:strCache>
                <c:ptCount val="3"/>
                <c:pt idx="0">
                  <c:v>Total </c:v>
                </c:pt>
                <c:pt idx="1">
                  <c:v>Serviços </c:v>
                </c:pt>
                <c:pt idx="2">
                  <c:v>Deslocameneto </c:v>
                </c:pt>
              </c:strCache>
            </c:strRef>
          </c:cat>
          <c:val>
            <c:numRef>
              <c:f>Indicadores!$B$3:$B$5</c:f>
            </c:numRef>
          </c:val>
          <c:extLst>
            <c:ext xmlns:c16="http://schemas.microsoft.com/office/drawing/2014/chart" uri="{C3380CC4-5D6E-409C-BE32-E72D297353CC}">
              <c16:uniqueId val="{00000000-5285-4580-B81D-D2A156F8647F}"/>
            </c:ext>
          </c:extLst>
        </c:ser>
        <c:ser>
          <c:idx val="1"/>
          <c:order val="1"/>
          <c:tx>
            <c:strRef>
              <c:f>Indicadores!$C$2</c:f>
              <c:strCache>
                <c:ptCount val="1"/>
                <c:pt idx="0">
                  <c:v> Contrato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Indicadores!$G$3:$G$5</c:f>
              <c:strCache>
                <c:ptCount val="3"/>
                <c:pt idx="0">
                  <c:v>Total </c:v>
                </c:pt>
                <c:pt idx="1">
                  <c:v>Serviços </c:v>
                </c:pt>
                <c:pt idx="2">
                  <c:v>Deslocameneto </c:v>
                </c:pt>
              </c:strCache>
            </c:strRef>
          </c:cat>
          <c:val>
            <c:numRef>
              <c:f>Indicadores!$C$3:$C$5</c:f>
              <c:numCache>
                <c:formatCode>_("R$"* #,##0.00_);_("R$"* \(#,##0.00\);_("R$"* "-"??_);_(@_)</c:formatCode>
                <c:ptCount val="3"/>
                <c:pt idx="0">
                  <c:v>187656.72</c:v>
                </c:pt>
                <c:pt idx="1">
                  <c:v>122926.27499999999</c:v>
                </c:pt>
                <c:pt idx="2">
                  <c:v>64730.493000000002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5-4580-B81D-D2A156F8647F}"/>
            </c:ext>
          </c:extLst>
        </c:ser>
        <c:ser>
          <c:idx val="2"/>
          <c:order val="2"/>
          <c:tx>
            <c:strRef>
              <c:f>Indicadores!$H$2</c:f>
              <c:strCache>
                <c:ptCount val="1"/>
                <c:pt idx="0">
                  <c:v>Acumulado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Indicadores!$G$3:$G$5</c:f>
              <c:strCache>
                <c:ptCount val="3"/>
                <c:pt idx="0">
                  <c:v>Total </c:v>
                </c:pt>
                <c:pt idx="1">
                  <c:v>Serviços </c:v>
                </c:pt>
                <c:pt idx="2">
                  <c:v>Deslocameneto </c:v>
                </c:pt>
              </c:strCache>
            </c:strRef>
          </c:cat>
          <c:val>
            <c:numRef>
              <c:f>Indicadores!$H$3:$H$5</c:f>
              <c:numCache>
                <c:formatCode>_("R$"* #,##0.00_);_("R$"* \(#,##0.00\);_("R$"* "-"??_);_(@_)</c:formatCode>
                <c:ptCount val="3"/>
                <c:pt idx="0">
                  <c:v>190184.88999999998</c:v>
                </c:pt>
                <c:pt idx="1">
                  <c:v>132512.53</c:v>
                </c:pt>
                <c:pt idx="2">
                  <c:v>57672.359999999993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5-4580-B81D-D2A156F864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26181040"/>
        <c:axId val="1126178128"/>
      </c:barChart>
      <c:catAx>
        <c:axId val="1126181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6178128"/>
        <c:crosses val="autoZero"/>
        <c:auto val="1"/>
        <c:lblAlgn val="ctr"/>
        <c:lblOffset val="100"/>
        <c:noMultiLvlLbl val="0"/>
      </c:catAx>
      <c:valAx>
        <c:axId val="112617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618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68036</xdr:colOff>
      <xdr:row>32</xdr:row>
      <xdr:rowOff>33639</xdr:rowOff>
    </xdr:from>
    <xdr:to>
      <xdr:col>14</xdr:col>
      <xdr:colOff>544286</xdr:colOff>
      <xdr:row>56</xdr:row>
      <xdr:rowOff>108857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08694C-FD9F-4D77-8838-7E3D64500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215310</xdr:colOff>
      <xdr:row>2</xdr:row>
      <xdr:rowOff>149678</xdr:rowOff>
    </xdr:from>
    <xdr:to>
      <xdr:col>14</xdr:col>
      <xdr:colOff>557893</xdr:colOff>
      <xdr:row>14</xdr:row>
      <xdr:rowOff>27213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EAF56B3-7BA4-4ECE-BBD3-7D774577C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204107</xdr:colOff>
      <xdr:row>14</xdr:row>
      <xdr:rowOff>81642</xdr:rowOff>
    </xdr:from>
    <xdr:to>
      <xdr:col>14</xdr:col>
      <xdr:colOff>574351</xdr:colOff>
      <xdr:row>26</xdr:row>
      <xdr:rowOff>285751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11A5005-B775-4A6B-8A20-5DA1F0893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29860</xdr:colOff>
      <xdr:row>61</xdr:row>
      <xdr:rowOff>40347</xdr:rowOff>
    </xdr:from>
    <xdr:to>
      <xdr:col>14</xdr:col>
      <xdr:colOff>544286</xdr:colOff>
      <xdr:row>78</xdr:row>
      <xdr:rowOff>81643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1B6E1F5-0186-4A5F-A570-413037554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Suez-Calibraes/Documentos%20Compartilhados/General/Controle%20de%20Calibra&#231;&#245;es%20SUE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Is"/>
      <sheetName val="Controle de equipamento"/>
      <sheetName val="Obs Tecnicas"/>
      <sheetName val="Distritos"/>
      <sheetName val="Não Encontrado"/>
      <sheetName val="Equipamentos Desativados"/>
      <sheetName val="Adicionados"/>
      <sheetName val="Planilha1"/>
    </sheetNames>
    <sheetDataSet>
      <sheetData sheetId="0" refreshError="1"/>
      <sheetData sheetId="1">
        <row r="2">
          <cell r="Z2">
            <v>165.75299999999999</v>
          </cell>
        </row>
        <row r="3">
          <cell r="Z3">
            <v>178.434</v>
          </cell>
        </row>
        <row r="4">
          <cell r="Z4">
            <v>101.655</v>
          </cell>
        </row>
        <row r="5">
          <cell r="Z5">
            <v>420.44400000000002</v>
          </cell>
        </row>
        <row r="6">
          <cell r="Z6">
            <v>101.655</v>
          </cell>
        </row>
        <row r="7">
          <cell r="Z7">
            <v>101.655</v>
          </cell>
        </row>
        <row r="8">
          <cell r="Z8">
            <v>198.60299999999998</v>
          </cell>
        </row>
      </sheetData>
      <sheetData sheetId="2">
        <row r="2">
          <cell r="D2" t="str">
            <v>1358800</v>
          </cell>
          <cell r="E2">
            <v>12326</v>
          </cell>
          <cell r="F2" t="str">
            <v>ER ANALITICA</v>
          </cell>
          <cell r="G2" t="str">
            <v>Compartimento de cubeta e bateria de lítio em final de vida útil.</v>
          </cell>
          <cell r="H2">
            <v>44333</v>
          </cell>
          <cell r="I2">
            <v>5</v>
          </cell>
        </row>
        <row r="3">
          <cell r="D3" t="str">
            <v>4211535</v>
          </cell>
          <cell r="E3">
            <v>12317</v>
          </cell>
          <cell r="F3" t="str">
            <v>ER ANALITICA</v>
          </cell>
          <cell r="H3">
            <v>44333</v>
          </cell>
          <cell r="I3">
            <v>5</v>
          </cell>
        </row>
        <row r="4">
          <cell r="D4" t="str">
            <v>4220739</v>
          </cell>
          <cell r="E4">
            <v>12337</v>
          </cell>
          <cell r="F4" t="str">
            <v>ER ANALITICA</v>
          </cell>
          <cell r="H4">
            <v>44333</v>
          </cell>
          <cell r="I4">
            <v>5</v>
          </cell>
        </row>
        <row r="5">
          <cell r="D5" t="str">
            <v>P31644C</v>
          </cell>
          <cell r="E5">
            <v>12343</v>
          </cell>
          <cell r="F5" t="str">
            <v>ER ANALITICA</v>
          </cell>
          <cell r="H5">
            <v>44333</v>
          </cell>
          <cell r="I5">
            <v>5</v>
          </cell>
        </row>
        <row r="6">
          <cell r="D6" t="str">
            <v>612331</v>
          </cell>
          <cell r="E6">
            <v>12321</v>
          </cell>
          <cell r="F6" t="str">
            <v>ER ANALITICA</v>
          </cell>
          <cell r="H6">
            <v>44333</v>
          </cell>
          <cell r="I6">
            <v>5</v>
          </cell>
        </row>
        <row r="7">
          <cell r="D7" t="str">
            <v>12070C019229</v>
          </cell>
          <cell r="E7">
            <v>12319</v>
          </cell>
          <cell r="F7" t="str">
            <v>ER ANALITICA</v>
          </cell>
          <cell r="G7" t="str">
            <v>Lingueta de fixação da cubeta (tampa superior do conj. Optico) danificada.</v>
          </cell>
          <cell r="H7">
            <v>44333</v>
          </cell>
          <cell r="I7">
            <v>5</v>
          </cell>
        </row>
        <row r="8">
          <cell r="D8" t="str">
            <v>1207916</v>
          </cell>
          <cell r="E8">
            <v>12331</v>
          </cell>
          <cell r="F8" t="str">
            <v>ER ANALITICA</v>
          </cell>
          <cell r="G8" t="str">
            <v>Bateria de lítio com baixa carga e lazer de cod. De barras inoperante.</v>
          </cell>
          <cell r="H8">
            <v>44333</v>
          </cell>
          <cell r="I8">
            <v>5</v>
          </cell>
        </row>
        <row r="9">
          <cell r="D9" t="str">
            <v>160110001009</v>
          </cell>
          <cell r="E9">
            <v>12336</v>
          </cell>
          <cell r="F9" t="str">
            <v>ER ANALITICA</v>
          </cell>
          <cell r="H9">
            <v>44333</v>
          </cell>
          <cell r="I9">
            <v>5</v>
          </cell>
        </row>
        <row r="10">
          <cell r="D10" t="str">
            <v>1137166</v>
          </cell>
          <cell r="E10">
            <v>12335</v>
          </cell>
          <cell r="F10" t="str">
            <v>ER ANALITICA</v>
          </cell>
          <cell r="H10">
            <v>44333</v>
          </cell>
          <cell r="I10">
            <v>5</v>
          </cell>
        </row>
        <row r="11">
          <cell r="D11" t="str">
            <v>410480</v>
          </cell>
          <cell r="E11">
            <v>12341</v>
          </cell>
          <cell r="F11" t="str">
            <v>ER ANALITICA</v>
          </cell>
          <cell r="G11" t="str">
            <v>Display com avarias</v>
          </cell>
          <cell r="H11">
            <v>44333</v>
          </cell>
          <cell r="I11">
            <v>5</v>
          </cell>
        </row>
        <row r="12">
          <cell r="D12" t="str">
            <v>585193</v>
          </cell>
          <cell r="E12">
            <v>12322</v>
          </cell>
          <cell r="F12" t="str">
            <v>ER ANALITICA</v>
          </cell>
          <cell r="H12">
            <v>44333</v>
          </cell>
          <cell r="I12">
            <v>5</v>
          </cell>
        </row>
        <row r="13">
          <cell r="D13" t="str">
            <v>2296242</v>
          </cell>
          <cell r="E13">
            <v>12334</v>
          </cell>
          <cell r="F13" t="str">
            <v>ER ANALITICA</v>
          </cell>
          <cell r="G13" t="str">
            <v>Instrumento inoperante, devido vazamento de pilhas. Será encaminhado a ER.</v>
          </cell>
          <cell r="H13">
            <v>44333</v>
          </cell>
          <cell r="I13">
            <v>5</v>
          </cell>
        </row>
        <row r="14">
          <cell r="D14" t="str">
            <v>4239606</v>
          </cell>
          <cell r="E14">
            <v>12342</v>
          </cell>
          <cell r="F14" t="str">
            <v>ER ANALITICA</v>
          </cell>
          <cell r="H14">
            <v>44333</v>
          </cell>
          <cell r="I14">
            <v>5</v>
          </cell>
        </row>
        <row r="15">
          <cell r="D15" t="str">
            <v>10090C0150</v>
          </cell>
          <cell r="E15">
            <v>12327</v>
          </cell>
          <cell r="F15" t="str">
            <v>ER ANALITICA</v>
          </cell>
          <cell r="H15">
            <v>44333</v>
          </cell>
          <cell r="I15">
            <v>5</v>
          </cell>
        </row>
        <row r="16">
          <cell r="D16" t="str">
            <v>4212786</v>
          </cell>
          <cell r="E16">
            <v>12348</v>
          </cell>
          <cell r="F16" t="str">
            <v>ER ANALITICA</v>
          </cell>
          <cell r="H16">
            <v>44333</v>
          </cell>
          <cell r="I16">
            <v>5</v>
          </cell>
        </row>
        <row r="17">
          <cell r="D17" t="str">
            <v>614031</v>
          </cell>
          <cell r="E17">
            <v>12338</v>
          </cell>
          <cell r="F17" t="str">
            <v>ER ANALITICA</v>
          </cell>
          <cell r="H17">
            <v>44333</v>
          </cell>
          <cell r="I17">
            <v>5</v>
          </cell>
        </row>
        <row r="18">
          <cell r="D18" t="str">
            <v>2901955</v>
          </cell>
          <cell r="E18">
            <v>12345</v>
          </cell>
          <cell r="F18" t="str">
            <v>ER ANALITICA</v>
          </cell>
          <cell r="G18" t="str">
            <v>Instrumento com divergências de resistividade. Será encaminhado para ER.</v>
          </cell>
          <cell r="H18">
            <v>44333</v>
          </cell>
          <cell r="I18">
            <v>5</v>
          </cell>
        </row>
        <row r="19">
          <cell r="D19" t="str">
            <v>142240001031</v>
          </cell>
          <cell r="E19">
            <v>12316</v>
          </cell>
          <cell r="F19" t="str">
            <v>ER ANALITICA</v>
          </cell>
          <cell r="H19">
            <v>44333</v>
          </cell>
          <cell r="I19">
            <v>5</v>
          </cell>
        </row>
        <row r="20">
          <cell r="D20" t="str">
            <v>2901959</v>
          </cell>
          <cell r="E20">
            <v>12340</v>
          </cell>
          <cell r="F20" t="str">
            <v>ER ANALITICA</v>
          </cell>
          <cell r="H20">
            <v>44333</v>
          </cell>
          <cell r="I20">
            <v>5</v>
          </cell>
        </row>
        <row r="21">
          <cell r="D21" t="str">
            <v>153160001028</v>
          </cell>
          <cell r="E21">
            <v>12332</v>
          </cell>
          <cell r="F21" t="str">
            <v>ER ANALITICA</v>
          </cell>
          <cell r="H21">
            <v>44333</v>
          </cell>
          <cell r="I21">
            <v>5</v>
          </cell>
        </row>
        <row r="22">
          <cell r="D22" t="str">
            <v>16020C047676</v>
          </cell>
          <cell r="E22">
            <v>12328</v>
          </cell>
          <cell r="F22" t="str">
            <v>ER ANALITICA</v>
          </cell>
          <cell r="H22">
            <v>44333</v>
          </cell>
          <cell r="I22">
            <v>5</v>
          </cell>
        </row>
        <row r="23">
          <cell r="D23" t="str">
            <v>B042078134</v>
          </cell>
          <cell r="E23">
            <v>12351</v>
          </cell>
          <cell r="F23" t="str">
            <v>ER ANALITICA</v>
          </cell>
          <cell r="H23">
            <v>44333</v>
          </cell>
          <cell r="I23">
            <v>5</v>
          </cell>
        </row>
        <row r="24">
          <cell r="D24" t="str">
            <v>4221160</v>
          </cell>
          <cell r="E24">
            <v>12366</v>
          </cell>
          <cell r="F24" t="str">
            <v>ER ANALITICA</v>
          </cell>
          <cell r="G24" t="str">
            <v>Instrumento inoperante, não liga. Será encaminhado para ER.</v>
          </cell>
          <cell r="H24">
            <v>44333</v>
          </cell>
          <cell r="I24">
            <v>5</v>
          </cell>
        </row>
        <row r="25">
          <cell r="D25" t="str">
            <v>4210448</v>
          </cell>
          <cell r="E25">
            <v>12339</v>
          </cell>
          <cell r="F25" t="str">
            <v>ER ANALITICA</v>
          </cell>
          <cell r="G25" t="str">
            <v>Carcaça do instrumento trincada.</v>
          </cell>
          <cell r="H25">
            <v>44333</v>
          </cell>
          <cell r="I25">
            <v>5</v>
          </cell>
        </row>
        <row r="26">
          <cell r="D26" t="str">
            <v>14070C034003</v>
          </cell>
          <cell r="E26">
            <v>12330</v>
          </cell>
          <cell r="F26" t="str">
            <v>ER ANALITICA</v>
          </cell>
          <cell r="H26">
            <v>44333</v>
          </cell>
          <cell r="I26">
            <v>5</v>
          </cell>
        </row>
        <row r="27">
          <cell r="D27" t="str">
            <v>27308347</v>
          </cell>
          <cell r="E27">
            <v>12356</v>
          </cell>
          <cell r="F27" t="str">
            <v>ER ANALITICA</v>
          </cell>
          <cell r="H27">
            <v>44333</v>
          </cell>
          <cell r="I27">
            <v>5</v>
          </cell>
        </row>
        <row r="28">
          <cell r="D28" t="str">
            <v>1113112822</v>
          </cell>
          <cell r="E28">
            <v>12350</v>
          </cell>
          <cell r="F28" t="str">
            <v>ER ANALITICA</v>
          </cell>
          <cell r="H28">
            <v>44333</v>
          </cell>
          <cell r="I28">
            <v>5</v>
          </cell>
        </row>
        <row r="29">
          <cell r="D29" t="str">
            <v>D452201536</v>
          </cell>
          <cell r="E29">
            <v>12354</v>
          </cell>
          <cell r="F29" t="str">
            <v>ER ANALITICA</v>
          </cell>
          <cell r="H29">
            <v>44333</v>
          </cell>
          <cell r="I29">
            <v>5</v>
          </cell>
        </row>
        <row r="30">
          <cell r="D30" t="str">
            <v>B142364760</v>
          </cell>
          <cell r="E30">
            <v>12353</v>
          </cell>
          <cell r="F30" t="str">
            <v>ER ANALITICA</v>
          </cell>
          <cell r="H30">
            <v>44333</v>
          </cell>
          <cell r="I30">
            <v>5</v>
          </cell>
        </row>
        <row r="31">
          <cell r="D31" t="str">
            <v>B207696042</v>
          </cell>
          <cell r="E31">
            <v>12355</v>
          </cell>
          <cell r="F31" t="str">
            <v>ER ANALITICA</v>
          </cell>
          <cell r="H31">
            <v>44333</v>
          </cell>
          <cell r="I31">
            <v>5</v>
          </cell>
        </row>
        <row r="32">
          <cell r="D32" t="str">
            <v>1217253</v>
          </cell>
          <cell r="E32">
            <v>12324</v>
          </cell>
          <cell r="F32" t="str">
            <v>ER ANALITICA</v>
          </cell>
          <cell r="G32" t="str">
            <v>Bateria de litio com baixa carga.</v>
          </cell>
          <cell r="H32">
            <v>44333</v>
          </cell>
          <cell r="I32">
            <v>5</v>
          </cell>
        </row>
        <row r="33">
          <cell r="D33" t="str">
            <v>1827001035259</v>
          </cell>
          <cell r="E33">
            <v>12329</v>
          </cell>
          <cell r="F33" t="str">
            <v>ER ANALITICA</v>
          </cell>
          <cell r="H33">
            <v>44333</v>
          </cell>
          <cell r="I33">
            <v>5</v>
          </cell>
        </row>
        <row r="34">
          <cell r="D34" t="str">
            <v>X09247</v>
          </cell>
          <cell r="E34">
            <v>12347</v>
          </cell>
          <cell r="F34" t="str">
            <v>ER ANALITICA</v>
          </cell>
          <cell r="H34">
            <v>44333</v>
          </cell>
          <cell r="I34">
            <v>5</v>
          </cell>
        </row>
        <row r="35">
          <cell r="D35" t="str">
            <v>28708450</v>
          </cell>
          <cell r="E35">
            <v>12352</v>
          </cell>
          <cell r="F35" t="str">
            <v>ER ANALITICA</v>
          </cell>
          <cell r="H35">
            <v>44333</v>
          </cell>
          <cell r="I35">
            <v>5</v>
          </cell>
        </row>
        <row r="36">
          <cell r="D36" t="str">
            <v>ME905279</v>
          </cell>
          <cell r="E36">
            <v>12376</v>
          </cell>
          <cell r="F36" t="str">
            <v>ER ANALITICA</v>
          </cell>
          <cell r="H36">
            <v>44333</v>
          </cell>
          <cell r="I36">
            <v>5</v>
          </cell>
        </row>
        <row r="37">
          <cell r="D37" t="str">
            <v>ME905258</v>
          </cell>
          <cell r="E37">
            <v>12377</v>
          </cell>
          <cell r="F37" t="str">
            <v>ER ANALITICA</v>
          </cell>
          <cell r="H37">
            <v>44333</v>
          </cell>
          <cell r="I37">
            <v>5</v>
          </cell>
        </row>
        <row r="38">
          <cell r="D38" t="str">
            <v>20D57924</v>
          </cell>
          <cell r="E38">
            <v>12378</v>
          </cell>
          <cell r="F38" t="str">
            <v>ER ANALITICA</v>
          </cell>
          <cell r="H38">
            <v>44333</v>
          </cell>
          <cell r="I38">
            <v>5</v>
          </cell>
        </row>
        <row r="39">
          <cell r="D39" t="str">
            <v>19B28639</v>
          </cell>
          <cell r="E39">
            <v>12379</v>
          </cell>
          <cell r="F39" t="str">
            <v>ER ANALITICA</v>
          </cell>
          <cell r="H39">
            <v>44333</v>
          </cell>
          <cell r="I39">
            <v>5</v>
          </cell>
        </row>
        <row r="40">
          <cell r="D40" t="str">
            <v>M23227B</v>
          </cell>
          <cell r="E40">
            <v>12381</v>
          </cell>
          <cell r="F40" t="str">
            <v>ER ANALITICA</v>
          </cell>
          <cell r="H40">
            <v>44333</v>
          </cell>
          <cell r="I40">
            <v>5</v>
          </cell>
        </row>
        <row r="41">
          <cell r="D41" t="str">
            <v>1306C026283</v>
          </cell>
          <cell r="E41">
            <v>12620</v>
          </cell>
          <cell r="F41" t="str">
            <v>ER ANALITICA</v>
          </cell>
          <cell r="H41">
            <v>44368</v>
          </cell>
          <cell r="I41">
            <v>6</v>
          </cell>
        </row>
        <row r="42">
          <cell r="D42" t="str">
            <v>1912001002164</v>
          </cell>
          <cell r="E42">
            <v>12621</v>
          </cell>
          <cell r="F42" t="str">
            <v>ER ANALITICA</v>
          </cell>
          <cell r="H42">
            <v>44368</v>
          </cell>
          <cell r="I42">
            <v>6</v>
          </cell>
        </row>
        <row r="43">
          <cell r="D43" t="str">
            <v>VED1304018</v>
          </cell>
          <cell r="E43">
            <v>12622</v>
          </cell>
          <cell r="F43" t="str">
            <v>ER ANALITICA</v>
          </cell>
          <cell r="H43">
            <v>44368</v>
          </cell>
          <cell r="I43">
            <v>6</v>
          </cell>
        </row>
        <row r="44">
          <cell r="D44" t="str">
            <v>Não Especificado</v>
          </cell>
          <cell r="E44">
            <v>12623</v>
          </cell>
          <cell r="F44" t="str">
            <v>ER ANALITICA</v>
          </cell>
          <cell r="G44" t="str">
            <v>Equipamento obsoletado pelo cliente.</v>
          </cell>
          <cell r="H44">
            <v>44368</v>
          </cell>
          <cell r="I44">
            <v>6</v>
          </cell>
        </row>
        <row r="45">
          <cell r="D45" t="str">
            <v>36/15</v>
          </cell>
          <cell r="E45">
            <v>12624</v>
          </cell>
          <cell r="F45" t="str">
            <v>ER ANALITICA</v>
          </cell>
          <cell r="G45" t="str">
            <v>Equipamento não aceita ajuste devido vida útil avançada, impossibilitando sua calibração.</v>
          </cell>
          <cell r="H45">
            <v>44368</v>
          </cell>
          <cell r="I45">
            <v>6</v>
          </cell>
        </row>
        <row r="46">
          <cell r="D46" t="str">
            <v>B746974184</v>
          </cell>
          <cell r="E46">
            <v>12625</v>
          </cell>
          <cell r="F46" t="str">
            <v>ER ANALITICA</v>
          </cell>
          <cell r="H46">
            <v>44368</v>
          </cell>
          <cell r="I46">
            <v>6</v>
          </cell>
        </row>
        <row r="47">
          <cell r="D47" t="str">
            <v>1027001034317</v>
          </cell>
          <cell r="E47">
            <v>12626</v>
          </cell>
          <cell r="F47" t="str">
            <v>ER ANALITICA</v>
          </cell>
          <cell r="H47">
            <v>44368</v>
          </cell>
          <cell r="I47">
            <v>6</v>
          </cell>
        </row>
        <row r="48">
          <cell r="D48" t="str">
            <v>1827001034324</v>
          </cell>
          <cell r="E48">
            <v>12627</v>
          </cell>
          <cell r="F48" t="str">
            <v>ER ANALITICA</v>
          </cell>
          <cell r="H48">
            <v>44368</v>
          </cell>
          <cell r="I48">
            <v>6</v>
          </cell>
        </row>
        <row r="49">
          <cell r="D49" t="str">
            <v>768951</v>
          </cell>
          <cell r="E49">
            <v>12661</v>
          </cell>
          <cell r="F49" t="str">
            <v>ER ANALITICA</v>
          </cell>
          <cell r="H49">
            <v>44370</v>
          </cell>
          <cell r="I49">
            <v>6</v>
          </cell>
        </row>
        <row r="50">
          <cell r="D50">
            <v>756690243</v>
          </cell>
          <cell r="E50">
            <v>12662</v>
          </cell>
          <cell r="F50" t="str">
            <v>ER ANALITICA</v>
          </cell>
          <cell r="G50" t="str">
            <v>Equipamento encontra-se com vida útil avançada, impossibilitando o ajuste linear de sua curva de calibração</v>
          </cell>
          <cell r="H50">
            <v>44370</v>
          </cell>
          <cell r="I50">
            <v>6</v>
          </cell>
        </row>
        <row r="51">
          <cell r="D51" t="str">
            <v>12100C0301</v>
          </cell>
          <cell r="E51">
            <v>12663</v>
          </cell>
          <cell r="F51" t="str">
            <v>ER ANALITICA</v>
          </cell>
          <cell r="H51">
            <v>44370</v>
          </cell>
          <cell r="I51">
            <v>6</v>
          </cell>
        </row>
        <row r="52">
          <cell r="D52" t="str">
            <v>52395</v>
          </cell>
          <cell r="E52">
            <v>12664</v>
          </cell>
          <cell r="F52" t="str">
            <v>ER ANALITICA</v>
          </cell>
          <cell r="H52">
            <v>44370</v>
          </cell>
          <cell r="I52">
            <v>6</v>
          </cell>
        </row>
        <row r="53">
          <cell r="D53" t="str">
            <v>12039BC22007</v>
          </cell>
          <cell r="E53">
            <v>12665</v>
          </cell>
          <cell r="F53" t="str">
            <v>ER ANALITICA</v>
          </cell>
          <cell r="H53">
            <v>44370</v>
          </cell>
          <cell r="I53">
            <v>6</v>
          </cell>
        </row>
        <row r="54">
          <cell r="D54" t="str">
            <v>12587</v>
          </cell>
          <cell r="E54">
            <v>12666</v>
          </cell>
          <cell r="F54" t="str">
            <v>ER ANALITICA</v>
          </cell>
          <cell r="H54">
            <v>44370</v>
          </cell>
          <cell r="I54">
            <v>6</v>
          </cell>
        </row>
        <row r="55">
          <cell r="D55" t="str">
            <v>2141238</v>
          </cell>
          <cell r="E55">
            <v>12667</v>
          </cell>
          <cell r="F55" t="str">
            <v>ER ANALITICA</v>
          </cell>
          <cell r="H55">
            <v>44370</v>
          </cell>
          <cell r="I55">
            <v>6</v>
          </cell>
        </row>
        <row r="56">
          <cell r="D56" t="str">
            <v>09059BC21244</v>
          </cell>
          <cell r="E56">
            <v>12668</v>
          </cell>
          <cell r="F56" t="str">
            <v>ER ANALITICA</v>
          </cell>
          <cell r="G56" t="str">
            <v>Necessário a troca de todos filtros opticos para ajustar os valores de leitura.</v>
          </cell>
          <cell r="H56">
            <v>44370</v>
          </cell>
          <cell r="I56">
            <v>6</v>
          </cell>
        </row>
        <row r="57">
          <cell r="D57" t="str">
            <v>31520</v>
          </cell>
          <cell r="E57">
            <v>12669</v>
          </cell>
          <cell r="F57" t="str">
            <v>ER ANALITICA</v>
          </cell>
          <cell r="H57">
            <v>44370</v>
          </cell>
          <cell r="I57">
            <v>6</v>
          </cell>
        </row>
        <row r="58">
          <cell r="D58" t="str">
            <v>14080C034429</v>
          </cell>
          <cell r="E58">
            <v>12670</v>
          </cell>
          <cell r="F58" t="str">
            <v>ER ANALITICA</v>
          </cell>
          <cell r="G58" t="str">
            <v>Carcaça superior do instrumento avariada na tecla "ler/confirma"</v>
          </cell>
          <cell r="H58">
            <v>44370</v>
          </cell>
          <cell r="I58">
            <v>6</v>
          </cell>
        </row>
        <row r="59">
          <cell r="D59" t="str">
            <v>49334</v>
          </cell>
          <cell r="E59">
            <v>12671</v>
          </cell>
          <cell r="F59" t="str">
            <v>ER ANALITICA</v>
          </cell>
          <cell r="H59">
            <v>44370</v>
          </cell>
          <cell r="I59">
            <v>6</v>
          </cell>
        </row>
        <row r="60">
          <cell r="D60" t="str">
            <v>141490001004</v>
          </cell>
          <cell r="E60">
            <v>12672</v>
          </cell>
          <cell r="F60" t="str">
            <v>ER ANALITICA</v>
          </cell>
          <cell r="G60" t="str">
            <v>Carcaça do instrumento avariada na tecla "ler/confirma"</v>
          </cell>
          <cell r="H60">
            <v>44370</v>
          </cell>
          <cell r="I60">
            <v>6</v>
          </cell>
        </row>
        <row r="61">
          <cell r="D61" t="str">
            <v>6217524</v>
          </cell>
          <cell r="E61">
            <v>12673</v>
          </cell>
          <cell r="F61" t="str">
            <v>ER ANALITICA</v>
          </cell>
          <cell r="G61" t="str">
            <v>Demora excessiva na estabilização das leituras, indicando vida útil avançada do sensor de pH.</v>
          </cell>
          <cell r="H61">
            <v>44370</v>
          </cell>
          <cell r="I61">
            <v>6</v>
          </cell>
        </row>
        <row r="62">
          <cell r="D62" t="str">
            <v>10030C001527</v>
          </cell>
          <cell r="E62">
            <v>12674</v>
          </cell>
          <cell r="F62" t="str">
            <v>ER ANALITICA</v>
          </cell>
          <cell r="G62" t="str">
            <v>Carcaça superior do instrumento danificada na tecla "ler/confirma"</v>
          </cell>
          <cell r="H62">
            <v>44370</v>
          </cell>
          <cell r="I62">
            <v>6</v>
          </cell>
        </row>
        <row r="63">
          <cell r="D63" t="str">
            <v>52162</v>
          </cell>
          <cell r="E63">
            <v>12675</v>
          </cell>
          <cell r="F63" t="str">
            <v>ER ANALITICA</v>
          </cell>
          <cell r="H63">
            <v>44371</v>
          </cell>
          <cell r="I63">
            <v>6</v>
          </cell>
        </row>
        <row r="64">
          <cell r="D64" t="str">
            <v>Não Especificado</v>
          </cell>
          <cell r="E64">
            <v>12676</v>
          </cell>
          <cell r="F64" t="str">
            <v>ER ANALITICA</v>
          </cell>
          <cell r="H64">
            <v>44371</v>
          </cell>
          <cell r="I64">
            <v>6</v>
          </cell>
        </row>
        <row r="65">
          <cell r="D65" t="str">
            <v>182190001001</v>
          </cell>
          <cell r="E65">
            <v>12677</v>
          </cell>
          <cell r="F65" t="str">
            <v>ER ANALITICA</v>
          </cell>
          <cell r="H65">
            <v>44371</v>
          </cell>
          <cell r="I65">
            <v>6</v>
          </cell>
        </row>
        <row r="66">
          <cell r="D66" t="str">
            <v>9203/19</v>
          </cell>
          <cell r="E66">
            <v>12678</v>
          </cell>
          <cell r="F66" t="str">
            <v>ER ANALITICA</v>
          </cell>
          <cell r="G66" t="str">
            <v>Eletrodo com Slope abaixo do recomendado pelo fabricante (85%).</v>
          </cell>
          <cell r="H66">
            <v>44371</v>
          </cell>
          <cell r="I66">
            <v>6</v>
          </cell>
        </row>
        <row r="67">
          <cell r="D67" t="str">
            <v>17121575001016</v>
          </cell>
          <cell r="E67">
            <v>12679</v>
          </cell>
          <cell r="F67" t="str">
            <v>ER ANALITICA</v>
          </cell>
          <cell r="G67" t="str">
            <v>Sonda com a ponta quebrada.</v>
          </cell>
          <cell r="H67">
            <v>44371</v>
          </cell>
          <cell r="I67">
            <v>6</v>
          </cell>
        </row>
        <row r="68">
          <cell r="D68" t="str">
            <v>6273833</v>
          </cell>
          <cell r="E68">
            <v>12710</v>
          </cell>
          <cell r="F68" t="str">
            <v>ER ANALITICA</v>
          </cell>
          <cell r="H68">
            <v>44371</v>
          </cell>
          <cell r="I68">
            <v>6</v>
          </cell>
        </row>
        <row r="69">
          <cell r="D69" t="str">
            <v>06129BC20563</v>
          </cell>
          <cell r="E69">
            <v>12717</v>
          </cell>
          <cell r="F69" t="str">
            <v>ER ANALITICA</v>
          </cell>
          <cell r="H69">
            <v>44372</v>
          </cell>
          <cell r="I69">
            <v>6</v>
          </cell>
        </row>
        <row r="70">
          <cell r="D70" t="str">
            <v>940600030283</v>
          </cell>
          <cell r="E70">
            <v>12718</v>
          </cell>
          <cell r="F70" t="str">
            <v>ER ANALITICA</v>
          </cell>
          <cell r="G70" t="str">
            <v>Compartimento de pilhas do instrumento encontra-se oxidado, sendo recomendado sua troca na próxima manutenção</v>
          </cell>
          <cell r="H70">
            <v>44372</v>
          </cell>
          <cell r="I70">
            <v>6</v>
          </cell>
        </row>
        <row r="71">
          <cell r="D71" t="str">
            <v>2830186</v>
          </cell>
          <cell r="E71">
            <v>12719</v>
          </cell>
          <cell r="F71" t="str">
            <v>ER ANALITICA</v>
          </cell>
          <cell r="H71">
            <v>44372</v>
          </cell>
          <cell r="I71">
            <v>6</v>
          </cell>
        </row>
        <row r="72">
          <cell r="D72" t="str">
            <v>192330001025</v>
          </cell>
          <cell r="E72">
            <v>12612</v>
          </cell>
          <cell r="F72" t="str">
            <v>ER ANALITICA</v>
          </cell>
          <cell r="H72">
            <v>44369</v>
          </cell>
          <cell r="I72">
            <v>6</v>
          </cell>
        </row>
        <row r="73">
          <cell r="D73" t="str">
            <v>4212780</v>
          </cell>
          <cell r="E73">
            <v>12613</v>
          </cell>
          <cell r="F73" t="str">
            <v>ER ANALITICA</v>
          </cell>
          <cell r="H73">
            <v>44369</v>
          </cell>
          <cell r="I73">
            <v>6</v>
          </cell>
        </row>
        <row r="74">
          <cell r="D74" t="str">
            <v>6253769</v>
          </cell>
          <cell r="E74">
            <v>12614</v>
          </cell>
          <cell r="F74" t="str">
            <v>ER ANALITICA</v>
          </cell>
          <cell r="H74">
            <v>44369</v>
          </cell>
          <cell r="I74">
            <v>6</v>
          </cell>
        </row>
        <row r="75">
          <cell r="D75" t="str">
            <v>6247088</v>
          </cell>
          <cell r="E75">
            <v>12615</v>
          </cell>
          <cell r="F75" t="str">
            <v>ER ANALITICA</v>
          </cell>
          <cell r="H75">
            <v>44369</v>
          </cell>
          <cell r="I75">
            <v>6</v>
          </cell>
        </row>
        <row r="76">
          <cell r="D76" t="str">
            <v>6253770</v>
          </cell>
          <cell r="E76">
            <v>12616</v>
          </cell>
          <cell r="F76" t="str">
            <v>ER ANALITICA</v>
          </cell>
          <cell r="G76" t="str">
            <v>eletrodo de pH lento, recomendável a troca</v>
          </cell>
          <cell r="H76">
            <v>44369</v>
          </cell>
          <cell r="I76">
            <v>6</v>
          </cell>
        </row>
        <row r="77">
          <cell r="D77" t="str">
            <v>6251804</v>
          </cell>
          <cell r="E77">
            <v>12617</v>
          </cell>
          <cell r="F77" t="str">
            <v>ER ANALITICA</v>
          </cell>
          <cell r="H77">
            <v>44369</v>
          </cell>
          <cell r="I77">
            <v>6</v>
          </cell>
        </row>
        <row r="78">
          <cell r="D78" t="str">
            <v>6258650</v>
          </cell>
          <cell r="E78">
            <v>12618</v>
          </cell>
          <cell r="F78" t="str">
            <v>ER ANALITICA</v>
          </cell>
          <cell r="H78">
            <v>44369</v>
          </cell>
          <cell r="I78">
            <v>6</v>
          </cell>
        </row>
        <row r="79">
          <cell r="D79" t="str">
            <v>H53323</v>
          </cell>
          <cell r="E79">
            <v>13163</v>
          </cell>
          <cell r="F79" t="str">
            <v>ER ANALITICA</v>
          </cell>
          <cell r="H79">
            <v>44397</v>
          </cell>
          <cell r="I79">
            <v>7</v>
          </cell>
        </row>
        <row r="80">
          <cell r="D80" t="str">
            <v>970680000371</v>
          </cell>
          <cell r="E80">
            <v>13165</v>
          </cell>
          <cell r="F80" t="str">
            <v>ER ANALITICA</v>
          </cell>
          <cell r="H80">
            <v>44397</v>
          </cell>
          <cell r="I80">
            <v>7</v>
          </cell>
        </row>
        <row r="81">
          <cell r="D81" t="str">
            <v>B24943</v>
          </cell>
          <cell r="E81">
            <v>13164</v>
          </cell>
          <cell r="F81" t="str">
            <v>ER ANALITICA</v>
          </cell>
          <cell r="H81">
            <v>44397</v>
          </cell>
          <cell r="I81">
            <v>7</v>
          </cell>
        </row>
        <row r="82">
          <cell r="D82" t="str">
            <v>B17138</v>
          </cell>
          <cell r="E82">
            <v>13166</v>
          </cell>
          <cell r="F82" t="str">
            <v>ER ANALITICA</v>
          </cell>
          <cell r="H82">
            <v>44397</v>
          </cell>
          <cell r="I82">
            <v>7</v>
          </cell>
        </row>
        <row r="83">
          <cell r="D83" t="str">
            <v>09049BC21223</v>
          </cell>
          <cell r="E83">
            <v>13244</v>
          </cell>
          <cell r="F83" t="str">
            <v>ER ANALITICA</v>
          </cell>
          <cell r="G83" t="str">
            <v>Compartimento de pilhas oxidado, recomendado a troca na próxima manutenção.</v>
          </cell>
          <cell r="H83">
            <v>44404</v>
          </cell>
          <cell r="I83">
            <v>7</v>
          </cell>
        </row>
        <row r="84">
          <cell r="D84" t="str">
            <v>1378679</v>
          </cell>
          <cell r="E84">
            <v>13247</v>
          </cell>
          <cell r="F84" t="str">
            <v>ER ANALITICA</v>
          </cell>
          <cell r="G84" t="str">
            <v>Bateria de lítio responsavel pelo armazenamento de dados e configurações de usuário enconra-se sem carga e o filtro óptico azul está oxidado.</v>
          </cell>
          <cell r="H84">
            <v>44404</v>
          </cell>
          <cell r="I84">
            <v>7</v>
          </cell>
        </row>
        <row r="85">
          <cell r="D85" t="str">
            <v>6255191</v>
          </cell>
          <cell r="E85">
            <v>13246</v>
          </cell>
          <cell r="F85" t="str">
            <v>ER ANALITICA</v>
          </cell>
          <cell r="H85">
            <v>44404</v>
          </cell>
          <cell r="I85">
            <v>7</v>
          </cell>
        </row>
        <row r="86">
          <cell r="D86" t="str">
            <v>M606994</v>
          </cell>
          <cell r="E86">
            <v>13245</v>
          </cell>
          <cell r="F86" t="str">
            <v>ER ANALITICA</v>
          </cell>
          <cell r="H86">
            <v>44404</v>
          </cell>
          <cell r="I86">
            <v>7</v>
          </cell>
        </row>
        <row r="87">
          <cell r="D87" t="str">
            <v>1404677</v>
          </cell>
          <cell r="E87">
            <v>13217</v>
          </cell>
          <cell r="F87" t="str">
            <v>ER ANALITICA</v>
          </cell>
          <cell r="H87">
            <v>44398</v>
          </cell>
          <cell r="I87">
            <v>7</v>
          </cell>
        </row>
        <row r="88">
          <cell r="D88" t="str">
            <v>10079BC21470</v>
          </cell>
          <cell r="E88">
            <v>13218</v>
          </cell>
          <cell r="F88" t="str">
            <v>ER ANALITICA</v>
          </cell>
          <cell r="H88">
            <v>44398</v>
          </cell>
          <cell r="I88">
            <v>7</v>
          </cell>
        </row>
        <row r="89">
          <cell r="D89" t="str">
            <v>4221150</v>
          </cell>
          <cell r="E89">
            <v>13219</v>
          </cell>
          <cell r="F89" t="str">
            <v>ER ANALITICA</v>
          </cell>
          <cell r="H89">
            <v>44398</v>
          </cell>
          <cell r="I89">
            <v>7</v>
          </cell>
        </row>
        <row r="90">
          <cell r="D90" t="str">
            <v>6213432</v>
          </cell>
          <cell r="E90">
            <v>13220</v>
          </cell>
          <cell r="F90" t="str">
            <v>ER ANALITICA</v>
          </cell>
          <cell r="H90">
            <v>44398</v>
          </cell>
          <cell r="I90">
            <v>7</v>
          </cell>
        </row>
        <row r="91">
          <cell r="D91" t="str">
            <v>NJ01239</v>
          </cell>
          <cell r="E91">
            <v>13221</v>
          </cell>
          <cell r="F91" t="str">
            <v>ER ANALITICA</v>
          </cell>
          <cell r="H91">
            <v>44398</v>
          </cell>
          <cell r="I91">
            <v>7</v>
          </cell>
        </row>
        <row r="92">
          <cell r="D92" t="str">
            <v>NJ01219</v>
          </cell>
          <cell r="E92">
            <v>13222</v>
          </cell>
          <cell r="F92" t="str">
            <v>ER ANALITICA</v>
          </cell>
          <cell r="H92">
            <v>44398</v>
          </cell>
          <cell r="I92">
            <v>7</v>
          </cell>
        </row>
        <row r="93">
          <cell r="D93" t="str">
            <v>NJ01259</v>
          </cell>
          <cell r="E93">
            <v>13239</v>
          </cell>
          <cell r="F93" t="str">
            <v>ER ANALITICA</v>
          </cell>
          <cell r="H93">
            <v>44398</v>
          </cell>
          <cell r="I93">
            <v>7</v>
          </cell>
        </row>
        <row r="94">
          <cell r="D94" t="str">
            <v>12199</v>
          </cell>
          <cell r="E94">
            <v>13270</v>
          </cell>
          <cell r="F94" t="str">
            <v>ER ANALITICA</v>
          </cell>
          <cell r="H94">
            <v>44406</v>
          </cell>
          <cell r="I94">
            <v>7</v>
          </cell>
        </row>
        <row r="95">
          <cell r="D95" t="str">
            <v>1199043</v>
          </cell>
          <cell r="E95">
            <v>13271</v>
          </cell>
          <cell r="F95" t="str">
            <v>ER ANALITICA</v>
          </cell>
          <cell r="G95" t="str">
            <v>Filtro óptico azul encontra-se oxidado e compartimento de cubeta quebrado</v>
          </cell>
          <cell r="H95">
            <v>44406</v>
          </cell>
          <cell r="I95">
            <v>7</v>
          </cell>
        </row>
        <row r="96">
          <cell r="D96" t="str">
            <v>6247839</v>
          </cell>
          <cell r="E96">
            <v>13272</v>
          </cell>
          <cell r="F96" t="str">
            <v>ER ANALITICA</v>
          </cell>
          <cell r="H96">
            <v>44406</v>
          </cell>
          <cell r="I96">
            <v>7</v>
          </cell>
        </row>
        <row r="97">
          <cell r="D97" t="str">
            <v>6261856</v>
          </cell>
          <cell r="E97">
            <v>13273</v>
          </cell>
          <cell r="F97" t="str">
            <v>ER ANALITICA</v>
          </cell>
          <cell r="H97">
            <v>44406</v>
          </cell>
          <cell r="I97">
            <v>7</v>
          </cell>
        </row>
        <row r="98">
          <cell r="D98" t="str">
            <v>48493</v>
          </cell>
          <cell r="E98">
            <v>13274</v>
          </cell>
          <cell r="F98" t="str">
            <v>ER ANALITICA</v>
          </cell>
          <cell r="H98">
            <v>44406</v>
          </cell>
          <cell r="I98">
            <v>7</v>
          </cell>
        </row>
        <row r="99">
          <cell r="D99" t="str">
            <v>1521</v>
          </cell>
          <cell r="E99">
            <v>13276</v>
          </cell>
          <cell r="F99" t="str">
            <v>ER ANALITICA</v>
          </cell>
          <cell r="G99" t="str">
            <v>Tampa corta luz danificada</v>
          </cell>
          <cell r="H99">
            <v>44406</v>
          </cell>
          <cell r="I99">
            <v>7</v>
          </cell>
        </row>
        <row r="100">
          <cell r="D100" t="str">
            <v>68553</v>
          </cell>
          <cell r="E100">
            <v>13277</v>
          </cell>
          <cell r="F100" t="str">
            <v>ER ANALITICA</v>
          </cell>
          <cell r="H100">
            <v>44406</v>
          </cell>
          <cell r="I100">
            <v>7</v>
          </cell>
        </row>
        <row r="101">
          <cell r="D101" t="str">
            <v>D452201361</v>
          </cell>
          <cell r="E101">
            <v>13278</v>
          </cell>
          <cell r="F101" t="str">
            <v>ER ANALITICA</v>
          </cell>
          <cell r="G101" t="str">
            <v>Equipamento possui demasiada oxidação no seu compartimento de pilhas e placa eletrônica, fazendo com que o instrumento não inicialize. Recomendado o envio do equipamento à ER para verificação</v>
          </cell>
          <cell r="H101">
            <v>44406</v>
          </cell>
          <cell r="I101">
            <v>7</v>
          </cell>
        </row>
        <row r="102">
          <cell r="D102" t="str">
            <v>051090C56708</v>
          </cell>
          <cell r="E102">
            <v>13279</v>
          </cell>
          <cell r="F102" t="str">
            <v>ER ANALITICA</v>
          </cell>
          <cell r="H102">
            <v>44406</v>
          </cell>
          <cell r="I102">
            <v>7</v>
          </cell>
        </row>
        <row r="103">
          <cell r="D103" t="str">
            <v>150080001029</v>
          </cell>
          <cell r="E103">
            <v>13283</v>
          </cell>
          <cell r="F103" t="str">
            <v>ER ANALITICA</v>
          </cell>
          <cell r="H103">
            <v>44406</v>
          </cell>
          <cell r="I103">
            <v>7</v>
          </cell>
        </row>
        <row r="104">
          <cell r="D104" t="str">
            <v>40400007670</v>
          </cell>
          <cell r="E104">
            <v>13284</v>
          </cell>
          <cell r="F104" t="str">
            <v>ER ANALITICA</v>
          </cell>
          <cell r="G104" t="str">
            <v xml:space="preserve"> Carcaça com avarias</v>
          </cell>
          <cell r="H104">
            <v>44406</v>
          </cell>
          <cell r="I104">
            <v>7</v>
          </cell>
        </row>
        <row r="105">
          <cell r="D105" t="str">
            <v>6257535</v>
          </cell>
          <cell r="E105">
            <v>13285</v>
          </cell>
          <cell r="F105" t="str">
            <v>ER ANALITICA</v>
          </cell>
          <cell r="H105">
            <v>44406</v>
          </cell>
          <cell r="I105">
            <v>7</v>
          </cell>
        </row>
        <row r="106">
          <cell r="D106" t="str">
            <v>50009</v>
          </cell>
          <cell r="E106">
            <v>13286</v>
          </cell>
          <cell r="F106" t="str">
            <v>ER ANALITICA</v>
          </cell>
          <cell r="G106" t="str">
            <v>Equipamento será encaminhado a ER junto o técnico devido avarias nas teclas. Serão encaminhados dois medidores 6P Ultrameter II junto ao técnico para ER, para manutenção corretiva.</v>
          </cell>
          <cell r="H106">
            <v>44406</v>
          </cell>
          <cell r="I106">
            <v>7</v>
          </cell>
        </row>
        <row r="107">
          <cell r="D107" t="str">
            <v>19040C075336</v>
          </cell>
          <cell r="E107">
            <v>13287</v>
          </cell>
          <cell r="F107" t="str">
            <v>ER ANALITICA</v>
          </cell>
          <cell r="H107">
            <v>44406</v>
          </cell>
          <cell r="I107">
            <v>7</v>
          </cell>
        </row>
        <row r="108">
          <cell r="D108" t="str">
            <v>50008</v>
          </cell>
          <cell r="E108">
            <v>13310</v>
          </cell>
          <cell r="F108" t="str">
            <v>ER ANALITICA</v>
          </cell>
          <cell r="G108" t="str">
            <v>Conselhavel a troca do eletrodo, devido instabilidade nas leituras.</v>
          </cell>
          <cell r="H108">
            <v>44407</v>
          </cell>
          <cell r="I108">
            <v>7</v>
          </cell>
        </row>
        <row r="109">
          <cell r="D109" t="str">
            <v>6227214</v>
          </cell>
          <cell r="E109">
            <v>13312</v>
          </cell>
          <cell r="F109" t="str">
            <v>ER ANALITICA</v>
          </cell>
          <cell r="H109">
            <v>44407</v>
          </cell>
          <cell r="I109">
            <v>7</v>
          </cell>
        </row>
        <row r="110">
          <cell r="D110" t="str">
            <v>1532591</v>
          </cell>
          <cell r="E110">
            <v>13313</v>
          </cell>
          <cell r="F110" t="str">
            <v>ER ANALITICA</v>
          </cell>
          <cell r="H110">
            <v>44407</v>
          </cell>
          <cell r="I110">
            <v>7</v>
          </cell>
        </row>
        <row r="111">
          <cell r="D111" t="str">
            <v>2902019</v>
          </cell>
          <cell r="E111">
            <v>13316</v>
          </cell>
          <cell r="F111" t="str">
            <v>ER ANALITICA</v>
          </cell>
          <cell r="H111">
            <v>44407</v>
          </cell>
          <cell r="I111">
            <v>7</v>
          </cell>
        </row>
        <row r="112">
          <cell r="D112">
            <v>2983032</v>
          </cell>
          <cell r="E112">
            <v>13317</v>
          </cell>
          <cell r="F112" t="str">
            <v>ER ANALITICA</v>
          </cell>
          <cell r="H112">
            <v>44407</v>
          </cell>
          <cell r="I112">
            <v>7</v>
          </cell>
        </row>
        <row r="113">
          <cell r="D113" t="str">
            <v>4229146</v>
          </cell>
          <cell r="E113">
            <v>1331</v>
          </cell>
          <cell r="F113" t="str">
            <v>ER ANALITICA</v>
          </cell>
          <cell r="H113">
            <v>44407</v>
          </cell>
          <cell r="I113">
            <v>7</v>
          </cell>
        </row>
        <row r="114">
          <cell r="D114" t="str">
            <v>4240437</v>
          </cell>
          <cell r="E114">
            <v>13319</v>
          </cell>
          <cell r="F114" t="str">
            <v>ER ANALITICA</v>
          </cell>
          <cell r="H114">
            <v>44407</v>
          </cell>
          <cell r="I114">
            <v>7</v>
          </cell>
        </row>
        <row r="115">
          <cell r="D115" t="str">
            <v>1354920</v>
          </cell>
          <cell r="E115">
            <v>13320</v>
          </cell>
          <cell r="F115" t="str">
            <v>ER ANALITICA</v>
          </cell>
          <cell r="G115" t="str">
            <v>Filtro optico BG370 (Azul redondo) oxidado e bateria de litio em final de vida útil.</v>
          </cell>
          <cell r="H115">
            <v>44407</v>
          </cell>
          <cell r="I115">
            <v>7</v>
          </cell>
        </row>
        <row r="116">
          <cell r="D116" t="str">
            <v>09059BC21258</v>
          </cell>
          <cell r="E116">
            <v>13345</v>
          </cell>
          <cell r="F116" t="str">
            <v>ER ANALITICA</v>
          </cell>
          <cell r="G116" t="str">
            <v>Todos filtros oxidados (420, 520, 560 e 610nm) e teclado de borracha descolado.</v>
          </cell>
          <cell r="H116">
            <v>44421</v>
          </cell>
          <cell r="I116">
            <v>8</v>
          </cell>
        </row>
        <row r="117">
          <cell r="D117" t="str">
            <v>4222088</v>
          </cell>
          <cell r="E117">
            <v>13346</v>
          </cell>
          <cell r="F117" t="str">
            <v>ER ANALITICA</v>
          </cell>
          <cell r="H117">
            <v>44421</v>
          </cell>
          <cell r="I117">
            <v>8</v>
          </cell>
        </row>
        <row r="118">
          <cell r="D118" t="str">
            <v>1378680</v>
          </cell>
          <cell r="E118">
            <v>13347</v>
          </cell>
          <cell r="F118" t="str">
            <v>ER ANALITICA</v>
          </cell>
          <cell r="G118" t="str">
            <v xml:space="preserve"> Bateria de litio com baixa carga.</v>
          </cell>
          <cell r="H118">
            <v>44421</v>
          </cell>
          <cell r="I118">
            <v>8</v>
          </cell>
        </row>
        <row r="119">
          <cell r="D119" t="str">
            <v>1314664</v>
          </cell>
          <cell r="E119">
            <v>13348</v>
          </cell>
          <cell r="F119" t="str">
            <v>ER ANALITICA</v>
          </cell>
          <cell r="G119" t="str">
            <v>Bateria de litio com baixa carga.</v>
          </cell>
          <cell r="H119">
            <v>44421</v>
          </cell>
          <cell r="I119">
            <v>8</v>
          </cell>
        </row>
        <row r="120">
          <cell r="D120" t="str">
            <v>893757</v>
          </cell>
          <cell r="E120">
            <v>13349</v>
          </cell>
          <cell r="F120" t="str">
            <v>ER ANALITICA</v>
          </cell>
          <cell r="H120">
            <v>44421</v>
          </cell>
          <cell r="I120">
            <v>8</v>
          </cell>
        </row>
        <row r="121">
          <cell r="D121" t="str">
            <v>179</v>
          </cell>
          <cell r="E121">
            <v>13301</v>
          </cell>
          <cell r="F121" t="str">
            <v>ER ANALITICA</v>
          </cell>
          <cell r="G121" t="str">
            <v xml:space="preserve"> Equipamento inoperante, cliente não ira realizar o serviço</v>
          </cell>
          <cell r="H121">
            <v>44420</v>
          </cell>
          <cell r="I121">
            <v>8</v>
          </cell>
        </row>
        <row r="122">
          <cell r="D122" t="str">
            <v>142380001002</v>
          </cell>
          <cell r="E122">
            <v>13302</v>
          </cell>
          <cell r="F122" t="str">
            <v>ER ANALITICA</v>
          </cell>
          <cell r="G122" t="str">
            <v xml:space="preserve"> Carcaça superior com avarias. Necessário a troca</v>
          </cell>
          <cell r="H122">
            <v>44420</v>
          </cell>
          <cell r="I122">
            <v>8</v>
          </cell>
        </row>
        <row r="123">
          <cell r="D123" t="str">
            <v>140690002033</v>
          </cell>
          <cell r="E123">
            <v>13480</v>
          </cell>
          <cell r="F123" t="str">
            <v>ER ANALITICA</v>
          </cell>
          <cell r="H123">
            <v>44425</v>
          </cell>
          <cell r="I123">
            <v>8</v>
          </cell>
        </row>
        <row r="124">
          <cell r="D124" t="str">
            <v>67108</v>
          </cell>
          <cell r="E124">
            <v>13481</v>
          </cell>
          <cell r="F124" t="str">
            <v>ER ANALITICA</v>
          </cell>
          <cell r="G124" t="str">
            <v>Sonda de condutividade apresenta vida útil avançada.</v>
          </cell>
          <cell r="H124">
            <v>44425</v>
          </cell>
          <cell r="I124">
            <v>8</v>
          </cell>
        </row>
        <row r="125">
          <cell r="D125" t="str">
            <v>68352</v>
          </cell>
          <cell r="E125">
            <v>13482</v>
          </cell>
          <cell r="F125" t="str">
            <v>ER ANALITICA</v>
          </cell>
          <cell r="H125">
            <v>44425</v>
          </cell>
          <cell r="I125">
            <v>8</v>
          </cell>
        </row>
        <row r="126">
          <cell r="D126" t="str">
            <v>20090148</v>
          </cell>
          <cell r="E126">
            <v>13483</v>
          </cell>
          <cell r="F126" t="str">
            <v>ER ANALITICA</v>
          </cell>
          <cell r="H126">
            <v>44426</v>
          </cell>
          <cell r="I126">
            <v>8</v>
          </cell>
        </row>
        <row r="127">
          <cell r="D127" t="str">
            <v>59331</v>
          </cell>
          <cell r="E127">
            <v>13484</v>
          </cell>
          <cell r="F127" t="str">
            <v>ER ANALITICA</v>
          </cell>
          <cell r="G127" t="str">
            <v>Sonda de condutivídade com vida útil avançada.</v>
          </cell>
          <cell r="H127">
            <v>44426</v>
          </cell>
          <cell r="I127">
            <v>8</v>
          </cell>
        </row>
        <row r="128">
          <cell r="D128" t="str">
            <v>1788818</v>
          </cell>
          <cell r="E128">
            <v>13485</v>
          </cell>
          <cell r="F128" t="str">
            <v>ER ANALITICA</v>
          </cell>
          <cell r="G128" t="str">
            <v xml:space="preserve"> Filtro óptico azul manchado.</v>
          </cell>
          <cell r="H128">
            <v>44426</v>
          </cell>
          <cell r="I128">
            <v>8</v>
          </cell>
        </row>
        <row r="129">
          <cell r="D129" t="str">
            <v>150060001017</v>
          </cell>
          <cell r="E129">
            <v>13486</v>
          </cell>
          <cell r="F129" t="str">
            <v>ER ANALITICA</v>
          </cell>
          <cell r="G129" t="str">
            <v>Carcaça superior avariada</v>
          </cell>
          <cell r="H129">
            <v>44426</v>
          </cell>
          <cell r="I129">
            <v>8</v>
          </cell>
        </row>
        <row r="130">
          <cell r="D130" t="str">
            <v>59343</v>
          </cell>
          <cell r="E130">
            <v>13487</v>
          </cell>
          <cell r="F130" t="str">
            <v>ER ANALITICA</v>
          </cell>
          <cell r="G130" t="str">
            <v>Eletrodo com vida útil avançada.</v>
          </cell>
          <cell r="H130">
            <v>44426</v>
          </cell>
          <cell r="I130">
            <v>8</v>
          </cell>
        </row>
        <row r="131">
          <cell r="D131" t="str">
            <v>59792</v>
          </cell>
          <cell r="E131">
            <v>13488</v>
          </cell>
          <cell r="F131" t="str">
            <v>ER ANALITICA</v>
          </cell>
          <cell r="G131" t="str">
            <v>Carcaça superior avariada</v>
          </cell>
          <cell r="H131">
            <v>44426</v>
          </cell>
          <cell r="I131">
            <v>8</v>
          </cell>
        </row>
        <row r="132">
          <cell r="D132" t="str">
            <v>6273676</v>
          </cell>
          <cell r="E132">
            <v>13564</v>
          </cell>
          <cell r="F132" t="str">
            <v>ER ANALITICA</v>
          </cell>
          <cell r="H132">
            <v>44426</v>
          </cell>
          <cell r="I132">
            <v>8</v>
          </cell>
        </row>
        <row r="133">
          <cell r="D133" t="str">
            <v>6270110</v>
          </cell>
          <cell r="E133">
            <v>13439</v>
          </cell>
          <cell r="F133" t="str">
            <v>ER ANALITICA</v>
          </cell>
          <cell r="H133">
            <v>44426</v>
          </cell>
          <cell r="I133">
            <v>8</v>
          </cell>
        </row>
        <row r="134">
          <cell r="D134" t="str">
            <v>210246601028</v>
          </cell>
          <cell r="E134">
            <v>13436</v>
          </cell>
          <cell r="F134" t="str">
            <v>ER ANALITICA</v>
          </cell>
          <cell r="H134">
            <v>44426</v>
          </cell>
          <cell r="I134">
            <v>8</v>
          </cell>
        </row>
        <row r="135">
          <cell r="D135" t="str">
            <v>12079BC22146</v>
          </cell>
          <cell r="E135">
            <v>13440</v>
          </cell>
          <cell r="F135" t="str">
            <v>ER ANALITICA</v>
          </cell>
          <cell r="H135">
            <v>44426</v>
          </cell>
          <cell r="I135">
            <v>8</v>
          </cell>
        </row>
        <row r="136">
          <cell r="D136" t="str">
            <v>2015768</v>
          </cell>
          <cell r="E136">
            <v>13565</v>
          </cell>
          <cell r="F136" t="str">
            <v>ER ANALITICA</v>
          </cell>
          <cell r="G136" t="str">
            <v>Instrumento com avarias na curva, não aceita calibração. Devido a problemas na resistividade.</v>
          </cell>
          <cell r="H136">
            <v>44426</v>
          </cell>
          <cell r="I136">
            <v>8</v>
          </cell>
        </row>
        <row r="137">
          <cell r="D137" t="str">
            <v>1228420502</v>
          </cell>
          <cell r="E137">
            <v>13443</v>
          </cell>
          <cell r="F137" t="str">
            <v>ER ANALITICA</v>
          </cell>
          <cell r="H137">
            <v>44426</v>
          </cell>
          <cell r="I137">
            <v>8</v>
          </cell>
        </row>
        <row r="138">
          <cell r="D138" t="str">
            <v>1401857</v>
          </cell>
          <cell r="E138">
            <v>13442</v>
          </cell>
          <cell r="F138" t="str">
            <v>ER ANALITICA</v>
          </cell>
          <cell r="G138" t="str">
            <v>Filtro optico BG370 e compartimento de cubeta com avarias, além da bateria de litio estar com carga abaixo do recomendado pelo fabricante</v>
          </cell>
          <cell r="H138">
            <v>44426</v>
          </cell>
          <cell r="I138">
            <v>8</v>
          </cell>
        </row>
        <row r="139">
          <cell r="D139" t="str">
            <v>11050C0018</v>
          </cell>
          <cell r="E139">
            <v>13455</v>
          </cell>
          <cell r="F139" t="str">
            <v>ER ANALITICA</v>
          </cell>
          <cell r="H139">
            <v>44426</v>
          </cell>
          <cell r="I139">
            <v>8</v>
          </cell>
        </row>
        <row r="140">
          <cell r="D140" t="str">
            <v>4223906</v>
          </cell>
          <cell r="E140">
            <v>13446</v>
          </cell>
          <cell r="F140" t="str">
            <v>ER ANALITICA</v>
          </cell>
          <cell r="H140">
            <v>44424</v>
          </cell>
          <cell r="I140">
            <v>8</v>
          </cell>
        </row>
        <row r="141">
          <cell r="D141" t="str">
            <v>4212781</v>
          </cell>
          <cell r="E141">
            <v>13447</v>
          </cell>
          <cell r="F141" t="str">
            <v>ER ANALITICA</v>
          </cell>
          <cell r="H141">
            <v>44424</v>
          </cell>
          <cell r="I141">
            <v>8</v>
          </cell>
        </row>
        <row r="142">
          <cell r="D142" t="str">
            <v>133570002031</v>
          </cell>
          <cell r="E142">
            <v>13444</v>
          </cell>
          <cell r="F142" t="str">
            <v>ER ANALITICA</v>
          </cell>
          <cell r="H142">
            <v>44424</v>
          </cell>
          <cell r="I142">
            <v>8</v>
          </cell>
        </row>
        <row r="143">
          <cell r="D143" t="str">
            <v>728690</v>
          </cell>
          <cell r="E143">
            <v>13438</v>
          </cell>
          <cell r="F143" t="str">
            <v>ER ANALITICA</v>
          </cell>
          <cell r="G143" t="str">
            <v>Mascara do teclado com avarias.</v>
          </cell>
          <cell r="H143">
            <v>44424</v>
          </cell>
          <cell r="I143">
            <v>8</v>
          </cell>
        </row>
        <row r="144">
          <cell r="D144" t="str">
            <v>2905626</v>
          </cell>
          <cell r="E144">
            <v>13450</v>
          </cell>
          <cell r="F144" t="str">
            <v>ER ANALITICA</v>
          </cell>
          <cell r="H144">
            <v>44424</v>
          </cell>
          <cell r="I144">
            <v>8</v>
          </cell>
        </row>
        <row r="145">
          <cell r="D145" t="str">
            <v>2068717</v>
          </cell>
          <cell r="E145">
            <v>13451</v>
          </cell>
          <cell r="F145" t="str">
            <v>ER ANALITICA</v>
          </cell>
          <cell r="G145" t="str">
            <v>Mascara do teclado com avarias.</v>
          </cell>
          <cell r="H145">
            <v>44424</v>
          </cell>
          <cell r="I145">
            <v>8</v>
          </cell>
        </row>
        <row r="146">
          <cell r="D146" t="str">
            <v>2068764</v>
          </cell>
          <cell r="E146">
            <v>13452</v>
          </cell>
          <cell r="F146" t="str">
            <v>ER ANALITICA</v>
          </cell>
          <cell r="G146" t="str">
            <v>Não liberado, devido avarias na curva e não aceita calibração. Necessário envio a ER</v>
          </cell>
          <cell r="H146">
            <v>44424</v>
          </cell>
          <cell r="I146">
            <v>8</v>
          </cell>
        </row>
        <row r="147">
          <cell r="D147" t="str">
            <v>2905620</v>
          </cell>
          <cell r="E147">
            <v>13454</v>
          </cell>
          <cell r="F147" t="str">
            <v>ER ANALITICA</v>
          </cell>
          <cell r="H147">
            <v>44424</v>
          </cell>
          <cell r="I147">
            <v>8</v>
          </cell>
        </row>
        <row r="148">
          <cell r="D148" t="str">
            <v>13034</v>
          </cell>
          <cell r="E148">
            <v>13453</v>
          </cell>
          <cell r="F148" t="str">
            <v>ER ANALITICA</v>
          </cell>
          <cell r="H148">
            <v>44424</v>
          </cell>
          <cell r="I148">
            <v>8</v>
          </cell>
        </row>
        <row r="149">
          <cell r="D149" t="str">
            <v>141160002025</v>
          </cell>
          <cell r="E149">
            <v>13445</v>
          </cell>
          <cell r="F149" t="str">
            <v>ER ANALITICA</v>
          </cell>
          <cell r="H149">
            <v>44424</v>
          </cell>
          <cell r="I149">
            <v>8</v>
          </cell>
        </row>
        <row r="150">
          <cell r="D150" t="str">
            <v>10003036</v>
          </cell>
          <cell r="E150">
            <v>13449</v>
          </cell>
          <cell r="F150" t="str">
            <v>ER ANALITICA</v>
          </cell>
          <cell r="H150">
            <v>44424</v>
          </cell>
          <cell r="I150">
            <v>8</v>
          </cell>
        </row>
        <row r="151">
          <cell r="D151" t="str">
            <v>2068786</v>
          </cell>
          <cell r="E151">
            <v>13456</v>
          </cell>
          <cell r="F151" t="str">
            <v>ER ANALITICA</v>
          </cell>
          <cell r="H151">
            <v>44424</v>
          </cell>
          <cell r="I151">
            <v>8</v>
          </cell>
        </row>
        <row r="152">
          <cell r="D152" t="str">
            <v>2901943</v>
          </cell>
          <cell r="E152">
            <v>13457</v>
          </cell>
          <cell r="F152" t="str">
            <v>ER ANALITICA</v>
          </cell>
          <cell r="G152" t="str">
            <v>Não liberado, devido avarias na curva e não aceita calibração. Necessário envio a ER</v>
          </cell>
          <cell r="H152">
            <v>44424</v>
          </cell>
          <cell r="I152">
            <v>8</v>
          </cell>
        </row>
        <row r="153">
          <cell r="D153" t="str">
            <v>2224284</v>
          </cell>
          <cell r="E153">
            <v>13458</v>
          </cell>
          <cell r="F153" t="str">
            <v>ER ANALITICA</v>
          </cell>
          <cell r="G153" t="str">
            <v>Equipamentos incluidos.</v>
          </cell>
          <cell r="H153">
            <v>44424</v>
          </cell>
          <cell r="I153">
            <v>8</v>
          </cell>
        </row>
        <row r="154">
          <cell r="D154" t="str">
            <v>6263410</v>
          </cell>
          <cell r="E154">
            <v>13437</v>
          </cell>
          <cell r="F154" t="str">
            <v>ER ANALITICA</v>
          </cell>
          <cell r="G154" t="str">
            <v xml:space="preserve"> Equipamentos incluidos.</v>
          </cell>
          <cell r="H154">
            <v>44424</v>
          </cell>
          <cell r="I154">
            <v>8</v>
          </cell>
        </row>
        <row r="155">
          <cell r="D155" t="str">
            <v>1983628</v>
          </cell>
          <cell r="E155">
            <v>13513</v>
          </cell>
          <cell r="F155" t="str">
            <v>ER ANALITICA</v>
          </cell>
          <cell r="G155" t="str">
            <v>Equipamentos incluidos.</v>
          </cell>
          <cell r="H155">
            <v>44424</v>
          </cell>
          <cell r="I155">
            <v>8</v>
          </cell>
        </row>
        <row r="156">
          <cell r="D156" t="str">
            <v>1397596</v>
          </cell>
          <cell r="E156">
            <v>13448</v>
          </cell>
          <cell r="F156" t="str">
            <v>ER ANALITICA</v>
          </cell>
          <cell r="G156" t="str">
            <v>Bateria de litio com carga abaixo do recomendado pelo fabricante</v>
          </cell>
          <cell r="H156">
            <v>44424</v>
          </cell>
          <cell r="I156">
            <v>8</v>
          </cell>
        </row>
        <row r="157">
          <cell r="D157" t="str">
            <v>150580001012</v>
          </cell>
          <cell r="E157">
            <v>13512</v>
          </cell>
          <cell r="F157" t="str">
            <v>ER ANALITICA</v>
          </cell>
          <cell r="G157" t="str">
            <v>Equipamentos incluidos.</v>
          </cell>
          <cell r="H157">
            <v>44424</v>
          </cell>
          <cell r="I157">
            <v>8</v>
          </cell>
        </row>
        <row r="158">
          <cell r="D158" t="str">
            <v>4222113</v>
          </cell>
          <cell r="E158">
            <v>13441</v>
          </cell>
          <cell r="F158" t="str">
            <v>ER ANALITICA</v>
          </cell>
          <cell r="H158">
            <v>44424</v>
          </cell>
          <cell r="I158">
            <v>8</v>
          </cell>
        </row>
        <row r="159">
          <cell r="D159">
            <v>48564</v>
          </cell>
          <cell r="E159">
            <v>13389</v>
          </cell>
          <cell r="F159" t="str">
            <v>ER ANALITICA</v>
          </cell>
          <cell r="H159">
            <v>44418</v>
          </cell>
          <cell r="I159">
            <v>8</v>
          </cell>
        </row>
        <row r="160">
          <cell r="D160">
            <v>1584391</v>
          </cell>
          <cell r="E160">
            <v>13390</v>
          </cell>
          <cell r="F160" t="str">
            <v>ER ANALITICA</v>
          </cell>
          <cell r="H160">
            <v>44418</v>
          </cell>
          <cell r="I160">
            <v>8</v>
          </cell>
        </row>
        <row r="161">
          <cell r="D161">
            <v>182180001013</v>
          </cell>
          <cell r="E161">
            <v>13391</v>
          </cell>
          <cell r="F161" t="str">
            <v>ER ANALITICA</v>
          </cell>
          <cell r="H161">
            <v>44418</v>
          </cell>
          <cell r="I161">
            <v>8</v>
          </cell>
        </row>
        <row r="162">
          <cell r="D162" t="str">
            <v>11059BC21741</v>
          </cell>
          <cell r="E162">
            <v>13504</v>
          </cell>
          <cell r="F162" t="str">
            <v>ER ANALITICA</v>
          </cell>
          <cell r="G162" t="str">
            <v xml:space="preserve"> Recomendada troca do filtro óptico de 420nm devido inicio de desgaste.</v>
          </cell>
          <cell r="H162">
            <v>44432</v>
          </cell>
          <cell r="I162">
            <v>8</v>
          </cell>
        </row>
        <row r="163">
          <cell r="D163" t="str">
            <v>8677501</v>
          </cell>
          <cell r="E163">
            <v>13505</v>
          </cell>
          <cell r="F163" t="str">
            <v>ER ANALITICA</v>
          </cell>
          <cell r="H163">
            <v>44432</v>
          </cell>
          <cell r="I163">
            <v>8</v>
          </cell>
        </row>
        <row r="164">
          <cell r="D164" t="str">
            <v>63259</v>
          </cell>
          <cell r="E164">
            <v>13506</v>
          </cell>
          <cell r="F164" t="str">
            <v>ER ANALITICA</v>
          </cell>
          <cell r="H164">
            <v>44432</v>
          </cell>
          <cell r="I164">
            <v>8</v>
          </cell>
        </row>
        <row r="165">
          <cell r="D165" t="str">
            <v>341053</v>
          </cell>
          <cell r="E165">
            <v>13507</v>
          </cell>
          <cell r="F165" t="str">
            <v>ER ANALITICA</v>
          </cell>
          <cell r="H165">
            <v>44432</v>
          </cell>
          <cell r="I165">
            <v>8</v>
          </cell>
        </row>
        <row r="166">
          <cell r="D166" t="str">
            <v>1646</v>
          </cell>
          <cell r="E166">
            <v>13508</v>
          </cell>
          <cell r="F166" t="str">
            <v>ER ANALITICA</v>
          </cell>
          <cell r="H166">
            <v>44432</v>
          </cell>
          <cell r="I166">
            <v>8</v>
          </cell>
        </row>
        <row r="167">
          <cell r="D167" t="str">
            <v>11039BC21695</v>
          </cell>
          <cell r="E167">
            <v>13509</v>
          </cell>
          <cell r="F167" t="str">
            <v>ER ANALITICA</v>
          </cell>
          <cell r="H167">
            <v>44432</v>
          </cell>
          <cell r="I167">
            <v>8</v>
          </cell>
        </row>
        <row r="168">
          <cell r="D168" t="str">
            <v>4222111</v>
          </cell>
          <cell r="E168">
            <v>13510</v>
          </cell>
          <cell r="F168" t="str">
            <v>ER ANALITICA</v>
          </cell>
          <cell r="H168">
            <v>44432</v>
          </cell>
          <cell r="I168">
            <v>8</v>
          </cell>
        </row>
        <row r="169">
          <cell r="D169" t="str">
            <v>1228415241</v>
          </cell>
          <cell r="E169">
            <v>13511</v>
          </cell>
          <cell r="F169" t="str">
            <v>ER ANALITICA</v>
          </cell>
          <cell r="G169" t="str">
            <v>Equipamento apresenta-se inoperante, calibração abortada.</v>
          </cell>
          <cell r="H169">
            <v>44432</v>
          </cell>
          <cell r="I169">
            <v>8</v>
          </cell>
        </row>
        <row r="170">
          <cell r="D170" t="str">
            <v>133510002005</v>
          </cell>
          <cell r="E170">
            <v>13651</v>
          </cell>
          <cell r="F170" t="str">
            <v>ER ANALITICA</v>
          </cell>
          <cell r="H170">
            <v>44433</v>
          </cell>
          <cell r="I170">
            <v>8</v>
          </cell>
        </row>
        <row r="171">
          <cell r="D171" t="str">
            <v>6266879</v>
          </cell>
          <cell r="E171">
            <v>13652</v>
          </cell>
          <cell r="F171" t="str">
            <v>ER ANALITICA</v>
          </cell>
          <cell r="H171">
            <v>44433</v>
          </cell>
          <cell r="I171">
            <v>8</v>
          </cell>
        </row>
        <row r="172">
          <cell r="D172" t="str">
            <v>14090C35115</v>
          </cell>
          <cell r="E172">
            <v>13660</v>
          </cell>
          <cell r="F172" t="str">
            <v>ER ANALITICA</v>
          </cell>
          <cell r="H172">
            <v>44433</v>
          </cell>
          <cell r="I172">
            <v>8</v>
          </cell>
        </row>
        <row r="173">
          <cell r="D173" t="str">
            <v>6269690</v>
          </cell>
          <cell r="E173">
            <v>13661</v>
          </cell>
          <cell r="F173" t="str">
            <v>ER ANALITICA</v>
          </cell>
          <cell r="H173">
            <v>44433</v>
          </cell>
          <cell r="I173">
            <v>8</v>
          </cell>
        </row>
        <row r="174">
          <cell r="D174" t="str">
            <v>M607036</v>
          </cell>
          <cell r="E174">
            <v>13668</v>
          </cell>
          <cell r="F174" t="str">
            <v>ER ANALITICA</v>
          </cell>
          <cell r="G174" t="str">
            <v>Eletrôdo de pH apresenta estado de vida útil avançada, realizada calibração apenas no parâmetro de condutividade</v>
          </cell>
          <cell r="H174">
            <v>44433</v>
          </cell>
          <cell r="I174">
            <v>8</v>
          </cell>
        </row>
        <row r="175">
          <cell r="D175">
            <v>21883</v>
          </cell>
          <cell r="E175">
            <v>13689</v>
          </cell>
          <cell r="F175" t="str">
            <v>ER ANALITICA</v>
          </cell>
          <cell r="H175">
            <v>44442</v>
          </cell>
          <cell r="I175">
            <v>9</v>
          </cell>
        </row>
        <row r="176">
          <cell r="D176" t="str">
            <v>UP-10066426</v>
          </cell>
          <cell r="E176">
            <v>13690</v>
          </cell>
          <cell r="F176" t="str">
            <v>ER ANALITICA</v>
          </cell>
          <cell r="G176" t="str">
            <v>Eletrôdo com vida útil avançada</v>
          </cell>
          <cell r="H176">
            <v>44442</v>
          </cell>
          <cell r="I176">
            <v>9</v>
          </cell>
        </row>
        <row r="177">
          <cell r="D177" t="str">
            <v>UP-25058168</v>
          </cell>
          <cell r="E177">
            <v>13691</v>
          </cell>
          <cell r="F177" t="str">
            <v>ER ANALITICA</v>
          </cell>
          <cell r="H177">
            <v>44442</v>
          </cell>
          <cell r="I177">
            <v>9</v>
          </cell>
        </row>
        <row r="178">
          <cell r="D178">
            <v>200930003006</v>
          </cell>
          <cell r="E178">
            <v>13693</v>
          </cell>
          <cell r="F178" t="str">
            <v>ER ANALITICA</v>
          </cell>
          <cell r="H178">
            <v>44442</v>
          </cell>
          <cell r="I178">
            <v>9</v>
          </cell>
        </row>
        <row r="179">
          <cell r="D179">
            <v>6253970</v>
          </cell>
          <cell r="E179">
            <v>13694</v>
          </cell>
          <cell r="F179" t="str">
            <v>ER ANALITICA</v>
          </cell>
          <cell r="G179" t="str">
            <v>Eletrodo de pH apresenta estado de vida útil avançada e necessita ser trocado.</v>
          </cell>
          <cell r="H179">
            <v>44442</v>
          </cell>
          <cell r="I179">
            <v>9</v>
          </cell>
        </row>
        <row r="180">
          <cell r="D180" t="str">
            <v>12119BC222005</v>
          </cell>
          <cell r="E180">
            <v>13758</v>
          </cell>
          <cell r="F180" t="str">
            <v>ER ANALITICA</v>
          </cell>
          <cell r="G180" t="str">
            <v xml:space="preserve"> Recomendada troca preventiva de todos os filtros ópticos</v>
          </cell>
          <cell r="H180">
            <v>44442</v>
          </cell>
          <cell r="I180">
            <v>9</v>
          </cell>
        </row>
        <row r="181">
          <cell r="D181" t="str">
            <v>10049BC21424</v>
          </cell>
          <cell r="E181">
            <v>13759</v>
          </cell>
          <cell r="F181" t="str">
            <v>ER ANALITICA</v>
          </cell>
          <cell r="G181" t="str">
            <v xml:space="preserve"> Recomendada troca preventiva de todos os filtros ópticos</v>
          </cell>
          <cell r="H181">
            <v>44442</v>
          </cell>
          <cell r="I181">
            <v>9</v>
          </cell>
        </row>
        <row r="182">
          <cell r="D182">
            <v>4239783</v>
          </cell>
          <cell r="E182">
            <v>13760</v>
          </cell>
          <cell r="F182" t="str">
            <v>ER ANALITICA</v>
          </cell>
          <cell r="H182">
            <v>44442</v>
          </cell>
          <cell r="I182">
            <v>9</v>
          </cell>
        </row>
        <row r="183">
          <cell r="D183">
            <v>3652</v>
          </cell>
          <cell r="E183">
            <v>13669</v>
          </cell>
          <cell r="F183" t="str">
            <v>ER ANALITICA</v>
          </cell>
          <cell r="G183" t="str">
            <v xml:space="preserve"> Equipamento com vida útil avançada</v>
          </cell>
          <cell r="H183">
            <v>44447</v>
          </cell>
          <cell r="I183">
            <v>9</v>
          </cell>
        </row>
        <row r="184">
          <cell r="D184" t="str">
            <v>09049BC21221</v>
          </cell>
          <cell r="E184">
            <v>13670</v>
          </cell>
          <cell r="F184" t="str">
            <v>ER ANALITICA</v>
          </cell>
          <cell r="G184" t="str">
            <v xml:space="preserve"> Filtro óptico de 420nm manchado e contatos de pilhas oxidados</v>
          </cell>
          <cell r="H184">
            <v>44447</v>
          </cell>
          <cell r="I184">
            <v>9</v>
          </cell>
        </row>
        <row r="185">
          <cell r="D185">
            <v>4210981</v>
          </cell>
          <cell r="E185">
            <v>13671</v>
          </cell>
          <cell r="F185" t="str">
            <v>ER ANALITICA</v>
          </cell>
          <cell r="H185">
            <v>44447</v>
          </cell>
          <cell r="I185">
            <v>9</v>
          </cell>
        </row>
        <row r="186">
          <cell r="D186">
            <v>49433</v>
          </cell>
          <cell r="E186">
            <v>13672</v>
          </cell>
          <cell r="F186" t="str">
            <v>ER ANALITICA</v>
          </cell>
          <cell r="H186">
            <v>44447</v>
          </cell>
          <cell r="I186">
            <v>9</v>
          </cell>
        </row>
        <row r="187">
          <cell r="D187" t="str">
            <v>16030C048264</v>
          </cell>
          <cell r="E187">
            <v>13673</v>
          </cell>
          <cell r="F187" t="str">
            <v>ER ANALITICA</v>
          </cell>
          <cell r="G187" t="str">
            <v>Equipamento não realiza leituras, o mesmo deverá ser encaminha à ER para avaliação.</v>
          </cell>
          <cell r="H187">
            <v>44447</v>
          </cell>
          <cell r="I187">
            <v>9</v>
          </cell>
        </row>
        <row r="188">
          <cell r="D188">
            <v>182190001020</v>
          </cell>
          <cell r="E188">
            <v>13674</v>
          </cell>
          <cell r="F188" t="str">
            <v>ER ANALITICA</v>
          </cell>
          <cell r="G188" t="str">
            <v xml:space="preserve"> Equipamento apresenta display avariado portando manchas e demasiada degradação em sua face dificultando a visualização das informações nele impressas. Também verificado necessidade de troca do filtro óptico BG370/B39 devido demasiada oxidação.</v>
          </cell>
          <cell r="H188">
            <v>44447</v>
          </cell>
          <cell r="I188">
            <v>9</v>
          </cell>
        </row>
        <row r="189">
          <cell r="D189">
            <v>4222730</v>
          </cell>
          <cell r="E189">
            <v>13761</v>
          </cell>
          <cell r="F189" t="str">
            <v>ER ANALITICA</v>
          </cell>
          <cell r="H189">
            <v>44455</v>
          </cell>
          <cell r="I189">
            <v>9</v>
          </cell>
        </row>
        <row r="190">
          <cell r="D190" t="str">
            <v xml:space="preserve"> 2996109</v>
          </cell>
          <cell r="E190">
            <v>13762</v>
          </cell>
          <cell r="F190" t="str">
            <v>ER ANALITICA</v>
          </cell>
          <cell r="H190">
            <v>44455</v>
          </cell>
          <cell r="I190">
            <v>9</v>
          </cell>
        </row>
        <row r="191">
          <cell r="D191" t="str">
            <v xml:space="preserve"> HAO4421691</v>
          </cell>
          <cell r="E191">
            <v>13763</v>
          </cell>
          <cell r="F191" t="str">
            <v>ER ANALITICA</v>
          </cell>
          <cell r="H191">
            <v>44455</v>
          </cell>
          <cell r="I191">
            <v>9</v>
          </cell>
        </row>
        <row r="192">
          <cell r="D192" t="str">
            <v>1264624</v>
          </cell>
          <cell r="E192">
            <v>13764</v>
          </cell>
          <cell r="F192" t="str">
            <v>ER ANALITICA</v>
          </cell>
          <cell r="H192">
            <v>44455</v>
          </cell>
          <cell r="I192">
            <v>9</v>
          </cell>
        </row>
        <row r="193">
          <cell r="D193" t="str">
            <v>D207302309</v>
          </cell>
          <cell r="E193">
            <v>13907</v>
          </cell>
          <cell r="F193" t="str">
            <v>ER ANALITICA</v>
          </cell>
          <cell r="H193">
            <v>44461</v>
          </cell>
          <cell r="I193">
            <v>9</v>
          </cell>
        </row>
        <row r="194">
          <cell r="D194">
            <v>49483</v>
          </cell>
          <cell r="E194">
            <v>13822</v>
          </cell>
          <cell r="F194" t="str">
            <v>ER ANALITICA</v>
          </cell>
          <cell r="H194">
            <v>44459</v>
          </cell>
          <cell r="I194">
            <v>9</v>
          </cell>
        </row>
        <row r="195">
          <cell r="D195" t="str">
            <v xml:space="preserve"> 16020C047582</v>
          </cell>
          <cell r="E195">
            <v>13823</v>
          </cell>
          <cell r="F195" t="str">
            <v>ER ANALITICA</v>
          </cell>
          <cell r="H195">
            <v>44459</v>
          </cell>
          <cell r="I195">
            <v>9</v>
          </cell>
        </row>
        <row r="196">
          <cell r="D196">
            <v>49441</v>
          </cell>
          <cell r="E196">
            <v>13824</v>
          </cell>
          <cell r="F196" t="str">
            <v>ER ANALITICA</v>
          </cell>
          <cell r="H196">
            <v>44459</v>
          </cell>
          <cell r="I196">
            <v>9</v>
          </cell>
        </row>
        <row r="197">
          <cell r="D197" t="str">
            <v>12039BC22006</v>
          </cell>
          <cell r="E197">
            <v>13825</v>
          </cell>
          <cell r="F197" t="str">
            <v>ER ANALITICA</v>
          </cell>
          <cell r="H197">
            <v>44459</v>
          </cell>
          <cell r="I197">
            <v>9</v>
          </cell>
        </row>
        <row r="198">
          <cell r="D198" t="str">
            <v>B27525</v>
          </cell>
          <cell r="E198">
            <v>13826</v>
          </cell>
          <cell r="F198" t="str">
            <v>ER ANALITICA</v>
          </cell>
          <cell r="H198">
            <v>44459</v>
          </cell>
          <cell r="I198">
            <v>9</v>
          </cell>
        </row>
        <row r="199">
          <cell r="D199" t="str">
            <v>B147469098</v>
          </cell>
          <cell r="E199">
            <v>13827</v>
          </cell>
          <cell r="F199" t="str">
            <v>ER ANALITICA</v>
          </cell>
          <cell r="H199">
            <v>44459</v>
          </cell>
          <cell r="I199">
            <v>9</v>
          </cell>
        </row>
        <row r="200">
          <cell r="D200" t="str">
            <v>1308011</v>
          </cell>
          <cell r="E200">
            <v>13828</v>
          </cell>
          <cell r="F200" t="str">
            <v>ER ANALITICA</v>
          </cell>
          <cell r="H200">
            <v>44459</v>
          </cell>
          <cell r="I200">
            <v>9</v>
          </cell>
        </row>
        <row r="201">
          <cell r="D201" t="str">
            <v>11110C014243</v>
          </cell>
          <cell r="E201">
            <v>13829</v>
          </cell>
          <cell r="F201" t="str">
            <v>ER ANALITICA</v>
          </cell>
          <cell r="H201">
            <v>44459</v>
          </cell>
          <cell r="I201">
            <v>9</v>
          </cell>
        </row>
        <row r="202">
          <cell r="D202" t="str">
            <v>121290C93261</v>
          </cell>
          <cell r="E202">
            <v>13830</v>
          </cell>
          <cell r="F202" t="str">
            <v>ER ANALITICA</v>
          </cell>
          <cell r="H202">
            <v>44459</v>
          </cell>
          <cell r="I202">
            <v>9</v>
          </cell>
        </row>
        <row r="203">
          <cell r="D203">
            <v>1426206</v>
          </cell>
          <cell r="E203">
            <v>13831</v>
          </cell>
          <cell r="F203" t="str">
            <v>ER ANALITICA</v>
          </cell>
          <cell r="G203" t="str">
            <v xml:space="preserve"> Filtro óptico azul encontra-se oxidado e bateria de lítio responsável pelo armazenamento de dados e configurações do usuário está sem carga.</v>
          </cell>
          <cell r="H203">
            <v>44459</v>
          </cell>
          <cell r="I203">
            <v>9</v>
          </cell>
        </row>
        <row r="204">
          <cell r="D204" t="str">
            <v>10110C0840</v>
          </cell>
          <cell r="E204">
            <v>13832</v>
          </cell>
          <cell r="F204" t="str">
            <v>ER ANALITICA</v>
          </cell>
          <cell r="G204" t="str">
            <v xml:space="preserve"> Equipamento sem a manta térmica centra</v>
          </cell>
          <cell r="H204">
            <v>44459</v>
          </cell>
          <cell r="I204">
            <v>9</v>
          </cell>
        </row>
        <row r="205">
          <cell r="D205" t="str">
            <v>B449346278</v>
          </cell>
          <cell r="E205">
            <v>13833</v>
          </cell>
          <cell r="F205" t="str">
            <v>ER ANALITICA</v>
          </cell>
          <cell r="H205">
            <v>44459</v>
          </cell>
          <cell r="I205">
            <v>9</v>
          </cell>
        </row>
        <row r="206">
          <cell r="D206" t="str">
            <v>B06517</v>
          </cell>
          <cell r="E206">
            <v>13834</v>
          </cell>
          <cell r="F206" t="str">
            <v>ER ANALITICA</v>
          </cell>
          <cell r="H206">
            <v>44459</v>
          </cell>
          <cell r="I206">
            <v>9</v>
          </cell>
        </row>
        <row r="207">
          <cell r="D207" t="str">
            <v xml:space="preserve"> 11080C011203</v>
          </cell>
          <cell r="E207">
            <v>13835</v>
          </cell>
          <cell r="F207" t="str">
            <v>ER ANALITICA</v>
          </cell>
          <cell r="G207" t="str">
            <v xml:space="preserve"> Equipamento demora para inicializar.</v>
          </cell>
          <cell r="H207">
            <v>44459</v>
          </cell>
          <cell r="I207">
            <v>9</v>
          </cell>
        </row>
        <row r="208">
          <cell r="D208" t="str">
            <v xml:space="preserve"> 1591465</v>
          </cell>
          <cell r="E208">
            <v>13836</v>
          </cell>
          <cell r="F208" t="str">
            <v>ER ANALITICA</v>
          </cell>
          <cell r="G208" t="str">
            <v xml:space="preserve"> Equipamento demora para inicializar.</v>
          </cell>
          <cell r="H208">
            <v>44459</v>
          </cell>
          <cell r="I208">
            <v>9</v>
          </cell>
        </row>
        <row r="209">
          <cell r="D209" t="str">
            <v>B21662</v>
          </cell>
          <cell r="E209">
            <v>13837</v>
          </cell>
          <cell r="F209" t="str">
            <v>ER ANALITICA</v>
          </cell>
          <cell r="H209">
            <v>44459</v>
          </cell>
          <cell r="I209">
            <v>9</v>
          </cell>
        </row>
        <row r="210">
          <cell r="D210">
            <v>51302520</v>
          </cell>
          <cell r="E210">
            <v>13838</v>
          </cell>
          <cell r="F210" t="str">
            <v>ER ANALITICA</v>
          </cell>
          <cell r="H210">
            <v>44459</v>
          </cell>
          <cell r="I210">
            <v>9</v>
          </cell>
        </row>
        <row r="211">
          <cell r="D211" t="str">
            <v>12049BC22029</v>
          </cell>
          <cell r="E211">
            <v>13906</v>
          </cell>
          <cell r="F211" t="str">
            <v>ER ANALITICA</v>
          </cell>
          <cell r="H211">
            <v>44459</v>
          </cell>
          <cell r="I211">
            <v>9</v>
          </cell>
        </row>
        <row r="212">
          <cell r="D212" t="str">
            <v>2062403</v>
          </cell>
          <cell r="E212">
            <v>13925</v>
          </cell>
          <cell r="F212" t="str">
            <v>ER ANALITICA</v>
          </cell>
          <cell r="H212">
            <v>44459</v>
          </cell>
          <cell r="I212">
            <v>9</v>
          </cell>
        </row>
        <row r="213">
          <cell r="D213">
            <v>893769</v>
          </cell>
          <cell r="E213">
            <v>13926</v>
          </cell>
          <cell r="F213" t="str">
            <v>ER ANALITICA</v>
          </cell>
          <cell r="H213">
            <v>44459</v>
          </cell>
          <cell r="I213">
            <v>9</v>
          </cell>
        </row>
        <row r="214">
          <cell r="D214">
            <v>2062585</v>
          </cell>
          <cell r="E214">
            <v>13927</v>
          </cell>
          <cell r="F214" t="str">
            <v>ER ANALITICA</v>
          </cell>
          <cell r="H214">
            <v>44459</v>
          </cell>
          <cell r="I214">
            <v>9</v>
          </cell>
        </row>
        <row r="215">
          <cell r="D215" t="str">
            <v>4223997</v>
          </cell>
          <cell r="E215">
            <v>13928</v>
          </cell>
          <cell r="F215" t="str">
            <v>ER ANALITICA</v>
          </cell>
          <cell r="H215">
            <v>44459</v>
          </cell>
          <cell r="I215">
            <v>9</v>
          </cell>
        </row>
        <row r="216">
          <cell r="D216" t="str">
            <v>09069BC21306</v>
          </cell>
          <cell r="E216">
            <v>13839</v>
          </cell>
          <cell r="F216" t="str">
            <v>ER ANALITICA</v>
          </cell>
          <cell r="H216">
            <v>44462</v>
          </cell>
          <cell r="I216">
            <v>9</v>
          </cell>
        </row>
        <row r="217">
          <cell r="D217">
            <v>4212228</v>
          </cell>
          <cell r="E217">
            <v>13840</v>
          </cell>
          <cell r="F217" t="str">
            <v>ER ANALITICA</v>
          </cell>
          <cell r="H217">
            <v>44462</v>
          </cell>
          <cell r="I217">
            <v>9</v>
          </cell>
        </row>
        <row r="218">
          <cell r="D218" t="str">
            <v>799046</v>
          </cell>
          <cell r="E218">
            <v>13841</v>
          </cell>
          <cell r="F218" t="str">
            <v>ER ANALITICA</v>
          </cell>
          <cell r="H218">
            <v>44462</v>
          </cell>
          <cell r="I218">
            <v>9</v>
          </cell>
        </row>
        <row r="219">
          <cell r="D219" t="str">
            <v>2736</v>
          </cell>
          <cell r="E219">
            <v>13962</v>
          </cell>
          <cell r="F219" t="str">
            <v>ER ANALITICA</v>
          </cell>
          <cell r="H219">
            <v>44469</v>
          </cell>
          <cell r="I219">
            <v>9</v>
          </cell>
        </row>
        <row r="220">
          <cell r="D220" t="str">
            <v>4211939</v>
          </cell>
          <cell r="E220">
            <v>13963</v>
          </cell>
          <cell r="F220" t="str">
            <v>ER ANALITICA</v>
          </cell>
          <cell r="H220">
            <v>44469</v>
          </cell>
          <cell r="I220">
            <v>9</v>
          </cell>
        </row>
        <row r="221">
          <cell r="D221" t="str">
            <v>4222022</v>
          </cell>
          <cell r="E221">
            <v>13964</v>
          </cell>
          <cell r="F221" t="str">
            <v>ER ANALITICA</v>
          </cell>
          <cell r="H221">
            <v>44469</v>
          </cell>
          <cell r="I221">
            <v>9</v>
          </cell>
        </row>
        <row r="222">
          <cell r="D222" t="str">
            <v>4226993</v>
          </cell>
          <cell r="E222">
            <v>13965</v>
          </cell>
          <cell r="F222" t="str">
            <v>ER ANALITICA</v>
          </cell>
          <cell r="H222">
            <v>44469</v>
          </cell>
          <cell r="I222">
            <v>9</v>
          </cell>
        </row>
        <row r="223">
          <cell r="D223" t="str">
            <v>63442</v>
          </cell>
          <cell r="E223">
            <v>13874</v>
          </cell>
          <cell r="F223" t="str">
            <v>ER ANALITICA</v>
          </cell>
          <cell r="H223">
            <v>44469</v>
          </cell>
          <cell r="I223">
            <v>9</v>
          </cell>
        </row>
        <row r="224">
          <cell r="D224" t="str">
            <v>4212782</v>
          </cell>
          <cell r="E224">
            <v>13875</v>
          </cell>
          <cell r="F224" t="str">
            <v>ER ANALITICA</v>
          </cell>
          <cell r="H224">
            <v>44469</v>
          </cell>
          <cell r="I224">
            <v>9</v>
          </cell>
        </row>
        <row r="225">
          <cell r="D225" t="str">
            <v>141480001016</v>
          </cell>
          <cell r="E225">
            <v>13878</v>
          </cell>
          <cell r="F225" t="str">
            <v>ER ANALITICA</v>
          </cell>
          <cell r="H225">
            <v>44469</v>
          </cell>
          <cell r="I225">
            <v>9</v>
          </cell>
        </row>
        <row r="226">
          <cell r="D226" t="str">
            <v>M609346</v>
          </cell>
          <cell r="E226">
            <v>13879</v>
          </cell>
          <cell r="F226" t="str">
            <v>ER ANALITICA</v>
          </cell>
          <cell r="H226">
            <v>44469</v>
          </cell>
          <cell r="I226">
            <v>9</v>
          </cell>
        </row>
        <row r="227">
          <cell r="D227" t="str">
            <v>1531607</v>
          </cell>
          <cell r="E227">
            <v>14282</v>
          </cell>
          <cell r="F227" t="str">
            <v>ER ANALITICA</v>
          </cell>
          <cell r="G227" t="str">
            <v>Necessário a substituição do filtro BG370/B39 na próxima manutenção, devido oxidações presentes  nas bordas do filtro óptico.</v>
          </cell>
          <cell r="H227">
            <v>44498</v>
          </cell>
          <cell r="I227">
            <v>10</v>
          </cell>
        </row>
        <row r="228">
          <cell r="D228" t="str">
            <v xml:space="preserve"> 2017006235</v>
          </cell>
          <cell r="E228">
            <v>14168</v>
          </cell>
          <cell r="F228" t="str">
            <v>ER ANALITICA</v>
          </cell>
          <cell r="H228">
            <v>44497</v>
          </cell>
          <cell r="I228">
            <v>10</v>
          </cell>
        </row>
        <row r="229">
          <cell r="D229" t="str">
            <v>0083</v>
          </cell>
          <cell r="E229">
            <v>14169</v>
          </cell>
          <cell r="F229" t="str">
            <v>ER ANALITICA</v>
          </cell>
          <cell r="H229">
            <v>44497</v>
          </cell>
          <cell r="I229">
            <v>10</v>
          </cell>
        </row>
        <row r="230">
          <cell r="D230" t="str">
            <v>13090C028101</v>
          </cell>
          <cell r="E230">
            <v>14171</v>
          </cell>
          <cell r="F230" t="str">
            <v>ER ANALITICA</v>
          </cell>
          <cell r="H230">
            <v>44497</v>
          </cell>
          <cell r="I230">
            <v>10</v>
          </cell>
        </row>
        <row r="231">
          <cell r="D231" t="str">
            <v xml:space="preserve"> 2017108474</v>
          </cell>
          <cell r="E231">
            <v>13971</v>
          </cell>
          <cell r="F231" t="str">
            <v>ER ANALITICA</v>
          </cell>
          <cell r="H231">
            <v>44497</v>
          </cell>
          <cell r="I231">
            <v>10</v>
          </cell>
        </row>
        <row r="232">
          <cell r="D232" t="str">
            <v>15030C039256</v>
          </cell>
          <cell r="E232">
            <v>14291</v>
          </cell>
          <cell r="F232" t="str">
            <v>ER ANALITICA</v>
          </cell>
          <cell r="H232">
            <v>44523</v>
          </cell>
          <cell r="I232">
            <v>11</v>
          </cell>
        </row>
        <row r="233">
          <cell r="D233" t="str">
            <v>150700001005</v>
          </cell>
          <cell r="E233">
            <v>14288</v>
          </cell>
          <cell r="F233" t="str">
            <v>ER ANALITICA</v>
          </cell>
          <cell r="H233">
            <v>44523</v>
          </cell>
          <cell r="I233">
            <v>11</v>
          </cell>
        </row>
        <row r="234">
          <cell r="D234" t="str">
            <v>3008531</v>
          </cell>
          <cell r="E234">
            <v>14626</v>
          </cell>
          <cell r="F234" t="str">
            <v>ER ANALITICA</v>
          </cell>
          <cell r="H234">
            <v>44523</v>
          </cell>
          <cell r="I234">
            <v>11</v>
          </cell>
        </row>
        <row r="235">
          <cell r="D235" t="str">
            <v>1563933</v>
          </cell>
          <cell r="E235">
            <v>14620</v>
          </cell>
          <cell r="F235" t="str">
            <v>ER ANALITICA</v>
          </cell>
          <cell r="G235" t="str">
            <v>Liberado com restrição, eletrodo de pH em final da vida útil (lentidão).</v>
          </cell>
          <cell r="H235">
            <v>44523</v>
          </cell>
          <cell r="I235">
            <v>11</v>
          </cell>
        </row>
        <row r="236">
          <cell r="D236" t="str">
            <v>6252724</v>
          </cell>
          <cell r="E236">
            <v>14624</v>
          </cell>
          <cell r="F236" t="str">
            <v>ER ANALITICA</v>
          </cell>
          <cell r="G236" t="str">
            <v>Liberado com restrição, eletrodo de pH em final da vida útil (lentidão).</v>
          </cell>
          <cell r="H236">
            <v>44523</v>
          </cell>
          <cell r="I236">
            <v>11</v>
          </cell>
        </row>
        <row r="237">
          <cell r="D237" t="str">
            <v>6247093</v>
          </cell>
          <cell r="E237">
            <v>14625</v>
          </cell>
          <cell r="F237" t="str">
            <v>ER ANALITICA</v>
          </cell>
          <cell r="H237">
            <v>44523</v>
          </cell>
          <cell r="I237">
            <v>11</v>
          </cell>
        </row>
        <row r="238">
          <cell r="D238" t="str">
            <v>6265833</v>
          </cell>
          <cell r="E238">
            <v>14286</v>
          </cell>
          <cell r="F238" t="str">
            <v>ER ANALITICA</v>
          </cell>
          <cell r="H238">
            <v>44523</v>
          </cell>
          <cell r="I238">
            <v>11</v>
          </cell>
        </row>
        <row r="239">
          <cell r="D239" t="str">
            <v>6263667</v>
          </cell>
          <cell r="E239">
            <v>14621</v>
          </cell>
          <cell r="F239" t="str">
            <v>ER ANALITICA</v>
          </cell>
          <cell r="G239" t="str">
            <v>Liberado com restrição, eletrodo de pH em final da vida útil (lentidão).</v>
          </cell>
          <cell r="H239">
            <v>44523</v>
          </cell>
          <cell r="I239">
            <v>11</v>
          </cell>
        </row>
        <row r="240">
          <cell r="D240" t="str">
            <v>4220749</v>
          </cell>
          <cell r="E240">
            <v>14292</v>
          </cell>
          <cell r="F240" t="str">
            <v>ER ANALITICA</v>
          </cell>
          <cell r="H240">
            <v>44523</v>
          </cell>
          <cell r="I240">
            <v>11</v>
          </cell>
        </row>
        <row r="241">
          <cell r="D241" t="str">
            <v>1483375</v>
          </cell>
          <cell r="E241">
            <v>13237</v>
          </cell>
          <cell r="F241" t="str">
            <v>ER ANALITICA</v>
          </cell>
          <cell r="H241">
            <v>44523</v>
          </cell>
          <cell r="I241">
            <v>11</v>
          </cell>
        </row>
        <row r="242">
          <cell r="D242" t="str">
            <v>150750001006</v>
          </cell>
          <cell r="E242">
            <v>13932</v>
          </cell>
          <cell r="F242" t="str">
            <v>ER ANALITICA</v>
          </cell>
          <cell r="G242" t="str">
            <v>MODULO DE ALIMENTAÇÃOCOM AVARIAS,E NCAMINHADO PARA NOSSA AT</v>
          </cell>
          <cell r="H242">
            <v>44523</v>
          </cell>
          <cell r="I242">
            <v>11</v>
          </cell>
        </row>
        <row r="243">
          <cell r="D243" t="str">
            <v>10079C21465</v>
          </cell>
          <cell r="E243">
            <v>14863</v>
          </cell>
          <cell r="F243" t="str">
            <v>ER ANALITICA</v>
          </cell>
          <cell r="H243">
            <v>44531</v>
          </cell>
          <cell r="I243">
            <v>12</v>
          </cell>
        </row>
        <row r="244">
          <cell r="D244" t="str">
            <v>182180001049</v>
          </cell>
          <cell r="E244">
            <v>15235</v>
          </cell>
          <cell r="F244" t="str">
            <v>ER ANALITICA</v>
          </cell>
          <cell r="H244">
            <v>44578</v>
          </cell>
          <cell r="I244">
            <v>1</v>
          </cell>
        </row>
        <row r="245">
          <cell r="D245" t="str">
            <v>060390C58361</v>
          </cell>
          <cell r="E245">
            <v>15644</v>
          </cell>
          <cell r="F245" t="str">
            <v>ER ANALITICA</v>
          </cell>
          <cell r="G245" t="str">
            <v>Filtro de 560nm manchado.</v>
          </cell>
          <cell r="H245">
            <v>44623</v>
          </cell>
          <cell r="I245">
            <v>3</v>
          </cell>
        </row>
        <row r="246">
          <cell r="D246" t="str">
            <v>6273835</v>
          </cell>
          <cell r="E246">
            <v>15642</v>
          </cell>
          <cell r="F246" t="str">
            <v>ER ANALITICA</v>
          </cell>
          <cell r="H246">
            <v>44623</v>
          </cell>
          <cell r="I246">
            <v>3</v>
          </cell>
        </row>
        <row r="247">
          <cell r="D247" t="str">
            <v>2102266601021</v>
          </cell>
          <cell r="E247">
            <v>15645</v>
          </cell>
          <cell r="F247" t="str">
            <v>ER ANALITICA</v>
          </cell>
          <cell r="H247">
            <v>44623</v>
          </cell>
          <cell r="I247">
            <v>3</v>
          </cell>
        </row>
        <row r="248">
          <cell r="D248" t="str">
            <v>17121575001003</v>
          </cell>
          <cell r="E248">
            <v>15641</v>
          </cell>
          <cell r="F248" t="str">
            <v>ER ANALITICA</v>
          </cell>
          <cell r="H248">
            <v>44623</v>
          </cell>
          <cell r="I248">
            <v>3</v>
          </cell>
        </row>
        <row r="249">
          <cell r="D249" t="str">
            <v>9216/19</v>
          </cell>
          <cell r="E249">
            <v>15643</v>
          </cell>
          <cell r="F249" t="str">
            <v>ER ANALITICA</v>
          </cell>
          <cell r="G249" t="str">
            <v>Eletrodo apresenta vida útil avançada.</v>
          </cell>
          <cell r="H249">
            <v>44623</v>
          </cell>
          <cell r="I249">
            <v>3</v>
          </cell>
        </row>
        <row r="250">
          <cell r="D250">
            <v>142870001022</v>
          </cell>
          <cell r="E250">
            <v>15646</v>
          </cell>
          <cell r="F250" t="str">
            <v>ER ANALITICA</v>
          </cell>
          <cell r="H250">
            <v>44623</v>
          </cell>
          <cell r="I250">
            <v>3</v>
          </cell>
        </row>
        <row r="251">
          <cell r="D251" t="str">
            <v>VED1404020</v>
          </cell>
          <cell r="E251">
            <v>15707</v>
          </cell>
          <cell r="F251" t="str">
            <v>ER ANALITICA</v>
          </cell>
          <cell r="H251">
            <v>44629</v>
          </cell>
          <cell r="I251">
            <v>3</v>
          </cell>
        </row>
        <row r="252">
          <cell r="D252" t="str">
            <v>472748</v>
          </cell>
          <cell r="E252">
            <v>15718</v>
          </cell>
          <cell r="F252" t="str">
            <v>ER ANALITICA</v>
          </cell>
          <cell r="H252">
            <v>44629</v>
          </cell>
          <cell r="I252">
            <v>3</v>
          </cell>
        </row>
        <row r="253">
          <cell r="D253" t="str">
            <v>1394478</v>
          </cell>
          <cell r="E253">
            <v>15722</v>
          </cell>
          <cell r="F253" t="str">
            <v>ER ANALITICA</v>
          </cell>
          <cell r="H253">
            <v>44628</v>
          </cell>
          <cell r="I253">
            <v>3</v>
          </cell>
        </row>
        <row r="254">
          <cell r="D254" t="str">
            <v>120890C91018</v>
          </cell>
          <cell r="E254">
            <v>15723</v>
          </cell>
          <cell r="F254" t="str">
            <v>ER ANALITICA</v>
          </cell>
          <cell r="G254" t="str">
            <v>Substituido o compartimento de pilhas</v>
          </cell>
          <cell r="H254">
            <v>44628</v>
          </cell>
          <cell r="I254">
            <v>3</v>
          </cell>
        </row>
        <row r="255">
          <cell r="D255" t="str">
            <v>4396</v>
          </cell>
          <cell r="E255">
            <v>15724</v>
          </cell>
          <cell r="F255" t="str">
            <v>ER ANALITICA</v>
          </cell>
          <cell r="H255">
            <v>44628</v>
          </cell>
          <cell r="I255">
            <v>3</v>
          </cell>
        </row>
        <row r="256">
          <cell r="D256" t="str">
            <v>56698</v>
          </cell>
          <cell r="E256">
            <v>15725</v>
          </cell>
          <cell r="F256" t="str">
            <v>ER ANALITICA</v>
          </cell>
          <cell r="H256">
            <v>44628</v>
          </cell>
          <cell r="I256">
            <v>3</v>
          </cell>
        </row>
        <row r="257">
          <cell r="D257" t="str">
            <v>56618 (ou 52218)</v>
          </cell>
          <cell r="E257">
            <v>15726</v>
          </cell>
          <cell r="F257" t="str">
            <v>ER ANALITICA</v>
          </cell>
          <cell r="H257">
            <v>44628</v>
          </cell>
          <cell r="I257">
            <v>3</v>
          </cell>
        </row>
        <row r="258">
          <cell r="D258">
            <v>182180001014</v>
          </cell>
          <cell r="E258">
            <v>15854</v>
          </cell>
          <cell r="F258" t="str">
            <v>ER ANALITICA</v>
          </cell>
          <cell r="H258">
            <v>44644</v>
          </cell>
          <cell r="I258">
            <v>3</v>
          </cell>
        </row>
        <row r="259">
          <cell r="D259" t="str">
            <v>4226194</v>
          </cell>
          <cell r="E259">
            <v>15871</v>
          </cell>
          <cell r="F259" t="str">
            <v>ER ANALITICA</v>
          </cell>
          <cell r="H259">
            <v>44643</v>
          </cell>
          <cell r="I259">
            <v>3</v>
          </cell>
        </row>
        <row r="260">
          <cell r="D260">
            <v>200710001495</v>
          </cell>
          <cell r="E260">
            <v>15872</v>
          </cell>
          <cell r="F260" t="str">
            <v>ER ANALITICA</v>
          </cell>
          <cell r="G260" t="str">
            <v xml:space="preserve"> Equipamento apresenta demasiada lentidão, indicando fim de vida útil.</v>
          </cell>
          <cell r="H260">
            <v>44643</v>
          </cell>
          <cell r="I260">
            <v>3</v>
          </cell>
        </row>
        <row r="261">
          <cell r="D261" t="str">
            <v>1518973</v>
          </cell>
          <cell r="E261">
            <v>15873</v>
          </cell>
          <cell r="F261" t="str">
            <v>ER ANALITICA</v>
          </cell>
          <cell r="H261">
            <v>44643</v>
          </cell>
          <cell r="I261">
            <v>3</v>
          </cell>
        </row>
        <row r="262">
          <cell r="D262" t="str">
            <v>132850002046</v>
          </cell>
          <cell r="E262">
            <v>15874</v>
          </cell>
          <cell r="F262" t="str">
            <v>ER ANALITICA</v>
          </cell>
          <cell r="H262">
            <v>44643</v>
          </cell>
          <cell r="I262">
            <v>3</v>
          </cell>
        </row>
        <row r="263">
          <cell r="D263" t="str">
            <v>133510002007</v>
          </cell>
          <cell r="E263">
            <v>15875</v>
          </cell>
          <cell r="F263" t="str">
            <v>ER ANALITICA</v>
          </cell>
          <cell r="H263">
            <v>44643</v>
          </cell>
          <cell r="I263">
            <v>3</v>
          </cell>
        </row>
        <row r="264">
          <cell r="D264" t="str">
            <v>4224380</v>
          </cell>
          <cell r="E264">
            <v>15876</v>
          </cell>
          <cell r="F264" t="str">
            <v>ER ANALITICA</v>
          </cell>
          <cell r="H264">
            <v>44643</v>
          </cell>
          <cell r="I264">
            <v>3</v>
          </cell>
        </row>
        <row r="265">
          <cell r="D265" t="str">
            <v>B21649</v>
          </cell>
          <cell r="E265">
            <v>15856</v>
          </cell>
          <cell r="F265" t="str">
            <v>ER ANALITICA</v>
          </cell>
          <cell r="H265">
            <v>44642</v>
          </cell>
          <cell r="I265">
            <v>3</v>
          </cell>
        </row>
        <row r="266">
          <cell r="D266" t="str">
            <v>4211933</v>
          </cell>
          <cell r="E266">
            <v>15857</v>
          </cell>
          <cell r="F266" t="str">
            <v>ER ANALITICA</v>
          </cell>
          <cell r="H266">
            <v>44642</v>
          </cell>
          <cell r="I266">
            <v>3</v>
          </cell>
        </row>
        <row r="267">
          <cell r="D267" t="str">
            <v>6244344</v>
          </cell>
          <cell r="E267">
            <v>15858</v>
          </cell>
          <cell r="F267" t="str">
            <v>ER ANALITICA</v>
          </cell>
          <cell r="G267" t="str">
            <v xml:space="preserve"> Eletrodo de pH encontra-se inoperante.</v>
          </cell>
          <cell r="H267">
            <v>44642</v>
          </cell>
          <cell r="I267">
            <v>3</v>
          </cell>
        </row>
        <row r="268">
          <cell r="D268" t="str">
            <v>6273837</v>
          </cell>
          <cell r="E268">
            <v>15859</v>
          </cell>
          <cell r="F268" t="str">
            <v>ER ANALITICA</v>
          </cell>
          <cell r="G268" t="str">
            <v xml:space="preserve"> Eletrodo apresenta lentidão para realizar as leituras.</v>
          </cell>
          <cell r="H268">
            <v>44642</v>
          </cell>
          <cell r="I268">
            <v>3</v>
          </cell>
        </row>
        <row r="269">
          <cell r="D269" t="str">
            <v>11060C009644</v>
          </cell>
          <cell r="E269">
            <v>15860</v>
          </cell>
          <cell r="F269" t="str">
            <v>ER ANALITICA</v>
          </cell>
          <cell r="G269" t="str">
            <v>Contatos de pilhas oxidados e carcaça superior com vida útil avançada</v>
          </cell>
          <cell r="H269">
            <v>44642</v>
          </cell>
          <cell r="I269">
            <v>3</v>
          </cell>
        </row>
        <row r="270">
          <cell r="D270" t="str">
            <v>21070D000217</v>
          </cell>
          <cell r="E270">
            <v>15861</v>
          </cell>
          <cell r="F270" t="str">
            <v>ER ANALITICA</v>
          </cell>
          <cell r="H270">
            <v>44642</v>
          </cell>
          <cell r="I270">
            <v>3</v>
          </cell>
        </row>
        <row r="271">
          <cell r="D271" t="str">
            <v>1512638</v>
          </cell>
          <cell r="E271">
            <v>15862</v>
          </cell>
          <cell r="F271" t="str">
            <v>ER ANALITICA</v>
          </cell>
          <cell r="G271" t="str">
            <v>Filtro óptico azul manchado.</v>
          </cell>
          <cell r="H271">
            <v>44642</v>
          </cell>
          <cell r="I271">
            <v>3</v>
          </cell>
        </row>
        <row r="272">
          <cell r="D272" t="str">
            <v>143160001033</v>
          </cell>
          <cell r="E272">
            <v>15863</v>
          </cell>
          <cell r="F272" t="str">
            <v>ER ANALITICA</v>
          </cell>
          <cell r="H272">
            <v>44642</v>
          </cell>
          <cell r="I272">
            <v>3</v>
          </cell>
        </row>
        <row r="273">
          <cell r="D273" t="str">
            <v>1518977</v>
          </cell>
          <cell r="E273">
            <v>15864</v>
          </cell>
          <cell r="F273" t="str">
            <v>ER ANALITICA</v>
          </cell>
          <cell r="H273">
            <v>44642</v>
          </cell>
          <cell r="I273">
            <v>3</v>
          </cell>
        </row>
        <row r="274">
          <cell r="D274" t="str">
            <v>782590</v>
          </cell>
          <cell r="E274">
            <v>15865</v>
          </cell>
          <cell r="F274" t="str">
            <v>ER ANALITICA</v>
          </cell>
          <cell r="G274" t="str">
            <v>Eletrodo apresenta lentidão e vida útil avançada</v>
          </cell>
          <cell r="H274">
            <v>44642</v>
          </cell>
          <cell r="I274">
            <v>3</v>
          </cell>
        </row>
        <row r="275">
          <cell r="D275" t="str">
            <v>B347032029</v>
          </cell>
          <cell r="E275">
            <v>15866</v>
          </cell>
          <cell r="F275" t="str">
            <v>ER ANALITICA</v>
          </cell>
          <cell r="H275">
            <v>44642</v>
          </cell>
          <cell r="I275">
            <v>3</v>
          </cell>
        </row>
        <row r="276">
          <cell r="D276" t="str">
            <v>140070001031</v>
          </cell>
          <cell r="E276">
            <v>15948</v>
          </cell>
          <cell r="F276" t="str">
            <v>ER ANALITICA</v>
          </cell>
          <cell r="H276">
            <v>44645</v>
          </cell>
          <cell r="I276">
            <v>3</v>
          </cell>
        </row>
        <row r="277">
          <cell r="D277" t="str">
            <v>203166601039</v>
          </cell>
          <cell r="E277">
            <v>16104</v>
          </cell>
          <cell r="F277" t="str">
            <v>ER ANALITICA</v>
          </cell>
          <cell r="H277">
            <v>44657</v>
          </cell>
          <cell r="I277">
            <v>4</v>
          </cell>
        </row>
        <row r="278">
          <cell r="D278" t="str">
            <v>6213434</v>
          </cell>
          <cell r="E278">
            <v>16225</v>
          </cell>
          <cell r="F278" t="str">
            <v>ER ANALITICA</v>
          </cell>
          <cell r="H278">
            <v>44678</v>
          </cell>
          <cell r="I278">
            <v>4</v>
          </cell>
        </row>
        <row r="279">
          <cell r="D279" t="str">
            <v>142380001005</v>
          </cell>
          <cell r="E279">
            <v>16226</v>
          </cell>
          <cell r="F279" t="str">
            <v>ER ANALITICA</v>
          </cell>
          <cell r="G279" t="str">
            <v>Carcaça superior danificada, necessário troca na próxima manutenção.</v>
          </cell>
          <cell r="H279">
            <v>44678</v>
          </cell>
          <cell r="I279">
            <v>4</v>
          </cell>
        </row>
        <row r="280">
          <cell r="D280" t="str">
            <v>538624</v>
          </cell>
          <cell r="E280">
            <v>16227</v>
          </cell>
          <cell r="F280" t="str">
            <v>ER ANALITICA</v>
          </cell>
          <cell r="G280" t="str">
            <v>Eletrodo com vida útil avançada, sendo necessário sua troca.</v>
          </cell>
          <cell r="H280">
            <v>44678</v>
          </cell>
          <cell r="I280">
            <v>4</v>
          </cell>
        </row>
        <row r="281">
          <cell r="D281" t="str">
            <v>D452202153</v>
          </cell>
          <cell r="E281">
            <v>16228</v>
          </cell>
          <cell r="F281" t="str">
            <v>ER ANALITICA</v>
          </cell>
          <cell r="H281">
            <v>44678</v>
          </cell>
          <cell r="I281">
            <v>4</v>
          </cell>
        </row>
        <row r="282">
          <cell r="D282" t="str">
            <v>53253</v>
          </cell>
          <cell r="E282">
            <v>16229</v>
          </cell>
          <cell r="F282" t="str">
            <v>ER ANALITICA</v>
          </cell>
          <cell r="H282">
            <v>44678</v>
          </cell>
          <cell r="I282">
            <v>4</v>
          </cell>
        </row>
        <row r="283">
          <cell r="D283" t="str">
            <v>4220742</v>
          </cell>
          <cell r="E283">
            <v>16230</v>
          </cell>
          <cell r="F283" t="str">
            <v>ER ANALITICA</v>
          </cell>
          <cell r="H283">
            <v>44678</v>
          </cell>
          <cell r="I283">
            <v>4</v>
          </cell>
        </row>
        <row r="284">
          <cell r="D284">
            <v>142380001014</v>
          </cell>
          <cell r="E284">
            <v>16231</v>
          </cell>
          <cell r="F284" t="str">
            <v>ER ANALITICA</v>
          </cell>
          <cell r="H284">
            <v>44678</v>
          </cell>
          <cell r="I284">
            <v>4</v>
          </cell>
        </row>
        <row r="285">
          <cell r="D285" t="str">
            <v>53320</v>
          </cell>
          <cell r="E285">
            <v>16232</v>
          </cell>
          <cell r="F285" t="str">
            <v>ER ANALITICA</v>
          </cell>
          <cell r="H285">
            <v>44678</v>
          </cell>
          <cell r="I285">
            <v>4</v>
          </cell>
        </row>
        <row r="286">
          <cell r="D286" t="str">
            <v>2905640</v>
          </cell>
          <cell r="E286">
            <v>16233</v>
          </cell>
          <cell r="F286" t="str">
            <v>ER ANALITICA</v>
          </cell>
          <cell r="H286">
            <v>44678</v>
          </cell>
          <cell r="I286">
            <v>4</v>
          </cell>
        </row>
        <row r="287">
          <cell r="D287" t="str">
            <v>4236903</v>
          </cell>
          <cell r="E287">
            <v>16235</v>
          </cell>
          <cell r="F287" t="str">
            <v>ER ANALITICA</v>
          </cell>
          <cell r="H287">
            <v>44678</v>
          </cell>
          <cell r="I287">
            <v>4</v>
          </cell>
        </row>
        <row r="288">
          <cell r="D288" t="str">
            <v>2848909</v>
          </cell>
          <cell r="E288">
            <v>16236</v>
          </cell>
          <cell r="F288" t="str">
            <v>ER ANALITICA</v>
          </cell>
          <cell r="H288">
            <v>44678</v>
          </cell>
          <cell r="I288">
            <v>4</v>
          </cell>
        </row>
        <row r="289">
          <cell r="D289" t="str">
            <v>1562954</v>
          </cell>
          <cell r="E289">
            <v>16237</v>
          </cell>
          <cell r="F289" t="str">
            <v>ER ANALITICA</v>
          </cell>
          <cell r="G289" t="str">
            <v xml:space="preserve"> Filtro óptico azul manchado e lâmpada de tungstênio com vida útil avançada.</v>
          </cell>
          <cell r="H289">
            <v>44678</v>
          </cell>
          <cell r="I289">
            <v>4</v>
          </cell>
        </row>
        <row r="290">
          <cell r="D290" t="str">
            <v>16100C053269</v>
          </cell>
          <cell r="E290">
            <v>16234</v>
          </cell>
          <cell r="F290" t="str">
            <v>ER ANALITICA</v>
          </cell>
          <cell r="H290">
            <v>44678</v>
          </cell>
          <cell r="I290">
            <v>4</v>
          </cell>
        </row>
        <row r="291">
          <cell r="D291" t="str">
            <v>H59327</v>
          </cell>
          <cell r="E291">
            <v>16221</v>
          </cell>
          <cell r="F291" t="str">
            <v>ER ANALITICA</v>
          </cell>
          <cell r="G291" t="str">
            <v>Equipamento não aceita ajuste na sua curva de calibração</v>
          </cell>
          <cell r="H291">
            <v>44678</v>
          </cell>
          <cell r="I291">
            <v>4</v>
          </cell>
        </row>
        <row r="292">
          <cell r="D292" t="str">
            <v>2902426</v>
          </cell>
          <cell r="E292">
            <v>16222</v>
          </cell>
          <cell r="F292" t="str">
            <v>ER ANALITICA</v>
          </cell>
          <cell r="H292">
            <v>44678</v>
          </cell>
          <cell r="I292">
            <v>4</v>
          </cell>
        </row>
        <row r="293">
          <cell r="D293" t="str">
            <v>1373274</v>
          </cell>
          <cell r="E293">
            <v>16223</v>
          </cell>
          <cell r="F293" t="str">
            <v>ER ANALITICA</v>
          </cell>
          <cell r="H293">
            <v>44678</v>
          </cell>
          <cell r="I293">
            <v>4</v>
          </cell>
        </row>
        <row r="294">
          <cell r="D294" t="str">
            <v>5370058101</v>
          </cell>
          <cell r="E294">
            <v>16224</v>
          </cell>
          <cell r="F294" t="str">
            <v>ER ANALITICA</v>
          </cell>
          <cell r="H294">
            <v>44678</v>
          </cell>
          <cell r="I294">
            <v>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oseane.macena@suez.com" TargetMode="External"/><Relationship Id="rId13" Type="http://schemas.openxmlformats.org/officeDocument/2006/relationships/hyperlink" Target="mailto:bianca.santos@suez.com" TargetMode="External"/><Relationship Id="rId18" Type="http://schemas.openxmlformats.org/officeDocument/2006/relationships/hyperlink" Target="mailto:rosangela.soares@suez.com" TargetMode="External"/><Relationship Id="rId3" Type="http://schemas.openxmlformats.org/officeDocument/2006/relationships/hyperlink" Target="mailto:rafaela.gomes@suez.com" TargetMode="External"/><Relationship Id="rId7" Type="http://schemas.openxmlformats.org/officeDocument/2006/relationships/hyperlink" Target="mailto:gabriel.lourenco@suez.com" TargetMode="External"/><Relationship Id="rId12" Type="http://schemas.openxmlformats.org/officeDocument/2006/relationships/hyperlink" Target="mailto:marcelo.soto@suez.com" TargetMode="External"/><Relationship Id="rId17" Type="http://schemas.openxmlformats.org/officeDocument/2006/relationships/hyperlink" Target="mailto:tatiana.almeida@suez.com" TargetMode="External"/><Relationship Id="rId2" Type="http://schemas.openxmlformats.org/officeDocument/2006/relationships/hyperlink" Target="mailto:gabriel.lourenco@suez.com" TargetMode="External"/><Relationship Id="rId16" Type="http://schemas.openxmlformats.org/officeDocument/2006/relationships/hyperlink" Target="mailto:tatiana.almeida@suez.com" TargetMode="External"/><Relationship Id="rId1" Type="http://schemas.openxmlformats.org/officeDocument/2006/relationships/hyperlink" Target="mailto:gabriel.lourenco@suez.com" TargetMode="External"/><Relationship Id="rId6" Type="http://schemas.openxmlformats.org/officeDocument/2006/relationships/hyperlink" Target="mailto:gabriel.lourenco@suez.com" TargetMode="External"/><Relationship Id="rId11" Type="http://schemas.openxmlformats.org/officeDocument/2006/relationships/hyperlink" Target="mailto:roberto.nascimento@suez.com" TargetMode="External"/><Relationship Id="rId5" Type="http://schemas.openxmlformats.org/officeDocument/2006/relationships/hyperlink" Target="mailto:carlane.lira@suez.com" TargetMode="External"/><Relationship Id="rId15" Type="http://schemas.openxmlformats.org/officeDocument/2006/relationships/hyperlink" Target="mailto:tatiana.almeida@suez.com" TargetMode="External"/><Relationship Id="rId10" Type="http://schemas.openxmlformats.org/officeDocument/2006/relationships/hyperlink" Target="mailto:roberto.nascimento@suez.com" TargetMode="External"/><Relationship Id="rId19" Type="http://schemas.openxmlformats.org/officeDocument/2006/relationships/hyperlink" Target="mailto:an.santos@suez.com" TargetMode="External"/><Relationship Id="rId4" Type="http://schemas.openxmlformats.org/officeDocument/2006/relationships/hyperlink" Target="mailto:malila.nascimento@suez.com" TargetMode="External"/><Relationship Id="rId9" Type="http://schemas.openxmlformats.org/officeDocument/2006/relationships/hyperlink" Target="mailto:jamesson.amarodasilva@suez.com" TargetMode="External"/><Relationship Id="rId14" Type="http://schemas.openxmlformats.org/officeDocument/2006/relationships/hyperlink" Target="mailto:roberto.nascimento@su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mailto:rodrigo.silva@suez.com" TargetMode="External"/><Relationship Id="rId299" Type="http://schemas.openxmlformats.org/officeDocument/2006/relationships/hyperlink" Target="mailto:marcelo.soto@suez.com" TargetMode="External"/><Relationship Id="rId21" Type="http://schemas.openxmlformats.org/officeDocument/2006/relationships/hyperlink" Target="mailto:everton.delturqui@suez.com" TargetMode="External"/><Relationship Id="rId63" Type="http://schemas.openxmlformats.org/officeDocument/2006/relationships/hyperlink" Target="mailto:tatiana.almeida@suez.com" TargetMode="External"/><Relationship Id="rId159" Type="http://schemas.openxmlformats.org/officeDocument/2006/relationships/hyperlink" Target="mailto:adalberto.diniz@suez.com" TargetMode="External"/><Relationship Id="rId324" Type="http://schemas.openxmlformats.org/officeDocument/2006/relationships/hyperlink" Target="mailto:marcelo.soto@suez.com" TargetMode="External"/><Relationship Id="rId366" Type="http://schemas.openxmlformats.org/officeDocument/2006/relationships/hyperlink" Target="mailto:fabio.morais@suez.com" TargetMode="External"/><Relationship Id="rId170" Type="http://schemas.openxmlformats.org/officeDocument/2006/relationships/hyperlink" Target="mailto:ana.oliveira@suez.com" TargetMode="External"/><Relationship Id="rId226" Type="http://schemas.openxmlformats.org/officeDocument/2006/relationships/hyperlink" Target="mailto:karla.perin@suez.com" TargetMode="External"/><Relationship Id="rId268" Type="http://schemas.openxmlformats.org/officeDocument/2006/relationships/hyperlink" Target="mailto:fernanda.kaiser@suez.com" TargetMode="External"/><Relationship Id="rId32" Type="http://schemas.openxmlformats.org/officeDocument/2006/relationships/hyperlink" Target="mailto:jobson-rodrigo.silva@suez.com" TargetMode="External"/><Relationship Id="rId74" Type="http://schemas.openxmlformats.org/officeDocument/2006/relationships/hyperlink" Target="mailto:davi.santos@suez.com" TargetMode="External"/><Relationship Id="rId128" Type="http://schemas.openxmlformats.org/officeDocument/2006/relationships/hyperlink" Target="mailto:rodrigo.silva@suez.com" TargetMode="External"/><Relationship Id="rId335" Type="http://schemas.openxmlformats.org/officeDocument/2006/relationships/hyperlink" Target="mailto:leonardo.goncalves@suez.com" TargetMode="External"/><Relationship Id="rId377" Type="http://schemas.openxmlformats.org/officeDocument/2006/relationships/hyperlink" Target="mailto:renato.chialastri@suez.com" TargetMode="External"/><Relationship Id="rId5" Type="http://schemas.openxmlformats.org/officeDocument/2006/relationships/hyperlink" Target="mailto:deivid.elias@suez.com" TargetMode="External"/><Relationship Id="rId181" Type="http://schemas.openxmlformats.org/officeDocument/2006/relationships/hyperlink" Target="mailto:an.santos@suez.com" TargetMode="External"/><Relationship Id="rId237" Type="http://schemas.openxmlformats.org/officeDocument/2006/relationships/hyperlink" Target="mailto:larissa.silva@suez.com" TargetMode="External"/><Relationship Id="rId402" Type="http://schemas.openxmlformats.org/officeDocument/2006/relationships/hyperlink" Target="mailto:adriano.ribeiro@suez.com" TargetMode="External"/><Relationship Id="rId279" Type="http://schemas.openxmlformats.org/officeDocument/2006/relationships/hyperlink" Target="mailto:thais.nunes@suez.com" TargetMode="External"/><Relationship Id="rId43" Type="http://schemas.openxmlformats.org/officeDocument/2006/relationships/hyperlink" Target="mailto:rafael.nascimento@suez.com" TargetMode="External"/><Relationship Id="rId139" Type="http://schemas.openxmlformats.org/officeDocument/2006/relationships/hyperlink" Target="mailto:edmilson.santos@suez.com" TargetMode="External"/><Relationship Id="rId290" Type="http://schemas.openxmlformats.org/officeDocument/2006/relationships/hyperlink" Target="mailto:adalberto.diniz@suez.com" TargetMode="External"/><Relationship Id="rId304" Type="http://schemas.openxmlformats.org/officeDocument/2006/relationships/hyperlink" Target="mailto:marcelo.soto@suez.com" TargetMode="External"/><Relationship Id="rId346" Type="http://schemas.openxmlformats.org/officeDocument/2006/relationships/hyperlink" Target="mailto:fabio.morais@suez.com" TargetMode="External"/><Relationship Id="rId388" Type="http://schemas.openxmlformats.org/officeDocument/2006/relationships/hyperlink" Target="mailto:eduardo.mello@suez.com" TargetMode="External"/><Relationship Id="rId85" Type="http://schemas.openxmlformats.org/officeDocument/2006/relationships/hyperlink" Target="mailto:kleber.silva@suez.com" TargetMode="External"/><Relationship Id="rId150" Type="http://schemas.openxmlformats.org/officeDocument/2006/relationships/hyperlink" Target="mailto:paulo.corsete@suez.com" TargetMode="External"/><Relationship Id="rId192" Type="http://schemas.openxmlformats.org/officeDocument/2006/relationships/hyperlink" Target="mailto:eduardo.zotto@suez.com" TargetMode="External"/><Relationship Id="rId206" Type="http://schemas.openxmlformats.org/officeDocument/2006/relationships/hyperlink" Target="mailto:kleber.silva@suez.com" TargetMode="External"/><Relationship Id="rId248" Type="http://schemas.openxmlformats.org/officeDocument/2006/relationships/hyperlink" Target="mailto:rafael.campos@suez.com" TargetMode="External"/><Relationship Id="rId12" Type="http://schemas.openxmlformats.org/officeDocument/2006/relationships/hyperlink" Target="mailto:eduardo.mello@suez.com" TargetMode="External"/><Relationship Id="rId108" Type="http://schemas.openxmlformats.org/officeDocument/2006/relationships/hyperlink" Target="mailto:vinicius.paula@suez.com" TargetMode="External"/><Relationship Id="rId315" Type="http://schemas.openxmlformats.org/officeDocument/2006/relationships/hyperlink" Target="mailto:marcelo.soto@suez.com" TargetMode="External"/><Relationship Id="rId357" Type="http://schemas.openxmlformats.org/officeDocument/2006/relationships/hyperlink" Target="mailto:aliny.nunes@suez.com" TargetMode="External"/><Relationship Id="rId54" Type="http://schemas.openxmlformats.org/officeDocument/2006/relationships/hyperlink" Target="mailto:tatiana.almeida@suez.com" TargetMode="External"/><Relationship Id="rId96" Type="http://schemas.openxmlformats.org/officeDocument/2006/relationships/hyperlink" Target="mailto:marcelo.soto@suez.com" TargetMode="External"/><Relationship Id="rId161" Type="http://schemas.openxmlformats.org/officeDocument/2006/relationships/hyperlink" Target="mailto:carlos.santos@suez.com" TargetMode="External"/><Relationship Id="rId217" Type="http://schemas.openxmlformats.org/officeDocument/2006/relationships/hyperlink" Target="mailto:larissa.silva@suez.com" TargetMode="External"/><Relationship Id="rId399" Type="http://schemas.openxmlformats.org/officeDocument/2006/relationships/hyperlink" Target="mailto:anderson.oliveira@suez.com" TargetMode="External"/><Relationship Id="rId259" Type="http://schemas.openxmlformats.org/officeDocument/2006/relationships/hyperlink" Target="mailto:natalia.correa@suez.com" TargetMode="External"/><Relationship Id="rId23" Type="http://schemas.openxmlformats.org/officeDocument/2006/relationships/hyperlink" Target="mailto:everton.delturqui@suez.com" TargetMode="External"/><Relationship Id="rId119" Type="http://schemas.openxmlformats.org/officeDocument/2006/relationships/hyperlink" Target="mailto:rodrigo.silva@suez.com" TargetMode="External"/><Relationship Id="rId270" Type="http://schemas.openxmlformats.org/officeDocument/2006/relationships/hyperlink" Target="mailto:fernanda.kaiser@suez.com" TargetMode="External"/><Relationship Id="rId326" Type="http://schemas.openxmlformats.org/officeDocument/2006/relationships/hyperlink" Target="mailto:amadeu.peixoto@suez.com" TargetMode="External"/><Relationship Id="rId65" Type="http://schemas.openxmlformats.org/officeDocument/2006/relationships/hyperlink" Target="mailto:tatiana.almeida@suez.com" TargetMode="External"/><Relationship Id="rId130" Type="http://schemas.openxmlformats.org/officeDocument/2006/relationships/hyperlink" Target="mailto:rodrigo.silva@suez.com" TargetMode="External"/><Relationship Id="rId368" Type="http://schemas.openxmlformats.org/officeDocument/2006/relationships/hyperlink" Target="mailto:fabio.morais@suez.com" TargetMode="External"/><Relationship Id="rId172" Type="http://schemas.openxmlformats.org/officeDocument/2006/relationships/hyperlink" Target="mailto:edmilson.santos@suez.com" TargetMode="External"/><Relationship Id="rId228" Type="http://schemas.openxmlformats.org/officeDocument/2006/relationships/hyperlink" Target="mailto:glaydiane.melo@suez.com" TargetMode="External"/><Relationship Id="rId281" Type="http://schemas.openxmlformats.org/officeDocument/2006/relationships/hyperlink" Target="mailto:jose.nascimento@suez.com" TargetMode="External"/><Relationship Id="rId337" Type="http://schemas.openxmlformats.org/officeDocument/2006/relationships/hyperlink" Target="mailto:rodrigo.silva@suez.com" TargetMode="External"/><Relationship Id="rId34" Type="http://schemas.openxmlformats.org/officeDocument/2006/relationships/hyperlink" Target="mailto:jobson-rodrigo.silva@suez.com" TargetMode="External"/><Relationship Id="rId76" Type="http://schemas.openxmlformats.org/officeDocument/2006/relationships/hyperlink" Target="mailto:davi.santos@suez.com" TargetMode="External"/><Relationship Id="rId141" Type="http://schemas.openxmlformats.org/officeDocument/2006/relationships/hyperlink" Target="mailto:edmilson.santos@suez.com" TargetMode="External"/><Relationship Id="rId379" Type="http://schemas.openxmlformats.org/officeDocument/2006/relationships/hyperlink" Target="mailto:jobson-rodrigo.silva@suez.com" TargetMode="External"/><Relationship Id="rId7" Type="http://schemas.openxmlformats.org/officeDocument/2006/relationships/hyperlink" Target="mailto:eduardo.mello@suez.com" TargetMode="External"/><Relationship Id="rId183" Type="http://schemas.openxmlformats.org/officeDocument/2006/relationships/hyperlink" Target="mailto:an.santos@suez.com" TargetMode="External"/><Relationship Id="rId239" Type="http://schemas.openxmlformats.org/officeDocument/2006/relationships/hyperlink" Target="mailto:jackson.gomes@suez.com" TargetMode="External"/><Relationship Id="rId390" Type="http://schemas.openxmlformats.org/officeDocument/2006/relationships/hyperlink" Target="mailto:eduardo.mello@suez.com" TargetMode="External"/><Relationship Id="rId404" Type="http://schemas.openxmlformats.org/officeDocument/2006/relationships/hyperlink" Target="mailto:marcelo.bovolenta@suez.com" TargetMode="External"/><Relationship Id="rId250" Type="http://schemas.openxmlformats.org/officeDocument/2006/relationships/hyperlink" Target="mailto:fernanda.kaiser@suez.com" TargetMode="External"/><Relationship Id="rId292" Type="http://schemas.openxmlformats.org/officeDocument/2006/relationships/hyperlink" Target="mailto:braulio.herrera@suez.com" TargetMode="External"/><Relationship Id="rId306" Type="http://schemas.openxmlformats.org/officeDocument/2006/relationships/hyperlink" Target="mailto:marcelo.soto@suez.com" TargetMode="External"/><Relationship Id="rId45" Type="http://schemas.openxmlformats.org/officeDocument/2006/relationships/hyperlink" Target="mailto:rafael.nascimento@suez.com" TargetMode="External"/><Relationship Id="rId87" Type="http://schemas.openxmlformats.org/officeDocument/2006/relationships/hyperlink" Target="mailto:rodrigo.silva@suez.com" TargetMode="External"/><Relationship Id="rId110" Type="http://schemas.openxmlformats.org/officeDocument/2006/relationships/hyperlink" Target="mailto:rodrigo.silva@suez.com" TargetMode="External"/><Relationship Id="rId348" Type="http://schemas.openxmlformats.org/officeDocument/2006/relationships/hyperlink" Target="mailto:marcelo.soto@suez.com" TargetMode="External"/><Relationship Id="rId152" Type="http://schemas.openxmlformats.org/officeDocument/2006/relationships/hyperlink" Target="mailto:giovana.tardelli@suez.com" TargetMode="External"/><Relationship Id="rId194" Type="http://schemas.openxmlformats.org/officeDocument/2006/relationships/hyperlink" Target="mailto:ozeas.rufino@suez.com" TargetMode="External"/><Relationship Id="rId208" Type="http://schemas.openxmlformats.org/officeDocument/2006/relationships/hyperlink" Target="mailto:rafael.campos@suez.com" TargetMode="External"/><Relationship Id="rId261" Type="http://schemas.openxmlformats.org/officeDocument/2006/relationships/hyperlink" Target="mailto:fabio.morais@suez.com" TargetMode="External"/><Relationship Id="rId14" Type="http://schemas.openxmlformats.org/officeDocument/2006/relationships/hyperlink" Target="mailto:eduardo.mello@suez.com" TargetMode="External"/><Relationship Id="rId56" Type="http://schemas.openxmlformats.org/officeDocument/2006/relationships/hyperlink" Target="mailto:hugo.cavalcante@suez.com" TargetMode="External"/><Relationship Id="rId317" Type="http://schemas.openxmlformats.org/officeDocument/2006/relationships/hyperlink" Target="mailto:antonio.ferreira@suez.com" TargetMode="External"/><Relationship Id="rId359" Type="http://schemas.openxmlformats.org/officeDocument/2006/relationships/hyperlink" Target="mailto:glaydiane.melo@suez.com" TargetMode="External"/><Relationship Id="rId98" Type="http://schemas.openxmlformats.org/officeDocument/2006/relationships/hyperlink" Target="mailto:marcelo.soto@suez.com" TargetMode="External"/><Relationship Id="rId121" Type="http://schemas.openxmlformats.org/officeDocument/2006/relationships/hyperlink" Target="mailto:rodrigo.silva@suez.com" TargetMode="External"/><Relationship Id="rId163" Type="http://schemas.openxmlformats.org/officeDocument/2006/relationships/hyperlink" Target="mailto:carlos.santos@suez.com" TargetMode="External"/><Relationship Id="rId219" Type="http://schemas.openxmlformats.org/officeDocument/2006/relationships/hyperlink" Target="mailto:leandro.zunkowski@suez.com" TargetMode="External"/><Relationship Id="rId370" Type="http://schemas.openxmlformats.org/officeDocument/2006/relationships/hyperlink" Target="mailto:fabio.morais@suez.com" TargetMode="External"/><Relationship Id="rId230" Type="http://schemas.openxmlformats.org/officeDocument/2006/relationships/hyperlink" Target="mailto:thiago.tomazelli@suez.com" TargetMode="External"/><Relationship Id="rId25" Type="http://schemas.openxmlformats.org/officeDocument/2006/relationships/hyperlink" Target="mailto:flaminio.neto@suez.com" TargetMode="External"/><Relationship Id="rId67" Type="http://schemas.openxmlformats.org/officeDocument/2006/relationships/hyperlink" Target="mailto:thiago.morais@suez.com" TargetMode="External"/><Relationship Id="rId272" Type="http://schemas.openxmlformats.org/officeDocument/2006/relationships/hyperlink" Target="mailto:fernanda.kaiser@suez.com" TargetMode="External"/><Relationship Id="rId328" Type="http://schemas.openxmlformats.org/officeDocument/2006/relationships/hyperlink" Target="mailto:rodrigo.silva@suez.com" TargetMode="External"/><Relationship Id="rId132" Type="http://schemas.openxmlformats.org/officeDocument/2006/relationships/hyperlink" Target="mailto:william.leiteromano@suez.com" TargetMode="External"/><Relationship Id="rId174" Type="http://schemas.openxmlformats.org/officeDocument/2006/relationships/hyperlink" Target="mailto:an.santos@suez.com" TargetMode="External"/><Relationship Id="rId381" Type="http://schemas.openxmlformats.org/officeDocument/2006/relationships/hyperlink" Target="mailto:ronaldo.melo@suez.com" TargetMode="External"/><Relationship Id="rId241" Type="http://schemas.openxmlformats.org/officeDocument/2006/relationships/hyperlink" Target="mailto:gabriel.lourenco@suez.com" TargetMode="External"/><Relationship Id="rId36" Type="http://schemas.openxmlformats.org/officeDocument/2006/relationships/hyperlink" Target="mailto:matheus.ferreira@suez.com" TargetMode="External"/><Relationship Id="rId283" Type="http://schemas.openxmlformats.org/officeDocument/2006/relationships/hyperlink" Target="mailto:rodrigo.silva@suez.com" TargetMode="External"/><Relationship Id="rId339" Type="http://schemas.openxmlformats.org/officeDocument/2006/relationships/hyperlink" Target="mailto:rafael.nascimento@suez.com" TargetMode="External"/><Relationship Id="rId78" Type="http://schemas.openxmlformats.org/officeDocument/2006/relationships/hyperlink" Target="mailto:karla.perin@suez.com" TargetMode="External"/><Relationship Id="rId101" Type="http://schemas.openxmlformats.org/officeDocument/2006/relationships/hyperlink" Target="mailto:amadeu.peixoto@suez.com" TargetMode="External"/><Relationship Id="rId143" Type="http://schemas.openxmlformats.org/officeDocument/2006/relationships/hyperlink" Target="mailto:rafael.nascimento@suez.com" TargetMode="External"/><Relationship Id="rId185" Type="http://schemas.openxmlformats.org/officeDocument/2006/relationships/hyperlink" Target="mailto:an.santos@suez.com" TargetMode="External"/><Relationship Id="rId350" Type="http://schemas.openxmlformats.org/officeDocument/2006/relationships/hyperlink" Target="mailto:marcelo.soto@suez.com" TargetMode="External"/><Relationship Id="rId406" Type="http://schemas.openxmlformats.org/officeDocument/2006/relationships/hyperlink" Target="mailto:renato.chialastri@suez.com" TargetMode="External"/><Relationship Id="rId9" Type="http://schemas.openxmlformats.org/officeDocument/2006/relationships/hyperlink" Target="mailto:eduardo.mello@suez.com" TargetMode="External"/><Relationship Id="rId210" Type="http://schemas.openxmlformats.org/officeDocument/2006/relationships/hyperlink" Target="mailto:raul.oliveira@suez.com" TargetMode="External"/><Relationship Id="rId392" Type="http://schemas.openxmlformats.org/officeDocument/2006/relationships/hyperlink" Target="mailto:adriano.ribeiro@suez.com" TargetMode="External"/><Relationship Id="rId252" Type="http://schemas.openxmlformats.org/officeDocument/2006/relationships/hyperlink" Target="mailto:ozeas.rufino@suez.com" TargetMode="External"/><Relationship Id="rId294" Type="http://schemas.openxmlformats.org/officeDocument/2006/relationships/hyperlink" Target="mailto:itana.souza@suez.com" TargetMode="External"/><Relationship Id="rId308" Type="http://schemas.openxmlformats.org/officeDocument/2006/relationships/hyperlink" Target="mailto:itana.souza@suez.com" TargetMode="External"/><Relationship Id="rId47" Type="http://schemas.openxmlformats.org/officeDocument/2006/relationships/hyperlink" Target="mailto:rafael.nascimento@suez.com" TargetMode="External"/><Relationship Id="rId89" Type="http://schemas.openxmlformats.org/officeDocument/2006/relationships/hyperlink" Target="mailto:marcelo.soto@suez.com" TargetMode="External"/><Relationship Id="rId112" Type="http://schemas.openxmlformats.org/officeDocument/2006/relationships/hyperlink" Target="mailto:rodrigo.silva@suez.com" TargetMode="External"/><Relationship Id="rId154" Type="http://schemas.openxmlformats.org/officeDocument/2006/relationships/hyperlink" Target="mailto:rodrigo.amaro@suez.com" TargetMode="External"/><Relationship Id="rId361" Type="http://schemas.openxmlformats.org/officeDocument/2006/relationships/hyperlink" Target="mailto:gerson.miranda@suez.com" TargetMode="External"/><Relationship Id="rId196" Type="http://schemas.openxmlformats.org/officeDocument/2006/relationships/hyperlink" Target="mailto:karla.perin@suez.com" TargetMode="External"/><Relationship Id="rId16" Type="http://schemas.openxmlformats.org/officeDocument/2006/relationships/hyperlink" Target="mailto:gabriel.lourenco@suez.com" TargetMode="External"/><Relationship Id="rId221" Type="http://schemas.openxmlformats.org/officeDocument/2006/relationships/hyperlink" Target="mailto:leandro.zunkowski@suez.com" TargetMode="External"/><Relationship Id="rId263" Type="http://schemas.openxmlformats.org/officeDocument/2006/relationships/hyperlink" Target="mailto:paulo.corsete@suez.com" TargetMode="External"/><Relationship Id="rId319" Type="http://schemas.openxmlformats.org/officeDocument/2006/relationships/hyperlink" Target="mailto:marcelo.soto@suez.com" TargetMode="External"/><Relationship Id="rId58" Type="http://schemas.openxmlformats.org/officeDocument/2006/relationships/hyperlink" Target="mailto:tatiana.almeida@suez.com" TargetMode="External"/><Relationship Id="rId123" Type="http://schemas.openxmlformats.org/officeDocument/2006/relationships/hyperlink" Target="mailto:rodrigo.silva@suez.com" TargetMode="External"/><Relationship Id="rId330" Type="http://schemas.openxmlformats.org/officeDocument/2006/relationships/hyperlink" Target="mailto:rodrigo.silva@suez.com" TargetMode="External"/><Relationship Id="rId165" Type="http://schemas.openxmlformats.org/officeDocument/2006/relationships/hyperlink" Target="mailto:miguel.frug@suez.com" TargetMode="External"/><Relationship Id="rId372" Type="http://schemas.openxmlformats.org/officeDocument/2006/relationships/hyperlink" Target="mailto:rodrigo.amaro@suez.com" TargetMode="External"/><Relationship Id="rId232" Type="http://schemas.openxmlformats.org/officeDocument/2006/relationships/hyperlink" Target="mailto:renato.chialastri@suez.com" TargetMode="External"/><Relationship Id="rId274" Type="http://schemas.openxmlformats.org/officeDocument/2006/relationships/hyperlink" Target="mailto:fernanda.kaiser@suez.com" TargetMode="External"/><Relationship Id="rId27" Type="http://schemas.openxmlformats.org/officeDocument/2006/relationships/hyperlink" Target="mailto:luciene.irmao@suez.com" TargetMode="External"/><Relationship Id="rId48" Type="http://schemas.openxmlformats.org/officeDocument/2006/relationships/hyperlink" Target="mailto:rosangela.soares@suez.com" TargetMode="External"/><Relationship Id="rId69" Type="http://schemas.openxmlformats.org/officeDocument/2006/relationships/hyperlink" Target="mailto:thiago.morais@suez.com" TargetMode="External"/><Relationship Id="rId113" Type="http://schemas.openxmlformats.org/officeDocument/2006/relationships/hyperlink" Target="mailto:rodrigo.silva@suez.com" TargetMode="External"/><Relationship Id="rId134" Type="http://schemas.openxmlformats.org/officeDocument/2006/relationships/hyperlink" Target="mailto:william.leiteromano@suez.com" TargetMode="External"/><Relationship Id="rId320" Type="http://schemas.openxmlformats.org/officeDocument/2006/relationships/hyperlink" Target="mailto:tatiana.almeida@suez.com" TargetMode="External"/><Relationship Id="rId80" Type="http://schemas.openxmlformats.org/officeDocument/2006/relationships/hyperlink" Target="mailto:karla.perin@suez.com" TargetMode="External"/><Relationship Id="rId155" Type="http://schemas.openxmlformats.org/officeDocument/2006/relationships/hyperlink" Target="mailto:felipe.viegas@suez.com" TargetMode="External"/><Relationship Id="rId176" Type="http://schemas.openxmlformats.org/officeDocument/2006/relationships/hyperlink" Target="mailto:rafael.campos@suez.com" TargetMode="External"/><Relationship Id="rId197" Type="http://schemas.openxmlformats.org/officeDocument/2006/relationships/hyperlink" Target="mailto:luciene.irmao@suez.com" TargetMode="External"/><Relationship Id="rId341" Type="http://schemas.openxmlformats.org/officeDocument/2006/relationships/hyperlink" Target="mailto:rafael.nascimento@suez.com" TargetMode="External"/><Relationship Id="rId362" Type="http://schemas.openxmlformats.org/officeDocument/2006/relationships/hyperlink" Target="mailto:carlos.santos@suez.com" TargetMode="External"/><Relationship Id="rId383" Type="http://schemas.openxmlformats.org/officeDocument/2006/relationships/hyperlink" Target="mailto:ronaldo.melo@suez.com" TargetMode="External"/><Relationship Id="rId201" Type="http://schemas.openxmlformats.org/officeDocument/2006/relationships/hyperlink" Target="mailto:kleber.silva@suez.com" TargetMode="External"/><Relationship Id="rId222" Type="http://schemas.openxmlformats.org/officeDocument/2006/relationships/hyperlink" Target="mailto:glauber.ruiz@suez.com" TargetMode="External"/><Relationship Id="rId243" Type="http://schemas.openxmlformats.org/officeDocument/2006/relationships/hyperlink" Target="mailto:fernanda.kaiser@suez.com" TargetMode="External"/><Relationship Id="rId264" Type="http://schemas.openxmlformats.org/officeDocument/2006/relationships/hyperlink" Target="mailto:paulo.corsete@suez.com" TargetMode="External"/><Relationship Id="rId285" Type="http://schemas.openxmlformats.org/officeDocument/2006/relationships/hyperlink" Target="mailto:rodrigo.silva@suez.com" TargetMode="External"/><Relationship Id="rId17" Type="http://schemas.openxmlformats.org/officeDocument/2006/relationships/hyperlink" Target="mailto:gerson.miranda@suez.com" TargetMode="External"/><Relationship Id="rId38" Type="http://schemas.openxmlformats.org/officeDocument/2006/relationships/hyperlink" Target="mailto:ra.silva@suez.com" TargetMode="External"/><Relationship Id="rId59" Type="http://schemas.openxmlformats.org/officeDocument/2006/relationships/hyperlink" Target="mailto:tatiana.almeida@suez.com" TargetMode="External"/><Relationship Id="rId103" Type="http://schemas.openxmlformats.org/officeDocument/2006/relationships/hyperlink" Target="mailto:amadeu.peixoto@suez.com" TargetMode="External"/><Relationship Id="rId124" Type="http://schemas.openxmlformats.org/officeDocument/2006/relationships/hyperlink" Target="mailto:rodrigo.silva@suez.com" TargetMode="External"/><Relationship Id="rId310" Type="http://schemas.openxmlformats.org/officeDocument/2006/relationships/hyperlink" Target="mailto:marcelo.soto@suez.com" TargetMode="External"/><Relationship Id="rId70" Type="http://schemas.openxmlformats.org/officeDocument/2006/relationships/hyperlink" Target="mailto:an.santos@suez.com" TargetMode="External"/><Relationship Id="rId91" Type="http://schemas.openxmlformats.org/officeDocument/2006/relationships/hyperlink" Target="mailto:marcelo.soto@suez.com" TargetMode="External"/><Relationship Id="rId145" Type="http://schemas.openxmlformats.org/officeDocument/2006/relationships/hyperlink" Target="mailto:rafael.nascimento@suez.com" TargetMode="External"/><Relationship Id="rId166" Type="http://schemas.openxmlformats.org/officeDocument/2006/relationships/hyperlink" Target="mailto:hugo.cavalcante@suez.com" TargetMode="External"/><Relationship Id="rId187" Type="http://schemas.openxmlformats.org/officeDocument/2006/relationships/hyperlink" Target="mailto:an.santos@suez.com" TargetMode="External"/><Relationship Id="rId331" Type="http://schemas.openxmlformats.org/officeDocument/2006/relationships/hyperlink" Target="mailto:jose.nascimento@suez.com" TargetMode="External"/><Relationship Id="rId352" Type="http://schemas.openxmlformats.org/officeDocument/2006/relationships/hyperlink" Target="mailto:marcelo.soto@suez.com" TargetMode="External"/><Relationship Id="rId373" Type="http://schemas.openxmlformats.org/officeDocument/2006/relationships/hyperlink" Target="mailto:ulisses.sibia@suez.com" TargetMode="External"/><Relationship Id="rId394" Type="http://schemas.openxmlformats.org/officeDocument/2006/relationships/hyperlink" Target="mailto:adriano.ribeiro@suez.com" TargetMode="External"/><Relationship Id="rId408" Type="http://schemas.openxmlformats.org/officeDocument/2006/relationships/hyperlink" Target="mailto:thiago.garcia@suez.com" TargetMode="External"/><Relationship Id="rId1" Type="http://schemas.openxmlformats.org/officeDocument/2006/relationships/hyperlink" Target="mailto:anderson.souza@suez.com" TargetMode="External"/><Relationship Id="rId212" Type="http://schemas.openxmlformats.org/officeDocument/2006/relationships/hyperlink" Target="mailto:raul.oliveira@suez.com" TargetMode="External"/><Relationship Id="rId233" Type="http://schemas.openxmlformats.org/officeDocument/2006/relationships/hyperlink" Target="mailto:felipe.viegas@suez.com" TargetMode="External"/><Relationship Id="rId254" Type="http://schemas.openxmlformats.org/officeDocument/2006/relationships/hyperlink" Target="mailto:felipe.viegas@suez.com" TargetMode="External"/><Relationship Id="rId28" Type="http://schemas.openxmlformats.org/officeDocument/2006/relationships/hyperlink" Target="mailto:jose.nascimento@suez.com" TargetMode="External"/><Relationship Id="rId49" Type="http://schemas.openxmlformats.org/officeDocument/2006/relationships/hyperlink" Target="mailto:rosangela.soares@suez.com" TargetMode="External"/><Relationship Id="rId114" Type="http://schemas.openxmlformats.org/officeDocument/2006/relationships/hyperlink" Target="mailto:rodrigo.silva@suez.com" TargetMode="External"/><Relationship Id="rId275" Type="http://schemas.openxmlformats.org/officeDocument/2006/relationships/hyperlink" Target="mailto:amanda.mendes@suez.com" TargetMode="External"/><Relationship Id="rId296" Type="http://schemas.openxmlformats.org/officeDocument/2006/relationships/hyperlink" Target="mailto:itana.souza@suez.com" TargetMode="External"/><Relationship Id="rId300" Type="http://schemas.openxmlformats.org/officeDocument/2006/relationships/hyperlink" Target="mailto:itana.souza@suez.com" TargetMode="External"/><Relationship Id="rId60" Type="http://schemas.openxmlformats.org/officeDocument/2006/relationships/hyperlink" Target="mailto:tatiana.almeida@suez.com" TargetMode="External"/><Relationship Id="rId81" Type="http://schemas.openxmlformats.org/officeDocument/2006/relationships/hyperlink" Target="mailto:karla.perin@suez.com" TargetMode="External"/><Relationship Id="rId135" Type="http://schemas.openxmlformats.org/officeDocument/2006/relationships/hyperlink" Target="mailto:rodrigo.silva@suez.com" TargetMode="External"/><Relationship Id="rId156" Type="http://schemas.openxmlformats.org/officeDocument/2006/relationships/hyperlink" Target="mailto:felipe.viegas@suez.com" TargetMode="External"/><Relationship Id="rId177" Type="http://schemas.openxmlformats.org/officeDocument/2006/relationships/hyperlink" Target="mailto:rafael.campos@suez.com" TargetMode="External"/><Relationship Id="rId198" Type="http://schemas.openxmlformats.org/officeDocument/2006/relationships/hyperlink" Target="mailto:luciene.irmao@suez.com" TargetMode="External"/><Relationship Id="rId321" Type="http://schemas.openxmlformats.org/officeDocument/2006/relationships/hyperlink" Target="mailto:tatiana.almeida@suez.com" TargetMode="External"/><Relationship Id="rId342" Type="http://schemas.openxmlformats.org/officeDocument/2006/relationships/hyperlink" Target="mailto:rafael.nascimento@suez.com" TargetMode="External"/><Relationship Id="rId363" Type="http://schemas.openxmlformats.org/officeDocument/2006/relationships/hyperlink" Target="mailto:ronaldo.melo@suez.com" TargetMode="External"/><Relationship Id="rId384" Type="http://schemas.openxmlformats.org/officeDocument/2006/relationships/hyperlink" Target="mailto:jobson-rodrigo.silva@suez.com" TargetMode="External"/><Relationship Id="rId202" Type="http://schemas.openxmlformats.org/officeDocument/2006/relationships/hyperlink" Target="mailto:kleber.silva@suez.com" TargetMode="External"/><Relationship Id="rId223" Type="http://schemas.openxmlformats.org/officeDocument/2006/relationships/hyperlink" Target="mailto:glauber.ruiz@suez.com" TargetMode="External"/><Relationship Id="rId244" Type="http://schemas.openxmlformats.org/officeDocument/2006/relationships/hyperlink" Target="mailto:humberto.junior@suez.com" TargetMode="External"/><Relationship Id="rId18" Type="http://schemas.openxmlformats.org/officeDocument/2006/relationships/hyperlink" Target="mailto:felipe.viegas@suez.com" TargetMode="External"/><Relationship Id="rId39" Type="http://schemas.openxmlformats.org/officeDocument/2006/relationships/hyperlink" Target="mailto:ra.silva@suez.com" TargetMode="External"/><Relationship Id="rId265" Type="http://schemas.openxmlformats.org/officeDocument/2006/relationships/hyperlink" Target="mailto:paulo.corsete@suez.com" TargetMode="External"/><Relationship Id="rId286" Type="http://schemas.openxmlformats.org/officeDocument/2006/relationships/hyperlink" Target="mailto:rodrigo.silva@suez.com" TargetMode="External"/><Relationship Id="rId50" Type="http://schemas.openxmlformats.org/officeDocument/2006/relationships/hyperlink" Target="mailto:william.leiteromano@suez.com" TargetMode="External"/><Relationship Id="rId104" Type="http://schemas.openxmlformats.org/officeDocument/2006/relationships/hyperlink" Target="mailto:amadeu.peixoto@suez.com" TargetMode="External"/><Relationship Id="rId125" Type="http://schemas.openxmlformats.org/officeDocument/2006/relationships/hyperlink" Target="mailto:rodrigo.silva@suez.com" TargetMode="External"/><Relationship Id="rId146" Type="http://schemas.openxmlformats.org/officeDocument/2006/relationships/hyperlink" Target="mailto:rafael.nascimento@suez.com" TargetMode="External"/><Relationship Id="rId167" Type="http://schemas.openxmlformats.org/officeDocument/2006/relationships/hyperlink" Target="mailto:osvaldo.melo@suez.com" TargetMode="External"/><Relationship Id="rId188" Type="http://schemas.openxmlformats.org/officeDocument/2006/relationships/hyperlink" Target="mailto:matheus.bahr@suez.com" TargetMode="External"/><Relationship Id="rId311" Type="http://schemas.openxmlformats.org/officeDocument/2006/relationships/hyperlink" Target="mailto:marcelo.soto@suez.com" TargetMode="External"/><Relationship Id="rId332" Type="http://schemas.openxmlformats.org/officeDocument/2006/relationships/hyperlink" Target="mailto:jose.nascimento@suez.com" TargetMode="External"/><Relationship Id="rId353" Type="http://schemas.openxmlformats.org/officeDocument/2006/relationships/hyperlink" Target="mailto:marcelo.soto@suez.com" TargetMode="External"/><Relationship Id="rId374" Type="http://schemas.openxmlformats.org/officeDocument/2006/relationships/hyperlink" Target="mailto:ulisses.sibia@suez.com" TargetMode="External"/><Relationship Id="rId395" Type="http://schemas.openxmlformats.org/officeDocument/2006/relationships/hyperlink" Target="mailto:adriano.ribeiro@suez.com" TargetMode="External"/><Relationship Id="rId409" Type="http://schemas.openxmlformats.org/officeDocument/2006/relationships/hyperlink" Target="mailto:flaminio.neto@suez.com" TargetMode="External"/><Relationship Id="rId71" Type="http://schemas.openxmlformats.org/officeDocument/2006/relationships/hyperlink" Target="mailto:an.santos@suez.com" TargetMode="External"/><Relationship Id="rId92" Type="http://schemas.openxmlformats.org/officeDocument/2006/relationships/hyperlink" Target="mailto:marcelo.soto@suez.com" TargetMode="External"/><Relationship Id="rId213" Type="http://schemas.openxmlformats.org/officeDocument/2006/relationships/hyperlink" Target="mailto:kleber.silva@suez.com" TargetMode="External"/><Relationship Id="rId234" Type="http://schemas.openxmlformats.org/officeDocument/2006/relationships/hyperlink" Target="mailto:matheus.ambrosio@suez.com" TargetMode="External"/><Relationship Id="rId2" Type="http://schemas.openxmlformats.org/officeDocument/2006/relationships/hyperlink" Target="mailto:anderson.souza@suez.com" TargetMode="External"/><Relationship Id="rId29" Type="http://schemas.openxmlformats.org/officeDocument/2006/relationships/hyperlink" Target="mailto:jobson-rodrigo.silva@suez.com" TargetMode="External"/><Relationship Id="rId255" Type="http://schemas.openxmlformats.org/officeDocument/2006/relationships/hyperlink" Target="mailto:felipe.viegas@suez.com" TargetMode="External"/><Relationship Id="rId276" Type="http://schemas.openxmlformats.org/officeDocument/2006/relationships/hyperlink" Target="mailto:amanda.mendes@suez.com" TargetMode="External"/><Relationship Id="rId297" Type="http://schemas.openxmlformats.org/officeDocument/2006/relationships/hyperlink" Target="mailto:marcelo.soto@suez.com" TargetMode="External"/><Relationship Id="rId40" Type="http://schemas.openxmlformats.org/officeDocument/2006/relationships/hyperlink" Target="mailto:rafaela.gomes@suez.com" TargetMode="External"/><Relationship Id="rId115" Type="http://schemas.openxmlformats.org/officeDocument/2006/relationships/hyperlink" Target="mailto:rodrigo.silva@suez.com" TargetMode="External"/><Relationship Id="rId136" Type="http://schemas.openxmlformats.org/officeDocument/2006/relationships/hyperlink" Target="mailto:marcelo.soto@suez.com" TargetMode="External"/><Relationship Id="rId157" Type="http://schemas.openxmlformats.org/officeDocument/2006/relationships/hyperlink" Target="mailto:felipe.viegas@suez.com" TargetMode="External"/><Relationship Id="rId178" Type="http://schemas.openxmlformats.org/officeDocument/2006/relationships/hyperlink" Target="mailto:an.santos@suez.com" TargetMode="External"/><Relationship Id="rId301" Type="http://schemas.openxmlformats.org/officeDocument/2006/relationships/hyperlink" Target="mailto:itana.souza@suez.com" TargetMode="External"/><Relationship Id="rId322" Type="http://schemas.openxmlformats.org/officeDocument/2006/relationships/hyperlink" Target="mailto:tatiana.almeida@suez.com" TargetMode="External"/><Relationship Id="rId343" Type="http://schemas.openxmlformats.org/officeDocument/2006/relationships/hyperlink" Target="mailto:rafael.nascimento@suez.com" TargetMode="External"/><Relationship Id="rId364" Type="http://schemas.openxmlformats.org/officeDocument/2006/relationships/hyperlink" Target="mailto:ronaldo.melo@suez.com" TargetMode="External"/><Relationship Id="rId61" Type="http://schemas.openxmlformats.org/officeDocument/2006/relationships/hyperlink" Target="mailto:tatiana.almeida@suez.com" TargetMode="External"/><Relationship Id="rId82" Type="http://schemas.openxmlformats.org/officeDocument/2006/relationships/hyperlink" Target="mailto:rafael.campos@suez.com" TargetMode="External"/><Relationship Id="rId199" Type="http://schemas.openxmlformats.org/officeDocument/2006/relationships/hyperlink" Target="mailto:luciene.irmao@suez.com" TargetMode="External"/><Relationship Id="rId203" Type="http://schemas.openxmlformats.org/officeDocument/2006/relationships/hyperlink" Target="mailto:kleber.silva@suez.com" TargetMode="External"/><Relationship Id="rId385" Type="http://schemas.openxmlformats.org/officeDocument/2006/relationships/hyperlink" Target="mailto:ronaldo.melo@suez.com" TargetMode="External"/><Relationship Id="rId19" Type="http://schemas.openxmlformats.org/officeDocument/2006/relationships/hyperlink" Target="mailto:everton.delturqui@suez.com" TargetMode="External"/><Relationship Id="rId224" Type="http://schemas.openxmlformats.org/officeDocument/2006/relationships/hyperlink" Target="mailto:glauber.ruiz@suez.com" TargetMode="External"/><Relationship Id="rId245" Type="http://schemas.openxmlformats.org/officeDocument/2006/relationships/hyperlink" Target="mailto:ra.silva@suez.com" TargetMode="External"/><Relationship Id="rId266" Type="http://schemas.openxmlformats.org/officeDocument/2006/relationships/hyperlink" Target="mailto:paulo.corsete@suez.com" TargetMode="External"/><Relationship Id="rId287" Type="http://schemas.openxmlformats.org/officeDocument/2006/relationships/hyperlink" Target="mailto:rodrigo.silva@suez.com" TargetMode="External"/><Relationship Id="rId410" Type="http://schemas.openxmlformats.org/officeDocument/2006/relationships/hyperlink" Target="mailto:flaminio.neto@suez.com" TargetMode="External"/><Relationship Id="rId30" Type="http://schemas.openxmlformats.org/officeDocument/2006/relationships/hyperlink" Target="mailto:jobson-rodrigo.silva@suez.com" TargetMode="External"/><Relationship Id="rId105" Type="http://schemas.openxmlformats.org/officeDocument/2006/relationships/hyperlink" Target="mailto:amadeu.peixoto@suez.com" TargetMode="External"/><Relationship Id="rId126" Type="http://schemas.openxmlformats.org/officeDocument/2006/relationships/hyperlink" Target="mailto:rodrigo.silva@suez.com" TargetMode="External"/><Relationship Id="rId147" Type="http://schemas.openxmlformats.org/officeDocument/2006/relationships/hyperlink" Target="mailto:rafael.nascimento@suez.com" TargetMode="External"/><Relationship Id="rId168" Type="http://schemas.openxmlformats.org/officeDocument/2006/relationships/hyperlink" Target="mailto:osvaldo.melo@suez.com" TargetMode="External"/><Relationship Id="rId312" Type="http://schemas.openxmlformats.org/officeDocument/2006/relationships/hyperlink" Target="mailto:itana.souza@suez.com" TargetMode="External"/><Relationship Id="rId333" Type="http://schemas.openxmlformats.org/officeDocument/2006/relationships/hyperlink" Target="mailto:jose.nascimento@suez.com" TargetMode="External"/><Relationship Id="rId354" Type="http://schemas.openxmlformats.org/officeDocument/2006/relationships/hyperlink" Target="mailto:marcelo.soto@suez.com" TargetMode="External"/><Relationship Id="rId51" Type="http://schemas.openxmlformats.org/officeDocument/2006/relationships/hyperlink" Target="mailto:william.leiteromano@suez.com" TargetMode="External"/><Relationship Id="rId72" Type="http://schemas.openxmlformats.org/officeDocument/2006/relationships/hyperlink" Target="mailto:patricia.campos@suez.com" TargetMode="External"/><Relationship Id="rId93" Type="http://schemas.openxmlformats.org/officeDocument/2006/relationships/hyperlink" Target="mailto:marcelo.soto@suez.com" TargetMode="External"/><Relationship Id="rId189" Type="http://schemas.openxmlformats.org/officeDocument/2006/relationships/hyperlink" Target="mailto:rafael.nascimento@suez.com" TargetMode="External"/><Relationship Id="rId375" Type="http://schemas.openxmlformats.org/officeDocument/2006/relationships/hyperlink" Target="mailto:ulisses.sibia@suez.com" TargetMode="External"/><Relationship Id="rId396" Type="http://schemas.openxmlformats.org/officeDocument/2006/relationships/hyperlink" Target="mailto:marcelo.soto@suez.com" TargetMode="External"/><Relationship Id="rId3" Type="http://schemas.openxmlformats.org/officeDocument/2006/relationships/hyperlink" Target="mailto:anderson.souza@suez.com" TargetMode="External"/><Relationship Id="rId214" Type="http://schemas.openxmlformats.org/officeDocument/2006/relationships/hyperlink" Target="mailto:kleber.silva@suez.com" TargetMode="External"/><Relationship Id="rId235" Type="http://schemas.openxmlformats.org/officeDocument/2006/relationships/hyperlink" Target="mailto:rafael.pietro@suez.com" TargetMode="External"/><Relationship Id="rId256" Type="http://schemas.openxmlformats.org/officeDocument/2006/relationships/hyperlink" Target="mailto:marcelo.bovolenta@suez.com" TargetMode="External"/><Relationship Id="rId277" Type="http://schemas.openxmlformats.org/officeDocument/2006/relationships/hyperlink" Target="mailto:felipe.rokicki@suez.com" TargetMode="External"/><Relationship Id="rId298" Type="http://schemas.openxmlformats.org/officeDocument/2006/relationships/hyperlink" Target="mailto:itana.souza@suez.com" TargetMode="External"/><Relationship Id="rId400" Type="http://schemas.openxmlformats.org/officeDocument/2006/relationships/hyperlink" Target="mailto:adriano.ribeiro@suez.com" TargetMode="External"/><Relationship Id="rId116" Type="http://schemas.openxmlformats.org/officeDocument/2006/relationships/hyperlink" Target="mailto:rodrigo.silva@suez.com" TargetMode="External"/><Relationship Id="rId137" Type="http://schemas.openxmlformats.org/officeDocument/2006/relationships/hyperlink" Target="mailto:marcelo.soto@suez.com" TargetMode="External"/><Relationship Id="rId158" Type="http://schemas.openxmlformats.org/officeDocument/2006/relationships/hyperlink" Target="mailto:carlos.santos@suez.com" TargetMode="External"/><Relationship Id="rId302" Type="http://schemas.openxmlformats.org/officeDocument/2006/relationships/hyperlink" Target="mailto:itana.souza@suez.com" TargetMode="External"/><Relationship Id="rId323" Type="http://schemas.openxmlformats.org/officeDocument/2006/relationships/hyperlink" Target="mailto:marcelo.soto@suez.com" TargetMode="External"/><Relationship Id="rId344" Type="http://schemas.openxmlformats.org/officeDocument/2006/relationships/hyperlink" Target="mailto:caio.tascano@suez.com" TargetMode="External"/><Relationship Id="rId20" Type="http://schemas.openxmlformats.org/officeDocument/2006/relationships/hyperlink" Target="mailto:everton.delturqui@suez.com" TargetMode="External"/><Relationship Id="rId41" Type="http://schemas.openxmlformats.org/officeDocument/2006/relationships/hyperlink" Target="mailto:rafael.nascimento@suez.com" TargetMode="External"/><Relationship Id="rId62" Type="http://schemas.openxmlformats.org/officeDocument/2006/relationships/hyperlink" Target="mailto:tatiana.almeida@suez.com" TargetMode="External"/><Relationship Id="rId83" Type="http://schemas.openxmlformats.org/officeDocument/2006/relationships/hyperlink" Target="mailto:rafael.campos@suez.com" TargetMode="External"/><Relationship Id="rId179" Type="http://schemas.openxmlformats.org/officeDocument/2006/relationships/hyperlink" Target="mailto:an.santos@suez.com" TargetMode="External"/><Relationship Id="rId365" Type="http://schemas.openxmlformats.org/officeDocument/2006/relationships/hyperlink" Target="mailto:gustavo.santana@suez.com" TargetMode="External"/><Relationship Id="rId386" Type="http://schemas.openxmlformats.org/officeDocument/2006/relationships/hyperlink" Target="mailto:eduardo.mello@suez.com" TargetMode="External"/><Relationship Id="rId190" Type="http://schemas.openxmlformats.org/officeDocument/2006/relationships/hyperlink" Target="mailto:bianca.dossantos@suez.com" TargetMode="External"/><Relationship Id="rId204" Type="http://schemas.openxmlformats.org/officeDocument/2006/relationships/hyperlink" Target="mailto:kleber.silva@suez.com" TargetMode="External"/><Relationship Id="rId225" Type="http://schemas.openxmlformats.org/officeDocument/2006/relationships/hyperlink" Target="mailto:deivid.elias@suez.com" TargetMode="External"/><Relationship Id="rId246" Type="http://schemas.openxmlformats.org/officeDocument/2006/relationships/hyperlink" Target="mailto:rafael.nascimento@suez.com" TargetMode="External"/><Relationship Id="rId267" Type="http://schemas.openxmlformats.org/officeDocument/2006/relationships/hyperlink" Target="mailto:paulo.corsete@suez.com" TargetMode="External"/><Relationship Id="rId288" Type="http://schemas.openxmlformats.org/officeDocument/2006/relationships/hyperlink" Target="mailto:rosangela.soares@suez.com" TargetMode="External"/><Relationship Id="rId411" Type="http://schemas.openxmlformats.org/officeDocument/2006/relationships/hyperlink" Target="mailto:rafael.campos@suez.com" TargetMode="External"/><Relationship Id="rId106" Type="http://schemas.openxmlformats.org/officeDocument/2006/relationships/hyperlink" Target="mailto:vinicius.paula@suez.com" TargetMode="External"/><Relationship Id="rId127" Type="http://schemas.openxmlformats.org/officeDocument/2006/relationships/hyperlink" Target="mailto:rodrigo.silva@suez.com" TargetMode="External"/><Relationship Id="rId313" Type="http://schemas.openxmlformats.org/officeDocument/2006/relationships/hyperlink" Target="mailto:marcelo.soto@suez.com" TargetMode="External"/><Relationship Id="rId10" Type="http://schemas.openxmlformats.org/officeDocument/2006/relationships/hyperlink" Target="mailto:eduardo.mello@suez.com" TargetMode="External"/><Relationship Id="rId31" Type="http://schemas.openxmlformats.org/officeDocument/2006/relationships/hyperlink" Target="mailto:jobson-rodrigo.silva@suez.com" TargetMode="External"/><Relationship Id="rId52" Type="http://schemas.openxmlformats.org/officeDocument/2006/relationships/hyperlink" Target="mailto:william.leiteromano@suez.com" TargetMode="External"/><Relationship Id="rId73" Type="http://schemas.openxmlformats.org/officeDocument/2006/relationships/hyperlink" Target="mailto:marcelo.soto@suez.com" TargetMode="External"/><Relationship Id="rId94" Type="http://schemas.openxmlformats.org/officeDocument/2006/relationships/hyperlink" Target="mailto:marcelo.soto@suez.com" TargetMode="External"/><Relationship Id="rId148" Type="http://schemas.openxmlformats.org/officeDocument/2006/relationships/hyperlink" Target="mailto:rafael.nascimento@suez.com" TargetMode="External"/><Relationship Id="rId169" Type="http://schemas.openxmlformats.org/officeDocument/2006/relationships/hyperlink" Target="mailto:osvaldo.melo@suez.com" TargetMode="External"/><Relationship Id="rId334" Type="http://schemas.openxmlformats.org/officeDocument/2006/relationships/hyperlink" Target="mailto:leonardo.goncalves@suez.com" TargetMode="External"/><Relationship Id="rId355" Type="http://schemas.openxmlformats.org/officeDocument/2006/relationships/hyperlink" Target="mailto:aliny.nunes@suez.com" TargetMode="External"/><Relationship Id="rId376" Type="http://schemas.openxmlformats.org/officeDocument/2006/relationships/hyperlink" Target="mailto:roberto.nascimento@suez.com" TargetMode="External"/><Relationship Id="rId397" Type="http://schemas.openxmlformats.org/officeDocument/2006/relationships/hyperlink" Target="mailto:isaac.pinto@suez.com" TargetMode="External"/><Relationship Id="rId4" Type="http://schemas.openxmlformats.org/officeDocument/2006/relationships/hyperlink" Target="mailto:clovis.oliveira@suez.com" TargetMode="External"/><Relationship Id="rId180" Type="http://schemas.openxmlformats.org/officeDocument/2006/relationships/hyperlink" Target="mailto:an.santos@suez.com" TargetMode="External"/><Relationship Id="rId215" Type="http://schemas.openxmlformats.org/officeDocument/2006/relationships/hyperlink" Target="mailto:leonardo.goncalves@suez.com" TargetMode="External"/><Relationship Id="rId236" Type="http://schemas.openxmlformats.org/officeDocument/2006/relationships/hyperlink" Target="mailto:rafael.pietro@suez.com" TargetMode="External"/><Relationship Id="rId257" Type="http://schemas.openxmlformats.org/officeDocument/2006/relationships/hyperlink" Target="mailto:rafael.nascimento@suez.com" TargetMode="External"/><Relationship Id="rId278" Type="http://schemas.openxmlformats.org/officeDocument/2006/relationships/hyperlink" Target="mailto:thiago.ferreiradasilva@suez.com" TargetMode="External"/><Relationship Id="rId401" Type="http://schemas.openxmlformats.org/officeDocument/2006/relationships/hyperlink" Target="mailto:anderson.oliveira@suez.com" TargetMode="External"/><Relationship Id="rId303" Type="http://schemas.openxmlformats.org/officeDocument/2006/relationships/hyperlink" Target="mailto:itana.souza@suez.com" TargetMode="External"/><Relationship Id="rId42" Type="http://schemas.openxmlformats.org/officeDocument/2006/relationships/hyperlink" Target="mailto:rafael.nascimento@suez.com" TargetMode="External"/><Relationship Id="rId84" Type="http://schemas.openxmlformats.org/officeDocument/2006/relationships/hyperlink" Target="mailto:kleber.silva@suez.com" TargetMode="External"/><Relationship Id="rId138" Type="http://schemas.openxmlformats.org/officeDocument/2006/relationships/hyperlink" Target="mailto:edmilson.santos@suez.com" TargetMode="External"/><Relationship Id="rId345" Type="http://schemas.openxmlformats.org/officeDocument/2006/relationships/hyperlink" Target="mailto:gustavo.santana@suez.com" TargetMode="External"/><Relationship Id="rId387" Type="http://schemas.openxmlformats.org/officeDocument/2006/relationships/hyperlink" Target="mailto:ronaldo.melo@suez.com" TargetMode="External"/><Relationship Id="rId191" Type="http://schemas.openxmlformats.org/officeDocument/2006/relationships/hyperlink" Target="mailto:kleber.silva@suez.com" TargetMode="External"/><Relationship Id="rId205" Type="http://schemas.openxmlformats.org/officeDocument/2006/relationships/hyperlink" Target="mailto:kleber.silva@suez.com" TargetMode="External"/><Relationship Id="rId247" Type="http://schemas.openxmlformats.org/officeDocument/2006/relationships/hyperlink" Target="mailto:rafael.campos@suez.com" TargetMode="External"/><Relationship Id="rId107" Type="http://schemas.openxmlformats.org/officeDocument/2006/relationships/hyperlink" Target="mailto:vinicius.paula@suez.com" TargetMode="External"/><Relationship Id="rId289" Type="http://schemas.openxmlformats.org/officeDocument/2006/relationships/hyperlink" Target="mailto:rosangela.soares@suez.com" TargetMode="External"/><Relationship Id="rId11" Type="http://schemas.openxmlformats.org/officeDocument/2006/relationships/hyperlink" Target="mailto:eduardo.mello@suez.com" TargetMode="External"/><Relationship Id="rId53" Type="http://schemas.openxmlformats.org/officeDocument/2006/relationships/hyperlink" Target="mailto:tatiana.almeida@suez.com" TargetMode="External"/><Relationship Id="rId149" Type="http://schemas.openxmlformats.org/officeDocument/2006/relationships/hyperlink" Target="mailto:rafael.nascimento@suez.com" TargetMode="External"/><Relationship Id="rId314" Type="http://schemas.openxmlformats.org/officeDocument/2006/relationships/hyperlink" Target="mailto:itana.souza@suez.com" TargetMode="External"/><Relationship Id="rId356" Type="http://schemas.openxmlformats.org/officeDocument/2006/relationships/hyperlink" Target="mailto:aliny.nunes@suez.com" TargetMode="External"/><Relationship Id="rId398" Type="http://schemas.openxmlformats.org/officeDocument/2006/relationships/hyperlink" Target="mailto:renato.chialastri@suez.com" TargetMode="External"/><Relationship Id="rId95" Type="http://schemas.openxmlformats.org/officeDocument/2006/relationships/hyperlink" Target="mailto:marcelo.soto@suez.com" TargetMode="External"/><Relationship Id="rId160" Type="http://schemas.openxmlformats.org/officeDocument/2006/relationships/hyperlink" Target="mailto:adalberto.diniz@suez.com" TargetMode="External"/><Relationship Id="rId216" Type="http://schemas.openxmlformats.org/officeDocument/2006/relationships/hyperlink" Target="mailto:leonardo.goncalves@suez.com" TargetMode="External"/><Relationship Id="rId258" Type="http://schemas.openxmlformats.org/officeDocument/2006/relationships/hyperlink" Target="mailto:rafael.nascimento@suez.com" TargetMode="External"/><Relationship Id="rId22" Type="http://schemas.openxmlformats.org/officeDocument/2006/relationships/hyperlink" Target="mailto:everton.delturqui@suez.com" TargetMode="External"/><Relationship Id="rId64" Type="http://schemas.openxmlformats.org/officeDocument/2006/relationships/hyperlink" Target="mailto:tatiana.almeida@suez.com" TargetMode="External"/><Relationship Id="rId118" Type="http://schemas.openxmlformats.org/officeDocument/2006/relationships/hyperlink" Target="mailto:rodrigo.silva@suez.com" TargetMode="External"/><Relationship Id="rId325" Type="http://schemas.openxmlformats.org/officeDocument/2006/relationships/hyperlink" Target="mailto:marcelo.soto@suez.com" TargetMode="External"/><Relationship Id="rId367" Type="http://schemas.openxmlformats.org/officeDocument/2006/relationships/hyperlink" Target="mailto:gustavo.santana@suez.com" TargetMode="External"/><Relationship Id="rId171" Type="http://schemas.openxmlformats.org/officeDocument/2006/relationships/hyperlink" Target="mailto:ana.oliveira@suez.com" TargetMode="External"/><Relationship Id="rId227" Type="http://schemas.openxmlformats.org/officeDocument/2006/relationships/hyperlink" Target="mailto:sonia.jesus@suez.com" TargetMode="External"/><Relationship Id="rId269" Type="http://schemas.openxmlformats.org/officeDocument/2006/relationships/hyperlink" Target="mailto:fernanda.kaiser@suez.com" TargetMode="External"/><Relationship Id="rId33" Type="http://schemas.openxmlformats.org/officeDocument/2006/relationships/hyperlink" Target="mailto:jobson-rodrigo.silva@suez.com" TargetMode="External"/><Relationship Id="rId129" Type="http://schemas.openxmlformats.org/officeDocument/2006/relationships/hyperlink" Target="mailto:rodrigo.silva@suez.com" TargetMode="External"/><Relationship Id="rId280" Type="http://schemas.openxmlformats.org/officeDocument/2006/relationships/hyperlink" Target="mailto:jose.nascimento@suez.com" TargetMode="External"/><Relationship Id="rId336" Type="http://schemas.openxmlformats.org/officeDocument/2006/relationships/hyperlink" Target="mailto:rodrigo.silva@suez.com" TargetMode="External"/><Relationship Id="rId75" Type="http://schemas.openxmlformats.org/officeDocument/2006/relationships/hyperlink" Target="mailto:davi.santos@suez.com" TargetMode="External"/><Relationship Id="rId140" Type="http://schemas.openxmlformats.org/officeDocument/2006/relationships/hyperlink" Target="mailto:edmilson.santos@suez.com" TargetMode="External"/><Relationship Id="rId182" Type="http://schemas.openxmlformats.org/officeDocument/2006/relationships/hyperlink" Target="mailto:an.santos@suez.com" TargetMode="External"/><Relationship Id="rId378" Type="http://schemas.openxmlformats.org/officeDocument/2006/relationships/hyperlink" Target="mailto:renato.chialastri@suez.com" TargetMode="External"/><Relationship Id="rId403" Type="http://schemas.openxmlformats.org/officeDocument/2006/relationships/hyperlink" Target="mailto:anderson.oliveira@suez.com" TargetMode="External"/><Relationship Id="rId6" Type="http://schemas.openxmlformats.org/officeDocument/2006/relationships/hyperlink" Target="mailto:deivid.elias@suez.com" TargetMode="External"/><Relationship Id="rId238" Type="http://schemas.openxmlformats.org/officeDocument/2006/relationships/hyperlink" Target="mailto:jackson.gomes@suez.com" TargetMode="External"/><Relationship Id="rId291" Type="http://schemas.openxmlformats.org/officeDocument/2006/relationships/hyperlink" Target="mailto:adalberto.diniz@suez.com" TargetMode="External"/><Relationship Id="rId305" Type="http://schemas.openxmlformats.org/officeDocument/2006/relationships/hyperlink" Target="mailto:marcelo.soto@suez.com" TargetMode="External"/><Relationship Id="rId347" Type="http://schemas.openxmlformats.org/officeDocument/2006/relationships/hyperlink" Target="mailto:glaydiane.melo@suez.com" TargetMode="External"/><Relationship Id="rId44" Type="http://schemas.openxmlformats.org/officeDocument/2006/relationships/hyperlink" Target="mailto:rafael.nascimento@suez.com" TargetMode="External"/><Relationship Id="rId86" Type="http://schemas.openxmlformats.org/officeDocument/2006/relationships/hyperlink" Target="mailto:edmilson.santos@suez.com" TargetMode="External"/><Relationship Id="rId151" Type="http://schemas.openxmlformats.org/officeDocument/2006/relationships/hyperlink" Target="mailto:giovana.tardelli@suez.com" TargetMode="External"/><Relationship Id="rId389" Type="http://schemas.openxmlformats.org/officeDocument/2006/relationships/hyperlink" Target="mailto:ronaldo.melo@suez.com" TargetMode="External"/><Relationship Id="rId193" Type="http://schemas.openxmlformats.org/officeDocument/2006/relationships/hyperlink" Target="mailto:caio.tascano@suez.com" TargetMode="External"/><Relationship Id="rId207" Type="http://schemas.openxmlformats.org/officeDocument/2006/relationships/hyperlink" Target="mailto:kleber.silva@suez.com" TargetMode="External"/><Relationship Id="rId249" Type="http://schemas.openxmlformats.org/officeDocument/2006/relationships/hyperlink" Target="mailto:rafael.campos@suez.com" TargetMode="External"/><Relationship Id="rId13" Type="http://schemas.openxmlformats.org/officeDocument/2006/relationships/hyperlink" Target="mailto:eduardo.mello@suez.com" TargetMode="External"/><Relationship Id="rId109" Type="http://schemas.openxmlformats.org/officeDocument/2006/relationships/hyperlink" Target="mailto:vinicius.paula@suez.com" TargetMode="External"/><Relationship Id="rId260" Type="http://schemas.openxmlformats.org/officeDocument/2006/relationships/hyperlink" Target="mailto:an.santos@suez.com" TargetMode="External"/><Relationship Id="rId316" Type="http://schemas.openxmlformats.org/officeDocument/2006/relationships/hyperlink" Target="mailto:anderson.souza@suez.com" TargetMode="External"/><Relationship Id="rId55" Type="http://schemas.openxmlformats.org/officeDocument/2006/relationships/hyperlink" Target="mailto:tatiana.almeida@suez.com" TargetMode="External"/><Relationship Id="rId97" Type="http://schemas.openxmlformats.org/officeDocument/2006/relationships/hyperlink" Target="mailto:marcelo.soto@suez.com" TargetMode="External"/><Relationship Id="rId120" Type="http://schemas.openxmlformats.org/officeDocument/2006/relationships/hyperlink" Target="mailto:rodrigo.silva@suez.com" TargetMode="External"/><Relationship Id="rId358" Type="http://schemas.openxmlformats.org/officeDocument/2006/relationships/hyperlink" Target="mailto:glaydiane.melo@suez.com" TargetMode="External"/><Relationship Id="rId162" Type="http://schemas.openxmlformats.org/officeDocument/2006/relationships/hyperlink" Target="mailto:carlos.santos@suez.com" TargetMode="External"/><Relationship Id="rId218" Type="http://schemas.openxmlformats.org/officeDocument/2006/relationships/hyperlink" Target="mailto:leandro.zunkowski@suez.com" TargetMode="External"/><Relationship Id="rId271" Type="http://schemas.openxmlformats.org/officeDocument/2006/relationships/hyperlink" Target="mailto:fernanda.kaiser@suez.com" TargetMode="External"/><Relationship Id="rId24" Type="http://schemas.openxmlformats.org/officeDocument/2006/relationships/hyperlink" Target="mailto:felipe.viegas@suez.com" TargetMode="External"/><Relationship Id="rId66" Type="http://schemas.openxmlformats.org/officeDocument/2006/relationships/hyperlink" Target="mailto:tatiana.almeida@suez.com" TargetMode="External"/><Relationship Id="rId131" Type="http://schemas.openxmlformats.org/officeDocument/2006/relationships/hyperlink" Target="mailto:rodrigo.silva@suez.com" TargetMode="External"/><Relationship Id="rId327" Type="http://schemas.openxmlformats.org/officeDocument/2006/relationships/hyperlink" Target="mailto:rodrigo.silva@suez.com" TargetMode="External"/><Relationship Id="rId369" Type="http://schemas.openxmlformats.org/officeDocument/2006/relationships/hyperlink" Target="mailto:gustavo.santana@suez.com" TargetMode="External"/><Relationship Id="rId173" Type="http://schemas.openxmlformats.org/officeDocument/2006/relationships/hyperlink" Target="mailto:marcelo.soto@suez.com" TargetMode="External"/><Relationship Id="rId229" Type="http://schemas.openxmlformats.org/officeDocument/2006/relationships/hyperlink" Target="mailto:giovana.tardelli@suez.com" TargetMode="External"/><Relationship Id="rId380" Type="http://schemas.openxmlformats.org/officeDocument/2006/relationships/hyperlink" Target="mailto:ronaldo.melo@suez.com" TargetMode="External"/><Relationship Id="rId240" Type="http://schemas.openxmlformats.org/officeDocument/2006/relationships/hyperlink" Target="mailto:gabriel.lourenco@suez.com" TargetMode="External"/><Relationship Id="rId35" Type="http://schemas.openxmlformats.org/officeDocument/2006/relationships/hyperlink" Target="mailto:luiz.silva@suez.com" TargetMode="External"/><Relationship Id="rId77" Type="http://schemas.openxmlformats.org/officeDocument/2006/relationships/hyperlink" Target="mailto:daniel.atala@suez.com" TargetMode="External"/><Relationship Id="rId100" Type="http://schemas.openxmlformats.org/officeDocument/2006/relationships/hyperlink" Target="mailto:amadeu.peixoto@suez.com" TargetMode="External"/><Relationship Id="rId282" Type="http://schemas.openxmlformats.org/officeDocument/2006/relationships/hyperlink" Target="mailto:rodrigo.silva@suez.com" TargetMode="External"/><Relationship Id="rId338" Type="http://schemas.openxmlformats.org/officeDocument/2006/relationships/hyperlink" Target="mailto:rafael.nascimento@suez.com" TargetMode="External"/><Relationship Id="rId8" Type="http://schemas.openxmlformats.org/officeDocument/2006/relationships/hyperlink" Target="mailto:eduardo.mello@suez.com" TargetMode="External"/><Relationship Id="rId142" Type="http://schemas.openxmlformats.org/officeDocument/2006/relationships/hyperlink" Target="mailto:rafael.nascimento@suez.com" TargetMode="External"/><Relationship Id="rId184" Type="http://schemas.openxmlformats.org/officeDocument/2006/relationships/hyperlink" Target="mailto:an.santos@suez.com" TargetMode="External"/><Relationship Id="rId391" Type="http://schemas.openxmlformats.org/officeDocument/2006/relationships/hyperlink" Target="mailto:ronaldo.melo@suez.com" TargetMode="External"/><Relationship Id="rId405" Type="http://schemas.openxmlformats.org/officeDocument/2006/relationships/hyperlink" Target="mailto:thiago.garcia@suez.com" TargetMode="External"/><Relationship Id="rId251" Type="http://schemas.openxmlformats.org/officeDocument/2006/relationships/hyperlink" Target="mailto:ozeas.rufino@suez.com" TargetMode="External"/><Relationship Id="rId46" Type="http://schemas.openxmlformats.org/officeDocument/2006/relationships/hyperlink" Target="mailto:rafael.nascimento@suez.com" TargetMode="External"/><Relationship Id="rId293" Type="http://schemas.openxmlformats.org/officeDocument/2006/relationships/hyperlink" Target="mailto:leonardo.goncalves@suez.com" TargetMode="External"/><Relationship Id="rId307" Type="http://schemas.openxmlformats.org/officeDocument/2006/relationships/hyperlink" Target="mailto:marcelo.soto@suez.com" TargetMode="External"/><Relationship Id="rId349" Type="http://schemas.openxmlformats.org/officeDocument/2006/relationships/hyperlink" Target="mailto:aliny.nunes@suez.com" TargetMode="External"/><Relationship Id="rId88" Type="http://schemas.openxmlformats.org/officeDocument/2006/relationships/hyperlink" Target="mailto:marcelo.soto@suez.com" TargetMode="External"/><Relationship Id="rId111" Type="http://schemas.openxmlformats.org/officeDocument/2006/relationships/hyperlink" Target="mailto:rodrigo.silva@suez.com" TargetMode="External"/><Relationship Id="rId153" Type="http://schemas.openxmlformats.org/officeDocument/2006/relationships/hyperlink" Target="mailto:ana.oliveira@suez.com" TargetMode="External"/><Relationship Id="rId195" Type="http://schemas.openxmlformats.org/officeDocument/2006/relationships/hyperlink" Target="mailto:deivid.elias@suez.com" TargetMode="External"/><Relationship Id="rId209" Type="http://schemas.openxmlformats.org/officeDocument/2006/relationships/hyperlink" Target="mailto:an.santos@suez.com" TargetMode="External"/><Relationship Id="rId360" Type="http://schemas.openxmlformats.org/officeDocument/2006/relationships/hyperlink" Target="mailto:gerson.miranda@suez.com" TargetMode="External"/><Relationship Id="rId220" Type="http://schemas.openxmlformats.org/officeDocument/2006/relationships/hyperlink" Target="mailto:leandro.zunkowski@suez.com" TargetMode="External"/><Relationship Id="rId15" Type="http://schemas.openxmlformats.org/officeDocument/2006/relationships/hyperlink" Target="mailto:gabriel.lourenco@suez.com" TargetMode="External"/><Relationship Id="rId57" Type="http://schemas.openxmlformats.org/officeDocument/2006/relationships/hyperlink" Target="mailto:luiz.silva@suez.com" TargetMode="External"/><Relationship Id="rId262" Type="http://schemas.openxmlformats.org/officeDocument/2006/relationships/hyperlink" Target="mailto:gustavo.santana@suez.com" TargetMode="External"/><Relationship Id="rId318" Type="http://schemas.openxmlformats.org/officeDocument/2006/relationships/hyperlink" Target="mailto:tatiana.almeida@suez.com" TargetMode="External"/><Relationship Id="rId99" Type="http://schemas.openxmlformats.org/officeDocument/2006/relationships/hyperlink" Target="mailto:amadeu.peixoto@suez.com" TargetMode="External"/><Relationship Id="rId122" Type="http://schemas.openxmlformats.org/officeDocument/2006/relationships/hyperlink" Target="mailto:rodrigo.silva@suez.com" TargetMode="External"/><Relationship Id="rId164" Type="http://schemas.openxmlformats.org/officeDocument/2006/relationships/hyperlink" Target="mailto:carlos.santos@suez.com" TargetMode="External"/><Relationship Id="rId371" Type="http://schemas.openxmlformats.org/officeDocument/2006/relationships/hyperlink" Target="mailto:rodrigo.amaro@suez.com" TargetMode="External"/><Relationship Id="rId26" Type="http://schemas.openxmlformats.org/officeDocument/2006/relationships/hyperlink" Target="mailto:flaminio.neto@suez.com" TargetMode="External"/><Relationship Id="rId231" Type="http://schemas.openxmlformats.org/officeDocument/2006/relationships/hyperlink" Target="mailto:a.ribeiro@suez.com" TargetMode="External"/><Relationship Id="rId273" Type="http://schemas.openxmlformats.org/officeDocument/2006/relationships/hyperlink" Target="mailto:fernanda.kaiser@suez.com" TargetMode="External"/><Relationship Id="rId329" Type="http://schemas.openxmlformats.org/officeDocument/2006/relationships/hyperlink" Target="mailto:rodrigo.silva@suez.com" TargetMode="External"/><Relationship Id="rId68" Type="http://schemas.openxmlformats.org/officeDocument/2006/relationships/hyperlink" Target="mailto:thiago.morais@suez.com" TargetMode="External"/><Relationship Id="rId133" Type="http://schemas.openxmlformats.org/officeDocument/2006/relationships/hyperlink" Target="mailto:william.leiteromano@suez.com" TargetMode="External"/><Relationship Id="rId175" Type="http://schemas.openxmlformats.org/officeDocument/2006/relationships/hyperlink" Target="mailto:an.santos@suez.com" TargetMode="External"/><Relationship Id="rId340" Type="http://schemas.openxmlformats.org/officeDocument/2006/relationships/hyperlink" Target="mailto:rafael.nascimento@suez.com" TargetMode="External"/><Relationship Id="rId200" Type="http://schemas.openxmlformats.org/officeDocument/2006/relationships/hyperlink" Target="mailto:glauber.ruiz@suez.com" TargetMode="External"/><Relationship Id="rId382" Type="http://schemas.openxmlformats.org/officeDocument/2006/relationships/hyperlink" Target="mailto:ronaldo.melo@suez.com" TargetMode="External"/><Relationship Id="rId242" Type="http://schemas.openxmlformats.org/officeDocument/2006/relationships/hyperlink" Target="mailto:hugo.cavalcante@suez.com" TargetMode="External"/><Relationship Id="rId284" Type="http://schemas.openxmlformats.org/officeDocument/2006/relationships/hyperlink" Target="mailto:rodrigo.silva@suez.com" TargetMode="External"/><Relationship Id="rId37" Type="http://schemas.openxmlformats.org/officeDocument/2006/relationships/hyperlink" Target="mailto:fabiano.argolo@suez.com" TargetMode="External"/><Relationship Id="rId79" Type="http://schemas.openxmlformats.org/officeDocument/2006/relationships/hyperlink" Target="mailto:karla.perin@suez.com" TargetMode="External"/><Relationship Id="rId102" Type="http://schemas.openxmlformats.org/officeDocument/2006/relationships/hyperlink" Target="mailto:amadeu.peixoto@suez.com" TargetMode="External"/><Relationship Id="rId144" Type="http://schemas.openxmlformats.org/officeDocument/2006/relationships/hyperlink" Target="mailto:rafael.nascimento@suez.com" TargetMode="External"/><Relationship Id="rId90" Type="http://schemas.openxmlformats.org/officeDocument/2006/relationships/hyperlink" Target="mailto:marcelo.soto@suez.com" TargetMode="External"/><Relationship Id="rId186" Type="http://schemas.openxmlformats.org/officeDocument/2006/relationships/hyperlink" Target="mailto:an.santos@suez.com" TargetMode="External"/><Relationship Id="rId351" Type="http://schemas.openxmlformats.org/officeDocument/2006/relationships/hyperlink" Target="mailto:marcelo.soto@suez.com" TargetMode="External"/><Relationship Id="rId393" Type="http://schemas.openxmlformats.org/officeDocument/2006/relationships/hyperlink" Target="mailto:adriano.ribeiro@suez.com" TargetMode="External"/><Relationship Id="rId407" Type="http://schemas.openxmlformats.org/officeDocument/2006/relationships/hyperlink" Target="mailto:thiago.garcia@suez.com" TargetMode="External"/><Relationship Id="rId211" Type="http://schemas.openxmlformats.org/officeDocument/2006/relationships/hyperlink" Target="mailto:kleber.silva@suez.com" TargetMode="External"/><Relationship Id="rId253" Type="http://schemas.openxmlformats.org/officeDocument/2006/relationships/hyperlink" Target="mailto:luiz.silva@suez.com" TargetMode="External"/><Relationship Id="rId295" Type="http://schemas.openxmlformats.org/officeDocument/2006/relationships/hyperlink" Target="mailto:marcelo.soto@suez.com" TargetMode="External"/><Relationship Id="rId309" Type="http://schemas.openxmlformats.org/officeDocument/2006/relationships/hyperlink" Target="mailto:itana.souza@suez.com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mailto:mauricio.borges@suez.com" TargetMode="External"/><Relationship Id="rId299" Type="http://schemas.openxmlformats.org/officeDocument/2006/relationships/hyperlink" Target="mailto:an.santos@suez.com" TargetMode="External"/><Relationship Id="rId21" Type="http://schemas.openxmlformats.org/officeDocument/2006/relationships/hyperlink" Target="mailto:gabriel.lourenco@suez.com" TargetMode="External"/><Relationship Id="rId63" Type="http://schemas.openxmlformats.org/officeDocument/2006/relationships/hyperlink" Target="mailto:rafael.nascimento@suez.com" TargetMode="External"/><Relationship Id="rId159" Type="http://schemas.openxmlformats.org/officeDocument/2006/relationships/hyperlink" Target="mailto:amadeu.peixoto@suez.com" TargetMode="External"/><Relationship Id="rId170" Type="http://schemas.openxmlformats.org/officeDocument/2006/relationships/hyperlink" Target="mailto:rodrigo.silva@suez.com" TargetMode="External"/><Relationship Id="rId226" Type="http://schemas.openxmlformats.org/officeDocument/2006/relationships/hyperlink" Target="mailto:rafael.nascimento@suez.com" TargetMode="External"/><Relationship Id="rId268" Type="http://schemas.openxmlformats.org/officeDocument/2006/relationships/hyperlink" Target="mailto:miguel.frug@suez.com" TargetMode="External"/><Relationship Id="rId32" Type="http://schemas.openxmlformats.org/officeDocument/2006/relationships/hyperlink" Target="mailto:felipe.viegas@suez.com" TargetMode="External"/><Relationship Id="rId74" Type="http://schemas.openxmlformats.org/officeDocument/2006/relationships/hyperlink" Target="mailto:rodrigo.amaro@suez.com" TargetMode="External"/><Relationship Id="rId128" Type="http://schemas.openxmlformats.org/officeDocument/2006/relationships/hyperlink" Target="mailto:karla.perin@suez.com" TargetMode="External"/><Relationship Id="rId5" Type="http://schemas.openxmlformats.org/officeDocument/2006/relationships/hyperlink" Target="mailto:anderson.souza@suez.com" TargetMode="External"/><Relationship Id="rId181" Type="http://schemas.openxmlformats.org/officeDocument/2006/relationships/hyperlink" Target="mailto:rodrigo.silva@suez.com" TargetMode="External"/><Relationship Id="rId237" Type="http://schemas.openxmlformats.org/officeDocument/2006/relationships/hyperlink" Target="mailto:giovana.tardelli@suez.com" TargetMode="External"/><Relationship Id="rId279" Type="http://schemas.openxmlformats.org/officeDocument/2006/relationships/hyperlink" Target="mailto:marcelo.soto@suez.com" TargetMode="External"/><Relationship Id="rId43" Type="http://schemas.openxmlformats.org/officeDocument/2006/relationships/hyperlink" Target="mailto:jose.nascimento@suez.com" TargetMode="External"/><Relationship Id="rId139" Type="http://schemas.openxmlformats.org/officeDocument/2006/relationships/hyperlink" Target="mailto:marcelo.soto@suez.com" TargetMode="External"/><Relationship Id="rId290" Type="http://schemas.openxmlformats.org/officeDocument/2006/relationships/hyperlink" Target="mailto:an.santos@suez.com" TargetMode="External"/><Relationship Id="rId85" Type="http://schemas.openxmlformats.org/officeDocument/2006/relationships/hyperlink" Target="mailto:william.leiteromano@suez.com" TargetMode="External"/><Relationship Id="rId150" Type="http://schemas.openxmlformats.org/officeDocument/2006/relationships/hyperlink" Target="mailto:marcelo.soto@suez.com" TargetMode="External"/><Relationship Id="rId192" Type="http://schemas.openxmlformats.org/officeDocument/2006/relationships/hyperlink" Target="mailto:rodrigo.silva@suez.com" TargetMode="External"/><Relationship Id="rId206" Type="http://schemas.openxmlformats.org/officeDocument/2006/relationships/hyperlink" Target="mailto:rodrigo.silva@suez.com" TargetMode="External"/><Relationship Id="rId248" Type="http://schemas.openxmlformats.org/officeDocument/2006/relationships/hyperlink" Target="mailto:rodrigo.amaro@suez.com" TargetMode="External"/><Relationship Id="rId12" Type="http://schemas.openxmlformats.org/officeDocument/2006/relationships/hyperlink" Target="mailto:deivid.elias@suez.com" TargetMode="External"/><Relationship Id="rId108" Type="http://schemas.openxmlformats.org/officeDocument/2006/relationships/hyperlink" Target="mailto:thiago.morais@suez.com" TargetMode="External"/><Relationship Id="rId54" Type="http://schemas.openxmlformats.org/officeDocument/2006/relationships/hyperlink" Target="mailto:rafaela.gomes@suez.com" TargetMode="External"/><Relationship Id="rId75" Type="http://schemas.openxmlformats.org/officeDocument/2006/relationships/hyperlink" Target="mailto:rodrigo.amaro@suez.com" TargetMode="External"/><Relationship Id="rId96" Type="http://schemas.openxmlformats.org/officeDocument/2006/relationships/hyperlink" Target="mailto:tatiana.almeida@suez.com" TargetMode="External"/><Relationship Id="rId140" Type="http://schemas.openxmlformats.org/officeDocument/2006/relationships/hyperlink" Target="mailto:marcelo.soto@suez.com" TargetMode="External"/><Relationship Id="rId161" Type="http://schemas.openxmlformats.org/officeDocument/2006/relationships/hyperlink" Target="mailto:amadeu.peixoto@suez.com" TargetMode="External"/><Relationship Id="rId182" Type="http://schemas.openxmlformats.org/officeDocument/2006/relationships/hyperlink" Target="mailto:rodrigo.silva@suez.com" TargetMode="External"/><Relationship Id="rId217" Type="http://schemas.openxmlformats.org/officeDocument/2006/relationships/hyperlink" Target="mailto:rafael.nascimento@suez.com" TargetMode="External"/><Relationship Id="rId6" Type="http://schemas.openxmlformats.org/officeDocument/2006/relationships/hyperlink" Target="mailto:anderson.souza@suez.com" TargetMode="External"/><Relationship Id="rId238" Type="http://schemas.openxmlformats.org/officeDocument/2006/relationships/hyperlink" Target="mailto:ana.oliveira@suez.com" TargetMode="External"/><Relationship Id="rId259" Type="http://schemas.openxmlformats.org/officeDocument/2006/relationships/hyperlink" Target="mailto:adalberto.diniz@suez.com" TargetMode="External"/><Relationship Id="rId23" Type="http://schemas.openxmlformats.org/officeDocument/2006/relationships/hyperlink" Target="mailto:gerson.miranda@suez.com" TargetMode="External"/><Relationship Id="rId119" Type="http://schemas.openxmlformats.org/officeDocument/2006/relationships/hyperlink" Target="mailto:renato.chialastri@suez.com" TargetMode="External"/><Relationship Id="rId270" Type="http://schemas.openxmlformats.org/officeDocument/2006/relationships/hyperlink" Target="mailto:osvaldo.melo@suez.com" TargetMode="External"/><Relationship Id="rId291" Type="http://schemas.openxmlformats.org/officeDocument/2006/relationships/hyperlink" Target="mailto:an.santos@suez.com" TargetMode="External"/><Relationship Id="rId44" Type="http://schemas.openxmlformats.org/officeDocument/2006/relationships/hyperlink" Target="mailto:jose.nascimento@suez.com" TargetMode="External"/><Relationship Id="rId65" Type="http://schemas.openxmlformats.org/officeDocument/2006/relationships/hyperlink" Target="mailto:rafael.nascimento@suez.com" TargetMode="External"/><Relationship Id="rId86" Type="http://schemas.openxmlformats.org/officeDocument/2006/relationships/hyperlink" Target="mailto:tatiana.almeida@suez.com" TargetMode="External"/><Relationship Id="rId130" Type="http://schemas.openxmlformats.org/officeDocument/2006/relationships/hyperlink" Target="mailto:rafael.campos@suez.com" TargetMode="External"/><Relationship Id="rId151" Type="http://schemas.openxmlformats.org/officeDocument/2006/relationships/hyperlink" Target="mailto:marcelo.soto@suez.com" TargetMode="External"/><Relationship Id="rId172" Type="http://schemas.openxmlformats.org/officeDocument/2006/relationships/hyperlink" Target="mailto:rodrigo.silva@suez.com" TargetMode="External"/><Relationship Id="rId193" Type="http://schemas.openxmlformats.org/officeDocument/2006/relationships/hyperlink" Target="mailto:rodrigo.silva@suez.com" TargetMode="External"/><Relationship Id="rId207" Type="http://schemas.openxmlformats.org/officeDocument/2006/relationships/hyperlink" Target="mailto:marcelo.soto@suez.com" TargetMode="External"/><Relationship Id="rId228" Type="http://schemas.openxmlformats.org/officeDocument/2006/relationships/hyperlink" Target="mailto:rafael.nascimento@suez.com" TargetMode="External"/><Relationship Id="rId249" Type="http://schemas.openxmlformats.org/officeDocument/2006/relationships/hyperlink" Target="mailto:rodrigo.amaro@suez.com" TargetMode="External"/><Relationship Id="rId13" Type="http://schemas.openxmlformats.org/officeDocument/2006/relationships/hyperlink" Target="mailto:eduardo.mello@suez.com" TargetMode="External"/><Relationship Id="rId109" Type="http://schemas.openxmlformats.org/officeDocument/2006/relationships/hyperlink" Target="mailto:thiago.morais@suez.com" TargetMode="External"/><Relationship Id="rId260" Type="http://schemas.openxmlformats.org/officeDocument/2006/relationships/hyperlink" Target="mailto:adalberto.diniz@suez.com" TargetMode="External"/><Relationship Id="rId281" Type="http://schemas.openxmlformats.org/officeDocument/2006/relationships/hyperlink" Target="mailto:adalberto.diniz@suez.com" TargetMode="External"/><Relationship Id="rId34" Type="http://schemas.openxmlformats.org/officeDocument/2006/relationships/hyperlink" Target="mailto:flaminio.neto@suez.com" TargetMode="External"/><Relationship Id="rId55" Type="http://schemas.openxmlformats.org/officeDocument/2006/relationships/hyperlink" Target="mailto:luiz.silva@suez.com" TargetMode="External"/><Relationship Id="rId76" Type="http://schemas.openxmlformats.org/officeDocument/2006/relationships/hyperlink" Target="mailto:rodrigo.amaro@suez.com" TargetMode="External"/><Relationship Id="rId97" Type="http://schemas.openxmlformats.org/officeDocument/2006/relationships/hyperlink" Target="mailto:tatiana.almeida@suez.com" TargetMode="External"/><Relationship Id="rId120" Type="http://schemas.openxmlformats.org/officeDocument/2006/relationships/hyperlink" Target="mailto:renato.chialastri@suez.com" TargetMode="External"/><Relationship Id="rId141" Type="http://schemas.openxmlformats.org/officeDocument/2006/relationships/hyperlink" Target="mailto:marcelo.soto@suez.com" TargetMode="External"/><Relationship Id="rId7" Type="http://schemas.openxmlformats.org/officeDocument/2006/relationships/hyperlink" Target="mailto:anderson.souza@suez.com" TargetMode="External"/><Relationship Id="rId162" Type="http://schemas.openxmlformats.org/officeDocument/2006/relationships/hyperlink" Target="mailto:amadeu.peixoto@suez.com" TargetMode="External"/><Relationship Id="rId183" Type="http://schemas.openxmlformats.org/officeDocument/2006/relationships/hyperlink" Target="mailto:rodrigo.silva@suez.com" TargetMode="External"/><Relationship Id="rId218" Type="http://schemas.openxmlformats.org/officeDocument/2006/relationships/hyperlink" Target="mailto:rafael.nascimento@suez.com" TargetMode="External"/><Relationship Id="rId239" Type="http://schemas.openxmlformats.org/officeDocument/2006/relationships/hyperlink" Target="mailto:ana.oliveira@suez.com" TargetMode="External"/><Relationship Id="rId250" Type="http://schemas.openxmlformats.org/officeDocument/2006/relationships/hyperlink" Target="mailto:felipe.viegas@suez.com" TargetMode="External"/><Relationship Id="rId271" Type="http://schemas.openxmlformats.org/officeDocument/2006/relationships/hyperlink" Target="mailto:osvaldo.melo@suez.com" TargetMode="External"/><Relationship Id="rId292" Type="http://schemas.openxmlformats.org/officeDocument/2006/relationships/hyperlink" Target="mailto:an.santos@suez.com" TargetMode="External"/><Relationship Id="rId24" Type="http://schemas.openxmlformats.org/officeDocument/2006/relationships/hyperlink" Target="mailto:felipe.viegas@suez.com" TargetMode="External"/><Relationship Id="rId45" Type="http://schemas.openxmlformats.org/officeDocument/2006/relationships/hyperlink" Target="mailto:jobson-rodrigo.silva@suez.com" TargetMode="External"/><Relationship Id="rId66" Type="http://schemas.openxmlformats.org/officeDocument/2006/relationships/hyperlink" Target="mailto:rafael.nascimento@suez.com" TargetMode="External"/><Relationship Id="rId87" Type="http://schemas.openxmlformats.org/officeDocument/2006/relationships/hyperlink" Target="mailto:tatiana.almeida@suez.com" TargetMode="External"/><Relationship Id="rId110" Type="http://schemas.openxmlformats.org/officeDocument/2006/relationships/hyperlink" Target="mailto:an.santos@suez.com" TargetMode="External"/><Relationship Id="rId131" Type="http://schemas.openxmlformats.org/officeDocument/2006/relationships/hyperlink" Target="mailto:rafael.campos@suez.com" TargetMode="External"/><Relationship Id="rId152" Type="http://schemas.openxmlformats.org/officeDocument/2006/relationships/hyperlink" Target="mailto:marcelo.soto@suez.com" TargetMode="External"/><Relationship Id="rId173" Type="http://schemas.openxmlformats.org/officeDocument/2006/relationships/hyperlink" Target="mailto:rodrigo.silva@suez.com" TargetMode="External"/><Relationship Id="rId194" Type="http://schemas.openxmlformats.org/officeDocument/2006/relationships/hyperlink" Target="mailto:rodrigo.silva@suez.com" TargetMode="External"/><Relationship Id="rId208" Type="http://schemas.openxmlformats.org/officeDocument/2006/relationships/hyperlink" Target="mailto:marcelo.soto@suez.com" TargetMode="External"/><Relationship Id="rId229" Type="http://schemas.openxmlformats.org/officeDocument/2006/relationships/hyperlink" Target="mailto:paulo.corsete@suez.com" TargetMode="External"/><Relationship Id="rId240" Type="http://schemas.openxmlformats.org/officeDocument/2006/relationships/hyperlink" Target="mailto:felipe.viegas@suez.com" TargetMode="External"/><Relationship Id="rId261" Type="http://schemas.openxmlformats.org/officeDocument/2006/relationships/hyperlink" Target="mailto:carlos.santos@suez.com" TargetMode="External"/><Relationship Id="rId14" Type="http://schemas.openxmlformats.org/officeDocument/2006/relationships/hyperlink" Target="mailto:eduardo.mello@suez.com" TargetMode="External"/><Relationship Id="rId35" Type="http://schemas.openxmlformats.org/officeDocument/2006/relationships/hyperlink" Target="mailto:flaminio.neto@suez.com" TargetMode="External"/><Relationship Id="rId56" Type="http://schemas.openxmlformats.org/officeDocument/2006/relationships/hyperlink" Target="mailto:matheus.bahr@suez.com" TargetMode="External"/><Relationship Id="rId77" Type="http://schemas.openxmlformats.org/officeDocument/2006/relationships/hyperlink" Target="mailto:romildo.goncalves@suez.com" TargetMode="External"/><Relationship Id="rId100" Type="http://schemas.openxmlformats.org/officeDocument/2006/relationships/hyperlink" Target="mailto:tatiana.almeida@suez.com" TargetMode="External"/><Relationship Id="rId282" Type="http://schemas.openxmlformats.org/officeDocument/2006/relationships/hyperlink" Target="mailto:an.santos@suez.com" TargetMode="External"/><Relationship Id="rId8" Type="http://schemas.openxmlformats.org/officeDocument/2006/relationships/hyperlink" Target="mailto:rafaela.gomes@suez.com" TargetMode="External"/><Relationship Id="rId98" Type="http://schemas.openxmlformats.org/officeDocument/2006/relationships/hyperlink" Target="mailto:tatiana.almeida@suez.com" TargetMode="External"/><Relationship Id="rId121" Type="http://schemas.openxmlformats.org/officeDocument/2006/relationships/hyperlink" Target="mailto:davi.santos@suez.com" TargetMode="External"/><Relationship Id="rId142" Type="http://schemas.openxmlformats.org/officeDocument/2006/relationships/hyperlink" Target="mailto:marcelo.soto@suez.com" TargetMode="External"/><Relationship Id="rId163" Type="http://schemas.openxmlformats.org/officeDocument/2006/relationships/hyperlink" Target="mailto:vinicius.paula@suez.com" TargetMode="External"/><Relationship Id="rId184" Type="http://schemas.openxmlformats.org/officeDocument/2006/relationships/hyperlink" Target="mailto:rodrigo.silva@suez.com" TargetMode="External"/><Relationship Id="rId219" Type="http://schemas.openxmlformats.org/officeDocument/2006/relationships/hyperlink" Target="mailto:rafael.nascimento@suez.com" TargetMode="External"/><Relationship Id="rId230" Type="http://schemas.openxmlformats.org/officeDocument/2006/relationships/hyperlink" Target="mailto:paulo.corsete@suez.com" TargetMode="External"/><Relationship Id="rId251" Type="http://schemas.openxmlformats.org/officeDocument/2006/relationships/hyperlink" Target="mailto:felipe.viegas@suez.com" TargetMode="External"/><Relationship Id="rId25" Type="http://schemas.openxmlformats.org/officeDocument/2006/relationships/hyperlink" Target="mailto:felipe.viegas@suez.com" TargetMode="External"/><Relationship Id="rId46" Type="http://schemas.openxmlformats.org/officeDocument/2006/relationships/hyperlink" Target="mailto:izack.gomes@suez.com" TargetMode="External"/><Relationship Id="rId67" Type="http://schemas.openxmlformats.org/officeDocument/2006/relationships/hyperlink" Target="mailto:rafael.nascimento@suez.com" TargetMode="External"/><Relationship Id="rId272" Type="http://schemas.openxmlformats.org/officeDocument/2006/relationships/hyperlink" Target="mailto:osvaldo.melo@suez.com" TargetMode="External"/><Relationship Id="rId293" Type="http://schemas.openxmlformats.org/officeDocument/2006/relationships/hyperlink" Target="mailto:an.santos@suez.com" TargetMode="External"/><Relationship Id="rId88" Type="http://schemas.openxmlformats.org/officeDocument/2006/relationships/hyperlink" Target="mailto:tatiana.almeida@suez.com" TargetMode="External"/><Relationship Id="rId111" Type="http://schemas.openxmlformats.org/officeDocument/2006/relationships/hyperlink" Target="mailto:an.santos@suez.com" TargetMode="External"/><Relationship Id="rId132" Type="http://schemas.openxmlformats.org/officeDocument/2006/relationships/hyperlink" Target="mailto:yure.queiroz@suez.com" TargetMode="External"/><Relationship Id="rId153" Type="http://schemas.openxmlformats.org/officeDocument/2006/relationships/hyperlink" Target="mailto:amadeu.peixoto@suez.com" TargetMode="External"/><Relationship Id="rId174" Type="http://schemas.openxmlformats.org/officeDocument/2006/relationships/hyperlink" Target="mailto:rodrigo.silva@suez.com" TargetMode="External"/><Relationship Id="rId195" Type="http://schemas.openxmlformats.org/officeDocument/2006/relationships/hyperlink" Target="mailto:rodrigo.silva@suez.com" TargetMode="External"/><Relationship Id="rId209" Type="http://schemas.openxmlformats.org/officeDocument/2006/relationships/hyperlink" Target="mailto:edmilson.santos@suez.com" TargetMode="External"/><Relationship Id="rId220" Type="http://schemas.openxmlformats.org/officeDocument/2006/relationships/hyperlink" Target="mailto:rafael.nascimento@suez.com" TargetMode="External"/><Relationship Id="rId241" Type="http://schemas.openxmlformats.org/officeDocument/2006/relationships/hyperlink" Target="mailto:felipe.viegas@suez.com" TargetMode="External"/><Relationship Id="rId15" Type="http://schemas.openxmlformats.org/officeDocument/2006/relationships/hyperlink" Target="mailto:eduardo.mello@suez.com" TargetMode="External"/><Relationship Id="rId36" Type="http://schemas.openxmlformats.org/officeDocument/2006/relationships/hyperlink" Target="mailto:flaminio.neto@suez.com" TargetMode="External"/><Relationship Id="rId57" Type="http://schemas.openxmlformats.org/officeDocument/2006/relationships/hyperlink" Target="mailto:matheus.ferreira@suez.com" TargetMode="External"/><Relationship Id="rId262" Type="http://schemas.openxmlformats.org/officeDocument/2006/relationships/hyperlink" Target="mailto:carlos.santos@suez.com" TargetMode="External"/><Relationship Id="rId283" Type="http://schemas.openxmlformats.org/officeDocument/2006/relationships/hyperlink" Target="mailto:an.santos@suez.com" TargetMode="External"/><Relationship Id="rId78" Type="http://schemas.openxmlformats.org/officeDocument/2006/relationships/hyperlink" Target="mailto:romildo.goncalves@suez.com" TargetMode="External"/><Relationship Id="rId99" Type="http://schemas.openxmlformats.org/officeDocument/2006/relationships/hyperlink" Target="mailto:tatiana.almeida@suez.com" TargetMode="External"/><Relationship Id="rId101" Type="http://schemas.openxmlformats.org/officeDocument/2006/relationships/hyperlink" Target="mailto:tatiana.almeida@suez.com" TargetMode="External"/><Relationship Id="rId122" Type="http://schemas.openxmlformats.org/officeDocument/2006/relationships/hyperlink" Target="mailto:renato.chialastri@suez.com" TargetMode="External"/><Relationship Id="rId143" Type="http://schemas.openxmlformats.org/officeDocument/2006/relationships/hyperlink" Target="mailto:marcelo.soto@suez.com" TargetMode="External"/><Relationship Id="rId164" Type="http://schemas.openxmlformats.org/officeDocument/2006/relationships/hyperlink" Target="mailto:vinicius.paula@suez.com" TargetMode="External"/><Relationship Id="rId185" Type="http://schemas.openxmlformats.org/officeDocument/2006/relationships/hyperlink" Target="mailto:rodrigo.silva@suez.com" TargetMode="External"/><Relationship Id="rId9" Type="http://schemas.openxmlformats.org/officeDocument/2006/relationships/hyperlink" Target="mailto:davi.santos@suez.com" TargetMode="External"/><Relationship Id="rId210" Type="http://schemas.openxmlformats.org/officeDocument/2006/relationships/hyperlink" Target="mailto:edmilson.santos@suez.com" TargetMode="External"/><Relationship Id="rId26" Type="http://schemas.openxmlformats.org/officeDocument/2006/relationships/hyperlink" Target="mailto:everton.delturqui@suez.com" TargetMode="External"/><Relationship Id="rId231" Type="http://schemas.openxmlformats.org/officeDocument/2006/relationships/hyperlink" Target="mailto:paulo.corsete@suez.com" TargetMode="External"/><Relationship Id="rId252" Type="http://schemas.openxmlformats.org/officeDocument/2006/relationships/hyperlink" Target="mailto:felipe.viegas@suez.com" TargetMode="External"/><Relationship Id="rId273" Type="http://schemas.openxmlformats.org/officeDocument/2006/relationships/hyperlink" Target="mailto:izack.gomes@suez.com" TargetMode="External"/><Relationship Id="rId294" Type="http://schemas.openxmlformats.org/officeDocument/2006/relationships/hyperlink" Target="mailto:an.santos@suez.com" TargetMode="External"/><Relationship Id="rId47" Type="http://schemas.openxmlformats.org/officeDocument/2006/relationships/hyperlink" Target="mailto:jobson-rodrigo.silva@suez.com" TargetMode="External"/><Relationship Id="rId68" Type="http://schemas.openxmlformats.org/officeDocument/2006/relationships/hyperlink" Target="mailto:rafael.nascimento@suez.com" TargetMode="External"/><Relationship Id="rId89" Type="http://schemas.openxmlformats.org/officeDocument/2006/relationships/hyperlink" Target="mailto:tatiana.almeida@suez.com" TargetMode="External"/><Relationship Id="rId112" Type="http://schemas.openxmlformats.org/officeDocument/2006/relationships/hyperlink" Target="mailto:higor.mendoncadejesus@suez.com" TargetMode="External"/><Relationship Id="rId133" Type="http://schemas.openxmlformats.org/officeDocument/2006/relationships/hyperlink" Target="mailto:kleber.silva@suez.com" TargetMode="External"/><Relationship Id="rId154" Type="http://schemas.openxmlformats.org/officeDocument/2006/relationships/hyperlink" Target="mailto:amadeu.peixoto@suez.com" TargetMode="External"/><Relationship Id="rId175" Type="http://schemas.openxmlformats.org/officeDocument/2006/relationships/hyperlink" Target="mailto:rodrigo.silva@suez.com" TargetMode="External"/><Relationship Id="rId196" Type="http://schemas.openxmlformats.org/officeDocument/2006/relationships/hyperlink" Target="mailto:rodrigo.silva@suez.com" TargetMode="External"/><Relationship Id="rId200" Type="http://schemas.openxmlformats.org/officeDocument/2006/relationships/hyperlink" Target="mailto:rodrigo.silva@suez.com" TargetMode="External"/><Relationship Id="rId16" Type="http://schemas.openxmlformats.org/officeDocument/2006/relationships/hyperlink" Target="mailto:eduardo.mello@suez.com" TargetMode="External"/><Relationship Id="rId221" Type="http://schemas.openxmlformats.org/officeDocument/2006/relationships/hyperlink" Target="mailto:rafael.nascimento@suez.com" TargetMode="External"/><Relationship Id="rId242" Type="http://schemas.openxmlformats.org/officeDocument/2006/relationships/hyperlink" Target="mailto:felipe.viegas@suez.com" TargetMode="External"/><Relationship Id="rId263" Type="http://schemas.openxmlformats.org/officeDocument/2006/relationships/hyperlink" Target="mailto:carlos.santos@suez.com" TargetMode="External"/><Relationship Id="rId284" Type="http://schemas.openxmlformats.org/officeDocument/2006/relationships/hyperlink" Target="mailto:an.santos@suez.com" TargetMode="External"/><Relationship Id="rId37" Type="http://schemas.openxmlformats.org/officeDocument/2006/relationships/hyperlink" Target="mailto:jamesson.amarodasilva@suez.com" TargetMode="External"/><Relationship Id="rId58" Type="http://schemas.openxmlformats.org/officeDocument/2006/relationships/hyperlink" Target="mailto:matheus.ferreira@suez.com" TargetMode="External"/><Relationship Id="rId79" Type="http://schemas.openxmlformats.org/officeDocument/2006/relationships/hyperlink" Target="mailto:rosangela.soares@suez.com" TargetMode="External"/><Relationship Id="rId102" Type="http://schemas.openxmlformats.org/officeDocument/2006/relationships/hyperlink" Target="mailto:tatiana.almeida@suez.com" TargetMode="External"/><Relationship Id="rId123" Type="http://schemas.openxmlformats.org/officeDocument/2006/relationships/hyperlink" Target="mailto:davi.santos@suez.com" TargetMode="External"/><Relationship Id="rId144" Type="http://schemas.openxmlformats.org/officeDocument/2006/relationships/hyperlink" Target="mailto:marcelo.soto@suez.com" TargetMode="External"/><Relationship Id="rId90" Type="http://schemas.openxmlformats.org/officeDocument/2006/relationships/hyperlink" Target="mailto:hugo.cavalcante@suez.com" TargetMode="External"/><Relationship Id="rId165" Type="http://schemas.openxmlformats.org/officeDocument/2006/relationships/hyperlink" Target="mailto:vinicius.paula@suez.com" TargetMode="External"/><Relationship Id="rId186" Type="http://schemas.openxmlformats.org/officeDocument/2006/relationships/hyperlink" Target="mailto:rodrigo.silva@suez.com" TargetMode="External"/><Relationship Id="rId211" Type="http://schemas.openxmlformats.org/officeDocument/2006/relationships/hyperlink" Target="mailto:edmilson.santos@suez.com" TargetMode="External"/><Relationship Id="rId232" Type="http://schemas.openxmlformats.org/officeDocument/2006/relationships/hyperlink" Target="mailto:paulo.corsete@suez.com" TargetMode="External"/><Relationship Id="rId253" Type="http://schemas.openxmlformats.org/officeDocument/2006/relationships/hyperlink" Target="mailto:felipe.viegas@suez.com" TargetMode="External"/><Relationship Id="rId274" Type="http://schemas.openxmlformats.org/officeDocument/2006/relationships/hyperlink" Target="mailto:amadeu.peixoto@suez.com" TargetMode="External"/><Relationship Id="rId295" Type="http://schemas.openxmlformats.org/officeDocument/2006/relationships/hyperlink" Target="mailto:an.santos@suez.com" TargetMode="External"/><Relationship Id="rId27" Type="http://schemas.openxmlformats.org/officeDocument/2006/relationships/hyperlink" Target="mailto:everton.delturqui@suez.com" TargetMode="External"/><Relationship Id="rId48" Type="http://schemas.openxmlformats.org/officeDocument/2006/relationships/hyperlink" Target="mailto:jobson-rodrigo.silva@suez.com" TargetMode="External"/><Relationship Id="rId69" Type="http://schemas.openxmlformats.org/officeDocument/2006/relationships/hyperlink" Target="mailto:rafael.nascimento@suez.com" TargetMode="External"/><Relationship Id="rId113" Type="http://schemas.openxmlformats.org/officeDocument/2006/relationships/hyperlink" Target="mailto:patricia.campos@suez.com" TargetMode="External"/><Relationship Id="rId134" Type="http://schemas.openxmlformats.org/officeDocument/2006/relationships/hyperlink" Target="mailto:kleber.silva@suez.com" TargetMode="External"/><Relationship Id="rId80" Type="http://schemas.openxmlformats.org/officeDocument/2006/relationships/hyperlink" Target="mailto:rosangela.soares@suez.com" TargetMode="External"/><Relationship Id="rId155" Type="http://schemas.openxmlformats.org/officeDocument/2006/relationships/hyperlink" Target="mailto:amadeu.peixoto@suez.com" TargetMode="External"/><Relationship Id="rId176" Type="http://schemas.openxmlformats.org/officeDocument/2006/relationships/hyperlink" Target="mailto:rodrigo.silva@suez.com" TargetMode="External"/><Relationship Id="rId197" Type="http://schemas.openxmlformats.org/officeDocument/2006/relationships/hyperlink" Target="mailto:william.leiteromano@suez.com" TargetMode="External"/><Relationship Id="rId201" Type="http://schemas.openxmlformats.org/officeDocument/2006/relationships/hyperlink" Target="mailto:rodrigo.silva@suez.com" TargetMode="External"/><Relationship Id="rId222" Type="http://schemas.openxmlformats.org/officeDocument/2006/relationships/hyperlink" Target="mailto:rafael.nascimento@suez.com" TargetMode="External"/><Relationship Id="rId243" Type="http://schemas.openxmlformats.org/officeDocument/2006/relationships/hyperlink" Target="mailto:felipe.viegas@suez.com" TargetMode="External"/><Relationship Id="rId264" Type="http://schemas.openxmlformats.org/officeDocument/2006/relationships/hyperlink" Target="mailto:carlos.santos@suez.com" TargetMode="External"/><Relationship Id="rId285" Type="http://schemas.openxmlformats.org/officeDocument/2006/relationships/hyperlink" Target="mailto:an.santos@suez.com" TargetMode="External"/><Relationship Id="rId17" Type="http://schemas.openxmlformats.org/officeDocument/2006/relationships/hyperlink" Target="mailto:eduardo.mello@suez.com" TargetMode="External"/><Relationship Id="rId38" Type="http://schemas.openxmlformats.org/officeDocument/2006/relationships/hyperlink" Target="mailto:jose.nascimento@suez.com" TargetMode="External"/><Relationship Id="rId59" Type="http://schemas.openxmlformats.org/officeDocument/2006/relationships/hyperlink" Target="mailto:miguel.frug@suez.com" TargetMode="External"/><Relationship Id="rId103" Type="http://schemas.openxmlformats.org/officeDocument/2006/relationships/hyperlink" Target="mailto:tatiana.almeida@suez.com" TargetMode="External"/><Relationship Id="rId124" Type="http://schemas.openxmlformats.org/officeDocument/2006/relationships/hyperlink" Target="mailto:davi.santos@suez.com" TargetMode="External"/><Relationship Id="rId70" Type="http://schemas.openxmlformats.org/officeDocument/2006/relationships/hyperlink" Target="mailto:rafael.nascimento@suez.com" TargetMode="External"/><Relationship Id="rId91" Type="http://schemas.openxmlformats.org/officeDocument/2006/relationships/hyperlink" Target="mailto:luiz.silva@suez.com" TargetMode="External"/><Relationship Id="rId145" Type="http://schemas.openxmlformats.org/officeDocument/2006/relationships/hyperlink" Target="mailto:marcelo.soto@suez.com" TargetMode="External"/><Relationship Id="rId166" Type="http://schemas.openxmlformats.org/officeDocument/2006/relationships/hyperlink" Target="mailto:vinicius.paula@suez.com" TargetMode="External"/><Relationship Id="rId187" Type="http://schemas.openxmlformats.org/officeDocument/2006/relationships/hyperlink" Target="mailto:rodrigo.silva@suez.com" TargetMode="External"/><Relationship Id="rId1" Type="http://schemas.openxmlformats.org/officeDocument/2006/relationships/hyperlink" Target="mailto:bianca.santos@suez.com" TargetMode="External"/><Relationship Id="rId212" Type="http://schemas.openxmlformats.org/officeDocument/2006/relationships/hyperlink" Target="mailto:edmilson.santos@suez.com" TargetMode="External"/><Relationship Id="rId233" Type="http://schemas.openxmlformats.org/officeDocument/2006/relationships/hyperlink" Target="mailto:paulo.corsete@suez.com" TargetMode="External"/><Relationship Id="rId254" Type="http://schemas.openxmlformats.org/officeDocument/2006/relationships/hyperlink" Target="mailto:carlos.santos@suez.com" TargetMode="External"/><Relationship Id="rId28" Type="http://schemas.openxmlformats.org/officeDocument/2006/relationships/hyperlink" Target="mailto:everton.delturqui@suez.com" TargetMode="External"/><Relationship Id="rId49" Type="http://schemas.openxmlformats.org/officeDocument/2006/relationships/hyperlink" Target="mailto:jobson-rodrigo.silva@suez.com" TargetMode="External"/><Relationship Id="rId114" Type="http://schemas.openxmlformats.org/officeDocument/2006/relationships/hyperlink" Target="mailto:patricia.campos@suez.com" TargetMode="External"/><Relationship Id="rId275" Type="http://schemas.openxmlformats.org/officeDocument/2006/relationships/hyperlink" Target="mailto:amadeu.peixoto@suez.com" TargetMode="External"/><Relationship Id="rId296" Type="http://schemas.openxmlformats.org/officeDocument/2006/relationships/hyperlink" Target="mailto:an.santos@suez.com" TargetMode="External"/><Relationship Id="rId300" Type="http://schemas.openxmlformats.org/officeDocument/2006/relationships/hyperlink" Target="mailto:an.santos@suez.com" TargetMode="External"/><Relationship Id="rId60" Type="http://schemas.openxmlformats.org/officeDocument/2006/relationships/hyperlink" Target="mailto:ra.silva@suez.com" TargetMode="External"/><Relationship Id="rId81" Type="http://schemas.openxmlformats.org/officeDocument/2006/relationships/hyperlink" Target="mailto:rosangela.soares@suez.com" TargetMode="External"/><Relationship Id="rId135" Type="http://schemas.openxmlformats.org/officeDocument/2006/relationships/hyperlink" Target="mailto:edmilson.santos@suez.com" TargetMode="External"/><Relationship Id="rId156" Type="http://schemas.openxmlformats.org/officeDocument/2006/relationships/hyperlink" Target="mailto:amadeu.peixoto@suez.com" TargetMode="External"/><Relationship Id="rId177" Type="http://schemas.openxmlformats.org/officeDocument/2006/relationships/hyperlink" Target="mailto:rodrigo.silva@suez.com" TargetMode="External"/><Relationship Id="rId198" Type="http://schemas.openxmlformats.org/officeDocument/2006/relationships/hyperlink" Target="mailto:william.leiteromano@suez.com" TargetMode="External"/><Relationship Id="rId202" Type="http://schemas.openxmlformats.org/officeDocument/2006/relationships/hyperlink" Target="mailto:rodrigo.silva@suez.com" TargetMode="External"/><Relationship Id="rId223" Type="http://schemas.openxmlformats.org/officeDocument/2006/relationships/hyperlink" Target="mailto:rafael.nascimento@suez.com" TargetMode="External"/><Relationship Id="rId244" Type="http://schemas.openxmlformats.org/officeDocument/2006/relationships/hyperlink" Target="mailto:rodrigo.amaro@suez.com" TargetMode="External"/><Relationship Id="rId18" Type="http://schemas.openxmlformats.org/officeDocument/2006/relationships/hyperlink" Target="mailto:eduardo.mello@suez.com" TargetMode="External"/><Relationship Id="rId39" Type="http://schemas.openxmlformats.org/officeDocument/2006/relationships/hyperlink" Target="mailto:jose.nascimento@suez.com" TargetMode="External"/><Relationship Id="rId265" Type="http://schemas.openxmlformats.org/officeDocument/2006/relationships/hyperlink" Target="mailto:carlos.santos@suez.com" TargetMode="External"/><Relationship Id="rId286" Type="http://schemas.openxmlformats.org/officeDocument/2006/relationships/hyperlink" Target="mailto:an.santos@suez.com" TargetMode="External"/><Relationship Id="rId50" Type="http://schemas.openxmlformats.org/officeDocument/2006/relationships/hyperlink" Target="mailto:jobson-rodrigo.silva@suez.com" TargetMode="External"/><Relationship Id="rId104" Type="http://schemas.openxmlformats.org/officeDocument/2006/relationships/hyperlink" Target="mailto:tatiana.almeida@suez.com" TargetMode="External"/><Relationship Id="rId125" Type="http://schemas.openxmlformats.org/officeDocument/2006/relationships/hyperlink" Target="mailto:daniel.atala@suez.com" TargetMode="External"/><Relationship Id="rId146" Type="http://schemas.openxmlformats.org/officeDocument/2006/relationships/hyperlink" Target="mailto:marcelo.soto@suez.com" TargetMode="External"/><Relationship Id="rId167" Type="http://schemas.openxmlformats.org/officeDocument/2006/relationships/hyperlink" Target="mailto:vinicius.paula@suez.com" TargetMode="External"/><Relationship Id="rId188" Type="http://schemas.openxmlformats.org/officeDocument/2006/relationships/hyperlink" Target="mailto:rodrigo.silva@suez.com" TargetMode="External"/><Relationship Id="rId71" Type="http://schemas.openxmlformats.org/officeDocument/2006/relationships/hyperlink" Target="mailto:rafael.nascimento@suez.com" TargetMode="External"/><Relationship Id="rId92" Type="http://schemas.openxmlformats.org/officeDocument/2006/relationships/hyperlink" Target="mailto:tatiana.almeida@suez.com" TargetMode="External"/><Relationship Id="rId213" Type="http://schemas.openxmlformats.org/officeDocument/2006/relationships/hyperlink" Target="mailto:marcelo.soto@suez.com" TargetMode="External"/><Relationship Id="rId234" Type="http://schemas.openxmlformats.org/officeDocument/2006/relationships/hyperlink" Target="mailto:paulo.corsete@suez.com" TargetMode="External"/><Relationship Id="rId2" Type="http://schemas.openxmlformats.org/officeDocument/2006/relationships/hyperlink" Target="mailto:bianca.santos@suez.com" TargetMode="External"/><Relationship Id="rId29" Type="http://schemas.openxmlformats.org/officeDocument/2006/relationships/hyperlink" Target="mailto:everton.delturqui@suez.com" TargetMode="External"/><Relationship Id="rId255" Type="http://schemas.openxmlformats.org/officeDocument/2006/relationships/hyperlink" Target="mailto:davi.santos@suez.com" TargetMode="External"/><Relationship Id="rId276" Type="http://schemas.openxmlformats.org/officeDocument/2006/relationships/hyperlink" Target="mailto:ana.oliveira@suez.com" TargetMode="External"/><Relationship Id="rId297" Type="http://schemas.openxmlformats.org/officeDocument/2006/relationships/hyperlink" Target="mailto:an.santos@suez.com" TargetMode="External"/><Relationship Id="rId40" Type="http://schemas.openxmlformats.org/officeDocument/2006/relationships/hyperlink" Target="mailto:jose.nascimento@suez.com" TargetMode="External"/><Relationship Id="rId115" Type="http://schemas.openxmlformats.org/officeDocument/2006/relationships/hyperlink" Target="mailto:marcelo.soto@suez.com" TargetMode="External"/><Relationship Id="rId136" Type="http://schemas.openxmlformats.org/officeDocument/2006/relationships/hyperlink" Target="mailto:edmilson.santos@suez.com" TargetMode="External"/><Relationship Id="rId157" Type="http://schemas.openxmlformats.org/officeDocument/2006/relationships/hyperlink" Target="mailto:amadeu.peixoto@suez.com" TargetMode="External"/><Relationship Id="rId178" Type="http://schemas.openxmlformats.org/officeDocument/2006/relationships/hyperlink" Target="mailto:rodrigo.silva@suez.com" TargetMode="External"/><Relationship Id="rId61" Type="http://schemas.openxmlformats.org/officeDocument/2006/relationships/hyperlink" Target="mailto:ra.silva@suez.com" TargetMode="External"/><Relationship Id="rId82" Type="http://schemas.openxmlformats.org/officeDocument/2006/relationships/hyperlink" Target="mailto:rosangela.soares@suez.com" TargetMode="External"/><Relationship Id="rId199" Type="http://schemas.openxmlformats.org/officeDocument/2006/relationships/hyperlink" Target="mailto:william.leiteromano@suez.com" TargetMode="External"/><Relationship Id="rId203" Type="http://schemas.openxmlformats.org/officeDocument/2006/relationships/hyperlink" Target="mailto:rodrigo.silva@suez.com" TargetMode="External"/><Relationship Id="rId19" Type="http://schemas.openxmlformats.org/officeDocument/2006/relationships/hyperlink" Target="mailto:eduardo.mello@suez.com" TargetMode="External"/><Relationship Id="rId224" Type="http://schemas.openxmlformats.org/officeDocument/2006/relationships/hyperlink" Target="mailto:rafael.nascimento@suez.com" TargetMode="External"/><Relationship Id="rId245" Type="http://schemas.openxmlformats.org/officeDocument/2006/relationships/hyperlink" Target="mailto:rodrigo.amaro@suez.com" TargetMode="External"/><Relationship Id="rId266" Type="http://schemas.openxmlformats.org/officeDocument/2006/relationships/hyperlink" Target="mailto:carlos.santos@suez.com" TargetMode="External"/><Relationship Id="rId287" Type="http://schemas.openxmlformats.org/officeDocument/2006/relationships/hyperlink" Target="mailto:an.santos@suez.com" TargetMode="External"/><Relationship Id="rId30" Type="http://schemas.openxmlformats.org/officeDocument/2006/relationships/hyperlink" Target="mailto:everton.delturqui@suez.com" TargetMode="External"/><Relationship Id="rId105" Type="http://schemas.openxmlformats.org/officeDocument/2006/relationships/hyperlink" Target="mailto:thiago.morais@suez.com" TargetMode="External"/><Relationship Id="rId126" Type="http://schemas.openxmlformats.org/officeDocument/2006/relationships/hyperlink" Target="mailto:karla.perin@suez.com" TargetMode="External"/><Relationship Id="rId147" Type="http://schemas.openxmlformats.org/officeDocument/2006/relationships/hyperlink" Target="mailto:marcelo.soto@suez.com" TargetMode="External"/><Relationship Id="rId168" Type="http://schemas.openxmlformats.org/officeDocument/2006/relationships/hyperlink" Target="mailto:rodrigo.silva@suez.com" TargetMode="External"/><Relationship Id="rId51" Type="http://schemas.openxmlformats.org/officeDocument/2006/relationships/hyperlink" Target="mailto:jobson-rodrigo.silva@suez.com" TargetMode="External"/><Relationship Id="rId72" Type="http://schemas.openxmlformats.org/officeDocument/2006/relationships/hyperlink" Target="mailto:rodrigo.amaro@suez.com" TargetMode="External"/><Relationship Id="rId93" Type="http://schemas.openxmlformats.org/officeDocument/2006/relationships/hyperlink" Target="mailto:tatiana.almeida@suez.com" TargetMode="External"/><Relationship Id="rId189" Type="http://schemas.openxmlformats.org/officeDocument/2006/relationships/hyperlink" Target="mailto:rodrigo.silva@suez.com" TargetMode="External"/><Relationship Id="rId3" Type="http://schemas.openxmlformats.org/officeDocument/2006/relationships/hyperlink" Target="mailto:bianca.santos@suez.com" TargetMode="External"/><Relationship Id="rId214" Type="http://schemas.openxmlformats.org/officeDocument/2006/relationships/hyperlink" Target="mailto:rafael.nascimento@suez.com" TargetMode="External"/><Relationship Id="rId235" Type="http://schemas.openxmlformats.org/officeDocument/2006/relationships/hyperlink" Target="mailto:paulo.corsete@suez.com" TargetMode="External"/><Relationship Id="rId256" Type="http://schemas.openxmlformats.org/officeDocument/2006/relationships/hyperlink" Target="mailto:davi.santos@suez.com" TargetMode="External"/><Relationship Id="rId277" Type="http://schemas.openxmlformats.org/officeDocument/2006/relationships/hyperlink" Target="mailto:ana.oliveira@suez.com" TargetMode="External"/><Relationship Id="rId298" Type="http://schemas.openxmlformats.org/officeDocument/2006/relationships/hyperlink" Target="mailto:an.santos@suez.com" TargetMode="External"/><Relationship Id="rId116" Type="http://schemas.openxmlformats.org/officeDocument/2006/relationships/hyperlink" Target="mailto:marcelo.soto@suez.com" TargetMode="External"/><Relationship Id="rId137" Type="http://schemas.openxmlformats.org/officeDocument/2006/relationships/hyperlink" Target="mailto:marcelo.soto@suez.com" TargetMode="External"/><Relationship Id="rId158" Type="http://schemas.openxmlformats.org/officeDocument/2006/relationships/hyperlink" Target="mailto:amadeu.peixoto@suez.com" TargetMode="External"/><Relationship Id="rId20" Type="http://schemas.openxmlformats.org/officeDocument/2006/relationships/hyperlink" Target="mailto:eduardo.mello@suez.com" TargetMode="External"/><Relationship Id="rId41" Type="http://schemas.openxmlformats.org/officeDocument/2006/relationships/hyperlink" Target="mailto:jose.nascimento@suez.com" TargetMode="External"/><Relationship Id="rId62" Type="http://schemas.openxmlformats.org/officeDocument/2006/relationships/hyperlink" Target="mailto:rafaela.gomes@suez.com" TargetMode="External"/><Relationship Id="rId83" Type="http://schemas.openxmlformats.org/officeDocument/2006/relationships/hyperlink" Target="mailto:william.leiteromano@suez.com" TargetMode="External"/><Relationship Id="rId179" Type="http://schemas.openxmlformats.org/officeDocument/2006/relationships/hyperlink" Target="mailto:rodrigo.silva@suez.com" TargetMode="External"/><Relationship Id="rId190" Type="http://schemas.openxmlformats.org/officeDocument/2006/relationships/hyperlink" Target="mailto:rodrigo.silva@suez.com" TargetMode="External"/><Relationship Id="rId204" Type="http://schemas.openxmlformats.org/officeDocument/2006/relationships/hyperlink" Target="mailto:rodrigo.silva@suez.com" TargetMode="External"/><Relationship Id="rId225" Type="http://schemas.openxmlformats.org/officeDocument/2006/relationships/hyperlink" Target="mailto:rafael.nascimento@suez.com" TargetMode="External"/><Relationship Id="rId246" Type="http://schemas.openxmlformats.org/officeDocument/2006/relationships/hyperlink" Target="mailto:rodrigo.amaro@suez.com" TargetMode="External"/><Relationship Id="rId267" Type="http://schemas.openxmlformats.org/officeDocument/2006/relationships/hyperlink" Target="mailto:carlos.santos@suez.com" TargetMode="External"/><Relationship Id="rId288" Type="http://schemas.openxmlformats.org/officeDocument/2006/relationships/hyperlink" Target="mailto:an.santos@suez.com" TargetMode="External"/><Relationship Id="rId106" Type="http://schemas.openxmlformats.org/officeDocument/2006/relationships/hyperlink" Target="mailto:thiago.morais@suez.com" TargetMode="External"/><Relationship Id="rId127" Type="http://schemas.openxmlformats.org/officeDocument/2006/relationships/hyperlink" Target="mailto:karla.perin@suez.com" TargetMode="External"/><Relationship Id="rId10" Type="http://schemas.openxmlformats.org/officeDocument/2006/relationships/hyperlink" Target="mailto:deivid.elias@suez.com" TargetMode="External"/><Relationship Id="rId31" Type="http://schemas.openxmlformats.org/officeDocument/2006/relationships/hyperlink" Target="mailto:felipe.viegas@suez.com" TargetMode="External"/><Relationship Id="rId52" Type="http://schemas.openxmlformats.org/officeDocument/2006/relationships/hyperlink" Target="mailto:jobson-rodrigo.silva@suez.com" TargetMode="External"/><Relationship Id="rId73" Type="http://schemas.openxmlformats.org/officeDocument/2006/relationships/hyperlink" Target="mailto:rodrigo.amaro@suez.com" TargetMode="External"/><Relationship Id="rId94" Type="http://schemas.openxmlformats.org/officeDocument/2006/relationships/hyperlink" Target="mailto:tatiana.almeida@suez.com" TargetMode="External"/><Relationship Id="rId148" Type="http://schemas.openxmlformats.org/officeDocument/2006/relationships/hyperlink" Target="mailto:marcelo.soto@suez.com" TargetMode="External"/><Relationship Id="rId169" Type="http://schemas.openxmlformats.org/officeDocument/2006/relationships/hyperlink" Target="mailto:rodrigo.silva@suez.com" TargetMode="External"/><Relationship Id="rId4" Type="http://schemas.openxmlformats.org/officeDocument/2006/relationships/hyperlink" Target="mailto:bianca.santos@suez.com" TargetMode="External"/><Relationship Id="rId180" Type="http://schemas.openxmlformats.org/officeDocument/2006/relationships/hyperlink" Target="mailto:rodrigo.silva@suez.com" TargetMode="External"/><Relationship Id="rId215" Type="http://schemas.openxmlformats.org/officeDocument/2006/relationships/hyperlink" Target="mailto:rafael.nascimento@suez.com" TargetMode="External"/><Relationship Id="rId236" Type="http://schemas.openxmlformats.org/officeDocument/2006/relationships/hyperlink" Target="mailto:giovana.tardelli@suez.com" TargetMode="External"/><Relationship Id="rId257" Type="http://schemas.openxmlformats.org/officeDocument/2006/relationships/hyperlink" Target="mailto:adalberto.diniz@suez.com" TargetMode="External"/><Relationship Id="rId278" Type="http://schemas.openxmlformats.org/officeDocument/2006/relationships/hyperlink" Target="mailto:edmilson.santos@suez.com" TargetMode="External"/><Relationship Id="rId42" Type="http://schemas.openxmlformats.org/officeDocument/2006/relationships/hyperlink" Target="mailto:jose.nascimento@suez.com" TargetMode="External"/><Relationship Id="rId84" Type="http://schemas.openxmlformats.org/officeDocument/2006/relationships/hyperlink" Target="mailto:william.leiteromano@suez.com" TargetMode="External"/><Relationship Id="rId138" Type="http://schemas.openxmlformats.org/officeDocument/2006/relationships/hyperlink" Target="mailto:marcelo.soto@suez.com" TargetMode="External"/><Relationship Id="rId191" Type="http://schemas.openxmlformats.org/officeDocument/2006/relationships/hyperlink" Target="mailto:rodrigo.silva@suez.com" TargetMode="External"/><Relationship Id="rId205" Type="http://schemas.openxmlformats.org/officeDocument/2006/relationships/hyperlink" Target="mailto:rodrigo.silva@suez.com" TargetMode="External"/><Relationship Id="rId247" Type="http://schemas.openxmlformats.org/officeDocument/2006/relationships/hyperlink" Target="mailto:rodrigo.amaro@suez.com" TargetMode="External"/><Relationship Id="rId107" Type="http://schemas.openxmlformats.org/officeDocument/2006/relationships/hyperlink" Target="mailto:thiago.morais@suez.com" TargetMode="External"/><Relationship Id="rId289" Type="http://schemas.openxmlformats.org/officeDocument/2006/relationships/hyperlink" Target="mailto:an.santos@suez.com" TargetMode="External"/><Relationship Id="rId11" Type="http://schemas.openxmlformats.org/officeDocument/2006/relationships/hyperlink" Target="mailto:roberto.nascimento@suez.com" TargetMode="External"/><Relationship Id="rId53" Type="http://schemas.openxmlformats.org/officeDocument/2006/relationships/hyperlink" Target="mailto:larissa.silva@suez.com" TargetMode="External"/><Relationship Id="rId149" Type="http://schemas.openxmlformats.org/officeDocument/2006/relationships/hyperlink" Target="mailto:marcelo.soto@suez.com" TargetMode="External"/><Relationship Id="rId95" Type="http://schemas.openxmlformats.org/officeDocument/2006/relationships/hyperlink" Target="mailto:tatiana.almeida@suez.com" TargetMode="External"/><Relationship Id="rId160" Type="http://schemas.openxmlformats.org/officeDocument/2006/relationships/hyperlink" Target="mailto:amadeu.peixoto@suez.com" TargetMode="External"/><Relationship Id="rId216" Type="http://schemas.openxmlformats.org/officeDocument/2006/relationships/hyperlink" Target="mailto:rafael.nascimento@suez.com" TargetMode="External"/><Relationship Id="rId258" Type="http://schemas.openxmlformats.org/officeDocument/2006/relationships/hyperlink" Target="mailto:adalberto.diniz@suez.com" TargetMode="External"/><Relationship Id="rId22" Type="http://schemas.openxmlformats.org/officeDocument/2006/relationships/hyperlink" Target="mailto:gabriel.lourenco@suez.com" TargetMode="External"/><Relationship Id="rId64" Type="http://schemas.openxmlformats.org/officeDocument/2006/relationships/hyperlink" Target="mailto:rafael.nascimento@suez.com" TargetMode="External"/><Relationship Id="rId118" Type="http://schemas.openxmlformats.org/officeDocument/2006/relationships/hyperlink" Target="mailto:mauricio.borges@suez.com" TargetMode="External"/><Relationship Id="rId171" Type="http://schemas.openxmlformats.org/officeDocument/2006/relationships/hyperlink" Target="mailto:rodrigo.silva@suez.com" TargetMode="External"/><Relationship Id="rId227" Type="http://schemas.openxmlformats.org/officeDocument/2006/relationships/hyperlink" Target="mailto:rafael.nascimento@suez.com" TargetMode="External"/><Relationship Id="rId269" Type="http://schemas.openxmlformats.org/officeDocument/2006/relationships/hyperlink" Target="mailto:hugo.cavalcante@suez.com" TargetMode="External"/><Relationship Id="rId33" Type="http://schemas.openxmlformats.org/officeDocument/2006/relationships/hyperlink" Target="mailto:rafaela.gomes@suez.com" TargetMode="External"/><Relationship Id="rId129" Type="http://schemas.openxmlformats.org/officeDocument/2006/relationships/hyperlink" Target="mailto:karla.perin@suez.com" TargetMode="External"/><Relationship Id="rId280" Type="http://schemas.openxmlformats.org/officeDocument/2006/relationships/hyperlink" Target="mailto:adalberto.diniz@suez.com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felipe.viegas@suez.com" TargetMode="External"/><Relationship Id="rId18" Type="http://schemas.openxmlformats.org/officeDocument/2006/relationships/hyperlink" Target="mailto:paulo.corsete@suez.com" TargetMode="External"/><Relationship Id="rId26" Type="http://schemas.openxmlformats.org/officeDocument/2006/relationships/hyperlink" Target="mailto:adalberto.diniz@suez.com" TargetMode="External"/><Relationship Id="rId3" Type="http://schemas.openxmlformats.org/officeDocument/2006/relationships/hyperlink" Target="mailto:renato.chialastri@suez.com" TargetMode="External"/><Relationship Id="rId21" Type="http://schemas.openxmlformats.org/officeDocument/2006/relationships/hyperlink" Target="mailto:rodrigo.silva@suez.com" TargetMode="External"/><Relationship Id="rId7" Type="http://schemas.openxmlformats.org/officeDocument/2006/relationships/hyperlink" Target="mailto:amadeu.peixoto@suez.com" TargetMode="External"/><Relationship Id="rId12" Type="http://schemas.openxmlformats.org/officeDocument/2006/relationships/hyperlink" Target="mailto:marcelo.soto@suez.com" TargetMode="External"/><Relationship Id="rId17" Type="http://schemas.openxmlformats.org/officeDocument/2006/relationships/hyperlink" Target="mailto:paulo.corsete@suez.com" TargetMode="External"/><Relationship Id="rId25" Type="http://schemas.openxmlformats.org/officeDocument/2006/relationships/hyperlink" Target="mailto:adalberto.diniz@suez.com" TargetMode="External"/><Relationship Id="rId33" Type="http://schemas.openxmlformats.org/officeDocument/2006/relationships/hyperlink" Target="mailto:carlos.santos@suez.com" TargetMode="External"/><Relationship Id="rId2" Type="http://schemas.openxmlformats.org/officeDocument/2006/relationships/hyperlink" Target="mailto:rafael.nascimento@suez.com" TargetMode="External"/><Relationship Id="rId16" Type="http://schemas.openxmlformats.org/officeDocument/2006/relationships/hyperlink" Target="mailto:paulo.corsete@suez.com" TargetMode="External"/><Relationship Id="rId20" Type="http://schemas.openxmlformats.org/officeDocument/2006/relationships/hyperlink" Target="mailto:paulo.corsete@suez.com" TargetMode="External"/><Relationship Id="rId29" Type="http://schemas.openxmlformats.org/officeDocument/2006/relationships/hyperlink" Target="mailto:marcelo.soto@suez.com" TargetMode="External"/><Relationship Id="rId1" Type="http://schemas.openxmlformats.org/officeDocument/2006/relationships/hyperlink" Target="mailto:an.santos@suez.com" TargetMode="External"/><Relationship Id="rId6" Type="http://schemas.openxmlformats.org/officeDocument/2006/relationships/hyperlink" Target="mailto:leandro.zunkowski@suez.com" TargetMode="External"/><Relationship Id="rId11" Type="http://schemas.openxmlformats.org/officeDocument/2006/relationships/hyperlink" Target="mailto:marcelo.soto@suez.com" TargetMode="External"/><Relationship Id="rId24" Type="http://schemas.openxmlformats.org/officeDocument/2006/relationships/hyperlink" Target="mailto:rodrigo.silva@suez.com" TargetMode="External"/><Relationship Id="rId32" Type="http://schemas.openxmlformats.org/officeDocument/2006/relationships/hyperlink" Target="mailto:carlos.santos@suez.com" TargetMode="External"/><Relationship Id="rId5" Type="http://schemas.openxmlformats.org/officeDocument/2006/relationships/hyperlink" Target="mailto:davi.santos@suez.com" TargetMode="External"/><Relationship Id="rId15" Type="http://schemas.openxmlformats.org/officeDocument/2006/relationships/hyperlink" Target="mailto:paulo.corsete@suez.com" TargetMode="External"/><Relationship Id="rId23" Type="http://schemas.openxmlformats.org/officeDocument/2006/relationships/hyperlink" Target="mailto:rodrigo.silva@suez.com" TargetMode="External"/><Relationship Id="rId28" Type="http://schemas.openxmlformats.org/officeDocument/2006/relationships/hyperlink" Target="mailto:marcelo.soto@suez.com" TargetMode="External"/><Relationship Id="rId10" Type="http://schemas.openxmlformats.org/officeDocument/2006/relationships/hyperlink" Target="mailto:rafael.nascimento@suez.com" TargetMode="External"/><Relationship Id="rId19" Type="http://schemas.openxmlformats.org/officeDocument/2006/relationships/hyperlink" Target="mailto:paulo.corsete@suez.com" TargetMode="External"/><Relationship Id="rId31" Type="http://schemas.openxmlformats.org/officeDocument/2006/relationships/hyperlink" Target="mailto:marcelo.soto@suez.com" TargetMode="External"/><Relationship Id="rId4" Type="http://schemas.openxmlformats.org/officeDocument/2006/relationships/hyperlink" Target="mailto:renato.chialastri@suez.com" TargetMode="External"/><Relationship Id="rId9" Type="http://schemas.openxmlformats.org/officeDocument/2006/relationships/hyperlink" Target="mailto:amadeu.peixoto@suez.com" TargetMode="External"/><Relationship Id="rId14" Type="http://schemas.openxmlformats.org/officeDocument/2006/relationships/hyperlink" Target="mailto:an.santos@suez.com" TargetMode="External"/><Relationship Id="rId22" Type="http://schemas.openxmlformats.org/officeDocument/2006/relationships/hyperlink" Target="mailto:rodrigo.silva@suez.com" TargetMode="External"/><Relationship Id="rId27" Type="http://schemas.openxmlformats.org/officeDocument/2006/relationships/hyperlink" Target="mailto:adalberto.diniz@suez.com" TargetMode="External"/><Relationship Id="rId30" Type="http://schemas.openxmlformats.org/officeDocument/2006/relationships/hyperlink" Target="mailto:marcelo.soto@suez.com" TargetMode="External"/><Relationship Id="rId8" Type="http://schemas.openxmlformats.org/officeDocument/2006/relationships/hyperlink" Target="mailto:amadeu.peixoto@suez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marcelo.soto@suez.com" TargetMode="External"/><Relationship Id="rId3" Type="http://schemas.openxmlformats.org/officeDocument/2006/relationships/hyperlink" Target="mailto:matheus.ambrosio@suez.com" TargetMode="External"/><Relationship Id="rId7" Type="http://schemas.openxmlformats.org/officeDocument/2006/relationships/hyperlink" Target="mailto:rodrigo.silva@suez.com" TargetMode="External"/><Relationship Id="rId2" Type="http://schemas.openxmlformats.org/officeDocument/2006/relationships/hyperlink" Target="mailto:vinicius.paula@suez.com" TargetMode="External"/><Relationship Id="rId1" Type="http://schemas.openxmlformats.org/officeDocument/2006/relationships/hyperlink" Target="mailto:renato.chialastri@suez.com" TargetMode="External"/><Relationship Id="rId6" Type="http://schemas.openxmlformats.org/officeDocument/2006/relationships/hyperlink" Target="mailto:jobson-rodrigo.silva@suez.com" TargetMode="External"/><Relationship Id="rId5" Type="http://schemas.openxmlformats.org/officeDocument/2006/relationships/hyperlink" Target="mailto:bianca.dossantos@suez.com" TargetMode="External"/><Relationship Id="rId4" Type="http://schemas.openxmlformats.org/officeDocument/2006/relationships/hyperlink" Target="mailto:matheus.ambrosio@suez.com" TargetMode="External"/><Relationship Id="rId9" Type="http://schemas.openxmlformats.org/officeDocument/2006/relationships/hyperlink" Target="mailto:isaac.pinto@suez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6C03-DD1E-482F-B9C1-4F0A32AD6FA5}">
  <dimension ref="A1:AH89"/>
  <sheetViews>
    <sheetView showGridLines="0" tabSelected="1" topLeftCell="A62" zoomScale="70" zoomScaleNormal="70" workbookViewId="0">
      <selection activeCell="U69" sqref="U69"/>
    </sheetView>
  </sheetViews>
  <sheetFormatPr defaultRowHeight="15"/>
  <cols>
    <col min="1" max="12" width="9.140625" customWidth="1"/>
    <col min="26" max="26" width="7.140625" bestFit="1" customWidth="1"/>
    <col min="27" max="27" width="7.140625" customWidth="1"/>
    <col min="28" max="28" width="5.7109375" customWidth="1"/>
    <col min="29" max="29" width="6.85546875" bestFit="1" customWidth="1"/>
    <col min="30" max="31" width="19.5703125" bestFit="1" customWidth="1"/>
    <col min="32" max="32" width="25.28515625" bestFit="1" customWidth="1"/>
  </cols>
  <sheetData>
    <row r="1" spans="1:29">
      <c r="A1" s="265"/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7"/>
    </row>
    <row r="2" spans="1:29" ht="26.25">
      <c r="A2" s="323" t="s">
        <v>1483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5"/>
      <c r="P2" s="269"/>
      <c r="Q2" s="269"/>
      <c r="R2" s="269"/>
      <c r="S2" s="269"/>
      <c r="T2" s="269"/>
      <c r="U2" s="269"/>
      <c r="V2" s="269"/>
      <c r="W2" s="269"/>
      <c r="X2" s="269"/>
      <c r="Y2" s="269"/>
      <c r="Z2" s="269"/>
      <c r="AA2" s="269"/>
      <c r="AB2" s="247"/>
      <c r="AC2" s="247"/>
    </row>
    <row r="3" spans="1:29">
      <c r="A3" s="248"/>
      <c r="B3" s="158"/>
      <c r="C3" s="158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49"/>
      <c r="P3" s="270"/>
      <c r="Q3" s="270"/>
      <c r="R3" s="270"/>
      <c r="S3" s="270"/>
      <c r="T3" s="270"/>
      <c r="U3" s="270"/>
      <c r="V3" s="270"/>
      <c r="W3" s="270"/>
      <c r="X3" s="270"/>
      <c r="Y3" s="270"/>
      <c r="Z3" s="270"/>
      <c r="AA3" s="270"/>
      <c r="AB3" s="247"/>
      <c r="AC3" s="247"/>
    </row>
    <row r="4" spans="1:29">
      <c r="A4" s="248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250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47"/>
      <c r="AC4" s="247"/>
    </row>
    <row r="5" spans="1:29">
      <c r="A5" s="248"/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250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47"/>
      <c r="AC5" s="247"/>
    </row>
    <row r="6" spans="1:29">
      <c r="A6" s="248"/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250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47"/>
      <c r="AC6" s="247"/>
    </row>
    <row r="7" spans="1:29">
      <c r="A7" s="248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250"/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2"/>
      <c r="AA7" s="262"/>
      <c r="AB7" s="247"/>
      <c r="AC7" s="247"/>
    </row>
    <row r="8" spans="1:29">
      <c r="A8" s="248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250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47"/>
      <c r="AC8" s="247"/>
    </row>
    <row r="9" spans="1:29">
      <c r="A9" s="24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250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47"/>
      <c r="AC9" s="247"/>
    </row>
    <row r="10" spans="1:29">
      <c r="A10" s="24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250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47"/>
      <c r="AC10" s="247"/>
    </row>
    <row r="11" spans="1:29">
      <c r="A11" s="248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250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47"/>
      <c r="AC11" s="247"/>
    </row>
    <row r="12" spans="1:29">
      <c r="A12" s="24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250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47"/>
      <c r="AC12" s="247"/>
    </row>
    <row r="13" spans="1:29">
      <c r="A13" s="24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250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47"/>
      <c r="AC13" s="247"/>
    </row>
    <row r="14" spans="1:29">
      <c r="A14" s="248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250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2"/>
      <c r="AB14" s="247"/>
      <c r="AC14" s="247"/>
    </row>
    <row r="15" spans="1:29">
      <c r="A15" s="248"/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250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47"/>
      <c r="AC15" s="247"/>
    </row>
    <row r="16" spans="1:29">
      <c r="A16" s="248"/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250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47"/>
      <c r="AC16" s="247"/>
    </row>
    <row r="17" spans="1:29">
      <c r="A17" s="24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250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47"/>
      <c r="AC17" s="247"/>
    </row>
    <row r="18" spans="1:29">
      <c r="A18" s="24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250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47"/>
      <c r="AC18" s="247"/>
    </row>
    <row r="19" spans="1:29">
      <c r="A19" s="24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250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47"/>
      <c r="AC19" s="247"/>
    </row>
    <row r="20" spans="1:29">
      <c r="A20" s="24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250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47"/>
      <c r="AC20" s="247"/>
    </row>
    <row r="21" spans="1:29">
      <c r="A21" s="251"/>
      <c r="B21" s="259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250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47"/>
      <c r="AC21" s="247"/>
    </row>
    <row r="22" spans="1:29">
      <c r="A22" s="251"/>
      <c r="B22" s="259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250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47"/>
      <c r="AC22" s="247"/>
    </row>
    <row r="23" spans="1:29">
      <c r="A23" s="248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250"/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2"/>
      <c r="AA23" s="262"/>
      <c r="AB23" s="247"/>
      <c r="AC23" s="247"/>
    </row>
    <row r="24" spans="1:29" ht="26.25">
      <c r="A24" s="248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261"/>
      <c r="P24" s="269"/>
      <c r="Q24" s="269"/>
      <c r="R24" s="269"/>
      <c r="S24" s="247"/>
      <c r="T24" s="247"/>
      <c r="U24" s="247"/>
      <c r="V24" s="269"/>
      <c r="W24" s="269"/>
      <c r="X24" s="269"/>
      <c r="Y24" s="269"/>
      <c r="Z24" s="269"/>
      <c r="AA24" s="269"/>
      <c r="AB24" s="247"/>
      <c r="AC24" s="247"/>
    </row>
    <row r="25" spans="1:29" ht="26.25">
      <c r="A25" s="248"/>
      <c r="B25" s="158"/>
      <c r="C25" s="158"/>
      <c r="D25" s="158"/>
      <c r="E25" s="158"/>
      <c r="F25" s="158"/>
      <c r="G25" s="158"/>
      <c r="H25" s="158"/>
      <c r="I25" s="262"/>
      <c r="J25" s="262"/>
      <c r="K25" s="262"/>
      <c r="L25" s="262"/>
      <c r="M25" s="260"/>
      <c r="N25" s="260"/>
      <c r="O25" s="263"/>
      <c r="P25" s="260"/>
      <c r="Q25" s="260"/>
      <c r="R25" s="260"/>
      <c r="S25" s="247"/>
      <c r="T25" s="247"/>
      <c r="U25" s="247"/>
      <c r="V25" s="271"/>
      <c r="W25" s="271"/>
      <c r="X25" s="271"/>
      <c r="Y25" s="271"/>
      <c r="Z25" s="271"/>
      <c r="AA25" s="271"/>
      <c r="AB25" s="247"/>
      <c r="AC25" s="247"/>
    </row>
    <row r="26" spans="1:29" ht="15" customHeight="1">
      <c r="A26" s="268"/>
      <c r="B26" s="252"/>
      <c r="C26" s="252"/>
      <c r="D26" s="252"/>
      <c r="E26" s="252"/>
      <c r="F26" s="252"/>
      <c r="G26" s="252"/>
      <c r="H26" s="252"/>
      <c r="I26" s="252"/>
      <c r="J26" s="252"/>
      <c r="K26" s="252"/>
      <c r="L26" s="252"/>
      <c r="M26" s="252"/>
      <c r="N26" s="252"/>
      <c r="O26" s="264"/>
      <c r="P26" s="252"/>
      <c r="Q26" s="252"/>
      <c r="R26" s="252"/>
      <c r="S26" s="253"/>
      <c r="T26" s="253"/>
      <c r="U26" s="253"/>
      <c r="V26" s="253"/>
      <c r="W26" s="253"/>
      <c r="X26" s="253"/>
      <c r="Y26" s="253"/>
      <c r="Z26" s="253"/>
      <c r="AA26" s="253"/>
      <c r="AB26" s="247"/>
      <c r="AC26" s="247"/>
    </row>
    <row r="27" spans="1:29" ht="26.25">
      <c r="A27" s="268"/>
      <c r="B27" s="252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250"/>
      <c r="P27" s="247"/>
      <c r="Q27" s="252"/>
      <c r="R27" s="252"/>
      <c r="S27" s="253"/>
      <c r="T27" s="253"/>
      <c r="U27" s="253"/>
      <c r="V27" s="253"/>
      <c r="W27" s="253"/>
      <c r="X27" s="253"/>
      <c r="Y27" s="253"/>
      <c r="Z27" s="253"/>
      <c r="AA27" s="253"/>
      <c r="AB27" s="247"/>
      <c r="AC27" s="247"/>
    </row>
    <row r="28" spans="1:29" ht="26.25">
      <c r="A28" s="339" t="s">
        <v>1359</v>
      </c>
      <c r="B28" s="340"/>
      <c r="C28" s="340"/>
      <c r="D28" s="340"/>
      <c r="E28" s="340"/>
      <c r="F28" s="336" t="s">
        <v>1455</v>
      </c>
      <c r="G28" s="336"/>
      <c r="H28" s="336"/>
      <c r="I28" s="336"/>
      <c r="J28" s="336"/>
      <c r="K28" s="337" t="s">
        <v>1456</v>
      </c>
      <c r="L28" s="337"/>
      <c r="M28" s="337"/>
      <c r="N28" s="337"/>
      <c r="O28" s="338"/>
      <c r="P28" s="247"/>
      <c r="Q28" s="247"/>
      <c r="R28" s="247"/>
      <c r="S28" s="253"/>
      <c r="T28" s="253"/>
      <c r="U28" s="253"/>
      <c r="V28" s="247"/>
      <c r="W28" s="247"/>
      <c r="X28" s="247"/>
      <c r="Y28" s="247"/>
      <c r="Z28" s="247"/>
      <c r="AA28" s="247"/>
      <c r="AB28" s="247"/>
      <c r="AC28" s="247"/>
    </row>
    <row r="29" spans="1:29" ht="27" thickBot="1">
      <c r="A29" s="341">
        <v>187656.72</v>
      </c>
      <c r="B29" s="342"/>
      <c r="C29" s="342"/>
      <c r="D29" s="342"/>
      <c r="E29" s="342"/>
      <c r="F29" s="343">
        <f>Indicadores!D3</f>
        <v>190184.88999999998</v>
      </c>
      <c r="G29" s="343"/>
      <c r="H29" s="343"/>
      <c r="I29" s="343"/>
      <c r="J29" s="343"/>
      <c r="K29" s="344">
        <f>Indicadores!E3</f>
        <v>-2528.1699999999837</v>
      </c>
      <c r="L29" s="344"/>
      <c r="M29" s="344"/>
      <c r="N29" s="344"/>
      <c r="O29" s="345"/>
      <c r="P29" s="247"/>
      <c r="Q29" s="247"/>
      <c r="R29" s="247"/>
      <c r="S29" s="253"/>
      <c r="T29" s="253"/>
      <c r="U29" s="253"/>
      <c r="V29" s="247"/>
      <c r="W29" s="247"/>
      <c r="X29" s="247"/>
      <c r="Y29" s="247"/>
      <c r="Z29" s="247"/>
      <c r="AA29" s="247"/>
      <c r="AB29" s="247"/>
      <c r="AC29" s="247"/>
    </row>
    <row r="30" spans="1:29" ht="15" customHeight="1">
      <c r="A30" s="265"/>
      <c r="B30" s="272"/>
      <c r="C30" s="266"/>
      <c r="D30" s="266"/>
      <c r="E30" s="266"/>
      <c r="F30" s="266"/>
      <c r="G30" s="266"/>
      <c r="H30" s="266"/>
      <c r="I30" s="266"/>
      <c r="J30" s="266"/>
      <c r="K30" s="266"/>
      <c r="L30" s="272"/>
      <c r="M30" s="272"/>
      <c r="N30" s="272"/>
      <c r="O30" s="273"/>
      <c r="P30" s="252"/>
      <c r="Q30" s="252"/>
      <c r="R30" s="252"/>
      <c r="S30" s="253"/>
      <c r="T30" s="253"/>
      <c r="U30" s="253"/>
      <c r="V30" s="253"/>
      <c r="W30" s="253"/>
      <c r="X30" s="253"/>
      <c r="Y30" s="253"/>
      <c r="Z30" s="253"/>
      <c r="AA30" s="253"/>
      <c r="AB30" s="247"/>
    </row>
    <row r="31" spans="1:29" ht="26.25">
      <c r="A31" s="323" t="s">
        <v>1460</v>
      </c>
      <c r="B31" s="324"/>
      <c r="C31" s="324"/>
      <c r="D31" s="324"/>
      <c r="E31" s="324"/>
      <c r="F31" s="324"/>
      <c r="G31" s="324"/>
      <c r="H31" s="324"/>
      <c r="I31" s="324"/>
      <c r="J31" s="324"/>
      <c r="K31" s="324"/>
      <c r="L31" s="324"/>
      <c r="M31" s="324"/>
      <c r="N31" s="324"/>
      <c r="O31" s="325"/>
      <c r="P31" s="252"/>
      <c r="Q31" s="252"/>
      <c r="R31" s="252"/>
      <c r="S31" s="253"/>
      <c r="T31" s="253"/>
      <c r="U31" s="253"/>
      <c r="V31" s="253"/>
      <c r="W31" s="253"/>
      <c r="X31" s="253"/>
      <c r="Y31" s="253"/>
      <c r="Z31" s="253"/>
      <c r="AA31" s="253"/>
    </row>
    <row r="32" spans="1:29" ht="26.25">
      <c r="A32" s="248"/>
      <c r="B32" s="252"/>
      <c r="C32" s="252"/>
      <c r="D32" s="252"/>
      <c r="E32" s="252"/>
      <c r="F32" s="252"/>
      <c r="G32" s="252"/>
      <c r="H32" s="252"/>
      <c r="I32" s="252"/>
      <c r="J32" s="252"/>
      <c r="K32" s="252"/>
      <c r="L32" s="252"/>
      <c r="M32" s="252"/>
      <c r="N32" s="252"/>
      <c r="O32" s="264"/>
      <c r="P32" s="252"/>
      <c r="Q32" s="252"/>
      <c r="R32" s="252"/>
      <c r="S32" s="253"/>
      <c r="T32" s="253"/>
      <c r="U32" s="253"/>
      <c r="V32" s="253"/>
      <c r="W32" s="253"/>
      <c r="X32" s="253"/>
      <c r="Y32" s="253"/>
      <c r="Z32" s="253"/>
      <c r="AA32" s="253"/>
    </row>
    <row r="33" spans="1:29" ht="26.25">
      <c r="A33" s="248"/>
      <c r="B33" s="252"/>
      <c r="C33" s="252"/>
      <c r="D33" s="252"/>
      <c r="E33" s="252"/>
      <c r="F33" s="252"/>
      <c r="G33" s="252"/>
      <c r="H33" s="252"/>
      <c r="I33" s="252"/>
      <c r="J33" s="252"/>
      <c r="K33" s="158"/>
      <c r="L33" s="158"/>
      <c r="M33" s="158"/>
      <c r="N33" s="158"/>
      <c r="O33" s="250"/>
      <c r="T33" s="253"/>
      <c r="U33" s="253"/>
      <c r="V33" s="253"/>
      <c r="W33" s="253"/>
      <c r="X33" s="253"/>
      <c r="Y33" s="253"/>
      <c r="Z33" s="253"/>
      <c r="AA33" s="253"/>
    </row>
    <row r="34" spans="1:29" ht="26.25">
      <c r="A34" s="248"/>
      <c r="B34" s="252"/>
      <c r="C34" s="252"/>
      <c r="D34" s="252"/>
      <c r="E34" s="252"/>
      <c r="F34" s="252"/>
      <c r="G34" s="252"/>
      <c r="H34" s="252"/>
      <c r="I34" s="252"/>
      <c r="J34" s="252"/>
      <c r="K34" s="262"/>
      <c r="L34" s="262"/>
      <c r="M34" s="262"/>
      <c r="N34" s="262"/>
      <c r="O34" s="274"/>
      <c r="P34" s="247"/>
      <c r="Q34" s="247"/>
      <c r="R34" s="247"/>
      <c r="S34" s="247"/>
      <c r="T34" s="253"/>
      <c r="U34" s="253"/>
      <c r="V34" s="253"/>
      <c r="W34" s="253"/>
      <c r="X34" s="253"/>
      <c r="Y34" s="253"/>
      <c r="Z34" s="253"/>
      <c r="AA34" s="253"/>
      <c r="AB34" s="247"/>
      <c r="AC34" s="247"/>
    </row>
    <row r="35" spans="1:29" ht="26.25">
      <c r="A35" s="248"/>
      <c r="B35" s="158"/>
      <c r="C35" s="269"/>
      <c r="D35" s="269"/>
      <c r="E35" s="269"/>
      <c r="F35" s="269"/>
      <c r="G35" s="269"/>
      <c r="H35" s="269"/>
      <c r="I35" s="269"/>
      <c r="J35" s="269"/>
      <c r="K35" s="269"/>
      <c r="L35" s="269"/>
      <c r="M35" s="269"/>
      <c r="N35" s="269"/>
      <c r="O35" s="275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  <c r="AB35" s="247"/>
      <c r="AC35" s="247"/>
    </row>
    <row r="36" spans="1:29">
      <c r="A36" s="248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250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</row>
    <row r="37" spans="1:29">
      <c r="A37" s="24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250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</row>
    <row r="38" spans="1:29">
      <c r="A38" s="24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250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</row>
    <row r="39" spans="1:29">
      <c r="A39" s="24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250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</row>
    <row r="40" spans="1:29">
      <c r="A40" s="24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250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</row>
    <row r="41" spans="1:29">
      <c r="A41" s="24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250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</row>
    <row r="42" spans="1:29">
      <c r="A42" s="24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250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</row>
    <row r="43" spans="1:29">
      <c r="A43" s="24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250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</row>
    <row r="44" spans="1:29">
      <c r="A44" s="248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250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</row>
    <row r="45" spans="1:29">
      <c r="A45" s="248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250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</row>
    <row r="46" spans="1:29">
      <c r="A46" s="248"/>
      <c r="B46" s="158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250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</row>
    <row r="47" spans="1:29">
      <c r="A47" s="24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250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</row>
    <row r="48" spans="1:29">
      <c r="A48" s="24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250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</row>
    <row r="49" spans="1:27">
      <c r="A49" s="248"/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250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</row>
    <row r="50" spans="1:27">
      <c r="A50" s="248"/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250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</row>
    <row r="51" spans="1:27">
      <c r="A51" s="248"/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250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</row>
    <row r="52" spans="1:27">
      <c r="A52" s="248"/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250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</row>
    <row r="53" spans="1:27">
      <c r="A53" s="248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250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</row>
    <row r="54" spans="1:27">
      <c r="A54" s="248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250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</row>
    <row r="55" spans="1:27">
      <c r="A55" s="248"/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250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</row>
    <row r="56" spans="1:27">
      <c r="A56" s="248"/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250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</row>
    <row r="57" spans="1:27">
      <c r="A57" s="248"/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250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</row>
    <row r="58" spans="1:27" ht="15.75" thickBot="1">
      <c r="A58" s="254"/>
      <c r="B58" s="255"/>
      <c r="C58" s="255"/>
      <c r="D58" s="255"/>
      <c r="E58" s="255"/>
      <c r="F58" s="255"/>
      <c r="G58" s="255"/>
      <c r="H58" s="255"/>
      <c r="I58" s="255"/>
      <c r="J58" s="255"/>
      <c r="K58" s="255"/>
      <c r="L58" s="255"/>
      <c r="M58" s="255"/>
      <c r="N58" s="255"/>
      <c r="O58" s="256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</row>
    <row r="59" spans="1:27">
      <c r="A59" s="265"/>
      <c r="B59" s="266"/>
      <c r="C59" s="266"/>
      <c r="D59" s="266"/>
      <c r="E59" s="266"/>
      <c r="F59" s="266"/>
      <c r="G59" s="266"/>
      <c r="H59" s="266"/>
      <c r="I59" s="266"/>
      <c r="J59" s="266"/>
      <c r="K59" s="266"/>
      <c r="L59" s="266"/>
      <c r="M59" s="266"/>
      <c r="N59" s="266"/>
      <c r="O59" s="267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</row>
    <row r="60" spans="1:27" ht="19.5">
      <c r="A60" s="323" t="s">
        <v>1484</v>
      </c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4"/>
      <c r="M60" s="324"/>
      <c r="N60" s="324"/>
      <c r="O60" s="325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</row>
    <row r="61" spans="1:27">
      <c r="A61" s="248"/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250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</row>
    <row r="62" spans="1:27">
      <c r="A62" s="248"/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250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</row>
    <row r="63" spans="1:27">
      <c r="A63" s="248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250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</row>
    <row r="64" spans="1:27">
      <c r="A64" s="248"/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58"/>
      <c r="O64" s="250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</row>
    <row r="65" spans="1:34">
      <c r="A65" s="248"/>
      <c r="B65" s="158"/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  <c r="O65" s="250"/>
    </row>
    <row r="66" spans="1:34" ht="26.25">
      <c r="A66" s="248"/>
      <c r="B66" s="262"/>
      <c r="C66" s="269"/>
      <c r="D66" s="269"/>
      <c r="E66" s="269"/>
      <c r="F66" s="269"/>
      <c r="G66" s="269"/>
      <c r="H66" s="269"/>
      <c r="I66" s="269"/>
      <c r="J66" s="269"/>
      <c r="K66" s="269"/>
      <c r="L66" s="269"/>
      <c r="M66" s="269"/>
      <c r="N66" s="269"/>
      <c r="O66" s="275"/>
      <c r="P66" s="269"/>
      <c r="Q66" s="269"/>
      <c r="R66" s="269"/>
      <c r="S66" s="269"/>
      <c r="T66" s="269"/>
      <c r="U66" s="269"/>
      <c r="V66" s="269"/>
      <c r="W66" s="269"/>
      <c r="X66" s="269"/>
      <c r="Y66" s="269"/>
      <c r="Z66" s="269"/>
      <c r="AA66" s="269"/>
      <c r="AB66" s="247"/>
      <c r="AC66" s="247"/>
      <c r="AD66" s="247"/>
      <c r="AE66" s="247"/>
      <c r="AF66" s="247"/>
      <c r="AG66" s="247"/>
      <c r="AH66" s="247"/>
    </row>
    <row r="67" spans="1:34">
      <c r="A67" s="248"/>
      <c r="B67" s="262"/>
      <c r="C67" s="262"/>
      <c r="D67" s="262"/>
      <c r="E67" s="262"/>
      <c r="F67" s="262"/>
      <c r="G67" s="262"/>
      <c r="H67" s="262"/>
      <c r="I67" s="262"/>
      <c r="J67" s="262"/>
      <c r="K67" s="262"/>
      <c r="L67" s="262"/>
      <c r="M67" s="262"/>
      <c r="N67" s="262"/>
      <c r="O67" s="274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47"/>
      <c r="AC67" s="247"/>
      <c r="AD67" s="247"/>
      <c r="AE67" s="247"/>
      <c r="AF67" s="247"/>
      <c r="AG67" s="247"/>
      <c r="AH67" s="247"/>
    </row>
    <row r="68" spans="1:34">
      <c r="A68" s="248"/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58"/>
      <c r="O68" s="250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</row>
    <row r="69" spans="1:34">
      <c r="A69" s="248"/>
      <c r="B69" s="158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250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</row>
    <row r="70" spans="1:34" ht="26.25">
      <c r="A70" s="248"/>
      <c r="B70" s="158"/>
      <c r="C70" s="257"/>
      <c r="D70" s="257"/>
      <c r="E70" s="158"/>
      <c r="F70" s="158"/>
      <c r="G70" s="158"/>
      <c r="H70" s="158"/>
      <c r="I70" s="158"/>
      <c r="J70" s="158"/>
      <c r="K70" s="158"/>
      <c r="L70" s="158"/>
      <c r="M70" s="158"/>
      <c r="N70" s="158"/>
      <c r="O70" s="250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</row>
    <row r="71" spans="1:34">
      <c r="A71" s="248"/>
      <c r="B71" s="158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58"/>
      <c r="O71" s="250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</row>
    <row r="72" spans="1:34">
      <c r="A72" s="248"/>
      <c r="B72" s="158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58"/>
      <c r="O72" s="250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</row>
    <row r="73" spans="1:34">
      <c r="A73" s="248"/>
      <c r="B73" s="158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58"/>
      <c r="O73" s="250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</row>
    <row r="74" spans="1:34">
      <c r="A74" s="248"/>
      <c r="B74" s="158"/>
      <c r="C74" s="158"/>
      <c r="D74" s="158"/>
      <c r="E74" s="158"/>
      <c r="F74" s="158"/>
      <c r="G74" s="158"/>
      <c r="H74" s="158"/>
      <c r="I74" s="158"/>
      <c r="J74" s="158"/>
      <c r="K74" s="158"/>
      <c r="L74" s="158"/>
      <c r="M74" s="158"/>
      <c r="N74" s="158"/>
      <c r="O74" s="250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</row>
    <row r="75" spans="1:34">
      <c r="A75" s="248"/>
      <c r="B75" s="158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250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</row>
    <row r="76" spans="1:34">
      <c r="A76" s="248"/>
      <c r="B76" s="158"/>
      <c r="C76" s="158"/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58"/>
      <c r="O76" s="250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</row>
    <row r="77" spans="1:34">
      <c r="A77" s="248"/>
      <c r="B77" s="158"/>
      <c r="C77" s="158"/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58"/>
      <c r="O77" s="250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</row>
    <row r="78" spans="1:34">
      <c r="A78" s="248"/>
      <c r="B78" s="158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250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</row>
    <row r="79" spans="1:34">
      <c r="A79" s="248"/>
      <c r="B79" s="158"/>
      <c r="C79" s="158"/>
      <c r="D79" s="158"/>
      <c r="E79" s="158"/>
      <c r="F79" s="158"/>
      <c r="G79" s="158"/>
      <c r="H79" s="158"/>
      <c r="I79" s="158"/>
      <c r="J79" s="158"/>
      <c r="K79" s="158"/>
      <c r="L79" s="158"/>
      <c r="M79" s="158"/>
      <c r="N79" s="158"/>
      <c r="O79" s="250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</row>
    <row r="80" spans="1:34">
      <c r="A80" s="248"/>
      <c r="B80" s="158"/>
      <c r="C80" s="158"/>
      <c r="D80" s="158"/>
      <c r="E80" s="158"/>
      <c r="F80" s="158"/>
      <c r="G80" s="158"/>
      <c r="H80" s="158"/>
      <c r="I80" s="158"/>
      <c r="J80" s="158"/>
      <c r="K80" s="158"/>
      <c r="L80" s="158"/>
      <c r="M80" s="158"/>
      <c r="N80" s="158"/>
      <c r="O80" s="250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</row>
    <row r="81" spans="1:27">
      <c r="A81" s="248"/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250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</row>
    <row r="82" spans="1:27">
      <c r="A82" s="248"/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250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</row>
    <row r="83" spans="1:27">
      <c r="A83" s="248"/>
      <c r="B83" s="158"/>
      <c r="C83" s="158"/>
      <c r="D83" s="158"/>
      <c r="E83" s="158"/>
      <c r="F83" s="158"/>
      <c r="G83" s="158"/>
      <c r="H83" s="158"/>
      <c r="I83" s="158"/>
      <c r="J83" s="158"/>
      <c r="K83" s="158"/>
      <c r="L83" s="158"/>
      <c r="M83" s="158"/>
      <c r="N83" s="158"/>
      <c r="O83" s="250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</row>
    <row r="84" spans="1:27" ht="24.75">
      <c r="A84" s="326" t="s">
        <v>1458</v>
      </c>
      <c r="B84" s="327"/>
      <c r="C84" s="327"/>
      <c r="D84" s="327"/>
      <c r="E84" s="327"/>
      <c r="F84" s="330" t="s">
        <v>1457</v>
      </c>
      <c r="G84" s="330"/>
      <c r="H84" s="330"/>
      <c r="I84" s="330"/>
      <c r="J84" s="330"/>
      <c r="K84" s="332" t="s">
        <v>1459</v>
      </c>
      <c r="L84" s="332"/>
      <c r="M84" s="332"/>
      <c r="N84" s="332"/>
      <c r="O84" s="333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</row>
    <row r="85" spans="1:27" ht="24.75">
      <c r="A85" s="328">
        <f>Indicadores!H3</f>
        <v>190184.88999999998</v>
      </c>
      <c r="B85" s="329"/>
      <c r="C85" s="329"/>
      <c r="D85" s="329"/>
      <c r="E85" s="329"/>
      <c r="F85" s="331">
        <f>Indicadores!J3</f>
        <v>0</v>
      </c>
      <c r="G85" s="331"/>
      <c r="H85" s="331"/>
      <c r="I85" s="331"/>
      <c r="J85" s="331"/>
      <c r="K85" s="334">
        <f>Indicadores!K3</f>
        <v>-2528.1699999999837</v>
      </c>
      <c r="L85" s="334"/>
      <c r="M85" s="334"/>
      <c r="N85" s="334"/>
      <c r="O85" s="335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</row>
    <row r="86" spans="1:27">
      <c r="A86" s="248"/>
      <c r="B86" s="158"/>
      <c r="C86" s="158"/>
      <c r="D86" s="158"/>
      <c r="E86" s="158"/>
      <c r="F86" s="158"/>
      <c r="G86" s="158"/>
      <c r="H86" s="158"/>
      <c r="I86" s="158"/>
      <c r="J86" s="158"/>
      <c r="K86" s="158"/>
      <c r="L86" s="158"/>
      <c r="M86" s="158"/>
      <c r="N86" s="158"/>
      <c r="O86" s="250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</row>
    <row r="87" spans="1:27" ht="25.5" thickBot="1">
      <c r="A87" s="254"/>
      <c r="B87" s="255"/>
      <c r="C87" s="255"/>
      <c r="D87" s="255"/>
      <c r="E87" s="255"/>
      <c r="F87" s="255"/>
      <c r="G87" s="255"/>
      <c r="H87" s="255"/>
      <c r="I87" s="255"/>
      <c r="J87" s="255"/>
      <c r="K87" s="255"/>
      <c r="L87" s="255"/>
      <c r="M87" s="255"/>
      <c r="N87" s="255"/>
      <c r="O87" s="256"/>
      <c r="P87" s="276"/>
      <c r="Q87" s="276"/>
      <c r="R87" s="276"/>
      <c r="AA87" s="158"/>
    </row>
    <row r="88" spans="1:27" ht="24.75">
      <c r="P88" s="277"/>
      <c r="Q88" s="277"/>
      <c r="R88" s="277"/>
      <c r="AA88" s="158"/>
    </row>
    <row r="89" spans="1:27"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</row>
  </sheetData>
  <mergeCells count="15">
    <mergeCell ref="A2:O2"/>
    <mergeCell ref="F28:J28"/>
    <mergeCell ref="K28:O28"/>
    <mergeCell ref="A28:E28"/>
    <mergeCell ref="A29:E29"/>
    <mergeCell ref="F29:J29"/>
    <mergeCell ref="K29:O29"/>
    <mergeCell ref="A31:O31"/>
    <mergeCell ref="A60:O60"/>
    <mergeCell ref="A84:E84"/>
    <mergeCell ref="A85:E85"/>
    <mergeCell ref="F84:J84"/>
    <mergeCell ref="F85:J85"/>
    <mergeCell ref="K84:O84"/>
    <mergeCell ref="K85:O85"/>
  </mergeCells>
  <pageMargins left="0.25" right="0.25" top="0.75" bottom="0.75" header="0.3" footer="0.3"/>
  <pageSetup paperSize="9" orientation="landscape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9F77D-39A9-460D-B3A1-17DD24F0813B}">
  <dimension ref="A1:O103"/>
  <sheetViews>
    <sheetView topLeftCell="E1" workbookViewId="0">
      <selection activeCell="H14" sqref="H14"/>
    </sheetView>
  </sheetViews>
  <sheetFormatPr defaultRowHeight="15"/>
  <cols>
    <col min="1" max="1" width="5.85546875" bestFit="1" customWidth="1"/>
    <col min="2" max="2" width="38.42578125" bestFit="1" customWidth="1"/>
    <col min="3" max="3" width="29.42578125" bestFit="1" customWidth="1"/>
    <col min="4" max="4" width="7.42578125" bestFit="1" customWidth="1"/>
    <col min="5" max="5" width="18" bestFit="1" customWidth="1"/>
    <col min="6" max="6" width="18.28515625" bestFit="1" customWidth="1"/>
    <col min="7" max="7" width="16.85546875" bestFit="1" customWidth="1"/>
    <col min="8" max="8" width="17.28515625" bestFit="1" customWidth="1"/>
    <col min="9" max="9" width="27.85546875" bestFit="1" customWidth="1"/>
    <col min="10" max="10" width="40.5703125" bestFit="1" customWidth="1"/>
    <col min="11" max="11" width="13.140625" bestFit="1" customWidth="1"/>
    <col min="12" max="12" width="9.85546875" bestFit="1" customWidth="1"/>
    <col min="13" max="13" width="13.140625" bestFit="1" customWidth="1"/>
    <col min="14" max="14" width="8.7109375" bestFit="1" customWidth="1"/>
    <col min="15" max="15" width="13.85546875" bestFit="1" customWidth="1"/>
  </cols>
  <sheetData>
    <row r="1" spans="1:15">
      <c r="A1" s="63" t="s">
        <v>1194</v>
      </c>
      <c r="B1" s="63" t="s">
        <v>1195</v>
      </c>
      <c r="C1" s="64" t="s">
        <v>1196</v>
      </c>
      <c r="D1" s="63" t="s">
        <v>1197</v>
      </c>
      <c r="E1" s="63" t="s">
        <v>1198</v>
      </c>
      <c r="F1" s="63" t="s">
        <v>1199</v>
      </c>
      <c r="G1" s="63" t="s">
        <v>1200</v>
      </c>
      <c r="H1" s="63" t="s">
        <v>1201</v>
      </c>
      <c r="I1" s="65" t="s">
        <v>1202</v>
      </c>
      <c r="J1" s="65" t="s">
        <v>394</v>
      </c>
      <c r="K1" s="66" t="s">
        <v>1203</v>
      </c>
      <c r="L1" s="66" t="s">
        <v>17</v>
      </c>
      <c r="M1" s="65" t="s">
        <v>1204</v>
      </c>
      <c r="N1" s="65" t="s">
        <v>1205</v>
      </c>
      <c r="O1" s="65" t="s">
        <v>1206</v>
      </c>
    </row>
    <row r="2" spans="1:15">
      <c r="A2" s="49" t="s">
        <v>899</v>
      </c>
      <c r="B2" s="49" t="s">
        <v>1207</v>
      </c>
      <c r="C2" s="41" t="s">
        <v>727</v>
      </c>
      <c r="D2" s="47" t="s">
        <v>40</v>
      </c>
      <c r="E2" s="47" t="s">
        <v>5</v>
      </c>
      <c r="F2" s="62">
        <v>150580001010</v>
      </c>
      <c r="G2" s="47" t="s">
        <v>21</v>
      </c>
      <c r="H2" s="47" t="s">
        <v>80</v>
      </c>
      <c r="I2" s="47" t="s">
        <v>70</v>
      </c>
      <c r="J2" s="47" t="s">
        <v>728</v>
      </c>
      <c r="K2" s="43">
        <v>43762</v>
      </c>
      <c r="L2" s="43" t="s">
        <v>46</v>
      </c>
      <c r="M2" s="47" t="s">
        <v>1208</v>
      </c>
      <c r="N2" s="47" t="s">
        <v>901</v>
      </c>
      <c r="O2" s="47" t="s">
        <v>1209</v>
      </c>
    </row>
    <row r="3" spans="1:15">
      <c r="A3" s="49" t="s">
        <v>899</v>
      </c>
      <c r="B3" s="49" t="s">
        <v>1210</v>
      </c>
      <c r="C3" s="41" t="s">
        <v>1211</v>
      </c>
      <c r="D3" s="47"/>
      <c r="E3" s="47" t="s">
        <v>6</v>
      </c>
      <c r="F3" s="47">
        <v>6224056</v>
      </c>
      <c r="G3" s="47" t="s">
        <v>1212</v>
      </c>
      <c r="H3" s="47" t="s">
        <v>847</v>
      </c>
      <c r="I3" s="47" t="s">
        <v>1213</v>
      </c>
      <c r="J3" s="47"/>
      <c r="K3" s="43"/>
      <c r="L3" s="43" t="s">
        <v>46</v>
      </c>
      <c r="M3" s="47"/>
      <c r="N3" s="47" t="s">
        <v>901</v>
      </c>
      <c r="O3" s="47" t="s">
        <v>1209</v>
      </c>
    </row>
    <row r="4" spans="1:15">
      <c r="A4" s="49" t="s">
        <v>899</v>
      </c>
      <c r="B4" s="49" t="s">
        <v>1210</v>
      </c>
      <c r="C4" s="41" t="s">
        <v>1211</v>
      </c>
      <c r="D4" s="47"/>
      <c r="E4" s="47" t="s">
        <v>6</v>
      </c>
      <c r="F4" s="47">
        <v>6212197</v>
      </c>
      <c r="G4" s="47" t="s">
        <v>26</v>
      </c>
      <c r="H4" s="47" t="s">
        <v>847</v>
      </c>
      <c r="I4" s="47" t="s">
        <v>1213</v>
      </c>
      <c r="J4" s="47"/>
      <c r="K4" s="43"/>
      <c r="L4" s="43" t="s">
        <v>46</v>
      </c>
      <c r="M4" s="47"/>
      <c r="N4" s="47" t="s">
        <v>901</v>
      </c>
      <c r="O4" s="47" t="s">
        <v>1209</v>
      </c>
    </row>
    <row r="5" spans="1:15">
      <c r="A5" s="49" t="s">
        <v>899</v>
      </c>
      <c r="B5" s="49" t="s">
        <v>1214</v>
      </c>
      <c r="C5" s="41" t="s">
        <v>1215</v>
      </c>
      <c r="D5" s="47"/>
      <c r="E5" s="47" t="s">
        <v>7</v>
      </c>
      <c r="F5" s="47">
        <v>1584391</v>
      </c>
      <c r="G5" s="47" t="s">
        <v>56</v>
      </c>
      <c r="H5" s="47" t="s">
        <v>57</v>
      </c>
      <c r="I5" s="47" t="s">
        <v>207</v>
      </c>
      <c r="J5" s="47"/>
      <c r="K5" s="43"/>
      <c r="L5" s="43" t="s">
        <v>46</v>
      </c>
      <c r="M5" s="47"/>
      <c r="N5" s="47" t="s">
        <v>901</v>
      </c>
      <c r="O5" s="47" t="s">
        <v>1209</v>
      </c>
    </row>
    <row r="6" spans="1:15">
      <c r="A6" s="49" t="s">
        <v>899</v>
      </c>
      <c r="B6" s="49" t="s">
        <v>1216</v>
      </c>
      <c r="C6" s="41" t="s">
        <v>1217</v>
      </c>
      <c r="D6" s="47" t="s">
        <v>73</v>
      </c>
      <c r="E6" s="47" t="s">
        <v>7</v>
      </c>
      <c r="F6" s="47">
        <v>59343</v>
      </c>
      <c r="G6" s="47" t="s">
        <v>31</v>
      </c>
      <c r="H6" s="47" t="s">
        <v>53</v>
      </c>
      <c r="I6" s="47" t="s">
        <v>77</v>
      </c>
      <c r="J6" s="47" t="s">
        <v>426</v>
      </c>
      <c r="K6" s="43">
        <v>43648</v>
      </c>
      <c r="L6" s="43" t="s">
        <v>46</v>
      </c>
      <c r="M6" s="47"/>
      <c r="N6" s="47" t="s">
        <v>31</v>
      </c>
      <c r="O6" s="47" t="s">
        <v>1209</v>
      </c>
    </row>
    <row r="7" spans="1:15">
      <c r="A7" s="49" t="s">
        <v>899</v>
      </c>
      <c r="B7" s="49" t="s">
        <v>1218</v>
      </c>
      <c r="C7" s="41" t="s">
        <v>1219</v>
      </c>
      <c r="D7" s="47"/>
      <c r="E7" s="47" t="s">
        <v>3</v>
      </c>
      <c r="F7" s="62">
        <v>1201020001</v>
      </c>
      <c r="G7" s="47" t="s">
        <v>21</v>
      </c>
      <c r="H7" s="47" t="s">
        <v>745</v>
      </c>
      <c r="I7" s="47" t="s">
        <v>186</v>
      </c>
      <c r="J7" s="47"/>
      <c r="K7" s="43"/>
      <c r="L7" s="43" t="s">
        <v>46</v>
      </c>
      <c r="M7" s="47"/>
      <c r="N7" s="47" t="s">
        <v>901</v>
      </c>
      <c r="O7" s="47" t="s">
        <v>1209</v>
      </c>
    </row>
    <row r="8" spans="1:15">
      <c r="A8" s="49" t="s">
        <v>899</v>
      </c>
      <c r="B8" s="49" t="s">
        <v>1218</v>
      </c>
      <c r="C8" s="41" t="s">
        <v>1219</v>
      </c>
      <c r="D8" s="47"/>
      <c r="E8" s="47" t="s">
        <v>4</v>
      </c>
      <c r="F8" s="47">
        <v>6213435</v>
      </c>
      <c r="G8" s="47" t="s">
        <v>31</v>
      </c>
      <c r="H8" s="47" t="s">
        <v>1220</v>
      </c>
      <c r="I8" s="47" t="s">
        <v>186</v>
      </c>
      <c r="J8" s="47"/>
      <c r="K8" s="43"/>
      <c r="L8" s="43" t="s">
        <v>46</v>
      </c>
      <c r="M8" s="47"/>
      <c r="N8" s="47" t="s">
        <v>901</v>
      </c>
      <c r="O8" s="47" t="s">
        <v>1209</v>
      </c>
    </row>
    <row r="9" spans="1:15">
      <c r="A9" s="49" t="s">
        <v>899</v>
      </c>
      <c r="B9" s="49" t="s">
        <v>1218</v>
      </c>
      <c r="C9" s="41" t="s">
        <v>1219</v>
      </c>
      <c r="D9" s="47"/>
      <c r="E9" s="47" t="s">
        <v>6</v>
      </c>
      <c r="F9" s="47">
        <v>6213435</v>
      </c>
      <c r="G9" s="47" t="s">
        <v>62</v>
      </c>
      <c r="H9" s="47" t="s">
        <v>63</v>
      </c>
      <c r="I9" s="47" t="s">
        <v>186</v>
      </c>
      <c r="J9" s="47"/>
      <c r="K9" s="43"/>
      <c r="L9" s="43" t="s">
        <v>46</v>
      </c>
      <c r="M9" s="47"/>
      <c r="N9" s="47" t="s">
        <v>901</v>
      </c>
      <c r="O9" s="47" t="s">
        <v>1209</v>
      </c>
    </row>
    <row r="10" spans="1:15">
      <c r="A10" s="49" t="s">
        <v>899</v>
      </c>
      <c r="B10" s="49" t="s">
        <v>1221</v>
      </c>
      <c r="C10" s="41" t="s">
        <v>1222</v>
      </c>
      <c r="D10" s="47"/>
      <c r="E10" s="47" t="s">
        <v>3</v>
      </c>
      <c r="F10" s="47" t="s">
        <v>1223</v>
      </c>
      <c r="G10" s="47" t="s">
        <v>21</v>
      </c>
      <c r="H10" s="47" t="s">
        <v>22</v>
      </c>
      <c r="I10" s="47" t="s">
        <v>1224</v>
      </c>
      <c r="J10" s="47"/>
      <c r="K10" s="43"/>
      <c r="L10" s="43" t="s">
        <v>46</v>
      </c>
      <c r="M10" s="47"/>
      <c r="N10" s="47" t="s">
        <v>901</v>
      </c>
      <c r="O10" s="47" t="s">
        <v>1209</v>
      </c>
    </row>
    <row r="11" spans="1:15">
      <c r="A11" s="49" t="s">
        <v>899</v>
      </c>
      <c r="B11" s="49" t="s">
        <v>1221</v>
      </c>
      <c r="C11" s="41" t="s">
        <v>1222</v>
      </c>
      <c r="D11" s="47"/>
      <c r="E11" s="47" t="s">
        <v>3</v>
      </c>
      <c r="F11" s="62">
        <v>140070001031</v>
      </c>
      <c r="G11" s="47" t="s">
        <v>21</v>
      </c>
      <c r="H11" s="47" t="s">
        <v>22</v>
      </c>
      <c r="I11" s="47" t="s">
        <v>1224</v>
      </c>
      <c r="J11" s="47"/>
      <c r="K11" s="43"/>
      <c r="L11" s="43" t="s">
        <v>46</v>
      </c>
      <c r="M11" s="47"/>
      <c r="N11" s="47" t="s">
        <v>901</v>
      </c>
      <c r="O11" s="47" t="s">
        <v>1209</v>
      </c>
    </row>
    <row r="12" spans="1:15">
      <c r="A12" s="49" t="s">
        <v>899</v>
      </c>
      <c r="B12" s="49" t="s">
        <v>1221</v>
      </c>
      <c r="C12" s="41" t="s">
        <v>1222</v>
      </c>
      <c r="D12" s="47"/>
      <c r="E12" s="47" t="s">
        <v>4</v>
      </c>
      <c r="F12" s="47">
        <v>15090362</v>
      </c>
      <c r="G12" s="47" t="s">
        <v>38</v>
      </c>
      <c r="H12" s="47" t="s">
        <v>1225</v>
      </c>
      <c r="I12" s="47" t="s">
        <v>1224</v>
      </c>
      <c r="J12" s="47"/>
      <c r="K12" s="43"/>
      <c r="L12" s="43" t="s">
        <v>46</v>
      </c>
      <c r="M12" s="47"/>
      <c r="N12" s="47" t="s">
        <v>901</v>
      </c>
      <c r="O12" s="47" t="s">
        <v>1209</v>
      </c>
    </row>
    <row r="13" spans="1:15">
      <c r="A13" s="49" t="s">
        <v>899</v>
      </c>
      <c r="B13" s="49" t="s">
        <v>1221</v>
      </c>
      <c r="C13" s="41" t="s">
        <v>1222</v>
      </c>
      <c r="D13" s="47"/>
      <c r="E13" s="47" t="s">
        <v>4</v>
      </c>
      <c r="F13" s="47">
        <v>4211537</v>
      </c>
      <c r="G13" s="47" t="s">
        <v>1212</v>
      </c>
      <c r="H13" s="47" t="s">
        <v>1226</v>
      </c>
      <c r="I13" s="47" t="s">
        <v>1224</v>
      </c>
      <c r="J13" s="47"/>
      <c r="K13" s="43"/>
      <c r="L13" s="43" t="s">
        <v>46</v>
      </c>
      <c r="M13" s="47"/>
      <c r="N13" s="47" t="s">
        <v>901</v>
      </c>
      <c r="O13" s="47" t="s">
        <v>1209</v>
      </c>
    </row>
    <row r="14" spans="1:15">
      <c r="A14" s="49" t="s">
        <v>899</v>
      </c>
      <c r="B14" s="49" t="s">
        <v>1221</v>
      </c>
      <c r="C14" s="41" t="s">
        <v>1222</v>
      </c>
      <c r="D14" s="47"/>
      <c r="E14" s="47" t="s">
        <v>7</v>
      </c>
      <c r="F14" s="47">
        <v>2530187</v>
      </c>
      <c r="G14" s="47" t="s">
        <v>56</v>
      </c>
      <c r="H14" s="47" t="s">
        <v>57</v>
      </c>
      <c r="I14" s="47" t="s">
        <v>1224</v>
      </c>
      <c r="J14" s="47"/>
      <c r="K14" s="43"/>
      <c r="L14" s="43" t="s">
        <v>46</v>
      </c>
      <c r="M14" s="47"/>
      <c r="N14" s="47" t="s">
        <v>901</v>
      </c>
      <c r="O14" s="47" t="s">
        <v>1209</v>
      </c>
    </row>
    <row r="15" spans="1:15">
      <c r="A15" s="49" t="s">
        <v>899</v>
      </c>
      <c r="B15" s="49" t="s">
        <v>696</v>
      </c>
      <c r="C15" s="41" t="s">
        <v>310</v>
      </c>
      <c r="D15" s="47"/>
      <c r="E15" s="47" t="s">
        <v>7</v>
      </c>
      <c r="F15" s="47">
        <v>237026</v>
      </c>
      <c r="G15" s="47" t="s">
        <v>21</v>
      </c>
      <c r="H15" s="47" t="s">
        <v>1227</v>
      </c>
      <c r="I15" s="47" t="s">
        <v>219</v>
      </c>
      <c r="J15" s="47"/>
      <c r="K15" s="43"/>
      <c r="L15" s="43" t="s">
        <v>46</v>
      </c>
      <c r="M15" s="47"/>
      <c r="N15" s="47" t="s">
        <v>901</v>
      </c>
      <c r="O15" s="47" t="s">
        <v>1209</v>
      </c>
    </row>
    <row r="16" spans="1:15">
      <c r="A16" s="49" t="s">
        <v>899</v>
      </c>
      <c r="B16" s="49" t="s">
        <v>1228</v>
      </c>
      <c r="C16" s="41" t="s">
        <v>488</v>
      </c>
      <c r="D16" s="47" t="s">
        <v>40</v>
      </c>
      <c r="E16" s="47" t="s">
        <v>4</v>
      </c>
      <c r="F16" s="47">
        <v>32262</v>
      </c>
      <c r="G16" s="47" t="s">
        <v>31</v>
      </c>
      <c r="H16" s="47" t="s">
        <v>1229</v>
      </c>
      <c r="I16" s="47" t="s">
        <v>1230</v>
      </c>
      <c r="J16" s="47"/>
      <c r="K16" s="43">
        <v>43662</v>
      </c>
      <c r="L16" s="43" t="s">
        <v>46</v>
      </c>
      <c r="M16" s="47" t="s">
        <v>1231</v>
      </c>
      <c r="N16" s="47" t="s">
        <v>901</v>
      </c>
      <c r="O16" s="47" t="s">
        <v>1209</v>
      </c>
    </row>
    <row r="17" spans="1:15">
      <c r="A17" s="49" t="s">
        <v>899</v>
      </c>
      <c r="B17" s="49" t="s">
        <v>1232</v>
      </c>
      <c r="C17" s="41" t="s">
        <v>1233</v>
      </c>
      <c r="D17" s="47" t="s">
        <v>202</v>
      </c>
      <c r="E17" s="47" t="s">
        <v>3</v>
      </c>
      <c r="F17" s="47" t="s">
        <v>1234</v>
      </c>
      <c r="G17" s="47" t="s">
        <v>21</v>
      </c>
      <c r="H17" s="47" t="s">
        <v>22</v>
      </c>
      <c r="I17" s="47" t="s">
        <v>1235</v>
      </c>
      <c r="J17" s="47" t="s">
        <v>1236</v>
      </c>
      <c r="K17" s="43">
        <v>43553</v>
      </c>
      <c r="L17" s="43" t="s">
        <v>46</v>
      </c>
      <c r="M17" s="47" t="s">
        <v>1237</v>
      </c>
      <c r="N17" s="47" t="s">
        <v>901</v>
      </c>
      <c r="O17" s="47" t="s">
        <v>1209</v>
      </c>
    </row>
    <row r="18" spans="1:15">
      <c r="A18" s="49" t="s">
        <v>899</v>
      </c>
      <c r="B18" s="49" t="s">
        <v>1232</v>
      </c>
      <c r="C18" s="41" t="s">
        <v>1233</v>
      </c>
      <c r="D18" s="47" t="s">
        <v>202</v>
      </c>
      <c r="E18" s="47" t="s">
        <v>4</v>
      </c>
      <c r="F18" s="47">
        <v>4220591</v>
      </c>
      <c r="G18" s="47" t="s">
        <v>26</v>
      </c>
      <c r="H18" s="47" t="s">
        <v>27</v>
      </c>
      <c r="I18" s="47" t="s">
        <v>1235</v>
      </c>
      <c r="J18" s="47" t="s">
        <v>1236</v>
      </c>
      <c r="K18" s="43">
        <v>43553</v>
      </c>
      <c r="L18" s="43" t="s">
        <v>46</v>
      </c>
      <c r="M18" s="47" t="s">
        <v>1238</v>
      </c>
      <c r="N18" s="47" t="s">
        <v>901</v>
      </c>
      <c r="O18" s="47" t="s">
        <v>1209</v>
      </c>
    </row>
    <row r="19" spans="1:15">
      <c r="A19" s="49" t="s">
        <v>899</v>
      </c>
      <c r="B19" s="49" t="s">
        <v>1232</v>
      </c>
      <c r="C19" s="41" t="s">
        <v>1233</v>
      </c>
      <c r="D19" s="47" t="s">
        <v>202</v>
      </c>
      <c r="E19" s="47" t="s">
        <v>7</v>
      </c>
      <c r="F19" s="47">
        <v>7825574</v>
      </c>
      <c r="G19" s="47" t="s">
        <v>21</v>
      </c>
      <c r="H19" s="47" t="s">
        <v>168</v>
      </c>
      <c r="I19" s="47" t="s">
        <v>1235</v>
      </c>
      <c r="J19" s="47" t="s">
        <v>1236</v>
      </c>
      <c r="K19" s="43">
        <v>43553</v>
      </c>
      <c r="L19" s="43" t="s">
        <v>46</v>
      </c>
      <c r="M19" s="47" t="s">
        <v>1239</v>
      </c>
      <c r="N19" s="47" t="s">
        <v>901</v>
      </c>
      <c r="O19" s="47" t="s">
        <v>1209</v>
      </c>
    </row>
    <row r="20" spans="1:15">
      <c r="A20" s="49" t="s">
        <v>899</v>
      </c>
      <c r="B20" s="49" t="s">
        <v>1240</v>
      </c>
      <c r="C20" s="41" t="s">
        <v>1241</v>
      </c>
      <c r="D20" s="47"/>
      <c r="E20" s="47" t="s">
        <v>3</v>
      </c>
      <c r="F20" s="47" t="s">
        <v>1242</v>
      </c>
      <c r="G20" s="47" t="s">
        <v>21</v>
      </c>
      <c r="H20" s="47" t="s">
        <v>22</v>
      </c>
      <c r="I20" s="47" t="s">
        <v>1243</v>
      </c>
      <c r="J20" s="47"/>
      <c r="K20" s="43"/>
      <c r="L20" s="43" t="s">
        <v>46</v>
      </c>
      <c r="M20" s="47"/>
      <c r="N20" s="47" t="s">
        <v>901</v>
      </c>
      <c r="O20" s="47" t="s">
        <v>1209</v>
      </c>
    </row>
    <row r="21" spans="1:15">
      <c r="A21" s="49" t="s">
        <v>899</v>
      </c>
      <c r="B21" s="49" t="s">
        <v>1244</v>
      </c>
      <c r="C21" s="41" t="s">
        <v>1241</v>
      </c>
      <c r="D21" s="47"/>
      <c r="E21" s="47" t="s">
        <v>7</v>
      </c>
      <c r="F21" s="47">
        <v>1584391</v>
      </c>
      <c r="G21" s="47" t="s">
        <v>56</v>
      </c>
      <c r="H21" s="47" t="s">
        <v>57</v>
      </c>
      <c r="I21" s="47" t="s">
        <v>1243</v>
      </c>
      <c r="J21" s="47"/>
      <c r="K21" s="43"/>
      <c r="L21" s="43" t="s">
        <v>46</v>
      </c>
      <c r="M21" s="47"/>
      <c r="N21" s="47" t="s">
        <v>901</v>
      </c>
      <c r="O21" s="47" t="s">
        <v>1209</v>
      </c>
    </row>
    <row r="22" spans="1:15">
      <c r="A22" s="49" t="s">
        <v>899</v>
      </c>
      <c r="B22" s="49" t="s">
        <v>1245</v>
      </c>
      <c r="C22" s="41" t="s">
        <v>623</v>
      </c>
      <c r="D22" s="47" t="s">
        <v>177</v>
      </c>
      <c r="E22" s="47" t="s">
        <v>4</v>
      </c>
      <c r="F22" s="47">
        <v>4224103</v>
      </c>
      <c r="G22" s="47" t="s">
        <v>26</v>
      </c>
      <c r="H22" s="47" t="s">
        <v>27</v>
      </c>
      <c r="I22" s="47" t="s">
        <v>182</v>
      </c>
      <c r="J22" s="47"/>
      <c r="K22" s="43">
        <v>43641</v>
      </c>
      <c r="L22" s="43" t="s">
        <v>46</v>
      </c>
      <c r="M22" s="47"/>
      <c r="N22" s="47" t="s">
        <v>901</v>
      </c>
      <c r="O22" s="47" t="s">
        <v>1209</v>
      </c>
    </row>
    <row r="23" spans="1:15">
      <c r="A23" s="49" t="s">
        <v>899</v>
      </c>
      <c r="B23" s="49" t="s">
        <v>1245</v>
      </c>
      <c r="C23" s="41" t="s">
        <v>623</v>
      </c>
      <c r="D23" s="47" t="s">
        <v>177</v>
      </c>
      <c r="E23" s="47" t="s">
        <v>4</v>
      </c>
      <c r="F23" s="47">
        <v>4227937</v>
      </c>
      <c r="G23" s="47" t="s">
        <v>26</v>
      </c>
      <c r="H23" s="47" t="s">
        <v>27</v>
      </c>
      <c r="I23" s="47" t="s">
        <v>182</v>
      </c>
      <c r="J23" s="47"/>
      <c r="K23" s="43">
        <v>43641</v>
      </c>
      <c r="L23" s="43" t="s">
        <v>46</v>
      </c>
      <c r="M23" s="47"/>
      <c r="N23" s="47" t="s">
        <v>901</v>
      </c>
      <c r="O23" s="47" t="s">
        <v>1209</v>
      </c>
    </row>
    <row r="24" spans="1:15">
      <c r="A24" s="49" t="s">
        <v>899</v>
      </c>
      <c r="B24" s="49" t="s">
        <v>1245</v>
      </c>
      <c r="C24" s="41" t="s">
        <v>623</v>
      </c>
      <c r="D24" s="47" t="s">
        <v>177</v>
      </c>
      <c r="E24" s="47" t="s">
        <v>5</v>
      </c>
      <c r="F24" s="47">
        <v>1347596</v>
      </c>
      <c r="G24" s="47" t="s">
        <v>21</v>
      </c>
      <c r="H24" s="47" t="s">
        <v>34</v>
      </c>
      <c r="I24" s="47" t="s">
        <v>182</v>
      </c>
      <c r="J24" s="47"/>
      <c r="K24" s="43">
        <v>43641</v>
      </c>
      <c r="L24" s="43" t="s">
        <v>46</v>
      </c>
      <c r="M24" s="47"/>
      <c r="N24" s="47" t="s">
        <v>901</v>
      </c>
      <c r="O24" s="47" t="s">
        <v>1209</v>
      </c>
    </row>
    <row r="25" spans="1:15">
      <c r="A25" s="49" t="s">
        <v>899</v>
      </c>
      <c r="B25" s="49" t="s">
        <v>1245</v>
      </c>
      <c r="C25" s="41" t="s">
        <v>623</v>
      </c>
      <c r="D25" s="47" t="s">
        <v>177</v>
      </c>
      <c r="E25" s="47" t="s">
        <v>6</v>
      </c>
      <c r="F25" s="47">
        <v>604097</v>
      </c>
      <c r="G25" s="47" t="s">
        <v>21</v>
      </c>
      <c r="H25" s="47" t="s">
        <v>1246</v>
      </c>
      <c r="I25" s="47" t="s">
        <v>182</v>
      </c>
      <c r="J25" s="47" t="s">
        <v>1247</v>
      </c>
      <c r="K25" s="43">
        <v>43553</v>
      </c>
      <c r="L25" s="43" t="s">
        <v>46</v>
      </c>
      <c r="M25" s="47" t="s">
        <v>1248</v>
      </c>
      <c r="N25" s="47" t="s">
        <v>901</v>
      </c>
      <c r="O25" s="47" t="s">
        <v>1209</v>
      </c>
    </row>
    <row r="26" spans="1:15">
      <c r="A26" s="49" t="s">
        <v>899</v>
      </c>
      <c r="B26" s="49" t="s">
        <v>1245</v>
      </c>
      <c r="C26" s="41" t="s">
        <v>623</v>
      </c>
      <c r="D26" s="47" t="s">
        <v>177</v>
      </c>
      <c r="E26" s="47" t="s">
        <v>7</v>
      </c>
      <c r="F26" s="47">
        <v>1563928</v>
      </c>
      <c r="G26" s="47" t="s">
        <v>56</v>
      </c>
      <c r="H26" s="47" t="s">
        <v>57</v>
      </c>
      <c r="I26" s="47" t="s">
        <v>182</v>
      </c>
      <c r="J26" s="47"/>
      <c r="K26" s="43">
        <v>43641</v>
      </c>
      <c r="L26" s="43" t="s">
        <v>46</v>
      </c>
      <c r="M26" s="47"/>
      <c r="N26" s="47" t="s">
        <v>901</v>
      </c>
      <c r="O26" s="47" t="s">
        <v>1209</v>
      </c>
    </row>
    <row r="27" spans="1:15">
      <c r="A27" s="49" t="s">
        <v>899</v>
      </c>
      <c r="B27" s="49" t="s">
        <v>1245</v>
      </c>
      <c r="C27" s="41" t="s">
        <v>623</v>
      </c>
      <c r="D27" s="47" t="s">
        <v>177</v>
      </c>
      <c r="E27" s="47" t="s">
        <v>7</v>
      </c>
      <c r="F27" s="47">
        <v>782591</v>
      </c>
      <c r="G27" s="47" t="s">
        <v>21</v>
      </c>
      <c r="H27" s="47" t="s">
        <v>168</v>
      </c>
      <c r="I27" s="47" t="s">
        <v>182</v>
      </c>
      <c r="J27" s="47"/>
      <c r="K27" s="43">
        <v>43641</v>
      </c>
      <c r="L27" s="43" t="s">
        <v>46</v>
      </c>
      <c r="M27" s="47"/>
      <c r="N27" s="47" t="s">
        <v>901</v>
      </c>
      <c r="O27" s="47" t="s">
        <v>1209</v>
      </c>
    </row>
    <row r="28" spans="1:15">
      <c r="A28" s="49" t="s">
        <v>899</v>
      </c>
      <c r="B28" s="49" t="s">
        <v>1245</v>
      </c>
      <c r="C28" s="41" t="s">
        <v>623</v>
      </c>
      <c r="D28" s="47" t="s">
        <v>177</v>
      </c>
      <c r="E28" s="47" t="s">
        <v>7</v>
      </c>
      <c r="F28" s="47">
        <v>566869</v>
      </c>
      <c r="G28" s="47" t="s">
        <v>21</v>
      </c>
      <c r="H28" s="47" t="s">
        <v>168</v>
      </c>
      <c r="I28" s="47" t="s">
        <v>182</v>
      </c>
      <c r="J28" s="47" t="s">
        <v>1249</v>
      </c>
      <c r="K28" s="43">
        <v>44057</v>
      </c>
      <c r="L28" s="43" t="s">
        <v>25</v>
      </c>
      <c r="M28" s="47"/>
      <c r="N28" s="47" t="s">
        <v>901</v>
      </c>
      <c r="O28" s="47" t="s">
        <v>1209</v>
      </c>
    </row>
    <row r="29" spans="1:15">
      <c r="A29" s="49" t="s">
        <v>899</v>
      </c>
      <c r="B29" s="49" t="s">
        <v>1245</v>
      </c>
      <c r="C29" s="41" t="s">
        <v>623</v>
      </c>
      <c r="D29" s="47" t="s">
        <v>177</v>
      </c>
      <c r="E29" s="47" t="s">
        <v>7</v>
      </c>
      <c r="F29" s="47">
        <v>1526475</v>
      </c>
      <c r="G29" s="47" t="s">
        <v>56</v>
      </c>
      <c r="H29" s="47" t="s">
        <v>57</v>
      </c>
      <c r="I29" s="47" t="s">
        <v>182</v>
      </c>
      <c r="J29" s="47" t="s">
        <v>1249</v>
      </c>
      <c r="K29" s="43">
        <v>44057</v>
      </c>
      <c r="L29" s="43" t="s">
        <v>25</v>
      </c>
      <c r="M29" s="47"/>
      <c r="N29" s="47" t="s">
        <v>901</v>
      </c>
      <c r="O29" s="47" t="s">
        <v>1209</v>
      </c>
    </row>
    <row r="30" spans="1:15">
      <c r="A30" s="49" t="s">
        <v>899</v>
      </c>
      <c r="B30" s="49" t="s">
        <v>613</v>
      </c>
      <c r="C30" s="41" t="s">
        <v>614</v>
      </c>
      <c r="D30" s="47" t="s">
        <v>98</v>
      </c>
      <c r="E30" s="47" t="s">
        <v>2</v>
      </c>
      <c r="F30" s="47" t="s">
        <v>1250</v>
      </c>
      <c r="G30" s="47" t="s">
        <v>1251</v>
      </c>
      <c r="H30" s="47" t="s">
        <v>1252</v>
      </c>
      <c r="I30" s="47" t="s">
        <v>120</v>
      </c>
      <c r="J30" s="47"/>
      <c r="K30" s="43">
        <v>43615</v>
      </c>
      <c r="L30" s="43" t="s">
        <v>46</v>
      </c>
      <c r="M30" s="47" t="s">
        <v>1253</v>
      </c>
      <c r="N30" s="47" t="s">
        <v>901</v>
      </c>
      <c r="O30" s="47" t="s">
        <v>1209</v>
      </c>
    </row>
    <row r="31" spans="1:15">
      <c r="A31" s="49" t="s">
        <v>899</v>
      </c>
      <c r="B31" s="49" t="s">
        <v>1254</v>
      </c>
      <c r="C31" s="41" t="s">
        <v>832</v>
      </c>
      <c r="D31" s="47"/>
      <c r="E31" s="47" t="s">
        <v>7</v>
      </c>
      <c r="F31" s="47">
        <v>1511706</v>
      </c>
      <c r="G31" s="47" t="s">
        <v>56</v>
      </c>
      <c r="H31" s="47" t="s">
        <v>57</v>
      </c>
      <c r="I31" s="47" t="s">
        <v>1255</v>
      </c>
      <c r="J31" s="47"/>
      <c r="K31" s="43"/>
      <c r="L31" s="43" t="s">
        <v>46</v>
      </c>
      <c r="M31" s="47"/>
      <c r="N31" s="47" t="s">
        <v>901</v>
      </c>
      <c r="O31" s="47" t="s">
        <v>1209</v>
      </c>
    </row>
    <row r="32" spans="1:15">
      <c r="A32" s="49" t="s">
        <v>899</v>
      </c>
      <c r="B32" s="49" t="s">
        <v>567</v>
      </c>
      <c r="C32" s="41" t="s">
        <v>568</v>
      </c>
      <c r="D32" s="47" t="s">
        <v>98</v>
      </c>
      <c r="E32" s="47" t="s">
        <v>4</v>
      </c>
      <c r="F32" s="47">
        <v>4222022</v>
      </c>
      <c r="G32" s="47" t="s">
        <v>26</v>
      </c>
      <c r="H32" s="47" t="s">
        <v>27</v>
      </c>
      <c r="I32" s="47" t="s">
        <v>118</v>
      </c>
      <c r="J32" s="47" t="s">
        <v>570</v>
      </c>
      <c r="K32" s="43">
        <v>43615</v>
      </c>
      <c r="L32" s="43" t="s">
        <v>46</v>
      </c>
      <c r="M32" s="47" t="s">
        <v>1256</v>
      </c>
      <c r="N32" s="47" t="s">
        <v>901</v>
      </c>
      <c r="O32" s="47" t="s">
        <v>1209</v>
      </c>
    </row>
    <row r="33" spans="1:15">
      <c r="A33" s="49" t="s">
        <v>899</v>
      </c>
      <c r="B33" s="49" t="s">
        <v>567</v>
      </c>
      <c r="C33" s="41" t="s">
        <v>568</v>
      </c>
      <c r="D33" s="47" t="s">
        <v>98</v>
      </c>
      <c r="E33" s="47" t="s">
        <v>7</v>
      </c>
      <c r="F33" s="47">
        <v>98127</v>
      </c>
      <c r="G33" s="47" t="s">
        <v>133</v>
      </c>
      <c r="H33" s="47" t="s">
        <v>134</v>
      </c>
      <c r="I33" s="47" t="s">
        <v>118</v>
      </c>
      <c r="J33" s="47" t="s">
        <v>570</v>
      </c>
      <c r="K33" s="43">
        <v>43615</v>
      </c>
      <c r="L33" s="43" t="s">
        <v>46</v>
      </c>
      <c r="M33" s="47"/>
      <c r="N33" s="47" t="s">
        <v>901</v>
      </c>
      <c r="O33" s="47" t="s">
        <v>1209</v>
      </c>
    </row>
    <row r="34" spans="1:15">
      <c r="A34" s="49" t="s">
        <v>899</v>
      </c>
      <c r="B34" s="49" t="s">
        <v>567</v>
      </c>
      <c r="C34" s="41" t="s">
        <v>568</v>
      </c>
      <c r="D34" s="47" t="s">
        <v>98</v>
      </c>
      <c r="E34" s="47" t="s">
        <v>7</v>
      </c>
      <c r="F34" s="47">
        <v>341053</v>
      </c>
      <c r="G34" s="47" t="s">
        <v>21</v>
      </c>
      <c r="H34" s="47" t="s">
        <v>168</v>
      </c>
      <c r="I34" s="47" t="s">
        <v>118</v>
      </c>
      <c r="J34" s="47" t="s">
        <v>570</v>
      </c>
      <c r="K34" s="43">
        <v>43620</v>
      </c>
      <c r="L34" s="43" t="s">
        <v>46</v>
      </c>
      <c r="M34" s="47" t="s">
        <v>1257</v>
      </c>
      <c r="N34" s="47" t="s">
        <v>901</v>
      </c>
      <c r="O34" s="47" t="s">
        <v>1209</v>
      </c>
    </row>
    <row r="35" spans="1:15">
      <c r="A35" s="49" t="s">
        <v>899</v>
      </c>
      <c r="B35" s="49" t="s">
        <v>1258</v>
      </c>
      <c r="C35" s="41" t="s">
        <v>1259</v>
      </c>
      <c r="D35" s="47" t="s">
        <v>94</v>
      </c>
      <c r="E35" s="47" t="s">
        <v>4</v>
      </c>
      <c r="F35" s="47">
        <v>6229197</v>
      </c>
      <c r="G35" s="47" t="s">
        <v>26</v>
      </c>
      <c r="H35" s="47" t="s">
        <v>27</v>
      </c>
      <c r="I35" s="47" t="s">
        <v>1260</v>
      </c>
      <c r="J35" s="47"/>
      <c r="K35" s="43">
        <v>43643</v>
      </c>
      <c r="L35" s="43" t="s">
        <v>46</v>
      </c>
      <c r="M35" s="47" t="s">
        <v>1261</v>
      </c>
      <c r="N35" s="47" t="s">
        <v>901</v>
      </c>
      <c r="O35" s="47" t="s">
        <v>1209</v>
      </c>
    </row>
    <row r="36" spans="1:15">
      <c r="A36" s="49" t="s">
        <v>899</v>
      </c>
      <c r="B36" s="49" t="s">
        <v>544</v>
      </c>
      <c r="C36" s="41" t="s">
        <v>545</v>
      </c>
      <c r="D36" s="47"/>
      <c r="E36" s="47" t="s">
        <v>4</v>
      </c>
      <c r="F36" s="47">
        <v>4211349</v>
      </c>
      <c r="G36" s="47" t="s">
        <v>26</v>
      </c>
      <c r="H36" s="47" t="s">
        <v>847</v>
      </c>
      <c r="I36" s="47" t="s">
        <v>1262</v>
      </c>
      <c r="J36" s="47"/>
      <c r="K36" s="43"/>
      <c r="L36" s="43" t="s">
        <v>46</v>
      </c>
      <c r="M36" s="47"/>
      <c r="N36" s="47" t="s">
        <v>901</v>
      </c>
      <c r="O36" s="47" t="s">
        <v>1209</v>
      </c>
    </row>
    <row r="37" spans="1:15">
      <c r="A37" s="49" t="s">
        <v>899</v>
      </c>
      <c r="B37" s="49" t="s">
        <v>544</v>
      </c>
      <c r="C37" s="41" t="s">
        <v>545</v>
      </c>
      <c r="D37" s="47" t="s">
        <v>164</v>
      </c>
      <c r="E37" s="47" t="s">
        <v>9</v>
      </c>
      <c r="F37" s="47" t="s">
        <v>1263</v>
      </c>
      <c r="G37" s="47" t="s">
        <v>21</v>
      </c>
      <c r="H37" s="47" t="s">
        <v>29</v>
      </c>
      <c r="I37" s="47" t="s">
        <v>983</v>
      </c>
      <c r="J37" s="47" t="s">
        <v>426</v>
      </c>
      <c r="K37" s="43">
        <v>43615</v>
      </c>
      <c r="L37" s="43" t="s">
        <v>46</v>
      </c>
      <c r="M37" s="47"/>
      <c r="N37" s="47" t="s">
        <v>901</v>
      </c>
      <c r="O37" s="47" t="s">
        <v>1209</v>
      </c>
    </row>
    <row r="38" spans="1:15">
      <c r="A38" s="49" t="s">
        <v>899</v>
      </c>
      <c r="B38" s="49" t="s">
        <v>1264</v>
      </c>
      <c r="C38" s="41" t="s">
        <v>1265</v>
      </c>
      <c r="D38" s="47" t="s">
        <v>142</v>
      </c>
      <c r="E38" s="47" t="s">
        <v>4</v>
      </c>
      <c r="F38" s="62">
        <v>4223404</v>
      </c>
      <c r="G38" s="47" t="s">
        <v>26</v>
      </c>
      <c r="H38" s="47" t="s">
        <v>27</v>
      </c>
      <c r="I38" s="47" t="s">
        <v>1266</v>
      </c>
      <c r="J38" s="47"/>
      <c r="K38" s="43">
        <v>43620</v>
      </c>
      <c r="L38" s="43" t="s">
        <v>46</v>
      </c>
      <c r="M38" s="47"/>
      <c r="N38" s="47" t="s">
        <v>901</v>
      </c>
      <c r="O38" s="47" t="s">
        <v>1209</v>
      </c>
    </row>
    <row r="39" spans="1:15">
      <c r="A39" s="49" t="s">
        <v>899</v>
      </c>
      <c r="B39" s="49" t="s">
        <v>1267</v>
      </c>
      <c r="C39" s="41" t="s">
        <v>1268</v>
      </c>
      <c r="D39" s="47" t="s">
        <v>164</v>
      </c>
      <c r="E39" s="47" t="s">
        <v>7</v>
      </c>
      <c r="F39" s="62">
        <v>566869</v>
      </c>
      <c r="G39" s="47" t="s">
        <v>56</v>
      </c>
      <c r="H39" s="47" t="s">
        <v>57</v>
      </c>
      <c r="I39" s="47" t="s">
        <v>172</v>
      </c>
      <c r="J39" s="47" t="s">
        <v>1249</v>
      </c>
      <c r="K39" s="43">
        <v>43759</v>
      </c>
      <c r="L39" s="43" t="s">
        <v>46</v>
      </c>
      <c r="M39" s="47" t="s">
        <v>1269</v>
      </c>
      <c r="N39" s="47" t="s">
        <v>901</v>
      </c>
      <c r="O39" s="47" t="s">
        <v>1209</v>
      </c>
    </row>
    <row r="40" spans="1:15">
      <c r="A40" s="49" t="s">
        <v>899</v>
      </c>
      <c r="B40" s="49" t="s">
        <v>505</v>
      </c>
      <c r="C40" s="41" t="s">
        <v>506</v>
      </c>
      <c r="D40" s="47"/>
      <c r="E40" s="47" t="s">
        <v>7</v>
      </c>
      <c r="F40" s="62">
        <v>728695</v>
      </c>
      <c r="G40" s="47" t="s">
        <v>56</v>
      </c>
      <c r="H40" s="47" t="s">
        <v>57</v>
      </c>
      <c r="I40" s="47" t="s">
        <v>236</v>
      </c>
      <c r="J40" s="47"/>
      <c r="K40" s="43"/>
      <c r="L40" s="43" t="s">
        <v>46</v>
      </c>
      <c r="M40" s="47"/>
      <c r="N40" s="47" t="s">
        <v>901</v>
      </c>
      <c r="O40" s="47" t="s">
        <v>1209</v>
      </c>
    </row>
    <row r="41" spans="1:15">
      <c r="A41" s="49" t="s">
        <v>899</v>
      </c>
      <c r="B41" s="49" t="s">
        <v>1270</v>
      </c>
      <c r="C41" s="41" t="s">
        <v>1271</v>
      </c>
      <c r="D41" s="47"/>
      <c r="E41" s="47" t="s">
        <v>5</v>
      </c>
      <c r="F41" s="62">
        <v>1508001009</v>
      </c>
      <c r="G41" s="47" t="s">
        <v>21</v>
      </c>
      <c r="H41" s="47" t="s">
        <v>80</v>
      </c>
      <c r="I41" s="47" t="s">
        <v>1213</v>
      </c>
      <c r="J41" s="47"/>
      <c r="K41" s="43"/>
      <c r="L41" s="43" t="s">
        <v>46</v>
      </c>
      <c r="M41" s="47"/>
      <c r="N41" s="47" t="s">
        <v>901</v>
      </c>
      <c r="O41" s="47" t="s">
        <v>1209</v>
      </c>
    </row>
    <row r="42" spans="1:15">
      <c r="A42" s="49" t="s">
        <v>899</v>
      </c>
      <c r="B42" s="49" t="s">
        <v>1270</v>
      </c>
      <c r="C42" s="41" t="s">
        <v>718</v>
      </c>
      <c r="D42" s="47"/>
      <c r="E42" s="47" t="s">
        <v>5</v>
      </c>
      <c r="F42" s="62">
        <v>940600030211</v>
      </c>
      <c r="G42" s="47" t="s">
        <v>21</v>
      </c>
      <c r="H42" s="47" t="s">
        <v>258</v>
      </c>
      <c r="I42" s="47" t="s">
        <v>1272</v>
      </c>
      <c r="J42" s="47"/>
      <c r="K42" s="43"/>
      <c r="L42" s="43" t="s">
        <v>46</v>
      </c>
      <c r="M42" s="47"/>
      <c r="N42" s="47" t="s">
        <v>901</v>
      </c>
      <c r="O42" s="47" t="s">
        <v>1209</v>
      </c>
    </row>
    <row r="43" spans="1:15">
      <c r="A43" s="49" t="s">
        <v>899</v>
      </c>
      <c r="B43" s="49" t="s">
        <v>1270</v>
      </c>
      <c r="C43" s="41" t="s">
        <v>1271</v>
      </c>
      <c r="D43" s="47"/>
      <c r="E43" s="47" t="s">
        <v>6</v>
      </c>
      <c r="F43" s="47">
        <v>6212197</v>
      </c>
      <c r="G43" s="47" t="s">
        <v>1212</v>
      </c>
      <c r="H43" s="47" t="s">
        <v>847</v>
      </c>
      <c r="I43" s="47" t="s">
        <v>1213</v>
      </c>
      <c r="J43" s="47"/>
      <c r="K43" s="43"/>
      <c r="L43" s="43" t="s">
        <v>46</v>
      </c>
      <c r="M43" s="47"/>
      <c r="N43" s="47" t="s">
        <v>901</v>
      </c>
      <c r="O43" s="47" t="s">
        <v>1209</v>
      </c>
    </row>
    <row r="44" spans="1:15">
      <c r="A44" s="49" t="s">
        <v>899</v>
      </c>
      <c r="B44" s="49" t="s">
        <v>1270</v>
      </c>
      <c r="C44" s="41" t="s">
        <v>1271</v>
      </c>
      <c r="D44" s="47"/>
      <c r="E44" s="47" t="s">
        <v>6</v>
      </c>
      <c r="F44" s="47">
        <v>6246685</v>
      </c>
      <c r="G44" s="47" t="s">
        <v>1212</v>
      </c>
      <c r="H44" s="47" t="s">
        <v>847</v>
      </c>
      <c r="I44" s="47" t="s">
        <v>1213</v>
      </c>
      <c r="J44" s="47"/>
      <c r="K44" s="43"/>
      <c r="L44" s="43" t="s">
        <v>46</v>
      </c>
      <c r="M44" s="47"/>
      <c r="N44" s="47" t="s">
        <v>901</v>
      </c>
      <c r="O44" s="47" t="s">
        <v>1209</v>
      </c>
    </row>
    <row r="45" spans="1:15">
      <c r="A45" s="49" t="s">
        <v>899</v>
      </c>
      <c r="B45" s="49" t="s">
        <v>1273</v>
      </c>
      <c r="C45" s="41" t="s">
        <v>1274</v>
      </c>
      <c r="D45" s="47"/>
      <c r="E45" s="47" t="s">
        <v>4</v>
      </c>
      <c r="F45" s="62">
        <v>52395</v>
      </c>
      <c r="G45" s="47" t="s">
        <v>31</v>
      </c>
      <c r="H45" s="47" t="s">
        <v>74</v>
      </c>
      <c r="I45" s="47" t="s">
        <v>1275</v>
      </c>
      <c r="J45" s="47"/>
      <c r="K45" s="43"/>
      <c r="L45" s="43" t="s">
        <v>46</v>
      </c>
      <c r="M45" s="47"/>
      <c r="N45" s="47" t="s">
        <v>901</v>
      </c>
      <c r="O45" s="47" t="s">
        <v>1209</v>
      </c>
    </row>
    <row r="46" spans="1:15">
      <c r="A46" s="49" t="s">
        <v>899</v>
      </c>
      <c r="B46" s="49" t="s">
        <v>1273</v>
      </c>
      <c r="C46" s="41" t="s">
        <v>1274</v>
      </c>
      <c r="D46" s="47" t="s">
        <v>202</v>
      </c>
      <c r="E46" s="47" t="s">
        <v>3</v>
      </c>
      <c r="F46" s="62">
        <v>132060002041</v>
      </c>
      <c r="G46" s="47" t="s">
        <v>21</v>
      </c>
      <c r="H46" s="47" t="s">
        <v>96</v>
      </c>
      <c r="I46" s="47" t="s">
        <v>250</v>
      </c>
      <c r="J46" s="47" t="s">
        <v>353</v>
      </c>
      <c r="K46" s="43">
        <v>43739</v>
      </c>
      <c r="L46" s="43" t="s">
        <v>46</v>
      </c>
      <c r="M46" s="47" t="s">
        <v>1276</v>
      </c>
      <c r="N46" s="47" t="s">
        <v>901</v>
      </c>
      <c r="O46" s="47" t="s">
        <v>1209</v>
      </c>
    </row>
    <row r="47" spans="1:15">
      <c r="A47" s="49" t="s">
        <v>899</v>
      </c>
      <c r="B47" s="49" t="s">
        <v>1277</v>
      </c>
      <c r="C47" s="41" t="s">
        <v>1278</v>
      </c>
      <c r="D47" s="47"/>
      <c r="E47" s="47" t="s">
        <v>3</v>
      </c>
      <c r="F47" s="62" t="s">
        <v>1279</v>
      </c>
      <c r="G47" s="47" t="s">
        <v>21</v>
      </c>
      <c r="H47" s="47" t="s">
        <v>96</v>
      </c>
      <c r="I47" s="47" t="s">
        <v>1275</v>
      </c>
      <c r="J47" s="47"/>
      <c r="K47" s="43"/>
      <c r="L47" s="43" t="s">
        <v>46</v>
      </c>
      <c r="M47" s="47"/>
      <c r="N47" s="47" t="s">
        <v>901</v>
      </c>
      <c r="O47" s="47" t="s">
        <v>1209</v>
      </c>
    </row>
    <row r="48" spans="1:15">
      <c r="A48" s="49" t="s">
        <v>899</v>
      </c>
      <c r="B48" s="49" t="s">
        <v>1277</v>
      </c>
      <c r="C48" s="41" t="s">
        <v>1278</v>
      </c>
      <c r="D48" s="47"/>
      <c r="E48" s="47" t="s">
        <v>4</v>
      </c>
      <c r="F48" s="47">
        <v>4210448</v>
      </c>
      <c r="G48" s="47" t="s">
        <v>26</v>
      </c>
      <c r="H48" s="47" t="s">
        <v>847</v>
      </c>
      <c r="I48" s="47" t="s">
        <v>1275</v>
      </c>
      <c r="J48" s="47"/>
      <c r="K48" s="43"/>
      <c r="L48" s="43" t="s">
        <v>46</v>
      </c>
      <c r="M48" s="47"/>
      <c r="N48" s="47" t="s">
        <v>901</v>
      </c>
      <c r="O48" s="47" t="s">
        <v>1209</v>
      </c>
    </row>
    <row r="49" spans="1:15">
      <c r="A49" s="49" t="s">
        <v>899</v>
      </c>
      <c r="B49" s="49" t="s">
        <v>1280</v>
      </c>
      <c r="C49" s="41" t="s">
        <v>1281</v>
      </c>
      <c r="D49" s="47" t="s">
        <v>202</v>
      </c>
      <c r="E49" s="47" t="s">
        <v>6</v>
      </c>
      <c r="F49" s="62">
        <v>6263666</v>
      </c>
      <c r="G49" s="47" t="s">
        <v>26</v>
      </c>
      <c r="H49" s="47" t="s">
        <v>84</v>
      </c>
      <c r="I49" s="47" t="s">
        <v>211</v>
      </c>
      <c r="J49" s="47"/>
      <c r="K49" s="43">
        <v>43888</v>
      </c>
      <c r="L49" s="43" t="s">
        <v>46</v>
      </c>
      <c r="M49" s="47" t="s">
        <v>1282</v>
      </c>
      <c r="N49" s="47" t="s">
        <v>901</v>
      </c>
      <c r="O49" s="47" t="s">
        <v>1209</v>
      </c>
    </row>
    <row r="50" spans="1:15">
      <c r="A50" s="49" t="s">
        <v>899</v>
      </c>
      <c r="B50" s="49" t="s">
        <v>1283</v>
      </c>
      <c r="C50" s="41" t="s">
        <v>323</v>
      </c>
      <c r="D50" s="47"/>
      <c r="E50" s="47" t="s">
        <v>7</v>
      </c>
      <c r="F50" s="47" t="s">
        <v>65</v>
      </c>
      <c r="G50" s="47" t="s">
        <v>66</v>
      </c>
      <c r="H50" s="47" t="s">
        <v>67</v>
      </c>
      <c r="I50" s="47" t="s">
        <v>50</v>
      </c>
      <c r="J50" s="47"/>
      <c r="K50" s="43"/>
      <c r="L50" s="43" t="s">
        <v>46</v>
      </c>
      <c r="M50" s="47"/>
      <c r="N50" s="47" t="s">
        <v>901</v>
      </c>
      <c r="O50" s="47" t="s">
        <v>1209</v>
      </c>
    </row>
    <row r="51" spans="1:15">
      <c r="A51" s="49" t="s">
        <v>899</v>
      </c>
      <c r="B51" s="49" t="s">
        <v>1284</v>
      </c>
      <c r="C51" s="41" t="s">
        <v>1285</v>
      </c>
      <c r="D51" s="47"/>
      <c r="E51" s="47" t="s">
        <v>4</v>
      </c>
      <c r="F51" s="47">
        <v>4222730</v>
      </c>
      <c r="G51" s="47" t="s">
        <v>1212</v>
      </c>
      <c r="H51" s="47" t="s">
        <v>1226</v>
      </c>
      <c r="I51" s="47" t="s">
        <v>1286</v>
      </c>
      <c r="J51" s="47"/>
      <c r="K51" s="43"/>
      <c r="L51" s="43" t="s">
        <v>46</v>
      </c>
      <c r="M51" s="47"/>
      <c r="N51" s="47" t="s">
        <v>901</v>
      </c>
      <c r="O51" s="47" t="s">
        <v>1209</v>
      </c>
    </row>
    <row r="52" spans="1:15">
      <c r="A52" s="49" t="s">
        <v>899</v>
      </c>
      <c r="B52" s="49" t="s">
        <v>1284</v>
      </c>
      <c r="C52" s="41" t="s">
        <v>1285</v>
      </c>
      <c r="D52" s="47"/>
      <c r="E52" s="47" t="s">
        <v>7</v>
      </c>
      <c r="F52" s="47">
        <v>570681</v>
      </c>
      <c r="G52" s="47" t="s">
        <v>56</v>
      </c>
      <c r="H52" s="47" t="s">
        <v>57</v>
      </c>
      <c r="I52" s="47" t="s">
        <v>1286</v>
      </c>
      <c r="J52" s="47"/>
      <c r="K52" s="43"/>
      <c r="L52" s="43" t="s">
        <v>46</v>
      </c>
      <c r="M52" s="47"/>
      <c r="N52" s="47" t="s">
        <v>901</v>
      </c>
      <c r="O52" s="47" t="s">
        <v>1209</v>
      </c>
    </row>
    <row r="53" spans="1:15">
      <c r="A53" s="49" t="s">
        <v>899</v>
      </c>
      <c r="B53" s="49" t="s">
        <v>1284</v>
      </c>
      <c r="C53" s="41" t="s">
        <v>1285</v>
      </c>
      <c r="D53" s="47"/>
      <c r="E53" s="47" t="s">
        <v>7</v>
      </c>
      <c r="F53" s="47">
        <v>1563931</v>
      </c>
      <c r="G53" s="47" t="s">
        <v>56</v>
      </c>
      <c r="H53" s="47" t="s">
        <v>57</v>
      </c>
      <c r="I53" s="47" t="s">
        <v>1286</v>
      </c>
      <c r="J53" s="47"/>
      <c r="K53" s="43"/>
      <c r="L53" s="43" t="s">
        <v>46</v>
      </c>
      <c r="M53" s="47"/>
      <c r="N53" s="47" t="s">
        <v>901</v>
      </c>
      <c r="O53" s="47" t="s">
        <v>1209</v>
      </c>
    </row>
    <row r="54" spans="1:15">
      <c r="A54" s="49" t="s">
        <v>899</v>
      </c>
      <c r="B54" s="49" t="s">
        <v>1284</v>
      </c>
      <c r="C54" s="41" t="s">
        <v>1285</v>
      </c>
      <c r="D54" s="47"/>
      <c r="E54" s="47" t="s">
        <v>7</v>
      </c>
      <c r="F54" s="47">
        <v>1290081991</v>
      </c>
      <c r="G54" s="47" t="s">
        <v>134</v>
      </c>
      <c r="H54" s="47" t="s">
        <v>1287</v>
      </c>
      <c r="I54" s="47" t="s">
        <v>1286</v>
      </c>
      <c r="J54" s="47"/>
      <c r="K54" s="43"/>
      <c r="L54" s="43" t="s">
        <v>46</v>
      </c>
      <c r="M54" s="47"/>
      <c r="N54" s="47" t="s">
        <v>901</v>
      </c>
      <c r="O54" s="47" t="s">
        <v>1209</v>
      </c>
    </row>
    <row r="55" spans="1:15">
      <c r="A55" s="49" t="s">
        <v>899</v>
      </c>
      <c r="B55" s="49" t="s">
        <v>1284</v>
      </c>
      <c r="C55" s="41" t="s">
        <v>1285</v>
      </c>
      <c r="D55" s="47"/>
      <c r="E55" s="47" t="s">
        <v>7</v>
      </c>
      <c r="F55" s="47" t="s">
        <v>1288</v>
      </c>
      <c r="G55" s="47" t="s">
        <v>134</v>
      </c>
      <c r="H55" s="47" t="s">
        <v>1287</v>
      </c>
      <c r="I55" s="47" t="s">
        <v>1286</v>
      </c>
      <c r="J55" s="47"/>
      <c r="K55" s="43"/>
      <c r="L55" s="43" t="s">
        <v>46</v>
      </c>
      <c r="M55" s="47"/>
      <c r="N55" s="47" t="s">
        <v>901</v>
      </c>
      <c r="O55" s="47" t="s">
        <v>1209</v>
      </c>
    </row>
    <row r="56" spans="1:15">
      <c r="A56" s="49" t="s">
        <v>899</v>
      </c>
      <c r="B56" s="49" t="s">
        <v>1284</v>
      </c>
      <c r="C56" s="41" t="s">
        <v>1285</v>
      </c>
      <c r="D56" s="47"/>
      <c r="E56" s="47" t="s">
        <v>7</v>
      </c>
      <c r="F56" s="47">
        <v>98130</v>
      </c>
      <c r="G56" s="47" t="s">
        <v>134</v>
      </c>
      <c r="H56" s="47" t="s">
        <v>1287</v>
      </c>
      <c r="I56" s="47" t="s">
        <v>1286</v>
      </c>
      <c r="J56" s="47"/>
      <c r="K56" s="43"/>
      <c r="L56" s="43" t="s">
        <v>46</v>
      </c>
      <c r="M56" s="47"/>
      <c r="N56" s="47" t="s">
        <v>901</v>
      </c>
      <c r="O56" s="47" t="s">
        <v>1209</v>
      </c>
    </row>
    <row r="57" spans="1:15">
      <c r="A57" s="49" t="s">
        <v>899</v>
      </c>
      <c r="B57" s="49" t="s">
        <v>1289</v>
      </c>
      <c r="C57" s="41" t="s">
        <v>1290</v>
      </c>
      <c r="D57" s="47"/>
      <c r="E57" s="47" t="s">
        <v>3</v>
      </c>
      <c r="F57" s="47" t="s">
        <v>249</v>
      </c>
      <c r="G57" s="47" t="s">
        <v>21</v>
      </c>
      <c r="H57" s="47" t="s">
        <v>22</v>
      </c>
      <c r="I57" s="47" t="s">
        <v>236</v>
      </c>
      <c r="J57" s="47"/>
      <c r="K57" s="43"/>
      <c r="L57" s="43" t="s">
        <v>46</v>
      </c>
      <c r="M57" s="47"/>
      <c r="N57" s="47" t="s">
        <v>901</v>
      </c>
      <c r="O57" s="47" t="s">
        <v>1209</v>
      </c>
    </row>
    <row r="58" spans="1:15">
      <c r="A58" s="49" t="s">
        <v>899</v>
      </c>
      <c r="B58" s="49" t="s">
        <v>1291</v>
      </c>
      <c r="C58" s="41" t="s">
        <v>480</v>
      </c>
      <c r="D58" s="47" t="s">
        <v>98</v>
      </c>
      <c r="E58" s="47" t="s">
        <v>6</v>
      </c>
      <c r="F58" s="62">
        <v>9301589</v>
      </c>
      <c r="G58" s="47" t="s">
        <v>26</v>
      </c>
      <c r="H58" s="47" t="s">
        <v>84</v>
      </c>
      <c r="I58" s="47" t="s">
        <v>1292</v>
      </c>
      <c r="J58" s="47"/>
      <c r="K58" s="43">
        <v>43648</v>
      </c>
      <c r="L58" s="43" t="s">
        <v>46</v>
      </c>
      <c r="M58" s="47" t="s">
        <v>1293</v>
      </c>
      <c r="N58" s="47" t="s">
        <v>901</v>
      </c>
      <c r="O58" s="47" t="s">
        <v>1209</v>
      </c>
    </row>
    <row r="59" spans="1:15">
      <c r="A59" s="49" t="s">
        <v>899</v>
      </c>
      <c r="B59" s="49" t="s">
        <v>469</v>
      </c>
      <c r="C59" s="41" t="s">
        <v>470</v>
      </c>
      <c r="D59" s="47"/>
      <c r="E59" s="47" t="s">
        <v>3</v>
      </c>
      <c r="F59" s="62" t="s">
        <v>1294</v>
      </c>
      <c r="G59" s="47" t="s">
        <v>21</v>
      </c>
      <c r="H59" s="47" t="s">
        <v>22</v>
      </c>
      <c r="I59" s="47" t="s">
        <v>200</v>
      </c>
      <c r="J59" s="47" t="s">
        <v>472</v>
      </c>
      <c r="K59" s="43">
        <v>43511</v>
      </c>
      <c r="L59" s="43" t="s">
        <v>46</v>
      </c>
      <c r="M59" s="47" t="s">
        <v>1295</v>
      </c>
      <c r="N59" s="47" t="s">
        <v>901</v>
      </c>
      <c r="O59" s="47" t="s">
        <v>1209</v>
      </c>
    </row>
    <row r="60" spans="1:15">
      <c r="A60" s="49" t="s">
        <v>899</v>
      </c>
      <c r="B60" s="49" t="s">
        <v>449</v>
      </c>
      <c r="C60" s="41" t="s">
        <v>450</v>
      </c>
      <c r="D60" s="47" t="s">
        <v>83</v>
      </c>
      <c r="E60" s="47" t="s">
        <v>3</v>
      </c>
      <c r="F60" s="62">
        <v>142870001005</v>
      </c>
      <c r="G60" s="47" t="s">
        <v>21</v>
      </c>
      <c r="H60" s="47" t="s">
        <v>22</v>
      </c>
      <c r="I60" s="47" t="s">
        <v>85</v>
      </c>
      <c r="J60" s="47" t="s">
        <v>1296</v>
      </c>
      <c r="K60" s="43">
        <v>43712</v>
      </c>
      <c r="L60" s="43" t="s">
        <v>46</v>
      </c>
      <c r="M60" s="47" t="s">
        <v>1297</v>
      </c>
      <c r="N60" s="47" t="s">
        <v>901</v>
      </c>
      <c r="O60" s="47" t="s">
        <v>1209</v>
      </c>
    </row>
    <row r="61" spans="1:15">
      <c r="A61" s="49" t="s">
        <v>899</v>
      </c>
      <c r="B61" s="49" t="s">
        <v>449</v>
      </c>
      <c r="C61" s="41" t="s">
        <v>450</v>
      </c>
      <c r="D61" s="47" t="s">
        <v>83</v>
      </c>
      <c r="E61" s="47" t="s">
        <v>4</v>
      </c>
      <c r="F61" s="62">
        <v>20143396</v>
      </c>
      <c r="G61" s="47" t="s">
        <v>1298</v>
      </c>
      <c r="H61" s="47" t="s">
        <v>1299</v>
      </c>
      <c r="I61" s="47" t="s">
        <v>85</v>
      </c>
      <c r="J61" s="47" t="s">
        <v>1296</v>
      </c>
      <c r="K61" s="43">
        <v>43712</v>
      </c>
      <c r="L61" s="43" t="s">
        <v>46</v>
      </c>
      <c r="M61" s="47" t="s">
        <v>1300</v>
      </c>
      <c r="N61" s="47" t="s">
        <v>901</v>
      </c>
      <c r="O61" s="47" t="s">
        <v>1209</v>
      </c>
    </row>
    <row r="62" spans="1:15">
      <c r="A62" s="49" t="s">
        <v>899</v>
      </c>
      <c r="B62" s="49" t="s">
        <v>449</v>
      </c>
      <c r="C62" s="41" t="s">
        <v>450</v>
      </c>
      <c r="D62" s="47"/>
      <c r="E62" s="47" t="s">
        <v>7</v>
      </c>
      <c r="F62" s="62">
        <v>408912</v>
      </c>
      <c r="G62" s="47" t="s">
        <v>1301</v>
      </c>
      <c r="H62" s="47" t="s">
        <v>1302</v>
      </c>
      <c r="I62" s="47" t="s">
        <v>85</v>
      </c>
      <c r="J62" s="47"/>
      <c r="K62" s="43"/>
      <c r="L62" s="43" t="s">
        <v>46</v>
      </c>
      <c r="M62" s="47"/>
      <c r="N62" s="47" t="s">
        <v>901</v>
      </c>
      <c r="O62" s="47" t="s">
        <v>1209</v>
      </c>
    </row>
    <row r="63" spans="1:15">
      <c r="A63" s="49" t="s">
        <v>899</v>
      </c>
      <c r="B63" s="49" t="s">
        <v>449</v>
      </c>
      <c r="C63" s="41" t="s">
        <v>450</v>
      </c>
      <c r="D63" s="47"/>
      <c r="E63" s="47" t="s">
        <v>7</v>
      </c>
      <c r="F63" s="62" t="s">
        <v>1303</v>
      </c>
      <c r="G63" s="47" t="s">
        <v>1301</v>
      </c>
      <c r="H63" s="47" t="s">
        <v>1302</v>
      </c>
      <c r="I63" s="47" t="s">
        <v>85</v>
      </c>
      <c r="J63" s="47"/>
      <c r="K63" s="43"/>
      <c r="L63" s="43" t="s">
        <v>46</v>
      </c>
      <c r="M63" s="47"/>
      <c r="N63" s="47" t="s">
        <v>901</v>
      </c>
      <c r="O63" s="47" t="s">
        <v>1209</v>
      </c>
    </row>
    <row r="64" spans="1:15">
      <c r="A64" s="49" t="s">
        <v>899</v>
      </c>
      <c r="B64" s="49" t="s">
        <v>449</v>
      </c>
      <c r="C64" s="41" t="s">
        <v>450</v>
      </c>
      <c r="D64" s="47" t="s">
        <v>83</v>
      </c>
      <c r="E64" s="47" t="s">
        <v>7</v>
      </c>
      <c r="F64" s="62">
        <v>2791697</v>
      </c>
      <c r="G64" s="47" t="s">
        <v>56</v>
      </c>
      <c r="H64" s="47" t="s">
        <v>57</v>
      </c>
      <c r="I64" s="47" t="s">
        <v>85</v>
      </c>
      <c r="J64" s="47" t="s">
        <v>1296</v>
      </c>
      <c r="K64" s="43">
        <v>43712</v>
      </c>
      <c r="L64" s="43" t="s">
        <v>46</v>
      </c>
      <c r="M64" s="47" t="s">
        <v>1304</v>
      </c>
      <c r="N64" s="47" t="s">
        <v>901</v>
      </c>
      <c r="O64" s="47" t="s">
        <v>1209</v>
      </c>
    </row>
    <row r="65" spans="1:15">
      <c r="A65" s="49" t="s">
        <v>899</v>
      </c>
      <c r="B65" s="49" t="s">
        <v>449</v>
      </c>
      <c r="C65" s="41" t="s">
        <v>450</v>
      </c>
      <c r="D65" s="47"/>
      <c r="E65" s="47" t="s">
        <v>7</v>
      </c>
      <c r="F65" s="47" t="s">
        <v>1305</v>
      </c>
      <c r="G65" s="47" t="s">
        <v>62</v>
      </c>
      <c r="H65" s="47" t="s">
        <v>63</v>
      </c>
      <c r="I65" s="47" t="s">
        <v>1306</v>
      </c>
      <c r="J65" s="47"/>
      <c r="K65" s="43"/>
      <c r="L65" s="43" t="s">
        <v>46</v>
      </c>
      <c r="M65" s="47"/>
      <c r="N65" s="47" t="s">
        <v>901</v>
      </c>
      <c r="O65" s="47" t="s">
        <v>1209</v>
      </c>
    </row>
    <row r="66" spans="1:15">
      <c r="A66" s="49" t="s">
        <v>899</v>
      </c>
      <c r="B66" s="49" t="s">
        <v>449</v>
      </c>
      <c r="C66" s="41" t="s">
        <v>450</v>
      </c>
      <c r="D66" s="47"/>
      <c r="E66" s="47" t="s">
        <v>7</v>
      </c>
      <c r="F66" s="47">
        <v>6530</v>
      </c>
      <c r="G66" s="47" t="s">
        <v>62</v>
      </c>
      <c r="H66" s="47" t="s">
        <v>67</v>
      </c>
      <c r="I66" s="47" t="s">
        <v>85</v>
      </c>
      <c r="J66" s="47"/>
      <c r="K66" s="43"/>
      <c r="L66" s="43" t="s">
        <v>46</v>
      </c>
      <c r="M66" s="47"/>
      <c r="N66" s="47" t="s">
        <v>901</v>
      </c>
      <c r="O66" s="47" t="s">
        <v>1209</v>
      </c>
    </row>
    <row r="67" spans="1:15">
      <c r="A67" s="49" t="s">
        <v>899</v>
      </c>
      <c r="B67" s="49" t="s">
        <v>449</v>
      </c>
      <c r="C67" s="41" t="s">
        <v>450</v>
      </c>
      <c r="D67" s="47"/>
      <c r="E67" s="47" t="s">
        <v>9</v>
      </c>
      <c r="F67" s="47">
        <v>157</v>
      </c>
      <c r="G67" s="47" t="s">
        <v>54</v>
      </c>
      <c r="H67" s="47" t="s">
        <v>87</v>
      </c>
      <c r="I67" s="47" t="s">
        <v>85</v>
      </c>
      <c r="J67" s="47"/>
      <c r="K67" s="43"/>
      <c r="L67" s="43" t="s">
        <v>46</v>
      </c>
      <c r="M67" s="47"/>
      <c r="N67" s="47" t="s">
        <v>901</v>
      </c>
      <c r="O67" s="47" t="s">
        <v>1209</v>
      </c>
    </row>
    <row r="68" spans="1:15">
      <c r="A68" s="49" t="s">
        <v>899</v>
      </c>
      <c r="B68" s="49" t="s">
        <v>1307</v>
      </c>
      <c r="C68" s="41" t="s">
        <v>1308</v>
      </c>
      <c r="D68" s="47" t="s">
        <v>202</v>
      </c>
      <c r="E68" s="47" t="s">
        <v>4</v>
      </c>
      <c r="F68" s="62">
        <v>4222623</v>
      </c>
      <c r="G68" s="47" t="s">
        <v>26</v>
      </c>
      <c r="H68" s="47" t="s">
        <v>27</v>
      </c>
      <c r="I68" s="47" t="s">
        <v>236</v>
      </c>
      <c r="J68" s="47" t="s">
        <v>1249</v>
      </c>
      <c r="K68" s="43">
        <v>43602</v>
      </c>
      <c r="L68" s="43" t="s">
        <v>46</v>
      </c>
      <c r="M68" s="47" t="s">
        <v>1309</v>
      </c>
      <c r="N68" s="47" t="s">
        <v>901</v>
      </c>
      <c r="O68" s="47" t="s">
        <v>1209</v>
      </c>
    </row>
    <row r="69" spans="1:15">
      <c r="A69" s="49" t="s">
        <v>899</v>
      </c>
      <c r="B69" s="49" t="s">
        <v>396</v>
      </c>
      <c r="C69" s="41" t="s">
        <v>397</v>
      </c>
      <c r="D69" s="47"/>
      <c r="E69" s="47" t="s">
        <v>3</v>
      </c>
      <c r="F69" s="47" t="s">
        <v>1310</v>
      </c>
      <c r="G69" s="47" t="s">
        <v>21</v>
      </c>
      <c r="H69" s="47" t="s">
        <v>22</v>
      </c>
      <c r="I69" s="47" t="s">
        <v>219</v>
      </c>
      <c r="J69" s="47"/>
      <c r="K69" s="43"/>
      <c r="L69" s="43" t="s">
        <v>46</v>
      </c>
      <c r="M69" s="47"/>
      <c r="N69" s="47" t="s">
        <v>901</v>
      </c>
      <c r="O69" s="47" t="s">
        <v>1209</v>
      </c>
    </row>
    <row r="70" spans="1:15">
      <c r="A70" s="49" t="s">
        <v>899</v>
      </c>
      <c r="B70" s="49" t="s">
        <v>396</v>
      </c>
      <c r="C70" s="41" t="s">
        <v>397</v>
      </c>
      <c r="D70" s="47"/>
      <c r="E70" s="47" t="s">
        <v>9</v>
      </c>
      <c r="F70" s="62">
        <v>940400005113</v>
      </c>
      <c r="G70" s="47" t="s">
        <v>21</v>
      </c>
      <c r="H70" s="47" t="s">
        <v>155</v>
      </c>
      <c r="I70" s="47" t="s">
        <v>219</v>
      </c>
      <c r="J70" s="47"/>
      <c r="K70" s="43"/>
      <c r="L70" s="43" t="s">
        <v>46</v>
      </c>
      <c r="M70" s="47"/>
      <c r="N70" s="47" t="s">
        <v>901</v>
      </c>
      <c r="O70" s="47" t="s">
        <v>1209</v>
      </c>
    </row>
    <row r="71" spans="1:15">
      <c r="A71" s="49" t="s">
        <v>899</v>
      </c>
      <c r="B71" s="49" t="s">
        <v>396</v>
      </c>
      <c r="C71" s="41" t="s">
        <v>397</v>
      </c>
      <c r="D71" s="47"/>
      <c r="E71" s="47" t="s">
        <v>9</v>
      </c>
      <c r="F71" s="47">
        <v>150402</v>
      </c>
      <c r="G71" s="47" t="s">
        <v>240</v>
      </c>
      <c r="H71" s="47" t="s">
        <v>1311</v>
      </c>
      <c r="I71" s="47" t="s">
        <v>219</v>
      </c>
      <c r="J71" s="47"/>
      <c r="K71" s="43"/>
      <c r="L71" s="43" t="s">
        <v>46</v>
      </c>
      <c r="M71" s="47"/>
      <c r="N71" s="47" t="s">
        <v>901</v>
      </c>
      <c r="O71" s="47" t="s">
        <v>1209</v>
      </c>
    </row>
    <row r="72" spans="1:15">
      <c r="A72" s="49" t="s">
        <v>899</v>
      </c>
      <c r="B72" s="49" t="s">
        <v>1312</v>
      </c>
      <c r="C72" s="41" t="s">
        <v>1313</v>
      </c>
      <c r="D72" s="47"/>
      <c r="E72" s="47" t="s">
        <v>4</v>
      </c>
      <c r="F72" s="47">
        <v>41221437</v>
      </c>
      <c r="G72" s="47" t="s">
        <v>56</v>
      </c>
      <c r="H72" s="47" t="s">
        <v>116</v>
      </c>
      <c r="I72" s="47" t="s">
        <v>1314</v>
      </c>
      <c r="J72" s="47"/>
      <c r="K72" s="43"/>
      <c r="L72" s="43" t="s">
        <v>46</v>
      </c>
      <c r="M72" s="47"/>
      <c r="N72" s="47" t="s">
        <v>901</v>
      </c>
      <c r="O72" s="47" t="s">
        <v>1209</v>
      </c>
    </row>
    <row r="73" spans="1:15">
      <c r="A73" s="49" t="s">
        <v>899</v>
      </c>
      <c r="B73" s="49" t="s">
        <v>1312</v>
      </c>
      <c r="C73" s="41" t="s">
        <v>1313</v>
      </c>
      <c r="D73" s="47"/>
      <c r="E73" s="47" t="s">
        <v>7</v>
      </c>
      <c r="F73" s="47">
        <v>585212</v>
      </c>
      <c r="G73" s="47" t="s">
        <v>56</v>
      </c>
      <c r="H73" s="47" t="s">
        <v>1315</v>
      </c>
      <c r="I73" s="47" t="s">
        <v>1314</v>
      </c>
      <c r="J73" s="47"/>
      <c r="K73" s="43"/>
      <c r="L73" s="43" t="s">
        <v>46</v>
      </c>
      <c r="M73" s="47"/>
      <c r="N73" s="47" t="s">
        <v>901</v>
      </c>
      <c r="O73" s="47" t="s">
        <v>1209</v>
      </c>
    </row>
    <row r="74" spans="1:15">
      <c r="A74" s="49" t="s">
        <v>899</v>
      </c>
      <c r="B74" s="49" t="s">
        <v>1316</v>
      </c>
      <c r="C74" s="41" t="s">
        <v>736</v>
      </c>
      <c r="D74" s="47" t="s">
        <v>98</v>
      </c>
      <c r="E74" s="47" t="s">
        <v>4</v>
      </c>
      <c r="F74" s="47">
        <v>4221152</v>
      </c>
      <c r="G74" s="47" t="s">
        <v>26</v>
      </c>
      <c r="H74" s="47" t="s">
        <v>27</v>
      </c>
      <c r="I74" s="47" t="s">
        <v>1317</v>
      </c>
      <c r="J74" s="47" t="s">
        <v>1318</v>
      </c>
      <c r="K74" s="43">
        <v>43711</v>
      </c>
      <c r="L74" s="43" t="s">
        <v>46</v>
      </c>
      <c r="M74" s="47" t="s">
        <v>1319</v>
      </c>
      <c r="N74" s="47" t="s">
        <v>901</v>
      </c>
      <c r="O74" s="47" t="s">
        <v>1209</v>
      </c>
    </row>
    <row r="75" spans="1:15">
      <c r="A75" s="49" t="s">
        <v>899</v>
      </c>
      <c r="B75" s="49" t="s">
        <v>1316</v>
      </c>
      <c r="C75" s="41" t="s">
        <v>736</v>
      </c>
      <c r="D75" s="47" t="s">
        <v>98</v>
      </c>
      <c r="E75" s="47" t="s">
        <v>5</v>
      </c>
      <c r="F75" s="62">
        <v>143480001014</v>
      </c>
      <c r="G75" s="47" t="s">
        <v>21</v>
      </c>
      <c r="H75" s="47" t="s">
        <v>80</v>
      </c>
      <c r="I75" s="47" t="s">
        <v>1317</v>
      </c>
      <c r="J75" s="47" t="s">
        <v>1318</v>
      </c>
      <c r="K75" s="43">
        <v>43711</v>
      </c>
      <c r="L75" s="43" t="s">
        <v>46</v>
      </c>
      <c r="M75" s="47" t="s">
        <v>1320</v>
      </c>
      <c r="N75" s="47" t="s">
        <v>901</v>
      </c>
      <c r="O75" s="47" t="s">
        <v>1209</v>
      </c>
    </row>
    <row r="76" spans="1:15">
      <c r="A76" s="49" t="s">
        <v>899</v>
      </c>
      <c r="B76" s="49" t="s">
        <v>1321</v>
      </c>
      <c r="C76" s="41" t="s">
        <v>1322</v>
      </c>
      <c r="D76" s="47"/>
      <c r="E76" s="47" t="s">
        <v>4</v>
      </c>
      <c r="F76" s="47">
        <v>49448</v>
      </c>
      <c r="G76" s="47" t="s">
        <v>433</v>
      </c>
      <c r="H76" s="47" t="s">
        <v>53</v>
      </c>
      <c r="I76" s="47" t="s">
        <v>1323</v>
      </c>
      <c r="J76" s="47"/>
      <c r="K76" s="43"/>
      <c r="L76" s="43" t="s">
        <v>46</v>
      </c>
      <c r="M76" s="47"/>
      <c r="N76" s="47" t="s">
        <v>901</v>
      </c>
      <c r="O76" s="47" t="s">
        <v>1209</v>
      </c>
    </row>
    <row r="77" spans="1:15">
      <c r="A77" s="49" t="s">
        <v>899</v>
      </c>
      <c r="B77" s="49" t="s">
        <v>1321</v>
      </c>
      <c r="C77" s="41" t="s">
        <v>1322</v>
      </c>
      <c r="D77" s="47"/>
      <c r="E77" s="47" t="s">
        <v>7</v>
      </c>
      <c r="F77" s="47" t="s">
        <v>1324</v>
      </c>
      <c r="G77" s="47" t="s">
        <v>1325</v>
      </c>
      <c r="H77" s="47" t="s">
        <v>268</v>
      </c>
      <c r="I77" s="47" t="s">
        <v>1230</v>
      </c>
      <c r="J77" s="47"/>
      <c r="K77" s="43"/>
      <c r="L77" s="43" t="s">
        <v>46</v>
      </c>
      <c r="M77" s="47"/>
      <c r="N77" s="47" t="s">
        <v>901</v>
      </c>
      <c r="O77" s="47" t="s">
        <v>1209</v>
      </c>
    </row>
    <row r="78" spans="1:15">
      <c r="A78" s="49" t="s">
        <v>899</v>
      </c>
      <c r="B78" s="49" t="s">
        <v>1326</v>
      </c>
      <c r="C78" s="41" t="s">
        <v>1327</v>
      </c>
      <c r="D78" s="47" t="s">
        <v>94</v>
      </c>
      <c r="E78" s="47" t="s">
        <v>9</v>
      </c>
      <c r="F78" s="47" t="s">
        <v>1328</v>
      </c>
      <c r="G78" s="47" t="s">
        <v>21</v>
      </c>
      <c r="H78" s="47" t="s">
        <v>1329</v>
      </c>
      <c r="I78" s="47" t="s">
        <v>1260</v>
      </c>
      <c r="J78" s="47"/>
      <c r="K78" s="43">
        <v>43642</v>
      </c>
      <c r="L78" s="43" t="s">
        <v>46</v>
      </c>
      <c r="M78" s="47" t="s">
        <v>1330</v>
      </c>
      <c r="N78" s="47" t="s">
        <v>901</v>
      </c>
      <c r="O78" s="47" t="s">
        <v>1209</v>
      </c>
    </row>
    <row r="79" spans="1:15">
      <c r="A79" s="49" t="s">
        <v>899</v>
      </c>
      <c r="B79" s="49" t="s">
        <v>1326</v>
      </c>
      <c r="C79" s="41" t="s">
        <v>1327</v>
      </c>
      <c r="D79" s="47" t="s">
        <v>94</v>
      </c>
      <c r="E79" s="47" t="s">
        <v>9</v>
      </c>
      <c r="F79" s="47" t="s">
        <v>1331</v>
      </c>
      <c r="G79" s="47" t="s">
        <v>21</v>
      </c>
      <c r="H79" s="47" t="s">
        <v>1329</v>
      </c>
      <c r="I79" s="47" t="s">
        <v>1260</v>
      </c>
      <c r="J79" s="47"/>
      <c r="K79" s="43">
        <v>43643</v>
      </c>
      <c r="L79" s="43" t="s">
        <v>46</v>
      </c>
      <c r="M79" s="47" t="s">
        <v>1332</v>
      </c>
      <c r="N79" s="47" t="s">
        <v>901</v>
      </c>
      <c r="O79" s="47" t="s">
        <v>1209</v>
      </c>
    </row>
    <row r="80" spans="1:15">
      <c r="A80" s="49" t="s">
        <v>899</v>
      </c>
      <c r="B80" s="49" t="s">
        <v>1326</v>
      </c>
      <c r="C80" s="41" t="s">
        <v>1327</v>
      </c>
      <c r="D80" s="47" t="s">
        <v>94</v>
      </c>
      <c r="E80" s="47" t="s">
        <v>9</v>
      </c>
      <c r="F80" s="47" t="s">
        <v>1333</v>
      </c>
      <c r="G80" s="47" t="s">
        <v>21</v>
      </c>
      <c r="H80" s="47" t="s">
        <v>1334</v>
      </c>
      <c r="I80" s="47" t="s">
        <v>1260</v>
      </c>
      <c r="J80" s="47" t="s">
        <v>1335</v>
      </c>
      <c r="K80" s="43">
        <v>43732</v>
      </c>
      <c r="L80" s="43" t="s">
        <v>46</v>
      </c>
      <c r="M80" s="47" t="s">
        <v>1336</v>
      </c>
      <c r="N80" s="47" t="s">
        <v>901</v>
      </c>
      <c r="O80" s="47" t="s">
        <v>1209</v>
      </c>
    </row>
    <row r="81" spans="1:15">
      <c r="A81" s="49" t="s">
        <v>899</v>
      </c>
      <c r="B81" s="49" t="s">
        <v>1326</v>
      </c>
      <c r="C81" s="41" t="s">
        <v>1327</v>
      </c>
      <c r="D81" s="47" t="s">
        <v>94</v>
      </c>
      <c r="E81" s="47" t="s">
        <v>9</v>
      </c>
      <c r="F81" s="47" t="s">
        <v>1337</v>
      </c>
      <c r="G81" s="47" t="s">
        <v>21</v>
      </c>
      <c r="H81" s="47" t="s">
        <v>1334</v>
      </c>
      <c r="I81" s="47" t="s">
        <v>1260</v>
      </c>
      <c r="J81" s="47" t="s">
        <v>1335</v>
      </c>
      <c r="K81" s="43">
        <v>43732</v>
      </c>
      <c r="L81" s="43" t="s">
        <v>46</v>
      </c>
      <c r="M81" s="47" t="s">
        <v>1338</v>
      </c>
      <c r="N81" s="47" t="s">
        <v>901</v>
      </c>
      <c r="O81" s="47" t="s">
        <v>1209</v>
      </c>
    </row>
    <row r="82" spans="1:15">
      <c r="A82" s="49" t="s">
        <v>899</v>
      </c>
      <c r="B82" s="49" t="s">
        <v>1326</v>
      </c>
      <c r="C82" s="41" t="s">
        <v>1327</v>
      </c>
      <c r="D82" s="47" t="s">
        <v>94</v>
      </c>
      <c r="E82" s="47" t="s">
        <v>9</v>
      </c>
      <c r="F82" s="47" t="s">
        <v>1339</v>
      </c>
      <c r="G82" s="47" t="s">
        <v>21</v>
      </c>
      <c r="H82" s="47" t="s">
        <v>1334</v>
      </c>
      <c r="I82" s="47" t="s">
        <v>1260</v>
      </c>
      <c r="J82" s="47" t="s">
        <v>1335</v>
      </c>
      <c r="K82" s="43">
        <v>43732</v>
      </c>
      <c r="L82" s="43" t="s">
        <v>46</v>
      </c>
      <c r="M82" s="47" t="s">
        <v>1340</v>
      </c>
      <c r="N82" s="47" t="s">
        <v>901</v>
      </c>
      <c r="O82" s="47" t="s">
        <v>1209</v>
      </c>
    </row>
    <row r="83" spans="1:15">
      <c r="A83" s="49" t="s">
        <v>899</v>
      </c>
      <c r="B83" s="49" t="s">
        <v>1326</v>
      </c>
      <c r="C83" s="41" t="s">
        <v>1327</v>
      </c>
      <c r="D83" s="47" t="s">
        <v>94</v>
      </c>
      <c r="E83" s="47" t="s">
        <v>9</v>
      </c>
      <c r="F83" s="47" t="s">
        <v>1341</v>
      </c>
      <c r="G83" s="47" t="s">
        <v>21</v>
      </c>
      <c r="H83" s="47" t="s">
        <v>1334</v>
      </c>
      <c r="I83" s="47" t="s">
        <v>1260</v>
      </c>
      <c r="J83" s="47" t="s">
        <v>1335</v>
      </c>
      <c r="K83" s="43">
        <v>43732</v>
      </c>
      <c r="L83" s="43" t="s">
        <v>46</v>
      </c>
      <c r="M83" s="47" t="s">
        <v>1342</v>
      </c>
      <c r="N83" s="47" t="s">
        <v>901</v>
      </c>
      <c r="O83" s="47" t="s">
        <v>1209</v>
      </c>
    </row>
    <row r="84" spans="1:15">
      <c r="A84" s="49" t="s">
        <v>899</v>
      </c>
      <c r="B84" s="49" t="s">
        <v>335</v>
      </c>
      <c r="C84" s="41" t="s">
        <v>336</v>
      </c>
      <c r="D84" s="47" t="s">
        <v>33</v>
      </c>
      <c r="E84" s="47" t="s">
        <v>5</v>
      </c>
      <c r="F84" s="47">
        <v>40600007952</v>
      </c>
      <c r="G84" s="47" t="s">
        <v>21</v>
      </c>
      <c r="H84" s="47" t="s">
        <v>34</v>
      </c>
      <c r="I84" s="47" t="s">
        <v>35</v>
      </c>
      <c r="J84" s="47"/>
      <c r="K84" s="43"/>
      <c r="L84" s="43" t="s">
        <v>46</v>
      </c>
      <c r="M84" s="47"/>
      <c r="N84" s="47" t="s">
        <v>901</v>
      </c>
      <c r="O84" s="47" t="s">
        <v>1209</v>
      </c>
    </row>
    <row r="85" spans="1:15">
      <c r="A85" s="49" t="s">
        <v>899</v>
      </c>
      <c r="B85" s="49" t="s">
        <v>335</v>
      </c>
      <c r="C85" s="41" t="s">
        <v>336</v>
      </c>
      <c r="D85" s="47"/>
      <c r="E85" s="47" t="s">
        <v>7</v>
      </c>
      <c r="F85" s="47">
        <v>90600032343</v>
      </c>
      <c r="G85" s="47" t="s">
        <v>21</v>
      </c>
      <c r="H85" s="47" t="s">
        <v>1343</v>
      </c>
      <c r="I85" s="47" t="s">
        <v>1286</v>
      </c>
      <c r="J85" s="47"/>
      <c r="K85" s="43"/>
      <c r="L85" s="43" t="s">
        <v>46</v>
      </c>
      <c r="M85" s="47"/>
      <c r="N85" s="47" t="s">
        <v>901</v>
      </c>
      <c r="O85" s="47" t="s">
        <v>1209</v>
      </c>
    </row>
    <row r="86" spans="1:15">
      <c r="A86" s="49" t="s">
        <v>899</v>
      </c>
      <c r="B86" s="49" t="s">
        <v>335</v>
      </c>
      <c r="C86" s="41" t="s">
        <v>336</v>
      </c>
      <c r="D86" s="47" t="s">
        <v>33</v>
      </c>
      <c r="E86" s="47" t="s">
        <v>7</v>
      </c>
      <c r="F86" s="62">
        <v>1290081991</v>
      </c>
      <c r="G86" s="47" t="s">
        <v>134</v>
      </c>
      <c r="H86" s="47" t="s">
        <v>1287</v>
      </c>
      <c r="I86" s="47" t="s">
        <v>35</v>
      </c>
      <c r="J86" s="47"/>
      <c r="K86" s="43">
        <v>43718</v>
      </c>
      <c r="L86" s="43" t="s">
        <v>46</v>
      </c>
      <c r="M86" s="47" t="s">
        <v>1344</v>
      </c>
      <c r="N86" s="47" t="s">
        <v>901</v>
      </c>
      <c r="O86" s="47" t="s">
        <v>1209</v>
      </c>
    </row>
    <row r="87" spans="1:15">
      <c r="A87" s="49" t="s">
        <v>899</v>
      </c>
      <c r="B87" s="49" t="s">
        <v>335</v>
      </c>
      <c r="C87" s="41" t="s">
        <v>336</v>
      </c>
      <c r="D87" s="47" t="s">
        <v>33</v>
      </c>
      <c r="E87" s="47" t="s">
        <v>7</v>
      </c>
      <c r="F87" s="62">
        <v>1390160991</v>
      </c>
      <c r="G87" s="47" t="s">
        <v>134</v>
      </c>
      <c r="H87" s="47" t="s">
        <v>1345</v>
      </c>
      <c r="I87" s="47" t="s">
        <v>35</v>
      </c>
      <c r="J87" s="47"/>
      <c r="K87" s="43">
        <v>43718</v>
      </c>
      <c r="L87" s="43" t="s">
        <v>46</v>
      </c>
      <c r="M87" s="47" t="s">
        <v>1346</v>
      </c>
      <c r="N87" s="47" t="s">
        <v>901</v>
      </c>
      <c r="O87" s="47" t="s">
        <v>1209</v>
      </c>
    </row>
    <row r="88" spans="1:15">
      <c r="A88" s="49" t="s">
        <v>899</v>
      </c>
      <c r="B88" s="49" t="s">
        <v>335</v>
      </c>
      <c r="C88" s="41" t="s">
        <v>336</v>
      </c>
      <c r="D88" s="47" t="s">
        <v>33</v>
      </c>
      <c r="E88" s="47" t="s">
        <v>7</v>
      </c>
      <c r="F88" s="62">
        <v>98129</v>
      </c>
      <c r="G88" s="47" t="s">
        <v>134</v>
      </c>
      <c r="H88" s="47" t="s">
        <v>1287</v>
      </c>
      <c r="I88" s="47" t="s">
        <v>35</v>
      </c>
      <c r="J88" s="47"/>
      <c r="K88" s="43">
        <v>43719</v>
      </c>
      <c r="L88" s="43" t="s">
        <v>46</v>
      </c>
      <c r="M88" s="47" t="s">
        <v>1347</v>
      </c>
      <c r="N88" s="47" t="s">
        <v>901</v>
      </c>
      <c r="O88" s="47" t="s">
        <v>1209</v>
      </c>
    </row>
    <row r="89" spans="1:15">
      <c r="A89" s="49" t="s">
        <v>899</v>
      </c>
      <c r="B89" s="49" t="s">
        <v>327</v>
      </c>
      <c r="C89" s="41" t="s">
        <v>328</v>
      </c>
      <c r="D89" s="47"/>
      <c r="E89" s="47" t="s">
        <v>4</v>
      </c>
      <c r="F89" s="47">
        <v>4212775</v>
      </c>
      <c r="G89" s="47" t="s">
        <v>26</v>
      </c>
      <c r="H89" s="47" t="s">
        <v>27</v>
      </c>
      <c r="I89" s="47" t="s">
        <v>211</v>
      </c>
      <c r="J89" s="47"/>
      <c r="K89" s="43"/>
      <c r="L89" s="43" t="s">
        <v>46</v>
      </c>
      <c r="M89" s="47"/>
      <c r="N89" s="47" t="s">
        <v>901</v>
      </c>
      <c r="O89" s="47" t="s">
        <v>1209</v>
      </c>
    </row>
    <row r="90" spans="1:15">
      <c r="A90" s="49" t="s">
        <v>899</v>
      </c>
      <c r="B90" s="49" t="s">
        <v>319</v>
      </c>
      <c r="C90" s="41" t="s">
        <v>323</v>
      </c>
      <c r="D90" s="47" t="s">
        <v>40</v>
      </c>
      <c r="E90" s="47" t="s">
        <v>4</v>
      </c>
      <c r="F90" s="62">
        <v>49441</v>
      </c>
      <c r="G90" s="47" t="s">
        <v>31</v>
      </c>
      <c r="H90" s="47" t="s">
        <v>74</v>
      </c>
      <c r="I90" s="47" t="s">
        <v>41</v>
      </c>
      <c r="J90" s="47" t="s">
        <v>1249</v>
      </c>
      <c r="K90" s="43">
        <v>43662</v>
      </c>
      <c r="L90" s="43" t="s">
        <v>46</v>
      </c>
      <c r="M90" s="47"/>
      <c r="N90" s="47" t="s">
        <v>901</v>
      </c>
      <c r="O90" s="47" t="s">
        <v>1209</v>
      </c>
    </row>
    <row r="91" spans="1:15">
      <c r="A91" s="49" t="s">
        <v>899</v>
      </c>
      <c r="B91" s="49" t="s">
        <v>319</v>
      </c>
      <c r="C91" s="41" t="s">
        <v>320</v>
      </c>
      <c r="D91" s="47" t="s">
        <v>40</v>
      </c>
      <c r="E91" s="47" t="s">
        <v>3</v>
      </c>
      <c r="F91" s="47" t="s">
        <v>872</v>
      </c>
      <c r="G91" s="47" t="s">
        <v>21</v>
      </c>
      <c r="H91" s="47" t="s">
        <v>22</v>
      </c>
      <c r="I91" s="47" t="s">
        <v>41</v>
      </c>
      <c r="J91" s="47" t="s">
        <v>324</v>
      </c>
      <c r="K91" s="43">
        <v>43662</v>
      </c>
      <c r="L91" s="43" t="s">
        <v>46</v>
      </c>
      <c r="M91" s="47"/>
      <c r="N91" s="47" t="s">
        <v>901</v>
      </c>
      <c r="O91" s="47" t="s">
        <v>1209</v>
      </c>
    </row>
    <row r="92" spans="1:15">
      <c r="A92" s="49" t="s">
        <v>899</v>
      </c>
      <c r="B92" s="49" t="s">
        <v>319</v>
      </c>
      <c r="C92" s="41" t="s">
        <v>320</v>
      </c>
      <c r="D92" s="47" t="s">
        <v>40</v>
      </c>
      <c r="E92" s="47" t="s">
        <v>3</v>
      </c>
      <c r="F92" s="62" t="s">
        <v>874</v>
      </c>
      <c r="G92" s="47" t="s">
        <v>21</v>
      </c>
      <c r="H92" s="47" t="s">
        <v>22</v>
      </c>
      <c r="I92" s="47" t="s">
        <v>41</v>
      </c>
      <c r="J92" s="47" t="s">
        <v>324</v>
      </c>
      <c r="K92" s="43">
        <v>43662</v>
      </c>
      <c r="L92" s="43" t="s">
        <v>46</v>
      </c>
      <c r="M92" s="47"/>
      <c r="N92" s="47" t="s">
        <v>901</v>
      </c>
      <c r="O92" s="47" t="s">
        <v>1209</v>
      </c>
    </row>
    <row r="93" spans="1:15">
      <c r="A93" s="49" t="s">
        <v>899</v>
      </c>
      <c r="B93" s="49" t="s">
        <v>319</v>
      </c>
      <c r="C93" s="41" t="s">
        <v>320</v>
      </c>
      <c r="D93" s="47" t="s">
        <v>40</v>
      </c>
      <c r="E93" s="47" t="s">
        <v>5</v>
      </c>
      <c r="F93" s="62">
        <v>1591465</v>
      </c>
      <c r="G93" s="47" t="s">
        <v>21</v>
      </c>
      <c r="H93" s="47" t="s">
        <v>78</v>
      </c>
      <c r="I93" s="47" t="s">
        <v>41</v>
      </c>
      <c r="J93" s="47" t="s">
        <v>324</v>
      </c>
      <c r="K93" s="43">
        <v>43662</v>
      </c>
      <c r="L93" s="43" t="s">
        <v>46</v>
      </c>
      <c r="M93" s="47"/>
      <c r="N93" s="47" t="s">
        <v>901</v>
      </c>
      <c r="O93" s="47" t="s">
        <v>1209</v>
      </c>
    </row>
    <row r="94" spans="1:15">
      <c r="A94" s="49" t="s">
        <v>899</v>
      </c>
      <c r="B94" s="49" t="s">
        <v>313</v>
      </c>
      <c r="C94" s="41" t="s">
        <v>314</v>
      </c>
      <c r="D94" s="47" t="s">
        <v>177</v>
      </c>
      <c r="E94" s="47" t="s">
        <v>2</v>
      </c>
      <c r="F94" s="62">
        <v>1228420502</v>
      </c>
      <c r="G94" s="47" t="s">
        <v>48</v>
      </c>
      <c r="H94" s="47" t="s">
        <v>194</v>
      </c>
      <c r="I94" s="47" t="s">
        <v>178</v>
      </c>
      <c r="J94" s="47" t="s">
        <v>1236</v>
      </c>
      <c r="K94" s="43">
        <v>43642</v>
      </c>
      <c r="L94" s="43" t="s">
        <v>46</v>
      </c>
      <c r="M94" s="47" t="s">
        <v>1348</v>
      </c>
      <c r="N94" s="47" t="s">
        <v>901</v>
      </c>
      <c r="O94" s="47" t="s">
        <v>1209</v>
      </c>
    </row>
    <row r="95" spans="1:15">
      <c r="A95" s="49" t="s">
        <v>899</v>
      </c>
      <c r="B95" s="49" t="s">
        <v>313</v>
      </c>
      <c r="C95" s="41" t="s">
        <v>314</v>
      </c>
      <c r="D95" s="47" t="s">
        <v>177</v>
      </c>
      <c r="E95" s="47" t="s">
        <v>6</v>
      </c>
      <c r="F95" s="47">
        <v>6243619</v>
      </c>
      <c r="G95" s="47" t="s">
        <v>26</v>
      </c>
      <c r="H95" s="47" t="s">
        <v>84</v>
      </c>
      <c r="I95" s="47" t="s">
        <v>178</v>
      </c>
      <c r="J95" s="47" t="s">
        <v>1236</v>
      </c>
      <c r="K95" s="43">
        <v>43643</v>
      </c>
      <c r="L95" s="43" t="s">
        <v>46</v>
      </c>
      <c r="M95" s="47"/>
      <c r="N95" s="47" t="s">
        <v>901</v>
      </c>
      <c r="O95" s="47" t="s">
        <v>1209</v>
      </c>
    </row>
    <row r="96" spans="1:15">
      <c r="A96" s="49" t="s">
        <v>899</v>
      </c>
      <c r="B96" s="49" t="s">
        <v>313</v>
      </c>
      <c r="C96" s="41" t="s">
        <v>314</v>
      </c>
      <c r="D96" s="47" t="s">
        <v>177</v>
      </c>
      <c r="E96" s="47" t="s">
        <v>7</v>
      </c>
      <c r="F96" s="62">
        <v>2015768</v>
      </c>
      <c r="G96" s="47" t="s">
        <v>56</v>
      </c>
      <c r="H96" s="47" t="s">
        <v>57</v>
      </c>
      <c r="I96" s="47" t="s">
        <v>178</v>
      </c>
      <c r="J96" s="47" t="s">
        <v>1236</v>
      </c>
      <c r="K96" s="43">
        <v>43643</v>
      </c>
      <c r="L96" s="43" t="s">
        <v>46</v>
      </c>
      <c r="M96" s="47" t="s">
        <v>1349</v>
      </c>
      <c r="N96" s="47" t="s">
        <v>901</v>
      </c>
      <c r="O96" s="47" t="s">
        <v>1209</v>
      </c>
    </row>
    <row r="97" spans="1:15">
      <c r="A97" s="49" t="s">
        <v>899</v>
      </c>
      <c r="B97" s="49" t="s">
        <v>1008</v>
      </c>
      <c r="C97" s="41" t="s">
        <v>1009</v>
      </c>
      <c r="D97" s="47" t="s">
        <v>98</v>
      </c>
      <c r="E97" s="47" t="s">
        <v>4</v>
      </c>
      <c r="F97" s="47">
        <v>75261</v>
      </c>
      <c r="G97" s="47" t="s">
        <v>21</v>
      </c>
      <c r="H97" s="47" t="s">
        <v>1350</v>
      </c>
      <c r="I97" s="47" t="s">
        <v>1351</v>
      </c>
      <c r="J97" s="47" t="s">
        <v>455</v>
      </c>
      <c r="K97" s="43">
        <v>43621</v>
      </c>
      <c r="L97" s="43" t="s">
        <v>46</v>
      </c>
      <c r="M97" s="47" t="s">
        <v>1352</v>
      </c>
      <c r="N97" s="47" t="s">
        <v>901</v>
      </c>
      <c r="O97" s="47" t="s">
        <v>1209</v>
      </c>
    </row>
    <row r="98" spans="1:15">
      <c r="A98" s="49" t="s">
        <v>899</v>
      </c>
      <c r="B98" s="49" t="s">
        <v>1008</v>
      </c>
      <c r="C98" s="41" t="s">
        <v>1009</v>
      </c>
      <c r="D98" s="47"/>
      <c r="E98" s="47" t="s">
        <v>4</v>
      </c>
      <c r="F98" s="47">
        <v>4211939</v>
      </c>
      <c r="G98" s="47" t="s">
        <v>21</v>
      </c>
      <c r="H98" s="47" t="s">
        <v>116</v>
      </c>
      <c r="I98" s="47" t="s">
        <v>1353</v>
      </c>
      <c r="J98" s="47"/>
      <c r="K98" s="43"/>
      <c r="L98" s="43" t="s">
        <v>25</v>
      </c>
      <c r="M98" s="47"/>
      <c r="N98" s="47" t="s">
        <v>901</v>
      </c>
      <c r="O98" s="47" t="s">
        <v>1209</v>
      </c>
    </row>
    <row r="99" spans="1:15">
      <c r="A99" s="49" t="s">
        <v>899</v>
      </c>
      <c r="B99" s="49" t="s">
        <v>1008</v>
      </c>
      <c r="C99" s="41" t="s">
        <v>1009</v>
      </c>
      <c r="D99" s="47"/>
      <c r="E99" s="47" t="s">
        <v>5</v>
      </c>
      <c r="F99" s="62">
        <v>941100032442</v>
      </c>
      <c r="G99" s="47" t="s">
        <v>21</v>
      </c>
      <c r="H99" s="47" t="s">
        <v>258</v>
      </c>
      <c r="I99" s="47" t="s">
        <v>1353</v>
      </c>
      <c r="J99" s="47"/>
      <c r="K99" s="43"/>
      <c r="L99" s="43" t="s">
        <v>46</v>
      </c>
      <c r="M99" s="47"/>
      <c r="N99" s="47" t="s">
        <v>901</v>
      </c>
      <c r="O99" s="47" t="s">
        <v>1209</v>
      </c>
    </row>
    <row r="100" spans="1:15">
      <c r="A100" s="49" t="s">
        <v>899</v>
      </c>
      <c r="B100" s="49" t="s">
        <v>1008</v>
      </c>
      <c r="C100" s="41" t="s">
        <v>1009</v>
      </c>
      <c r="D100" s="47"/>
      <c r="E100" s="47" t="s">
        <v>7</v>
      </c>
      <c r="F100" s="47">
        <v>129004</v>
      </c>
      <c r="G100" s="47" t="s">
        <v>21</v>
      </c>
      <c r="H100" s="47" t="s">
        <v>36</v>
      </c>
      <c r="I100" s="47" t="s">
        <v>1351</v>
      </c>
      <c r="J100" s="47"/>
      <c r="K100" s="43"/>
      <c r="L100" s="43" t="s">
        <v>46</v>
      </c>
      <c r="M100" s="47"/>
      <c r="N100" s="47" t="s">
        <v>901</v>
      </c>
      <c r="O100" s="47" t="s">
        <v>1209</v>
      </c>
    </row>
    <row r="101" spans="1:15">
      <c r="A101" s="49" t="s">
        <v>899</v>
      </c>
      <c r="B101" s="49" t="s">
        <v>1008</v>
      </c>
      <c r="C101" s="41" t="s">
        <v>1009</v>
      </c>
      <c r="D101" s="47" t="s">
        <v>98</v>
      </c>
      <c r="E101" s="47" t="s">
        <v>7</v>
      </c>
      <c r="F101" s="47" t="s">
        <v>1354</v>
      </c>
      <c r="G101" s="47" t="s">
        <v>260</v>
      </c>
      <c r="H101" s="47" t="s">
        <v>63</v>
      </c>
      <c r="I101" s="47" t="s">
        <v>1351</v>
      </c>
      <c r="J101" s="47" t="s">
        <v>455</v>
      </c>
      <c r="K101" s="43">
        <v>43621</v>
      </c>
      <c r="L101" s="43" t="s">
        <v>46</v>
      </c>
      <c r="M101" s="47" t="s">
        <v>1355</v>
      </c>
      <c r="N101" s="47" t="s">
        <v>901</v>
      </c>
      <c r="O101" s="47" t="s">
        <v>1209</v>
      </c>
    </row>
    <row r="102" spans="1:15">
      <c r="A102" s="49" t="s">
        <v>899</v>
      </c>
      <c r="B102" s="49" t="s">
        <v>1008</v>
      </c>
      <c r="C102" s="41" t="s">
        <v>1009</v>
      </c>
      <c r="D102" s="47"/>
      <c r="E102" s="47" t="s">
        <v>7</v>
      </c>
      <c r="F102" s="47">
        <v>147014</v>
      </c>
      <c r="G102" s="47" t="s">
        <v>21</v>
      </c>
      <c r="H102" s="47" t="s">
        <v>168</v>
      </c>
      <c r="I102" s="47" t="s">
        <v>1351</v>
      </c>
      <c r="J102" s="47"/>
      <c r="K102" s="43"/>
      <c r="L102" s="43" t="s">
        <v>25</v>
      </c>
      <c r="M102" s="47"/>
      <c r="N102" s="47" t="s">
        <v>901</v>
      </c>
      <c r="O102" s="47" t="s">
        <v>1209</v>
      </c>
    </row>
    <row r="103" spans="1:15">
      <c r="A103" s="49" t="s">
        <v>899</v>
      </c>
      <c r="B103" s="49" t="s">
        <v>1356</v>
      </c>
      <c r="C103" s="41" t="s">
        <v>382</v>
      </c>
      <c r="D103" s="47"/>
      <c r="E103" s="47" t="s">
        <v>3</v>
      </c>
      <c r="F103" s="47" t="s">
        <v>1357</v>
      </c>
      <c r="G103" s="47" t="s">
        <v>21</v>
      </c>
      <c r="H103" s="47" t="s">
        <v>22</v>
      </c>
      <c r="I103" s="47" t="s">
        <v>1358</v>
      </c>
      <c r="J103" s="47"/>
      <c r="K103" s="43"/>
      <c r="L103" s="43" t="s">
        <v>46</v>
      </c>
      <c r="M103" s="47"/>
      <c r="N103" s="47" t="s">
        <v>901</v>
      </c>
      <c r="O103" s="47" t="s">
        <v>1209</v>
      </c>
    </row>
  </sheetData>
  <autoFilter ref="A1:O1" xr:uid="{AE49F77D-39A9-460D-B3A1-17DD24F0813B}"/>
  <conditionalFormatting sqref="K77:K78 K60:K75 K39 K26:K32 K2 K5:K17">
    <cfRule type="expression" dxfId="236" priority="235">
      <formula>IF(K2&lt;=TODAY()-365,TRUE)</formula>
    </cfRule>
    <cfRule type="expression" dxfId="235" priority="236">
      <formula>IF(K2&lt;(TODAY())-320,TRUE)</formula>
    </cfRule>
    <cfRule type="expression" dxfId="234" priority="237">
      <formula>IF(K2&lt;(TODAY())+0,TRUE)</formula>
    </cfRule>
  </conditionalFormatting>
  <conditionalFormatting sqref="L37 L41:L47 L77:L78 L39 L2 L5:L34 L56:L75">
    <cfRule type="expression" dxfId="233" priority="232">
      <formula>IF(K2&lt;=TODAY()-365,TRUE)</formula>
    </cfRule>
    <cfRule type="expression" dxfId="232" priority="233">
      <formula>IF(K2&lt;(TODAY())-320,TRUE)</formula>
    </cfRule>
    <cfRule type="expression" dxfId="231" priority="234">
      <formula>IF(K2&lt;(TODAY())+0,TRUE)</formula>
    </cfRule>
  </conditionalFormatting>
  <conditionalFormatting sqref="K3">
    <cfRule type="expression" dxfId="230" priority="229">
      <formula>IF(K3&lt;=TODAY()-365,TRUE)</formula>
    </cfRule>
    <cfRule type="expression" dxfId="229" priority="230">
      <formula>IF(K3&lt;(TODAY())-320,TRUE)</formula>
    </cfRule>
    <cfRule type="expression" dxfId="228" priority="231">
      <formula>IF(K3&lt;(TODAY())+0,TRUE)</formula>
    </cfRule>
  </conditionalFormatting>
  <conditionalFormatting sqref="L3">
    <cfRule type="expression" dxfId="227" priority="226">
      <formula>IF(K3&lt;=TODAY()-365,TRUE)</formula>
    </cfRule>
    <cfRule type="expression" dxfId="226" priority="227">
      <formula>IF(K3&lt;(TODAY())-320,TRUE)</formula>
    </cfRule>
    <cfRule type="expression" dxfId="225" priority="228">
      <formula>IF(K3&lt;(TODAY())+0,TRUE)</formula>
    </cfRule>
  </conditionalFormatting>
  <conditionalFormatting sqref="K4">
    <cfRule type="expression" dxfId="224" priority="223">
      <formula>IF(K4&lt;=TODAY()-365,TRUE)</formula>
    </cfRule>
    <cfRule type="expression" dxfId="223" priority="224">
      <formula>IF(K4&lt;(TODAY())-320,TRUE)</formula>
    </cfRule>
    <cfRule type="expression" dxfId="222" priority="225">
      <formula>IF(K4&lt;(TODAY())+0,TRUE)</formula>
    </cfRule>
  </conditionalFormatting>
  <conditionalFormatting sqref="L4">
    <cfRule type="expression" dxfId="221" priority="220">
      <formula>IF(K4&lt;=TODAY()-365,TRUE)</formula>
    </cfRule>
    <cfRule type="expression" dxfId="220" priority="221">
      <formula>IF(K4&lt;(TODAY())-320,TRUE)</formula>
    </cfRule>
    <cfRule type="expression" dxfId="219" priority="222">
      <formula>IF(K4&lt;(TODAY())+0,TRUE)</formula>
    </cfRule>
  </conditionalFormatting>
  <conditionalFormatting sqref="K18">
    <cfRule type="expression" dxfId="218" priority="217">
      <formula>IF(K18&lt;=TODAY()-365,TRUE)</formula>
    </cfRule>
    <cfRule type="expression" dxfId="217" priority="218">
      <formula>IF(K18&lt;(TODAY())-320,TRUE)</formula>
    </cfRule>
    <cfRule type="expression" dxfId="216" priority="219">
      <formula>IF(K18&lt;(TODAY())+0,TRUE)</formula>
    </cfRule>
  </conditionalFormatting>
  <conditionalFormatting sqref="K19">
    <cfRule type="expression" dxfId="215" priority="214">
      <formula>IF(K19&lt;=TODAY()-365,TRUE)</formula>
    </cfRule>
    <cfRule type="expression" dxfId="214" priority="215">
      <formula>IF(K19&lt;(TODAY())-320,TRUE)</formula>
    </cfRule>
    <cfRule type="expression" dxfId="213" priority="216">
      <formula>IF(K19&lt;(TODAY())+0,TRUE)</formula>
    </cfRule>
  </conditionalFormatting>
  <conditionalFormatting sqref="K20">
    <cfRule type="expression" dxfId="212" priority="211">
      <formula>IF(K20&lt;=TODAY()-365,TRUE)</formula>
    </cfRule>
    <cfRule type="expression" dxfId="211" priority="212">
      <formula>IF(K20&lt;(TODAY())-320,TRUE)</formula>
    </cfRule>
    <cfRule type="expression" dxfId="210" priority="213">
      <formula>IF(K20&lt;(TODAY())+0,TRUE)</formula>
    </cfRule>
  </conditionalFormatting>
  <conditionalFormatting sqref="K21">
    <cfRule type="expression" dxfId="209" priority="208">
      <formula>IF(K21&lt;=TODAY()-365,TRUE)</formula>
    </cfRule>
    <cfRule type="expression" dxfId="208" priority="209">
      <formula>IF(K21&lt;(TODAY())-320,TRUE)</formula>
    </cfRule>
    <cfRule type="expression" dxfId="207" priority="210">
      <formula>IF(K21&lt;(TODAY())+0,TRUE)</formula>
    </cfRule>
  </conditionalFormatting>
  <conditionalFormatting sqref="K22:K23">
    <cfRule type="expression" dxfId="206" priority="205">
      <formula>IF(K22&lt;=TODAY()-365,TRUE)</formula>
    </cfRule>
    <cfRule type="expression" dxfId="205" priority="206">
      <formula>IF(K22&lt;(TODAY())-320,TRUE)</formula>
    </cfRule>
    <cfRule type="expression" dxfId="204" priority="207">
      <formula>IF(K22&lt;(TODAY())+0,TRUE)</formula>
    </cfRule>
  </conditionalFormatting>
  <conditionalFormatting sqref="K24">
    <cfRule type="expression" dxfId="203" priority="202">
      <formula>IF(K24&lt;=TODAY()-365,TRUE)</formula>
    </cfRule>
    <cfRule type="expression" dxfId="202" priority="203">
      <formula>IF(K24&lt;(TODAY())-320,TRUE)</formula>
    </cfRule>
    <cfRule type="expression" dxfId="201" priority="204">
      <formula>IF(K24&lt;(TODAY())+0,TRUE)</formula>
    </cfRule>
  </conditionalFormatting>
  <conditionalFormatting sqref="K25">
    <cfRule type="expression" dxfId="200" priority="199">
      <formula>IF(K25&lt;=TODAY()-365,TRUE)</formula>
    </cfRule>
    <cfRule type="expression" dxfId="199" priority="200">
      <formula>IF(K25&lt;(TODAY())-320,TRUE)</formula>
    </cfRule>
    <cfRule type="expression" dxfId="198" priority="201">
      <formula>IF(K25&lt;(TODAY())+0,TRUE)</formula>
    </cfRule>
  </conditionalFormatting>
  <conditionalFormatting sqref="K33">
    <cfRule type="expression" dxfId="197" priority="196">
      <formula>IF(K33&lt;=TODAY()-365,TRUE)</formula>
    </cfRule>
    <cfRule type="expression" dxfId="196" priority="197">
      <formula>IF(K33&lt;(TODAY())-320,TRUE)</formula>
    </cfRule>
    <cfRule type="expression" dxfId="195" priority="198">
      <formula>IF(K33&lt;(TODAY())+0,TRUE)</formula>
    </cfRule>
  </conditionalFormatting>
  <conditionalFormatting sqref="K34">
    <cfRule type="expression" dxfId="194" priority="193">
      <formula>IF(K34&lt;=TODAY()-365,TRUE)</formula>
    </cfRule>
    <cfRule type="expression" dxfId="193" priority="194">
      <formula>IF(K34&lt;(TODAY())-320,TRUE)</formula>
    </cfRule>
    <cfRule type="expression" dxfId="192" priority="195">
      <formula>IF(K34&lt;(TODAY())+0,TRUE)</formula>
    </cfRule>
  </conditionalFormatting>
  <conditionalFormatting sqref="K35">
    <cfRule type="expression" dxfId="191" priority="190">
      <formula>IF(K35&lt;=TODAY()-365,TRUE)</formula>
    </cfRule>
    <cfRule type="expression" dxfId="190" priority="191">
      <formula>IF(K35&lt;(TODAY())-320,TRUE)</formula>
    </cfRule>
    <cfRule type="expression" dxfId="189" priority="192">
      <formula>IF(K35&lt;(TODAY())+0,TRUE)</formula>
    </cfRule>
  </conditionalFormatting>
  <conditionalFormatting sqref="L35">
    <cfRule type="expression" dxfId="188" priority="187">
      <formula>IF(K35&lt;=TODAY()-365,TRUE)</formula>
    </cfRule>
    <cfRule type="expression" dxfId="187" priority="188">
      <formula>IF(K35&lt;(TODAY())-320,TRUE)</formula>
    </cfRule>
    <cfRule type="expression" dxfId="186" priority="189">
      <formula>IF(K35&lt;(TODAY())+0,TRUE)</formula>
    </cfRule>
  </conditionalFormatting>
  <conditionalFormatting sqref="K36">
    <cfRule type="expression" dxfId="185" priority="184">
      <formula>IF(K36&lt;=TODAY()-365,TRUE)</formula>
    </cfRule>
    <cfRule type="expression" dxfId="184" priority="185">
      <formula>IF(K36&lt;(TODAY())-320,TRUE)</formula>
    </cfRule>
    <cfRule type="expression" dxfId="183" priority="186">
      <formula>IF(K36&lt;(TODAY())+0,TRUE)</formula>
    </cfRule>
  </conditionalFormatting>
  <conditionalFormatting sqref="L36">
    <cfRule type="expression" dxfId="182" priority="181">
      <formula>IF(K36&lt;=TODAY()-365,TRUE)</formula>
    </cfRule>
    <cfRule type="expression" dxfId="181" priority="182">
      <formula>IF(K36&lt;(TODAY())-320,TRUE)</formula>
    </cfRule>
    <cfRule type="expression" dxfId="180" priority="183">
      <formula>IF(K36&lt;(TODAY())+0,TRUE)</formula>
    </cfRule>
  </conditionalFormatting>
  <conditionalFormatting sqref="K37">
    <cfRule type="expression" dxfId="179" priority="178">
      <formula>IF(K37&lt;=TODAY()-365,TRUE)</formula>
    </cfRule>
    <cfRule type="expression" dxfId="178" priority="179">
      <formula>IF(K37&lt;(TODAY())-320,TRUE)</formula>
    </cfRule>
    <cfRule type="expression" dxfId="177" priority="180">
      <formula>IF(K37&lt;(TODAY())+0,TRUE)</formula>
    </cfRule>
  </conditionalFormatting>
  <conditionalFormatting sqref="K38">
    <cfRule type="expression" dxfId="176" priority="175">
      <formula>IF(K38&lt;=TODAY()-365,TRUE)</formula>
    </cfRule>
    <cfRule type="expression" dxfId="175" priority="176">
      <formula>IF(K38&lt;(TODAY())-320,TRUE)</formula>
    </cfRule>
    <cfRule type="expression" dxfId="174" priority="177">
      <formula>IF(K38&lt;(TODAY())+0,TRUE)</formula>
    </cfRule>
  </conditionalFormatting>
  <conditionalFormatting sqref="L38">
    <cfRule type="expression" dxfId="173" priority="172">
      <formula>IF(K38&lt;=TODAY()-365,TRUE)</formula>
    </cfRule>
    <cfRule type="expression" dxfId="172" priority="173">
      <formula>IF(K38&lt;(TODAY())-320,TRUE)</formula>
    </cfRule>
    <cfRule type="expression" dxfId="171" priority="174">
      <formula>IF(K38&lt;(TODAY())+0,TRUE)</formula>
    </cfRule>
  </conditionalFormatting>
  <conditionalFormatting sqref="L40">
    <cfRule type="expression" dxfId="170" priority="166">
      <formula>IF(K40&lt;=TODAY()-365,TRUE)</formula>
    </cfRule>
    <cfRule type="expression" dxfId="169" priority="167">
      <formula>IF(K40&lt;(TODAY())-320,TRUE)</formula>
    </cfRule>
    <cfRule type="expression" dxfId="168" priority="168">
      <formula>IF(K40&lt;(TODAY())+0,TRUE)</formula>
    </cfRule>
  </conditionalFormatting>
  <conditionalFormatting sqref="K40">
    <cfRule type="expression" dxfId="167" priority="169">
      <formula>IF(K40&lt;=TODAY()-365,TRUE)</formula>
    </cfRule>
    <cfRule type="expression" dxfId="166" priority="170">
      <formula>IF(K40&lt;(TODAY())-320,TRUE)</formula>
    </cfRule>
    <cfRule type="expression" dxfId="165" priority="171">
      <formula>IF(K40&lt;(TODAY())+0,TRUE)</formula>
    </cfRule>
  </conditionalFormatting>
  <conditionalFormatting sqref="K41:K47">
    <cfRule type="expression" dxfId="164" priority="163">
      <formula>IF(K41&lt;=TODAY()-365,TRUE)</formula>
    </cfRule>
    <cfRule type="expression" dxfId="163" priority="164">
      <formula>IF(K41&lt;(TODAY())-320,TRUE)</formula>
    </cfRule>
    <cfRule type="expression" dxfId="162" priority="165">
      <formula>IF(K41&lt;(TODAY())+0,TRUE)</formula>
    </cfRule>
  </conditionalFormatting>
  <conditionalFormatting sqref="K48">
    <cfRule type="expression" dxfId="161" priority="160">
      <formula>IF(K48&lt;=TODAY()-365,TRUE)</formula>
    </cfRule>
    <cfRule type="expression" dxfId="160" priority="161">
      <formula>IF(K48&lt;(TODAY())-320,TRUE)</formula>
    </cfRule>
    <cfRule type="expression" dxfId="159" priority="162">
      <formula>IF(K48&lt;(TODAY())+0,TRUE)</formula>
    </cfRule>
  </conditionalFormatting>
  <conditionalFormatting sqref="L48">
    <cfRule type="expression" dxfId="158" priority="157">
      <formula>IF(K48&lt;=TODAY()-365,TRUE)</formula>
    </cfRule>
    <cfRule type="expression" dxfId="157" priority="158">
      <formula>IF(K48&lt;(TODAY())-320,TRUE)</formula>
    </cfRule>
    <cfRule type="expression" dxfId="156" priority="159">
      <formula>IF(K48&lt;(TODAY())+0,TRUE)</formula>
    </cfRule>
  </conditionalFormatting>
  <conditionalFormatting sqref="K49">
    <cfRule type="expression" dxfId="155" priority="154">
      <formula>IF(K49&lt;=TODAY()-365,TRUE)</formula>
    </cfRule>
    <cfRule type="expression" dxfId="154" priority="155">
      <formula>IF(K49&lt;(TODAY())-320,TRUE)</formula>
    </cfRule>
    <cfRule type="expression" dxfId="153" priority="156">
      <formula>IF(K49&lt;(TODAY())+0,TRUE)</formula>
    </cfRule>
  </conditionalFormatting>
  <conditionalFormatting sqref="L49">
    <cfRule type="expression" dxfId="152" priority="151">
      <formula>IF(K49&lt;=TODAY()-365,TRUE)</formula>
    </cfRule>
    <cfRule type="expression" dxfId="151" priority="152">
      <formula>IF(K49&lt;(TODAY())-320,TRUE)</formula>
    </cfRule>
    <cfRule type="expression" dxfId="150" priority="153">
      <formula>IF(K49&lt;(TODAY())+0,TRUE)</formula>
    </cfRule>
  </conditionalFormatting>
  <conditionalFormatting sqref="K50">
    <cfRule type="expression" dxfId="149" priority="148">
      <formula>IF(K50&lt;=TODAY()-365,TRUE)</formula>
    </cfRule>
    <cfRule type="expression" dxfId="148" priority="149">
      <formula>IF(K50&lt;(TODAY())-320,TRUE)</formula>
    </cfRule>
    <cfRule type="expression" dxfId="147" priority="150">
      <formula>IF(K50&lt;(TODAY())+0,TRUE)</formula>
    </cfRule>
  </conditionalFormatting>
  <conditionalFormatting sqref="L50">
    <cfRule type="expression" dxfId="146" priority="145">
      <formula>IF(K50&lt;=TODAY()-365,TRUE)</formula>
    </cfRule>
    <cfRule type="expression" dxfId="145" priority="146">
      <formula>IF(K50&lt;(TODAY())-320,TRUE)</formula>
    </cfRule>
    <cfRule type="expression" dxfId="144" priority="147">
      <formula>IF(K50&lt;(TODAY())+0,TRUE)</formula>
    </cfRule>
  </conditionalFormatting>
  <conditionalFormatting sqref="K51">
    <cfRule type="expression" dxfId="143" priority="142">
      <formula>IF(K51&lt;=TODAY()-365,TRUE)</formula>
    </cfRule>
    <cfRule type="expression" dxfId="142" priority="143">
      <formula>IF(K51&lt;(TODAY())-320,TRUE)</formula>
    </cfRule>
    <cfRule type="expression" dxfId="141" priority="144">
      <formula>IF(K51&lt;(TODAY())+0,TRUE)</formula>
    </cfRule>
  </conditionalFormatting>
  <conditionalFormatting sqref="L51">
    <cfRule type="expression" dxfId="140" priority="139">
      <formula>IF(K51&lt;=TODAY()-365,TRUE)</formula>
    </cfRule>
    <cfRule type="expression" dxfId="139" priority="140">
      <formula>IF(K51&lt;(TODAY())-320,TRUE)</formula>
    </cfRule>
    <cfRule type="expression" dxfId="138" priority="141">
      <formula>IF(K51&lt;(TODAY())+0,TRUE)</formula>
    </cfRule>
  </conditionalFormatting>
  <conditionalFormatting sqref="K52">
    <cfRule type="expression" dxfId="137" priority="136">
      <formula>IF(K52&lt;=TODAY()-365,TRUE)</formula>
    </cfRule>
    <cfRule type="expression" dxfId="136" priority="137">
      <formula>IF(K52&lt;(TODAY())-320,TRUE)</formula>
    </cfRule>
    <cfRule type="expression" dxfId="135" priority="138">
      <formula>IF(K52&lt;(TODAY())+0,TRUE)</formula>
    </cfRule>
  </conditionalFormatting>
  <conditionalFormatting sqref="L52">
    <cfRule type="expression" dxfId="134" priority="133">
      <formula>IF(K52&lt;=TODAY()-365,TRUE)</formula>
    </cfRule>
    <cfRule type="expression" dxfId="133" priority="134">
      <formula>IF(K52&lt;(TODAY())-320,TRUE)</formula>
    </cfRule>
    <cfRule type="expression" dxfId="132" priority="135">
      <formula>IF(K52&lt;(TODAY())+0,TRUE)</formula>
    </cfRule>
  </conditionalFormatting>
  <conditionalFormatting sqref="L53">
    <cfRule type="expression" dxfId="131" priority="130">
      <formula>IF(K53&lt;=TODAY()-365,TRUE)</formula>
    </cfRule>
    <cfRule type="expression" dxfId="130" priority="131">
      <formula>IF(K53&lt;(TODAY())-320,TRUE)</formula>
    </cfRule>
    <cfRule type="expression" dxfId="129" priority="132">
      <formula>IF(K53&lt;(TODAY())+0,TRUE)</formula>
    </cfRule>
  </conditionalFormatting>
  <conditionalFormatting sqref="K53">
    <cfRule type="expression" dxfId="128" priority="127">
      <formula>IF(K53&lt;=TODAY()-365,TRUE)</formula>
    </cfRule>
    <cfRule type="expression" dxfId="127" priority="128">
      <formula>IF(K53&lt;(TODAY())-320,TRUE)</formula>
    </cfRule>
    <cfRule type="expression" dxfId="126" priority="129">
      <formula>IF(K53&lt;(TODAY())+0,TRUE)</formula>
    </cfRule>
  </conditionalFormatting>
  <conditionalFormatting sqref="L54">
    <cfRule type="expression" dxfId="125" priority="124">
      <formula>IF(K54&lt;=TODAY()-365,TRUE)</formula>
    </cfRule>
    <cfRule type="expression" dxfId="124" priority="125">
      <formula>IF(K54&lt;(TODAY())-320,TRUE)</formula>
    </cfRule>
    <cfRule type="expression" dxfId="123" priority="126">
      <formula>IF(K54&lt;(TODAY())+0,TRUE)</formula>
    </cfRule>
  </conditionalFormatting>
  <conditionalFormatting sqref="K54">
    <cfRule type="expression" dxfId="122" priority="121">
      <formula>IF(K54&lt;=TODAY()-365,TRUE)</formula>
    </cfRule>
    <cfRule type="expression" dxfId="121" priority="122">
      <formula>IF(K54&lt;(TODAY())-320,TRUE)</formula>
    </cfRule>
    <cfRule type="expression" dxfId="120" priority="123">
      <formula>IF(K54&lt;(TODAY())+0,TRUE)</formula>
    </cfRule>
  </conditionalFormatting>
  <conditionalFormatting sqref="K55">
    <cfRule type="expression" dxfId="119" priority="118">
      <formula>IF(K55&lt;=TODAY()-365,TRUE)</formula>
    </cfRule>
    <cfRule type="expression" dxfId="118" priority="119">
      <formula>IF(K55&lt;(TODAY())-320,TRUE)</formula>
    </cfRule>
    <cfRule type="expression" dxfId="117" priority="120">
      <formula>IF(K55&lt;(TODAY())+0,TRUE)</formula>
    </cfRule>
  </conditionalFormatting>
  <conditionalFormatting sqref="L55">
    <cfRule type="expression" dxfId="116" priority="115">
      <formula>IF(K55&lt;=TODAY()-365,TRUE)</formula>
    </cfRule>
    <cfRule type="expression" dxfId="115" priority="116">
      <formula>IF(K55&lt;(TODAY())-320,TRUE)</formula>
    </cfRule>
    <cfRule type="expression" dxfId="114" priority="117">
      <formula>IF(K55&lt;(TODAY())+0,TRUE)</formula>
    </cfRule>
  </conditionalFormatting>
  <conditionalFormatting sqref="K56:K59">
    <cfRule type="expression" dxfId="113" priority="112">
      <formula>IF(K56&lt;=TODAY()-365,TRUE)</formula>
    </cfRule>
    <cfRule type="expression" dxfId="112" priority="113">
      <formula>IF(K56&lt;(TODAY())-320,TRUE)</formula>
    </cfRule>
    <cfRule type="expression" dxfId="111" priority="114">
      <formula>IF(K56&lt;(TODAY())+0,TRUE)</formula>
    </cfRule>
  </conditionalFormatting>
  <conditionalFormatting sqref="K76">
    <cfRule type="expression" dxfId="110" priority="109">
      <formula>IF(K76&lt;=TODAY()-365,TRUE)</formula>
    </cfRule>
    <cfRule type="expression" dxfId="109" priority="110">
      <formula>IF(K76&lt;(TODAY())-320,TRUE)</formula>
    </cfRule>
    <cfRule type="expression" dxfId="108" priority="111">
      <formula>IF(K76&lt;(TODAY())+0,TRUE)</formula>
    </cfRule>
  </conditionalFormatting>
  <conditionalFormatting sqref="L76">
    <cfRule type="expression" dxfId="107" priority="106">
      <formula>IF(K76&lt;=TODAY()-365,TRUE)</formula>
    </cfRule>
    <cfRule type="expression" dxfId="106" priority="107">
      <formula>IF(K76&lt;(TODAY())-320,TRUE)</formula>
    </cfRule>
    <cfRule type="expression" dxfId="105" priority="108">
      <formula>IF(K76&lt;(TODAY())+0,TRUE)</formula>
    </cfRule>
  </conditionalFormatting>
  <conditionalFormatting sqref="K79">
    <cfRule type="expression" dxfId="104" priority="103">
      <formula>IF(K79&lt;=TODAY()-365,TRUE)</formula>
    </cfRule>
    <cfRule type="expression" dxfId="103" priority="104">
      <formula>IF(K79&lt;(TODAY())-320,TRUE)</formula>
    </cfRule>
    <cfRule type="expression" dxfId="102" priority="105">
      <formula>IF(K79&lt;(TODAY())+0,TRUE)</formula>
    </cfRule>
  </conditionalFormatting>
  <conditionalFormatting sqref="L79">
    <cfRule type="expression" dxfId="101" priority="100">
      <formula>IF(K79&lt;=TODAY()-365,TRUE)</formula>
    </cfRule>
    <cfRule type="expression" dxfId="100" priority="101">
      <formula>IF(K79&lt;(TODAY())-320,TRUE)</formula>
    </cfRule>
    <cfRule type="expression" dxfId="99" priority="102">
      <formula>IF(K79&lt;(TODAY())+0,TRUE)</formula>
    </cfRule>
  </conditionalFormatting>
  <conditionalFormatting sqref="K80">
    <cfRule type="expression" dxfId="98" priority="97">
      <formula>IF(K80&lt;=TODAY()-365,TRUE)</formula>
    </cfRule>
    <cfRule type="expression" dxfId="97" priority="98">
      <formula>IF(K80&lt;(TODAY())-320,TRUE)</formula>
    </cfRule>
    <cfRule type="expression" dxfId="96" priority="99">
      <formula>IF(K80&lt;(TODAY())+0,TRUE)</formula>
    </cfRule>
  </conditionalFormatting>
  <conditionalFormatting sqref="L80">
    <cfRule type="expression" dxfId="95" priority="94">
      <formula>IF(K80&lt;=TODAY()-365,TRUE)</formula>
    </cfRule>
    <cfRule type="expression" dxfId="94" priority="95">
      <formula>IF(K80&lt;(TODAY())-320,TRUE)</formula>
    </cfRule>
    <cfRule type="expression" dxfId="93" priority="96">
      <formula>IF(K80&lt;(TODAY())+0,TRUE)</formula>
    </cfRule>
  </conditionalFormatting>
  <conditionalFormatting sqref="L96:L98 L81">
    <cfRule type="expression" dxfId="92" priority="91">
      <formula>IF(K81&lt;=TODAY()-365,TRUE)</formula>
    </cfRule>
    <cfRule type="expression" dxfId="91" priority="92">
      <formula>IF(K81&lt;(TODAY())-320,TRUE)</formula>
    </cfRule>
    <cfRule type="expression" dxfId="90" priority="93">
      <formula>IF(K81&lt;(TODAY())+0,TRUE)</formula>
    </cfRule>
  </conditionalFormatting>
  <conditionalFormatting sqref="K96:K98 K81">
    <cfRule type="expression" dxfId="89" priority="88">
      <formula>IF(K81&lt;=TODAY()-365,TRUE)</formula>
    </cfRule>
    <cfRule type="expression" dxfId="88" priority="89">
      <formula>IF(K81&lt;(TODAY())-320,TRUE)</formula>
    </cfRule>
    <cfRule type="expression" dxfId="87" priority="90">
      <formula>IF(K81&lt;(TODAY())+0,TRUE)</formula>
    </cfRule>
  </conditionalFormatting>
  <conditionalFormatting sqref="K82">
    <cfRule type="expression" dxfId="86" priority="85">
      <formula>IF(K82&lt;=TODAY()-365,TRUE)</formula>
    </cfRule>
    <cfRule type="expression" dxfId="85" priority="86">
      <formula>IF(K82&lt;(TODAY())-320,TRUE)</formula>
    </cfRule>
    <cfRule type="expression" dxfId="84" priority="87">
      <formula>IF(K82&lt;(TODAY())+0,TRUE)</formula>
    </cfRule>
  </conditionalFormatting>
  <conditionalFormatting sqref="L82">
    <cfRule type="expression" dxfId="83" priority="82">
      <formula>IF(K82&lt;=TODAY()-365,TRUE)</formula>
    </cfRule>
    <cfRule type="expression" dxfId="82" priority="83">
      <formula>IF(K82&lt;(TODAY())-320,TRUE)</formula>
    </cfRule>
    <cfRule type="expression" dxfId="81" priority="84">
      <formula>IF(K82&lt;(TODAY())+0,TRUE)</formula>
    </cfRule>
  </conditionalFormatting>
  <conditionalFormatting sqref="K83:K84">
    <cfRule type="expression" dxfId="80" priority="79">
      <formula>IF(K83&lt;=TODAY()-365,TRUE)</formula>
    </cfRule>
    <cfRule type="expression" dxfId="79" priority="80">
      <formula>IF(K83&lt;(TODAY())-320,TRUE)</formula>
    </cfRule>
    <cfRule type="expression" dxfId="78" priority="81">
      <formula>IF(K83&lt;(TODAY())+0,TRUE)</formula>
    </cfRule>
  </conditionalFormatting>
  <conditionalFormatting sqref="L83:L84">
    <cfRule type="expression" dxfId="77" priority="76">
      <formula>IF(K83&lt;=TODAY()-365,TRUE)</formula>
    </cfRule>
    <cfRule type="expression" dxfId="76" priority="77">
      <formula>IF(K83&lt;(TODAY())-320,TRUE)</formula>
    </cfRule>
    <cfRule type="expression" dxfId="75" priority="78">
      <formula>IF(K83&lt;(TODAY())+0,TRUE)</formula>
    </cfRule>
  </conditionalFormatting>
  <conditionalFormatting sqref="L85">
    <cfRule type="expression" dxfId="74" priority="73">
      <formula>IF(K85&lt;=TODAY()-365,TRUE)</formula>
    </cfRule>
    <cfRule type="expression" dxfId="73" priority="74">
      <formula>IF(K85&lt;(TODAY())-320,TRUE)</formula>
    </cfRule>
    <cfRule type="expression" dxfId="72" priority="75">
      <formula>IF(K85&lt;(TODAY())+0,TRUE)</formula>
    </cfRule>
  </conditionalFormatting>
  <conditionalFormatting sqref="K85">
    <cfRule type="expression" dxfId="71" priority="70">
      <formula>IF(K85&lt;=TODAY()-365,TRUE)</formula>
    </cfRule>
    <cfRule type="expression" dxfId="70" priority="71">
      <formula>IF(K85&lt;(TODAY())-320,TRUE)</formula>
    </cfRule>
    <cfRule type="expression" dxfId="69" priority="72">
      <formula>IF(K85&lt;(TODAY())+0,TRUE)</formula>
    </cfRule>
  </conditionalFormatting>
  <conditionalFormatting sqref="K86">
    <cfRule type="expression" dxfId="68" priority="67">
      <formula>IF(K86&lt;=TODAY()-365,TRUE)</formula>
    </cfRule>
    <cfRule type="expression" dxfId="67" priority="68">
      <formula>IF(K86&lt;(TODAY())-320,TRUE)</formula>
    </cfRule>
    <cfRule type="expression" dxfId="66" priority="69">
      <formula>IF(K86&lt;(TODAY())+0,TRUE)</formula>
    </cfRule>
  </conditionalFormatting>
  <conditionalFormatting sqref="L86">
    <cfRule type="expression" dxfId="65" priority="64">
      <formula>IF(K86&lt;=TODAY()-365,TRUE)</formula>
    </cfRule>
    <cfRule type="expression" dxfId="64" priority="65">
      <formula>IF(K86&lt;(TODAY())-320,TRUE)</formula>
    </cfRule>
    <cfRule type="expression" dxfId="63" priority="66">
      <formula>IF(K86&lt;(TODAY())+0,TRUE)</formula>
    </cfRule>
  </conditionalFormatting>
  <conditionalFormatting sqref="K87:K89">
    <cfRule type="expression" dxfId="62" priority="61">
      <formula>IF(K87&lt;=TODAY()-365,TRUE)</formula>
    </cfRule>
    <cfRule type="expression" dxfId="61" priority="62">
      <formula>IF(K87&lt;(TODAY())-320,TRUE)</formula>
    </cfRule>
    <cfRule type="expression" dxfId="60" priority="63">
      <formula>IF(K87&lt;(TODAY())+0,TRUE)</formula>
    </cfRule>
  </conditionalFormatting>
  <conditionalFormatting sqref="L87:L89">
    <cfRule type="expression" dxfId="59" priority="58">
      <formula>IF(K87&lt;=TODAY()-365,TRUE)</formula>
    </cfRule>
    <cfRule type="expression" dxfId="58" priority="59">
      <formula>IF(K87&lt;(TODAY())-320,TRUE)</formula>
    </cfRule>
    <cfRule type="expression" dxfId="57" priority="60">
      <formula>IF(K87&lt;(TODAY())+0,TRUE)</formula>
    </cfRule>
  </conditionalFormatting>
  <conditionalFormatting sqref="K90">
    <cfRule type="expression" dxfId="56" priority="55">
      <formula>IF(K90&lt;=TODAY()-365,TRUE)</formula>
    </cfRule>
    <cfRule type="expression" dxfId="55" priority="56">
      <formula>IF(K90&lt;(TODAY())-320,TRUE)</formula>
    </cfRule>
    <cfRule type="expression" dxfId="54" priority="57">
      <formula>IF(K90&lt;(TODAY())+0,TRUE)</formula>
    </cfRule>
  </conditionalFormatting>
  <conditionalFormatting sqref="K91">
    <cfRule type="expression" dxfId="53" priority="52">
      <formula>IF(K91&lt;=TODAY()-365,TRUE)</formula>
    </cfRule>
    <cfRule type="expression" dxfId="52" priority="53">
      <formula>IF(K91&lt;(TODAY())-320,TRUE)</formula>
    </cfRule>
    <cfRule type="expression" dxfId="51" priority="54">
      <formula>IF(K91&lt;(TODAY())+0,TRUE)</formula>
    </cfRule>
  </conditionalFormatting>
  <conditionalFormatting sqref="L90:L91">
    <cfRule type="expression" dxfId="50" priority="49">
      <formula>IF(K90&lt;=TODAY()-365,TRUE)</formula>
    </cfRule>
    <cfRule type="expression" dxfId="49" priority="50">
      <formula>IF(K90&lt;(TODAY())-320,TRUE)</formula>
    </cfRule>
    <cfRule type="expression" dxfId="48" priority="51">
      <formula>IF(K90&lt;(TODAY())+0,TRUE)</formula>
    </cfRule>
  </conditionalFormatting>
  <conditionalFormatting sqref="K94:K95">
    <cfRule type="expression" dxfId="47" priority="46">
      <formula>IF(K94&lt;=TODAY()-365,TRUE)</formula>
    </cfRule>
    <cfRule type="expression" dxfId="46" priority="47">
      <formula>IF(K94&lt;(TODAY())-320,TRUE)</formula>
    </cfRule>
    <cfRule type="expression" dxfId="45" priority="48">
      <formula>IF(K94&lt;(TODAY())+0,TRUE)</formula>
    </cfRule>
  </conditionalFormatting>
  <conditionalFormatting sqref="L94:L95">
    <cfRule type="expression" dxfId="44" priority="43">
      <formula>IF(K94&lt;=TODAY()-365,TRUE)</formula>
    </cfRule>
    <cfRule type="expression" dxfId="43" priority="44">
      <formula>IF(K94&lt;(TODAY())-320,TRUE)</formula>
    </cfRule>
    <cfRule type="expression" dxfId="42" priority="45">
      <formula>IF(K94&lt;(TODAY())+0,TRUE)</formula>
    </cfRule>
  </conditionalFormatting>
  <conditionalFormatting sqref="L92">
    <cfRule type="expression" dxfId="41" priority="40">
      <formula>IF(K92&lt;=TODAY()-365,TRUE)</formula>
    </cfRule>
    <cfRule type="expression" dxfId="40" priority="41">
      <formula>IF(K92&lt;(TODAY())-320,TRUE)</formula>
    </cfRule>
    <cfRule type="expression" dxfId="39" priority="42">
      <formula>IF(K92&lt;(TODAY())+0,TRUE)</formula>
    </cfRule>
  </conditionalFormatting>
  <conditionalFormatting sqref="K92">
    <cfRule type="expression" dxfId="38" priority="37">
      <formula>IF(K92&lt;=TODAY()-365,TRUE)</formula>
    </cfRule>
    <cfRule type="expression" dxfId="37" priority="38">
      <formula>IF(K92&lt;(TODAY())-320,TRUE)</formula>
    </cfRule>
    <cfRule type="expression" dxfId="36" priority="39">
      <formula>IF(K92&lt;(TODAY())+0,TRUE)</formula>
    </cfRule>
  </conditionalFormatting>
  <conditionalFormatting sqref="K93">
    <cfRule type="expression" dxfId="35" priority="34">
      <formula>IF(K93&lt;=TODAY()-365,TRUE)</formula>
    </cfRule>
    <cfRule type="expression" dxfId="34" priority="35">
      <formula>IF(K93&lt;(TODAY())-320,TRUE)</formula>
    </cfRule>
    <cfRule type="expression" dxfId="33" priority="36">
      <formula>IF(K93&lt;(TODAY())+0,TRUE)</formula>
    </cfRule>
  </conditionalFormatting>
  <conditionalFormatting sqref="L93">
    <cfRule type="expression" dxfId="32" priority="31">
      <formula>IF(K93&lt;=TODAY()-365,TRUE)</formula>
    </cfRule>
    <cfRule type="expression" dxfId="31" priority="32">
      <formula>IF(K93&lt;(TODAY())-320,TRUE)</formula>
    </cfRule>
    <cfRule type="expression" dxfId="30" priority="33">
      <formula>IF(K93&lt;(TODAY())+0,TRUE)</formula>
    </cfRule>
  </conditionalFormatting>
  <conditionalFormatting sqref="K99">
    <cfRule type="expression" dxfId="29" priority="28">
      <formula>IF(K99&lt;=TODAY()-365,TRUE)</formula>
    </cfRule>
    <cfRule type="expression" dxfId="28" priority="29">
      <formula>IF(K99&lt;(TODAY())-320,TRUE)</formula>
    </cfRule>
    <cfRule type="expression" dxfId="27" priority="30">
      <formula>IF(K99&lt;(TODAY())+0,TRUE)</formula>
    </cfRule>
  </conditionalFormatting>
  <conditionalFormatting sqref="L99">
    <cfRule type="expression" dxfId="26" priority="25">
      <formula>IF(K99&lt;=TODAY()-365,TRUE)</formula>
    </cfRule>
    <cfRule type="expression" dxfId="25" priority="26">
      <formula>IF(K99&lt;(TODAY())-320,TRUE)</formula>
    </cfRule>
    <cfRule type="expression" dxfId="24" priority="27">
      <formula>IF(K99&lt;(TODAY())+0,TRUE)</formula>
    </cfRule>
  </conditionalFormatting>
  <conditionalFormatting sqref="K100">
    <cfRule type="expression" dxfId="23" priority="22">
      <formula>IF(K100&lt;=TODAY()-365,TRUE)</formula>
    </cfRule>
    <cfRule type="expression" dxfId="22" priority="23">
      <formula>IF(K100&lt;(TODAY())-320,TRUE)</formula>
    </cfRule>
    <cfRule type="expression" dxfId="21" priority="24">
      <formula>IF(K100&lt;(TODAY())+0,TRUE)</formula>
    </cfRule>
  </conditionalFormatting>
  <conditionalFormatting sqref="L100">
    <cfRule type="expression" dxfId="20" priority="19">
      <formula>IF(K100&lt;=TODAY()-365,TRUE)</formula>
    </cfRule>
    <cfRule type="expression" dxfId="19" priority="20">
      <formula>IF(K100&lt;(TODAY())-320,TRUE)</formula>
    </cfRule>
    <cfRule type="expression" dxfId="18" priority="21">
      <formula>IF(K100&lt;(TODAY())+0,TRUE)</formula>
    </cfRule>
  </conditionalFormatting>
  <conditionalFormatting sqref="L101">
    <cfRule type="expression" dxfId="17" priority="16">
      <formula>IF(K101&lt;=TODAY()-365,TRUE)</formula>
    </cfRule>
    <cfRule type="expression" dxfId="16" priority="17">
      <formula>IF(K101&lt;(TODAY())-320,TRUE)</formula>
    </cfRule>
    <cfRule type="expression" dxfId="15" priority="18">
      <formula>IF(K101&lt;(TODAY())+0,TRUE)</formula>
    </cfRule>
  </conditionalFormatting>
  <conditionalFormatting sqref="K101">
    <cfRule type="expression" dxfId="14" priority="13">
      <formula>IF(K101&lt;=TODAY()-365,TRUE)</formula>
    </cfRule>
    <cfRule type="expression" dxfId="13" priority="14">
      <formula>IF(K101&lt;(TODAY())-320,TRUE)</formula>
    </cfRule>
    <cfRule type="expression" dxfId="12" priority="15">
      <formula>IF(K101&lt;(TODAY())+0,TRUE)</formula>
    </cfRule>
  </conditionalFormatting>
  <conditionalFormatting sqref="K102">
    <cfRule type="expression" dxfId="11" priority="10">
      <formula>IF(K102&lt;=TODAY()-365,TRUE)</formula>
    </cfRule>
    <cfRule type="expression" dxfId="10" priority="11">
      <formula>IF(K102&lt;(TODAY())-320,TRUE)</formula>
    </cfRule>
    <cfRule type="expression" dxfId="9" priority="12">
      <formula>IF(K102&lt;(TODAY())+0,TRUE)</formula>
    </cfRule>
  </conditionalFormatting>
  <conditionalFormatting sqref="L102">
    <cfRule type="expression" dxfId="8" priority="7">
      <formula>IF(K102&lt;=TODAY()-365,TRUE)</formula>
    </cfRule>
    <cfRule type="expression" dxfId="7" priority="8">
      <formula>IF(K102&lt;(TODAY())-320,TRUE)</formula>
    </cfRule>
    <cfRule type="expression" dxfId="6" priority="9">
      <formula>IF(K102&lt;(TODAY())+0,TRUE)</formula>
    </cfRule>
  </conditionalFormatting>
  <conditionalFormatting sqref="K103">
    <cfRule type="expression" dxfId="5" priority="4">
      <formula>IF(K103&lt;=TODAY()-365,TRUE)</formula>
    </cfRule>
    <cfRule type="expression" dxfId="4" priority="5">
      <formula>IF(K103&lt;(TODAY())-320,TRUE)</formula>
    </cfRule>
    <cfRule type="expression" dxfId="3" priority="6">
      <formula>IF(K103&lt;(TODAY())+0,TRUE)</formula>
    </cfRule>
  </conditionalFormatting>
  <conditionalFormatting sqref="L103">
    <cfRule type="expression" dxfId="2" priority="1">
      <formula>IF(K103&lt;=TODAY()-365,TRUE)</formula>
    </cfRule>
    <cfRule type="expression" dxfId="1" priority="2">
      <formula>IF(K103&lt;(TODAY())-320,TRUE)</formula>
    </cfRule>
    <cfRule type="expression" dxfId="0" priority="3">
      <formula>IF(K103&lt;(TODAY())+0,TRUE)</formula>
    </cfRule>
  </conditionalFormatting>
  <hyperlinks>
    <hyperlink ref="C30" r:id="rId1" xr:uid="{11888D31-CCD0-4E82-B973-B8AC1F57C240}"/>
    <hyperlink ref="C35" r:id="rId2" display="gabriel.lourenco@suez.com" xr:uid="{A3657B74-BADB-4EFB-AE3D-0D9AA27315E0}"/>
    <hyperlink ref="C40" r:id="rId3" display="rafaela.gomes@suez.com" xr:uid="{36166962-4EB8-46FF-BBB0-551B3052C0C9}"/>
    <hyperlink ref="C49" r:id="rId4" xr:uid="{EA34C178-A001-48C2-A4B9-3AF736A4A6FA}"/>
    <hyperlink ref="C60:C63" r:id="rId5" display="carlane.lira@suez.com" xr:uid="{BFB6ADCD-4E79-457C-B2BD-7911666604FE}"/>
    <hyperlink ref="C65:C67" r:id="rId6" display="gabriel.lourenco@suez.com" xr:uid="{4237F781-9ADD-4423-8076-C77F8D334C63}"/>
    <hyperlink ref="C68:C70" r:id="rId7" display="gabriel.lourenco@suez.com" xr:uid="{D1B76231-40DF-430D-9E47-B507C29AA8AE}"/>
    <hyperlink ref="C38" r:id="rId8" xr:uid="{0B3503DD-904A-401B-9D75-5C4A2161844B}"/>
    <hyperlink ref="C39" r:id="rId9" display="jamesson.amarodasilva@suez.com" xr:uid="{0DAE9FBE-F33D-47B9-B33B-2CF78AD6363A}"/>
    <hyperlink ref="C78" r:id="rId10" xr:uid="{F96C8B2C-2523-48DA-B3CC-384E73C67A25}"/>
    <hyperlink ref="C79" r:id="rId11" xr:uid="{DE8B6B9B-04DC-4332-845C-45F9C744CBE7}"/>
    <hyperlink ref="C90" r:id="rId12" xr:uid="{34B3A7E9-1A08-4F4D-A0EC-E395A74A2062}"/>
    <hyperlink ref="C92:C95" r:id="rId13" display="bianca.santos@suez.com" xr:uid="{A7BF72CC-BEC0-42F4-8AF9-8DB43CFE7A12}"/>
    <hyperlink ref="C81" r:id="rId14" xr:uid="{933432FF-EB2E-4D7A-872A-8729B8B2932A}"/>
    <hyperlink ref="C92" r:id="rId15" xr:uid="{BAE6BE1F-CBAE-4761-A726-B6584FAB6583}"/>
    <hyperlink ref="C91" r:id="rId16" xr:uid="{824834F0-97B6-46D3-80F9-E8E15A680ABF}"/>
    <hyperlink ref="C93" r:id="rId17" xr:uid="{BCE8D2BC-73E2-4ADE-9B87-D49D2ED4E16F}"/>
    <hyperlink ref="C86" r:id="rId18" xr:uid="{610DDF80-085F-4798-86B7-036459B12460}"/>
    <hyperlink ref="C2" r:id="rId19" xr:uid="{1BC8F438-703D-40DC-B4A0-DC8DE10990BC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073B4-F7EF-4510-8E0F-6340CEC14289}">
  <dimension ref="A1:U50"/>
  <sheetViews>
    <sheetView workbookViewId="0">
      <selection activeCell="K14" sqref="K14"/>
    </sheetView>
  </sheetViews>
  <sheetFormatPr defaultRowHeight="15"/>
  <cols>
    <col min="1" max="1" width="16.85546875" bestFit="1" customWidth="1"/>
    <col min="2" max="2" width="6.7109375" hidden="1" customWidth="1"/>
    <col min="3" max="3" width="15.28515625" customWidth="1"/>
    <col min="4" max="4" width="14.28515625" bestFit="1" customWidth="1"/>
    <col min="5" max="5" width="14.28515625" customWidth="1"/>
    <col min="6" max="6" width="17.28515625" bestFit="1" customWidth="1"/>
    <col min="7" max="7" width="15.140625" customWidth="1"/>
    <col min="8" max="8" width="14.28515625" bestFit="1" customWidth="1"/>
    <col min="9" max="9" width="19.140625" bestFit="1" customWidth="1"/>
    <col min="10" max="10" width="14.28515625" bestFit="1" customWidth="1"/>
    <col min="11" max="11" width="14.5703125" bestFit="1" customWidth="1"/>
    <col min="12" max="12" width="13.28515625" customWidth="1"/>
    <col min="13" max="13" width="19.140625" bestFit="1" customWidth="1"/>
    <col min="14" max="14" width="22" bestFit="1" customWidth="1"/>
    <col min="15" max="16" width="22.140625" bestFit="1" customWidth="1"/>
    <col min="17" max="17" width="22" bestFit="1" customWidth="1"/>
    <col min="18" max="18" width="12.140625" hidden="1" customWidth="1"/>
    <col min="19" max="19" width="10.85546875" bestFit="1" customWidth="1"/>
    <col min="20" max="20" width="22" bestFit="1" customWidth="1"/>
    <col min="21" max="21" width="13.140625" bestFit="1" customWidth="1"/>
  </cols>
  <sheetData>
    <row r="1" spans="1:18" ht="15" customHeight="1" thickBot="1">
      <c r="A1" s="361" t="s">
        <v>1426</v>
      </c>
      <c r="B1" s="362"/>
      <c r="C1" s="362"/>
      <c r="D1" s="362"/>
      <c r="E1" s="363"/>
      <c r="G1" s="349" t="s">
        <v>1453</v>
      </c>
      <c r="H1" s="350"/>
      <c r="I1" s="350"/>
      <c r="J1" s="351"/>
      <c r="K1" s="364" t="s">
        <v>1429</v>
      </c>
    </row>
    <row r="2" spans="1:18">
      <c r="A2" s="282"/>
      <c r="B2" s="114"/>
      <c r="C2" s="114" t="s">
        <v>1452</v>
      </c>
      <c r="D2" s="113" t="s">
        <v>1428</v>
      </c>
      <c r="E2" s="283" t="s">
        <v>1450</v>
      </c>
      <c r="G2" s="292"/>
      <c r="H2" s="118" t="s">
        <v>1454</v>
      </c>
      <c r="I2" s="113" t="str">
        <f>D2</f>
        <v xml:space="preserve">Consumo </v>
      </c>
      <c r="J2" s="116" t="s">
        <v>1451</v>
      </c>
      <c r="K2" s="365"/>
      <c r="N2" s="355" t="s">
        <v>1424</v>
      </c>
      <c r="O2" s="356"/>
      <c r="P2" s="356"/>
      <c r="Q2" s="356"/>
      <c r="R2" s="357"/>
    </row>
    <row r="3" spans="1:18">
      <c r="A3" s="284" t="s">
        <v>1425</v>
      </c>
      <c r="B3" s="100"/>
      <c r="C3" s="100">
        <v>187656.72</v>
      </c>
      <c r="D3" s="97">
        <f>D4+D5</f>
        <v>190184.88999999998</v>
      </c>
      <c r="E3" s="285">
        <f>C3-D3</f>
        <v>-2528.1699999999837</v>
      </c>
      <c r="G3" s="293" t="s">
        <v>1425</v>
      </c>
      <c r="H3" s="117">
        <f>I3+J3</f>
        <v>190184.88999999998</v>
      </c>
      <c r="I3" s="97">
        <f>D3</f>
        <v>190184.88999999998</v>
      </c>
      <c r="J3" s="115">
        <f>J4+J5</f>
        <v>0</v>
      </c>
      <c r="K3" s="294">
        <f>C3-(I3+J3)</f>
        <v>-2528.1699999999837</v>
      </c>
      <c r="N3" s="314" t="s">
        <v>11</v>
      </c>
      <c r="O3" s="69" t="s">
        <v>0</v>
      </c>
      <c r="P3" s="69" t="s">
        <v>1</v>
      </c>
      <c r="Q3" s="69" t="s">
        <v>894</v>
      </c>
      <c r="R3" s="315" t="s">
        <v>1190</v>
      </c>
    </row>
    <row r="4" spans="1:18">
      <c r="A4" s="286" t="s">
        <v>1427</v>
      </c>
      <c r="B4" s="101"/>
      <c r="C4" s="100">
        <v>122926.27499999999</v>
      </c>
      <c r="D4" s="98">
        <f>'Extrato - seviço '!J15</f>
        <v>132512.53</v>
      </c>
      <c r="E4" s="285">
        <f>C4-D4</f>
        <v>-9586.2550000000047</v>
      </c>
      <c r="G4" s="293" t="s">
        <v>1427</v>
      </c>
      <c r="H4" s="117">
        <f>I4+J4</f>
        <v>132512.53</v>
      </c>
      <c r="I4" s="98">
        <f>D4</f>
        <v>132512.53</v>
      </c>
      <c r="J4" s="115">
        <f>'Extrato - seviço '!K15</f>
        <v>0</v>
      </c>
      <c r="K4" s="294">
        <f>C4-(I4+J4)</f>
        <v>-9586.2550000000047</v>
      </c>
      <c r="N4" s="306" t="s">
        <v>828</v>
      </c>
      <c r="O4" s="1">
        <v>184.17</v>
      </c>
      <c r="P4" s="1">
        <v>272.60000000000002</v>
      </c>
      <c r="Q4" s="35">
        <f t="shared" ref="Q4:Q10" si="0">O4+P4</f>
        <v>456.77</v>
      </c>
      <c r="R4" s="316" t="s">
        <v>729</v>
      </c>
    </row>
    <row r="5" spans="1:18" ht="15.75" thickBot="1">
      <c r="A5" s="287" t="s">
        <v>1430</v>
      </c>
      <c r="B5" s="288"/>
      <c r="C5" s="289">
        <v>64730.493000000002</v>
      </c>
      <c r="D5" s="290">
        <f>'Extrato - Deslocamento '!J54</f>
        <v>57672.359999999993</v>
      </c>
      <c r="E5" s="291">
        <f>C5-D5</f>
        <v>7058.1330000000089</v>
      </c>
      <c r="G5" s="295" t="s">
        <v>1430</v>
      </c>
      <c r="H5" s="296">
        <f>I5+J5</f>
        <v>57672.359999999993</v>
      </c>
      <c r="I5" s="290">
        <f>D5</f>
        <v>57672.359999999993</v>
      </c>
      <c r="J5" s="297">
        <f>'Extrato - Deslocamento '!K54</f>
        <v>0</v>
      </c>
      <c r="K5" s="298">
        <f>C5-(I5+J5)</f>
        <v>7058.1330000000089</v>
      </c>
      <c r="N5" s="317" t="s">
        <v>2</v>
      </c>
      <c r="O5" s="1">
        <v>184.17</v>
      </c>
      <c r="P5" s="1">
        <v>272.60000000000002</v>
      </c>
      <c r="Q5" s="35">
        <f t="shared" si="0"/>
        <v>456.77</v>
      </c>
      <c r="R5" s="316" t="s">
        <v>729</v>
      </c>
    </row>
    <row r="6" spans="1:18" ht="15.75" thickBot="1">
      <c r="A6" s="123"/>
      <c r="B6" s="123"/>
      <c r="C6" s="124"/>
      <c r="D6" s="125"/>
      <c r="E6" s="126"/>
      <c r="N6" s="317" t="s">
        <v>3</v>
      </c>
      <c r="O6" s="1">
        <v>198.26</v>
      </c>
      <c r="P6" s="1">
        <v>354.38</v>
      </c>
      <c r="Q6" s="35">
        <f t="shared" si="0"/>
        <v>552.64</v>
      </c>
      <c r="R6" s="316" t="s">
        <v>729</v>
      </c>
    </row>
    <row r="7" spans="1:18">
      <c r="A7" s="123"/>
      <c r="B7" s="123"/>
      <c r="C7" s="299" t="s">
        <v>1452</v>
      </c>
      <c r="D7" s="300" t="s">
        <v>1428</v>
      </c>
      <c r="E7" s="301" t="s">
        <v>1450</v>
      </c>
      <c r="N7" s="317" t="s">
        <v>4</v>
      </c>
      <c r="O7" s="1">
        <v>112.95</v>
      </c>
      <c r="P7" s="1">
        <v>216.92</v>
      </c>
      <c r="Q7" s="35">
        <f t="shared" si="0"/>
        <v>329.87</v>
      </c>
      <c r="R7" s="316" t="s">
        <v>729</v>
      </c>
    </row>
    <row r="8" spans="1:18" ht="15.75" thickBot="1">
      <c r="A8" s="123"/>
      <c r="B8" s="123"/>
      <c r="C8" s="302">
        <v>1</v>
      </c>
      <c r="D8" s="303">
        <f>D3/C3</f>
        <v>1.0134723126355401</v>
      </c>
      <c r="E8" s="304">
        <f>C8-D8</f>
        <v>-1.3472312635540051E-2</v>
      </c>
      <c r="M8" s="92"/>
      <c r="N8" s="317" t="s">
        <v>5</v>
      </c>
      <c r="O8" s="1">
        <v>467.16</v>
      </c>
      <c r="P8" s="1">
        <v>428.07</v>
      </c>
      <c r="Q8" s="35">
        <f t="shared" si="0"/>
        <v>895.23</v>
      </c>
      <c r="R8" s="316" t="s">
        <v>729</v>
      </c>
    </row>
    <row r="9" spans="1:18">
      <c r="C9" s="95"/>
      <c r="D9" s="95"/>
      <c r="N9" s="317" t="s">
        <v>768</v>
      </c>
      <c r="O9" s="1">
        <v>112.95</v>
      </c>
      <c r="P9" s="1">
        <v>216.92</v>
      </c>
      <c r="Q9" s="35">
        <f t="shared" si="0"/>
        <v>329.87</v>
      </c>
      <c r="R9" s="316" t="s">
        <v>729</v>
      </c>
    </row>
    <row r="10" spans="1:18">
      <c r="M10" s="32"/>
      <c r="N10" s="317" t="s">
        <v>835</v>
      </c>
      <c r="O10" s="1">
        <v>112.95</v>
      </c>
      <c r="P10" s="1">
        <v>433.84</v>
      </c>
      <c r="Q10" s="35">
        <f t="shared" si="0"/>
        <v>546.79</v>
      </c>
      <c r="R10" s="316" t="s">
        <v>729</v>
      </c>
    </row>
    <row r="11" spans="1:18" ht="15.75" thickBot="1">
      <c r="M11" s="32"/>
      <c r="N11" s="317" t="s">
        <v>778</v>
      </c>
      <c r="O11" s="37">
        <v>104.31</v>
      </c>
      <c r="P11" s="37">
        <v>221.84</v>
      </c>
      <c r="Q11" s="35">
        <v>0</v>
      </c>
      <c r="R11" s="316" t="s">
        <v>729</v>
      </c>
    </row>
    <row r="12" spans="1:18">
      <c r="A12" s="352" t="s">
        <v>1431</v>
      </c>
      <c r="B12" s="353"/>
      <c r="C12" s="353"/>
      <c r="D12" s="353"/>
      <c r="E12" s="353"/>
      <c r="F12" s="353"/>
      <c r="G12" s="353"/>
      <c r="H12" s="353"/>
      <c r="I12" s="354"/>
      <c r="N12" s="317" t="s">
        <v>7</v>
      </c>
      <c r="O12" s="1">
        <v>112.95</v>
      </c>
      <c r="P12" s="1">
        <v>216.92</v>
      </c>
      <c r="Q12" s="35">
        <f>O12+P12</f>
        <v>329.87</v>
      </c>
      <c r="R12" s="316" t="s">
        <v>729</v>
      </c>
    </row>
    <row r="13" spans="1:18">
      <c r="A13" s="248"/>
      <c r="B13" s="281"/>
      <c r="C13" s="358" t="s">
        <v>1432</v>
      </c>
      <c r="D13" s="358"/>
      <c r="E13" s="358"/>
      <c r="F13" s="346" t="s">
        <v>1468</v>
      </c>
      <c r="G13" s="347"/>
      <c r="H13" s="348"/>
      <c r="I13" s="359" t="s">
        <v>1433</v>
      </c>
      <c r="N13" s="317" t="s">
        <v>519</v>
      </c>
      <c r="O13" s="37">
        <v>104.31</v>
      </c>
      <c r="P13" s="37">
        <v>221.84</v>
      </c>
      <c r="Q13" s="35">
        <v>0</v>
      </c>
      <c r="R13" s="316" t="s">
        <v>729</v>
      </c>
    </row>
    <row r="14" spans="1:18">
      <c r="A14" s="305" t="s">
        <v>1434</v>
      </c>
      <c r="B14" s="109" t="s">
        <v>1434</v>
      </c>
      <c r="C14" s="258" t="s">
        <v>1438</v>
      </c>
      <c r="D14" s="258" t="s">
        <v>1437</v>
      </c>
      <c r="E14" s="107" t="s">
        <v>1440</v>
      </c>
      <c r="F14" s="113" t="s">
        <v>1436</v>
      </c>
      <c r="G14" s="108" t="s">
        <v>1439</v>
      </c>
      <c r="H14" s="108" t="s">
        <v>1440</v>
      </c>
      <c r="I14" s="360"/>
      <c r="J14" s="32"/>
      <c r="K14" s="32"/>
      <c r="L14" s="32"/>
      <c r="M14" s="32"/>
      <c r="N14" s="317" t="s">
        <v>8</v>
      </c>
      <c r="O14" s="1">
        <v>220.67</v>
      </c>
      <c r="P14" s="1">
        <v>241.44</v>
      </c>
      <c r="Q14" s="35">
        <f>O14+P14</f>
        <v>462.11</v>
      </c>
      <c r="R14" s="316" t="s">
        <v>729</v>
      </c>
    </row>
    <row r="15" spans="1:18" ht="15.75" thickBot="1">
      <c r="A15" s="306" t="s">
        <v>1444</v>
      </c>
      <c r="B15" s="106">
        <v>1</v>
      </c>
      <c r="C15" s="105">
        <f>SUMIF('Inicial - Equipamentos '!$U$2:$U$271,Indicadores!B15,'Inicial - Equipamentos '!$V$2:$V$271)</f>
        <v>4706.18</v>
      </c>
      <c r="D15" s="105">
        <f>SUMIF('Extrato - Deslocamento '!$O$3:$O$14,Indicadores!B15,'Extrato - Deslocamento '!$P$3:$P$14)</f>
        <v>2636.06</v>
      </c>
      <c r="E15" s="102">
        <f>C15+D15</f>
        <v>7342.24</v>
      </c>
      <c r="F15" s="103">
        <f>SUMIFS('Atual - Equipamentos '!$W$2:$W$326,'Atual - Equipamentos '!$S$2:$S$326,'Atual - Equipamentos '!$S$2,'Atual - Equipamentos '!$V$2:$V$326,B15)</f>
        <v>552.64</v>
      </c>
      <c r="G15" s="103">
        <f>SUMIF('Extrato - Deslocamento '!$O$3:$O$14,B15,'Extrato - Deslocamento '!$Q$3:$Q$14)</f>
        <v>0</v>
      </c>
      <c r="H15" s="99">
        <f t="shared" ref="H15:H26" si="1">F15+G15</f>
        <v>552.64</v>
      </c>
      <c r="I15" s="307">
        <f t="shared" ref="I15:I26" si="2">$C$3/12</f>
        <v>15638.06</v>
      </c>
      <c r="J15" s="126"/>
      <c r="K15" s="126"/>
      <c r="L15" s="126"/>
      <c r="N15" s="318" t="s">
        <v>9</v>
      </c>
      <c r="O15" s="319">
        <v>263.56</v>
      </c>
      <c r="P15" s="319">
        <v>258.24</v>
      </c>
      <c r="Q15" s="320">
        <f>O15+P15</f>
        <v>521.79999999999995</v>
      </c>
      <c r="R15" s="321" t="s">
        <v>729</v>
      </c>
    </row>
    <row r="16" spans="1:18">
      <c r="A16" s="306" t="s">
        <v>212</v>
      </c>
      <c r="B16" s="106">
        <v>2</v>
      </c>
      <c r="C16" s="105">
        <f>SUMIF('Inicial - Equipamentos '!$U$2:$U$271,Indicadores!B16,'Inicial - Equipamentos '!$V$2:$V$271)</f>
        <v>9829.6600000000017</v>
      </c>
      <c r="D16" s="105">
        <f>SUMIF('Extrato - Deslocamento '!$O$3:$O$14,Indicadores!B16,'Extrato - Deslocamento '!$P$3:$P$14)</f>
        <v>4041.08</v>
      </c>
      <c r="E16" s="102">
        <f t="shared" ref="E16:E26" si="3">C16+D16</f>
        <v>13870.740000000002</v>
      </c>
      <c r="F16" s="103">
        <f>SUMIFS('Atual - Equipamentos '!$W$2:$W$326,'Atual - Equipamentos '!$S$2:$S$326,'Atual - Equipamentos '!$S$2,'Atual - Equipamentos '!$V$2:$V$326,B16)</f>
        <v>0</v>
      </c>
      <c r="G16" s="103">
        <f>SUMIF('Extrato - Deslocamento '!$O$3:$O$14,B16,'Extrato - Deslocamento '!$Q$3:$Q$14)</f>
        <v>0</v>
      </c>
      <c r="H16" s="99">
        <f t="shared" si="1"/>
        <v>0</v>
      </c>
      <c r="I16" s="307">
        <f t="shared" si="2"/>
        <v>15638.06</v>
      </c>
      <c r="N16" s="32"/>
    </row>
    <row r="17" spans="1:21">
      <c r="A17" s="306" t="s">
        <v>103</v>
      </c>
      <c r="B17" s="106">
        <v>3</v>
      </c>
      <c r="C17" s="105">
        <f>SUMIF('Inicial - Equipamentos '!$U$2:$U$271,Indicadores!B17,'Inicial - Equipamentos '!$V$2:$V$271)</f>
        <v>9263.5399999999991</v>
      </c>
      <c r="D17" s="105">
        <f>SUMIF('Extrato - Deslocamento '!$O$3:$O$14,Indicadores!B17,'Extrato - Deslocamento '!$P$3:$P$14)</f>
        <v>2500.62</v>
      </c>
      <c r="E17" s="102">
        <f t="shared" si="3"/>
        <v>11764.16</v>
      </c>
      <c r="F17" s="103">
        <f>SUMIFS('Atual - Equipamentos '!$W$2:$W$326,'Atual - Equipamentos '!$S$2:$S$326,'Atual - Equipamentos '!$S$2,'Atual - Equipamentos '!$V$2:$V$326,B17)</f>
        <v>16415.300000000003</v>
      </c>
      <c r="G17" s="103">
        <f>SUMIF('Extrato - Deslocamento '!$O$3:$O$14,B17,'Extrato - Deslocamento '!$Q$3:$Q$14)</f>
        <v>7167.1900000000005</v>
      </c>
      <c r="H17" s="99">
        <f t="shared" si="1"/>
        <v>23582.490000000005</v>
      </c>
      <c r="I17" s="307">
        <f t="shared" si="2"/>
        <v>15638.06</v>
      </c>
      <c r="N17" s="32"/>
      <c r="T17" s="94"/>
      <c r="U17" s="38"/>
    </row>
    <row r="18" spans="1:21">
      <c r="A18" s="306" t="s">
        <v>1445</v>
      </c>
      <c r="B18" s="106">
        <v>4</v>
      </c>
      <c r="C18" s="105">
        <f>SUMIF('Inicial - Equipamentos '!$U$2:$U$271,Indicadores!B18,'Inicial - Equipamentos '!$V$2:$V$271)</f>
        <v>882.51</v>
      </c>
      <c r="D18" s="105">
        <f>SUMIF('Extrato - Deslocamento '!$O$3:$O$14,Indicadores!B18,'Extrato - Deslocamento '!$P$3:$P$14)</f>
        <v>0</v>
      </c>
      <c r="E18" s="102">
        <f t="shared" si="3"/>
        <v>882.51</v>
      </c>
      <c r="F18" s="103">
        <f>SUMIFS('Atual - Equipamentos '!$W$2:$W$326,'Atual - Equipamentos '!$S$2:$S$326,'Atual - Equipamentos '!$S$2,'Atual - Equipamentos '!$V$2:$V$326,B18)</f>
        <v>8424.7800000000007</v>
      </c>
      <c r="G18" s="103">
        <f>SUMIF('Extrato - Deslocamento '!$O$3:$O$14,B18,'Extrato - Deslocamento '!$Q$3:$Q$14)</f>
        <v>942.21</v>
      </c>
      <c r="H18" s="99">
        <f t="shared" si="1"/>
        <v>9366.9900000000016</v>
      </c>
      <c r="I18" s="307">
        <f t="shared" si="2"/>
        <v>15638.06</v>
      </c>
    </row>
    <row r="19" spans="1:21">
      <c r="A19" s="306" t="s">
        <v>1446</v>
      </c>
      <c r="B19" s="106">
        <v>5</v>
      </c>
      <c r="C19" s="105">
        <f>SUMIF('Inicial - Equipamentos '!$U$2:$U$271,Indicadores!B19,'Inicial - Equipamentos '!$V$2:$V$271)</f>
        <v>12538.570000000003</v>
      </c>
      <c r="D19" s="105">
        <f>SUMIF('Extrato - Deslocamento '!$O$3:$O$14,Indicadores!B19,'Extrato - Deslocamento '!$P$3:$P$14)</f>
        <v>2466.1099999999997</v>
      </c>
      <c r="E19" s="102">
        <f t="shared" si="3"/>
        <v>15004.680000000004</v>
      </c>
      <c r="F19" s="103">
        <f>SUMIFS('Atual - Equipamentos '!$W$2:$W$326,'Atual - Equipamentos '!$S$2:$S$326,'Atual - Equipamentos '!$S$2,'Atual - Equipamentos '!$V$2:$V$326,B19)</f>
        <v>14661.520000000004</v>
      </c>
      <c r="G19" s="103">
        <f>SUMIF('Extrato - Deslocamento '!$O$3:$O$14,B19,'Extrato - Deslocamento '!$Q$3:$Q$14)</f>
        <v>1818.11</v>
      </c>
      <c r="H19" s="99">
        <f t="shared" si="1"/>
        <v>16479.630000000005</v>
      </c>
      <c r="I19" s="307">
        <f t="shared" si="2"/>
        <v>15638.06</v>
      </c>
    </row>
    <row r="20" spans="1:21">
      <c r="A20" s="306" t="s">
        <v>205</v>
      </c>
      <c r="B20" s="106">
        <v>6</v>
      </c>
      <c r="C20" s="105">
        <f>SUMIF('Inicial - Equipamentos '!$U$2:$U$271,Indicadores!B20,'Inicial - Equipamentos '!$V$2:$V$271)</f>
        <v>11002.030000000002</v>
      </c>
      <c r="D20" s="105">
        <f>SUMIF('Extrato - Deslocamento '!$O$3:$O$14,Indicadores!B20,'Extrato - Deslocamento '!$P$3:$P$14)</f>
        <v>6245.64</v>
      </c>
      <c r="E20" s="102">
        <f t="shared" si="3"/>
        <v>17247.670000000002</v>
      </c>
      <c r="F20" s="103">
        <f>SUMIFS('Atual - Equipamentos '!$W$2:$W$326,'Atual - Equipamentos '!$S$2:$S$326,'Atual - Equipamentos '!$S$2,'Atual - Equipamentos '!$V$2:$V$326,B20)</f>
        <v>14957.490000000003</v>
      </c>
      <c r="G20" s="103">
        <f>SUMIF('Extrato - Deslocamento '!$O$3:$O$14,B20,'Extrato - Deslocamento '!$Q$3:$Q$14)</f>
        <v>6693.1799999999994</v>
      </c>
      <c r="H20" s="99">
        <f t="shared" si="1"/>
        <v>21650.670000000002</v>
      </c>
      <c r="I20" s="307">
        <f t="shared" si="2"/>
        <v>15638.06</v>
      </c>
    </row>
    <row r="21" spans="1:21">
      <c r="A21" s="306" t="s">
        <v>86</v>
      </c>
      <c r="B21" s="106">
        <v>7</v>
      </c>
      <c r="C21" s="105">
        <f>SUMIF('Inicial - Equipamentos '!$U$2:$U$271,Indicadores!B21,'Inicial - Equipamentos '!$V$2:$V$271)</f>
        <v>35658.970000000008</v>
      </c>
      <c r="D21" s="105">
        <f>SUMIF('Extrato - Deslocamento '!$O$3:$O$14,Indicadores!B21,'Extrato - Deslocamento '!$P$3:$P$14)</f>
        <v>23263.839999999997</v>
      </c>
      <c r="E21" s="102">
        <f t="shared" si="3"/>
        <v>58922.810000000005</v>
      </c>
      <c r="F21" s="103">
        <f>SUMIFS('Atual - Equipamentos '!$W$2:$W$326,'Atual - Equipamentos '!$S$2:$S$326,'Atual - Equipamentos '!$S$2,'Atual - Equipamentos '!$V$2:$V$326,B21)</f>
        <v>17193.979999999996</v>
      </c>
      <c r="G21" s="103">
        <f>SUMIF('Extrato - Deslocamento '!$O$3:$O$14,B21,'Extrato - Deslocamento '!$Q$3:$Q$14)</f>
        <v>10978.96</v>
      </c>
      <c r="H21" s="99">
        <f t="shared" si="1"/>
        <v>28172.939999999995</v>
      </c>
      <c r="I21" s="307">
        <f t="shared" si="2"/>
        <v>15638.06</v>
      </c>
    </row>
    <row r="22" spans="1:21">
      <c r="A22" s="306" t="s">
        <v>1447</v>
      </c>
      <c r="B22" s="106">
        <v>8</v>
      </c>
      <c r="C22" s="105">
        <f>SUMIF('Inicial - Equipamentos '!$U$2:$U$271,Indicadores!B22,'Inicial - Equipamentos '!$V$2:$V$271)</f>
        <v>28762.119999999992</v>
      </c>
      <c r="D22" s="105">
        <f>SUMIF('Extrato - Deslocamento '!$O$3:$O$14,Indicadores!B22,'Extrato - Deslocamento '!$P$3:$P$14)</f>
        <v>8281.73</v>
      </c>
      <c r="E22" s="102">
        <f t="shared" si="3"/>
        <v>37043.849999999991</v>
      </c>
      <c r="F22" s="103">
        <f>SUMIFS('Atual - Equipamentos '!$W$2:$W$326,'Atual - Equipamentos '!$S$2:$S$326,'Atual - Equipamentos '!$S$2,'Atual - Equipamentos '!$V$2:$V$326,B22)</f>
        <v>30141.049999999988</v>
      </c>
      <c r="G22" s="103">
        <f>SUMIF('Extrato - Deslocamento '!$O$3:$O$14,B22,'Extrato - Deslocamento '!$Q$3:$Q$14)</f>
        <v>16316.88</v>
      </c>
      <c r="H22" s="99">
        <f t="shared" si="1"/>
        <v>46457.929999999986</v>
      </c>
      <c r="I22" s="307">
        <f t="shared" si="2"/>
        <v>15638.06</v>
      </c>
    </row>
    <row r="23" spans="1:21">
      <c r="A23" s="306" t="s">
        <v>1448</v>
      </c>
      <c r="B23" s="106">
        <v>9</v>
      </c>
      <c r="C23" s="105">
        <f>SUMIF('Inicial - Equipamentos '!$U$2:$U$271,Indicadores!B23,'Inicial - Equipamentos '!$V$2:$V$271)</f>
        <v>5762.9999999999991</v>
      </c>
      <c r="D23" s="105">
        <f>SUMIF('Extrato - Deslocamento '!$O$3:$O$14,Indicadores!B23,'Extrato - Deslocamento '!$P$3:$P$14)</f>
        <v>7428.92</v>
      </c>
      <c r="E23" s="102">
        <f t="shared" si="3"/>
        <v>13191.919999999998</v>
      </c>
      <c r="F23" s="103">
        <f>SUMIFS('Atual - Equipamentos '!$W$2:$W$326,'Atual - Equipamentos '!$S$2:$S$326,'Atual - Equipamentos '!$S$2,'Atual - Equipamentos '!$V$2:$V$326,B23)</f>
        <v>26081.369999999995</v>
      </c>
      <c r="G23" s="103">
        <f>SUMIF('Extrato - Deslocamento '!$O$3:$O$14,B23,'Extrato - Deslocamento '!$Q$3:$Q$14)</f>
        <v>13758.220000000001</v>
      </c>
      <c r="H23" s="99">
        <f t="shared" si="1"/>
        <v>39839.589999999997</v>
      </c>
      <c r="I23" s="307">
        <f t="shared" si="2"/>
        <v>15638.06</v>
      </c>
    </row>
    <row r="24" spans="1:21">
      <c r="A24" s="306" t="s">
        <v>140</v>
      </c>
      <c r="B24" s="106">
        <v>10</v>
      </c>
      <c r="C24" s="105">
        <f>SUMIF('Inicial - Equipamentos '!$U$2:$U$271,Indicadores!B24,'Inicial - Equipamentos '!$V$2:$V$271)</f>
        <v>5726.82</v>
      </c>
      <c r="D24" s="105">
        <f>SUMIF('Extrato - Deslocamento '!$O$3:$O$14,Indicadores!B24,'Extrato - Deslocamento '!$P$3:$P$14)</f>
        <v>3509.19</v>
      </c>
      <c r="E24" s="102">
        <f t="shared" si="3"/>
        <v>9236.01</v>
      </c>
      <c r="F24" s="103">
        <f>SUMIFS('Atual - Equipamentos '!$W$2:$W$326,'Atual - Equipamentos '!$S$2:$S$326,'Atual - Equipamentos '!$S$2,'Atual - Equipamentos '!$V$2:$V$326,B24)</f>
        <v>2533.54</v>
      </c>
      <c r="G24" s="103">
        <f>SUMIF('Extrato - Deslocamento '!$O$3:$O$14,B24,'Extrato - Deslocamento '!$Q$3:$Q$14)</f>
        <v>0</v>
      </c>
      <c r="H24" s="99">
        <f t="shared" si="1"/>
        <v>2533.54</v>
      </c>
      <c r="I24" s="307">
        <f t="shared" si="2"/>
        <v>15638.06</v>
      </c>
    </row>
    <row r="25" spans="1:21">
      <c r="A25" s="306" t="s">
        <v>1449</v>
      </c>
      <c r="B25" s="106">
        <v>11</v>
      </c>
      <c r="C25" s="105">
        <f>SUMIF('Inicial - Equipamentos '!$U$2:$U$271,Indicadores!B25,'Inicial - Equipamentos '!$V$2:$V$271)</f>
        <v>882.51</v>
      </c>
      <c r="D25" s="105">
        <f>SUMIF('Extrato - Deslocamento '!$O$3:$O$14,Indicadores!B25,'Extrato - Deslocamento '!$P$3:$P$14)</f>
        <v>313.62</v>
      </c>
      <c r="E25" s="102">
        <f t="shared" si="3"/>
        <v>1196.1300000000001</v>
      </c>
      <c r="F25" s="103">
        <f>SUMIFS('Atual - Equipamentos '!$W$2:$W$326,'Atual - Equipamentos '!$S$2:$S$326,'Atual - Equipamentos '!$S$2,'Atual - Equipamentos '!$V$2:$V$326,B25)</f>
        <v>7496.4099999999989</v>
      </c>
      <c r="G25" s="103">
        <f>SUMIF('Extrato - Deslocamento '!$O$3:$O$14,B25,'Extrato - Deslocamento '!$Q$3:$Q$14)</f>
        <v>6405.65</v>
      </c>
      <c r="H25" s="99">
        <f t="shared" si="1"/>
        <v>13902.059999999998</v>
      </c>
      <c r="I25" s="307">
        <f t="shared" si="2"/>
        <v>15638.06</v>
      </c>
      <c r="J25" s="127"/>
      <c r="K25" s="127"/>
      <c r="L25" s="127"/>
      <c r="M25" s="127"/>
    </row>
    <row r="26" spans="1:21" ht="15.75" thickBot="1">
      <c r="A26" s="308" t="s">
        <v>176</v>
      </c>
      <c r="B26" s="309">
        <v>12</v>
      </c>
      <c r="C26" s="310">
        <f>SUMIF('Inicial - Equipamentos '!$U$2:$U$271,Indicadores!B26,'Inicial - Equipamentos '!$V$2:$V$271)</f>
        <v>11259.430000000004</v>
      </c>
      <c r="D26" s="310">
        <f>SUMIF('Extrato - Deslocamento '!$O$3:$O$14,Indicadores!B26,'Extrato - Deslocamento '!$P$3:$P$14)</f>
        <v>11235.96</v>
      </c>
      <c r="E26" s="311">
        <f t="shared" si="3"/>
        <v>22495.390000000003</v>
      </c>
      <c r="F26" s="312">
        <f>SUMIFS('Atual - Equipamentos '!$W$2:$W$326,'Atual - Equipamentos '!$S$2:$S$326,'Atual - Equipamentos '!$S$2,'Atual - Equipamentos '!$V$2:$V$326,B26)</f>
        <v>1105.28</v>
      </c>
      <c r="G26" s="312">
        <f>SUMIF('Extrato - Deslocamento '!$O$3:$O$14,B26,'Extrato - Deslocamento '!$Q$3:$Q$14)</f>
        <v>0</v>
      </c>
      <c r="H26" s="290">
        <f t="shared" si="1"/>
        <v>1105.28</v>
      </c>
      <c r="I26" s="313">
        <f t="shared" si="2"/>
        <v>15638.06</v>
      </c>
    </row>
    <row r="28" spans="1:21">
      <c r="D28" s="127"/>
      <c r="E28" s="127"/>
      <c r="F28" s="128"/>
    </row>
    <row r="50" spans="17:17">
      <c r="Q50" s="77"/>
    </row>
  </sheetData>
  <mergeCells count="8">
    <mergeCell ref="F13:H13"/>
    <mergeCell ref="G1:J1"/>
    <mergeCell ref="A12:I12"/>
    <mergeCell ref="N2:R2"/>
    <mergeCell ref="C13:E13"/>
    <mergeCell ref="I13:I14"/>
    <mergeCell ref="A1:E1"/>
    <mergeCell ref="K1:K2"/>
  </mergeCells>
  <phoneticPr fontId="14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C5BBB-4D96-4204-87A6-E824C931D532}">
  <dimension ref="A1:AA301"/>
  <sheetViews>
    <sheetView zoomScaleNormal="100" workbookViewId="0">
      <selection activeCell="K16" sqref="K16"/>
    </sheetView>
  </sheetViews>
  <sheetFormatPr defaultColWidth="24.42578125" defaultRowHeight="15"/>
  <cols>
    <col min="1" max="1" width="22" style="13" bestFit="1" customWidth="1"/>
    <col min="2" max="2" width="17.42578125" customWidth="1"/>
    <col min="3" max="3" width="15.28515625" customWidth="1"/>
    <col min="4" max="4" width="11.140625" customWidth="1"/>
    <col min="5" max="5" width="3" hidden="1" customWidth="1"/>
    <col min="6" max="6" width="13.42578125" customWidth="1"/>
    <col min="7" max="7" width="13.140625" bestFit="1" customWidth="1"/>
    <col min="8" max="8" width="5.85546875" hidden="1" customWidth="1"/>
    <col min="9" max="9" width="2" hidden="1" customWidth="1"/>
    <col min="10" max="10" width="14.28515625" bestFit="1" customWidth="1"/>
    <col min="11" max="11" width="13.42578125" bestFit="1" customWidth="1"/>
    <col min="12" max="12" width="18" hidden="1" customWidth="1"/>
    <col min="13" max="13" width="13.140625" hidden="1" customWidth="1"/>
    <col min="14" max="14" width="0.85546875" hidden="1" customWidth="1"/>
    <col min="15" max="16" width="14.28515625" bestFit="1" customWidth="1"/>
    <col min="17" max="18" width="5.85546875" customWidth="1"/>
    <col min="19" max="19" width="13.140625" bestFit="1" customWidth="1"/>
    <col min="20" max="20" width="18.42578125" style="85" bestFit="1" customWidth="1"/>
    <col min="21" max="21" width="26.5703125" style="85" bestFit="1" customWidth="1"/>
    <col min="22" max="22" width="10.7109375" style="85" customWidth="1"/>
    <col min="23" max="23" width="13.140625" style="29" bestFit="1" customWidth="1"/>
    <col min="24" max="24" width="12.7109375" style="85" customWidth="1"/>
    <col min="25" max="25" width="12.140625" style="85" bestFit="1" customWidth="1"/>
    <col min="26" max="26" width="18.28515625" style="85" bestFit="1" customWidth="1"/>
    <col min="27" max="27" width="21.5703125" style="85" bestFit="1" customWidth="1"/>
  </cols>
  <sheetData>
    <row r="1" spans="1:27">
      <c r="A1" s="368" t="s">
        <v>1359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122"/>
      <c r="Q1" s="122"/>
      <c r="R1" s="122"/>
      <c r="Z1"/>
      <c r="AA1"/>
    </row>
    <row r="2" spans="1:27" s="83" customFormat="1" ht="25.5">
      <c r="A2" s="11" t="s">
        <v>11</v>
      </c>
      <c r="B2" s="11" t="s">
        <v>0</v>
      </c>
      <c r="C2" s="11" t="s">
        <v>1</v>
      </c>
      <c r="D2" s="11" t="s">
        <v>894</v>
      </c>
      <c r="E2" s="11"/>
      <c r="F2" s="11" t="s">
        <v>1189</v>
      </c>
      <c r="G2" s="11" t="s">
        <v>1435</v>
      </c>
      <c r="H2" s="11" t="s">
        <v>1461</v>
      </c>
      <c r="I2" s="11"/>
      <c r="J2" s="11" t="s">
        <v>1479</v>
      </c>
      <c r="K2" s="11" t="s">
        <v>1480</v>
      </c>
      <c r="L2" s="11" t="s">
        <v>1190</v>
      </c>
      <c r="M2" s="120"/>
      <c r="N2" s="120"/>
      <c r="O2" s="11" t="s">
        <v>1191</v>
      </c>
    </row>
    <row r="3" spans="1:27">
      <c r="A3" s="5" t="s">
        <v>828</v>
      </c>
      <c r="B3" s="1">
        <v>184.17</v>
      </c>
      <c r="C3" s="1">
        <v>272.60000000000002</v>
      </c>
      <c r="D3" s="35">
        <f>B3+C3</f>
        <v>456.77</v>
      </c>
      <c r="E3" s="91">
        <f>COUNTIF('Atual - Equipamentos '!$I$2:$I$350,'Extrato - seviço '!A3)</f>
        <v>1</v>
      </c>
      <c r="F3" s="5">
        <f>COUNTIFS('Atual - Equipamentos '!$S$2:$S$350,L3,'Atual - Equipamentos '!$I$2:$I$350,'Extrato - seviço '!A3)</f>
        <v>1</v>
      </c>
      <c r="G3" s="104">
        <f>H3+I3</f>
        <v>0</v>
      </c>
      <c r="H3" s="104">
        <f>COUNTIFS('Atual - Equipamentos '!$S$2:$S$350,M3,'Atual - Equipamentos '!$I$2:$I$350,'Extrato - seviço '!A3)</f>
        <v>0</v>
      </c>
      <c r="I3" s="104">
        <f>COUNTIFS('Atual - Equipamentos '!$S$2:$S$350,"",'Atual - Equipamentos '!$I$2:$I$350,'Extrato - seviço '!A3)</f>
        <v>0</v>
      </c>
      <c r="J3" s="35">
        <f t="shared" ref="J3:J14" si="0">F3*D3</f>
        <v>456.77</v>
      </c>
      <c r="K3" s="35">
        <f>G3*D3</f>
        <v>0</v>
      </c>
      <c r="L3" s="37" t="s">
        <v>729</v>
      </c>
      <c r="M3" s="119" t="s">
        <v>901</v>
      </c>
      <c r="N3" s="197"/>
      <c r="O3" s="207">
        <f>SUM(J3+K3)</f>
        <v>456.77</v>
      </c>
      <c r="P3" s="85"/>
      <c r="Q3" s="85"/>
      <c r="R3" s="85"/>
      <c r="AA3"/>
    </row>
    <row r="4" spans="1:27">
      <c r="A4" s="36" t="s">
        <v>2</v>
      </c>
      <c r="B4" s="1">
        <v>184.17</v>
      </c>
      <c r="C4" s="1">
        <v>272.60000000000002</v>
      </c>
      <c r="D4" s="35">
        <f t="shared" ref="D4:D14" si="1">B4+C4</f>
        <v>456.77</v>
      </c>
      <c r="E4" s="91">
        <f>COUNTIF('Atual - Equipamentos '!$I$2:$I$350,'Extrato - seviço '!A4)</f>
        <v>18</v>
      </c>
      <c r="F4" s="164">
        <f>COUNTIFS('Atual - Equipamentos '!$S$2:$S$350,L4,'Atual - Equipamentos '!$I$2:$I$350,'Extrato - seviço '!A4)</f>
        <v>18</v>
      </c>
      <c r="G4" s="104">
        <f t="shared" ref="G4:G14" si="2">H4+I4</f>
        <v>0</v>
      </c>
      <c r="H4" s="104">
        <f>COUNTIFS('Atual - Equipamentos '!$S$2:$S$350,M4,'Atual - Equipamentos '!$I$2:$I$350,'Extrato - seviço '!A4)</f>
        <v>0</v>
      </c>
      <c r="I4" s="104">
        <f>COUNTIFS('Atual - Equipamentos '!$S$2:$S$350,"",'Atual - Equipamentos '!$I$2:$I$350,'Extrato - seviço '!A4)</f>
        <v>0</v>
      </c>
      <c r="J4" s="35">
        <f t="shared" si="0"/>
        <v>8221.86</v>
      </c>
      <c r="K4" s="35">
        <f t="shared" ref="K4:K14" si="3">G4*D4</f>
        <v>0</v>
      </c>
      <c r="L4" s="37" t="s">
        <v>729</v>
      </c>
      <c r="M4" s="119" t="s">
        <v>901</v>
      </c>
      <c r="N4" s="197"/>
      <c r="O4" s="207">
        <f t="shared" ref="O4:O12" si="4">SUM(J4+K4)</f>
        <v>8221.86</v>
      </c>
      <c r="P4" s="85"/>
      <c r="Q4" s="85"/>
      <c r="R4" s="85"/>
      <c r="Z4"/>
      <c r="AA4"/>
    </row>
    <row r="5" spans="1:27">
      <c r="A5" s="36" t="s">
        <v>3</v>
      </c>
      <c r="B5" s="1">
        <v>198.26</v>
      </c>
      <c r="C5" s="1">
        <v>354.38</v>
      </c>
      <c r="D5" s="35">
        <f t="shared" si="1"/>
        <v>552.64</v>
      </c>
      <c r="E5" s="91">
        <f>COUNTIF('Atual - Equipamentos '!$I$2:$I$350,'Extrato - seviço '!A5)</f>
        <v>37</v>
      </c>
      <c r="F5" s="164">
        <f>COUNTIFS('Atual - Equipamentos '!$S$2:$S$350,L5,'Atual - Equipamentos '!$I$2:$I$350,'Extrato - seviço '!A5)</f>
        <v>34</v>
      </c>
      <c r="G5" s="104">
        <f t="shared" si="2"/>
        <v>3</v>
      </c>
      <c r="H5" s="104">
        <f>COUNTIFS('Atual - Equipamentos '!$S$2:$S$350,M5,'Atual - Equipamentos '!$I$2:$I$350,'Extrato - seviço '!A5)</f>
        <v>3</v>
      </c>
      <c r="I5" s="104">
        <f>COUNTIFS('Atual - Equipamentos '!$S$2:$S$350,"",'Atual - Equipamentos '!$I$2:$I$350,'Extrato - seviço '!A5)</f>
        <v>0</v>
      </c>
      <c r="J5" s="35">
        <f t="shared" si="0"/>
        <v>18789.759999999998</v>
      </c>
      <c r="K5" s="35">
        <f t="shared" si="3"/>
        <v>1657.92</v>
      </c>
      <c r="L5" s="37" t="s">
        <v>729</v>
      </c>
      <c r="M5" s="119" t="s">
        <v>901</v>
      </c>
      <c r="N5" s="197"/>
      <c r="O5" s="207">
        <f t="shared" si="4"/>
        <v>20447.68</v>
      </c>
      <c r="P5" s="85"/>
      <c r="Q5" s="85"/>
      <c r="R5" s="85"/>
      <c r="Z5"/>
      <c r="AA5"/>
    </row>
    <row r="6" spans="1:27">
      <c r="A6" s="36" t="s">
        <v>4</v>
      </c>
      <c r="B6" s="1">
        <v>112.95</v>
      </c>
      <c r="C6" s="1">
        <v>216.92</v>
      </c>
      <c r="D6" s="35">
        <f t="shared" si="1"/>
        <v>329.87</v>
      </c>
      <c r="E6" s="91">
        <f>COUNTIF('Atual - Equipamentos '!$I$2:$I$350,'Extrato - seviço '!A6)</f>
        <v>55</v>
      </c>
      <c r="F6" s="164">
        <f>COUNTIFS('Atual - Equipamentos '!$S$2:$S$350,L6,'Atual - Equipamentos '!$I$2:$I$350,'Extrato - seviço '!A6)</f>
        <v>47</v>
      </c>
      <c r="G6" s="104">
        <f t="shared" si="2"/>
        <v>8</v>
      </c>
      <c r="H6" s="104">
        <f>COUNTIFS('Atual - Equipamentos '!$S$2:$S$350,M6,'Atual - Equipamentos '!$I$2:$I$350,'Extrato - seviço '!A6)</f>
        <v>7</v>
      </c>
      <c r="I6" s="104">
        <f>COUNTIFS('Atual - Equipamentos '!$S$2:$S$350,"",'Atual - Equipamentos '!$I$2:$I$350,'Extrato - seviço '!A6)</f>
        <v>1</v>
      </c>
      <c r="J6" s="35">
        <f t="shared" si="0"/>
        <v>15503.89</v>
      </c>
      <c r="K6" s="35">
        <f t="shared" si="3"/>
        <v>2638.96</v>
      </c>
      <c r="L6" s="37" t="s">
        <v>729</v>
      </c>
      <c r="M6" s="119" t="s">
        <v>901</v>
      </c>
      <c r="N6" s="197"/>
      <c r="O6" s="207">
        <f t="shared" si="4"/>
        <v>18142.849999999999</v>
      </c>
      <c r="P6" s="85"/>
      <c r="Q6" s="85"/>
      <c r="R6" s="85"/>
      <c r="Z6"/>
      <c r="AA6"/>
    </row>
    <row r="7" spans="1:27">
      <c r="A7" s="36" t="s">
        <v>5</v>
      </c>
      <c r="B7" s="1">
        <v>467.16</v>
      </c>
      <c r="C7" s="1">
        <v>428.07</v>
      </c>
      <c r="D7" s="35">
        <f t="shared" si="1"/>
        <v>895.23</v>
      </c>
      <c r="E7" s="91">
        <f>COUNTIF('Atual - Equipamentos '!$I$2:$I$350,'Extrato - seviço '!A7)</f>
        <v>46</v>
      </c>
      <c r="F7" s="164">
        <f>COUNTIFS('Atual - Equipamentos '!$S$2:$S$350,L7,'Atual - Equipamentos '!$I$2:$I$350,'Extrato - seviço '!A7)</f>
        <v>43</v>
      </c>
      <c r="G7" s="104">
        <f t="shared" si="2"/>
        <v>3</v>
      </c>
      <c r="H7" s="104">
        <f>COUNTIFS('Atual - Equipamentos '!$S$2:$S$350,M7,'Atual - Equipamentos '!$I$2:$I$350,'Extrato - seviço '!A7)</f>
        <v>2</v>
      </c>
      <c r="I7" s="104">
        <f>COUNTIFS('Atual - Equipamentos '!$S$2:$S$350,"",'Atual - Equipamentos '!$I$2:$I$350,'Extrato - seviço '!A7)</f>
        <v>1</v>
      </c>
      <c r="J7" s="35">
        <f t="shared" si="0"/>
        <v>38494.89</v>
      </c>
      <c r="K7" s="35">
        <f t="shared" si="3"/>
        <v>2685.69</v>
      </c>
      <c r="L7" s="37" t="s">
        <v>729</v>
      </c>
      <c r="M7" s="119" t="s">
        <v>901</v>
      </c>
      <c r="N7" s="197"/>
      <c r="O7" s="207">
        <f t="shared" si="4"/>
        <v>41180.58</v>
      </c>
      <c r="P7" s="85"/>
      <c r="Q7" s="85"/>
      <c r="R7" s="85"/>
      <c r="S7" s="61">
        <v>14583.9</v>
      </c>
      <c r="Z7"/>
      <c r="AA7"/>
    </row>
    <row r="8" spans="1:27">
      <c r="A8" s="36" t="s">
        <v>768</v>
      </c>
      <c r="B8" s="1">
        <v>112.95</v>
      </c>
      <c r="C8" s="1">
        <v>216.92</v>
      </c>
      <c r="D8" s="35">
        <f t="shared" si="1"/>
        <v>329.87</v>
      </c>
      <c r="E8" s="91">
        <f>COUNTIF('Atual - Equipamentos '!$I$2:$I$350,'Extrato - seviço '!A8)</f>
        <v>4</v>
      </c>
      <c r="F8" s="164">
        <f>COUNTIFS('Atual - Equipamentos '!$S$2:$S$350,L8,'Atual - Equipamentos '!$I$2:$I$350,'Extrato - seviço '!A8)</f>
        <v>4</v>
      </c>
      <c r="G8" s="104">
        <f t="shared" si="2"/>
        <v>0</v>
      </c>
      <c r="H8" s="104">
        <f>COUNTIFS('Atual - Equipamentos '!$S$2:$S$350,M8,'Atual - Equipamentos '!$I$2:$I$350,'Extrato - seviço '!A8)</f>
        <v>0</v>
      </c>
      <c r="I8" s="104">
        <f>COUNTIFS('Atual - Equipamentos '!$S$2:$S$350,"",'Atual - Equipamentos '!$I$2:$I$350,'Extrato - seviço '!A8)</f>
        <v>0</v>
      </c>
      <c r="J8" s="35">
        <f t="shared" si="0"/>
        <v>1319.48</v>
      </c>
      <c r="K8" s="35">
        <f t="shared" si="3"/>
        <v>0</v>
      </c>
      <c r="L8" s="37" t="s">
        <v>729</v>
      </c>
      <c r="M8" s="119" t="s">
        <v>901</v>
      </c>
      <c r="N8" s="197"/>
      <c r="O8" s="207">
        <f t="shared" si="4"/>
        <v>1319.48</v>
      </c>
      <c r="P8" s="85"/>
      <c r="Q8" s="85"/>
      <c r="R8" s="85"/>
      <c r="Z8"/>
      <c r="AA8"/>
    </row>
    <row r="9" spans="1:27">
      <c r="A9" s="36" t="s">
        <v>835</v>
      </c>
      <c r="B9" s="1">
        <v>112.95</v>
      </c>
      <c r="C9" s="1">
        <v>433.84</v>
      </c>
      <c r="D9" s="35">
        <f t="shared" si="1"/>
        <v>546.79</v>
      </c>
      <c r="E9" s="91">
        <f>COUNTIF('Atual - Equipamentos '!$I$2:$I$350,'Extrato - seviço '!A9)</f>
        <v>39</v>
      </c>
      <c r="F9" s="164">
        <f>COUNTIFS('Atual - Equipamentos '!$S$2:$S$350,L9,'Atual - Equipamentos '!$I$2:$I$350,'Extrato - seviço '!A9)</f>
        <v>37</v>
      </c>
      <c r="G9" s="104">
        <f t="shared" si="2"/>
        <v>2</v>
      </c>
      <c r="H9" s="104">
        <f>COUNTIFS('Atual - Equipamentos '!$S$2:$S$350,M9,'Atual - Equipamentos '!$I$2:$I$350,'Extrato - seviço '!A9)</f>
        <v>2</v>
      </c>
      <c r="I9" s="104">
        <f>COUNTIFS('Atual - Equipamentos '!$S$2:$S$350,"",'Atual - Equipamentos '!$I$2:$I$350,'Extrato - seviço '!A9)</f>
        <v>0</v>
      </c>
      <c r="J9" s="35">
        <f t="shared" si="0"/>
        <v>20231.23</v>
      </c>
      <c r="K9" s="35">
        <f t="shared" si="3"/>
        <v>1093.58</v>
      </c>
      <c r="L9" s="37" t="s">
        <v>729</v>
      </c>
      <c r="M9" s="119" t="s">
        <v>901</v>
      </c>
      <c r="N9" s="197"/>
      <c r="O9" s="207">
        <f t="shared" si="4"/>
        <v>21324.809999999998</v>
      </c>
      <c r="P9" s="85"/>
      <c r="Q9" s="85"/>
      <c r="R9" s="85"/>
      <c r="Z9"/>
      <c r="AA9"/>
    </row>
    <row r="10" spans="1:27">
      <c r="A10" s="36" t="s">
        <v>778</v>
      </c>
      <c r="B10" s="37">
        <v>104.31</v>
      </c>
      <c r="C10" s="37">
        <v>221.84</v>
      </c>
      <c r="D10" s="35">
        <v>0</v>
      </c>
      <c r="E10" s="91">
        <f>COUNTIF('Atual - Equipamentos '!$I$2:$I$350,'Extrato - seviço '!A10)</f>
        <v>2</v>
      </c>
      <c r="F10" s="164">
        <f>COUNTIFS('Atual - Equipamentos '!$S$2:$S$350,L10,'Atual - Equipamentos '!$I$2:$I$350,'Extrato - seviço '!A10)</f>
        <v>2</v>
      </c>
      <c r="G10" s="104">
        <f t="shared" si="2"/>
        <v>0</v>
      </c>
      <c r="H10" s="104">
        <f>COUNTIFS('Atual - Equipamentos '!$S$2:$S$350,M10,'Atual - Equipamentos '!$I$2:$I$350,'Extrato - seviço '!A10)</f>
        <v>0</v>
      </c>
      <c r="I10" s="104">
        <f>COUNTIFS('Atual - Equipamentos '!$S$2:$S$350,"",'Atual - Equipamentos '!$I$2:$I$350,'Extrato - seviço '!A10)</f>
        <v>0</v>
      </c>
      <c r="J10" s="35">
        <f t="shared" si="0"/>
        <v>0</v>
      </c>
      <c r="K10" s="35">
        <f t="shared" si="3"/>
        <v>0</v>
      </c>
      <c r="L10" s="37" t="s">
        <v>729</v>
      </c>
      <c r="M10" s="119" t="s">
        <v>901</v>
      </c>
      <c r="N10" s="197"/>
      <c r="O10" s="207">
        <f t="shared" si="4"/>
        <v>0</v>
      </c>
      <c r="P10" s="85"/>
      <c r="Q10" s="85"/>
      <c r="R10" s="85"/>
      <c r="AA10"/>
    </row>
    <row r="11" spans="1:27">
      <c r="A11" s="36" t="s">
        <v>7</v>
      </c>
      <c r="B11" s="1">
        <v>112.95</v>
      </c>
      <c r="C11" s="1">
        <v>216.92</v>
      </c>
      <c r="D11" s="35">
        <f t="shared" si="1"/>
        <v>329.87</v>
      </c>
      <c r="E11" s="91">
        <f>COUNTIF('Atual - Equipamentos '!$I$2:$I$350,'Extrato - seviço '!A11)</f>
        <v>78</v>
      </c>
      <c r="F11" s="164">
        <f>COUNTIFS('Atual - Equipamentos '!$S$2:$S$350,L11,'Atual - Equipamentos '!$I$2:$I$350,'Extrato - seviço '!A11)</f>
        <v>66</v>
      </c>
      <c r="G11" s="104">
        <f t="shared" si="2"/>
        <v>12</v>
      </c>
      <c r="H11" s="104">
        <f>COUNTIFS('Atual - Equipamentos '!$S$2:$S$350,M11,'Atual - Equipamentos '!$I$2:$I$350,'Extrato - seviço '!A11)</f>
        <v>11</v>
      </c>
      <c r="I11" s="104">
        <f>COUNTIFS('Atual - Equipamentos '!$S$2:$S$350,"",'Atual - Equipamentos '!$I$2:$I$350,'Extrato - seviço '!A11)</f>
        <v>1</v>
      </c>
      <c r="J11" s="35">
        <f t="shared" si="0"/>
        <v>21771.420000000002</v>
      </c>
      <c r="K11" s="35">
        <f t="shared" si="3"/>
        <v>3958.44</v>
      </c>
      <c r="L11" s="37" t="s">
        <v>729</v>
      </c>
      <c r="M11" s="119" t="s">
        <v>901</v>
      </c>
      <c r="N11" s="197"/>
      <c r="O11" s="207">
        <f t="shared" si="4"/>
        <v>25729.86</v>
      </c>
      <c r="P11" s="85"/>
      <c r="Q11" s="85"/>
      <c r="R11" s="85"/>
      <c r="S11" s="85"/>
      <c r="V11" s="38"/>
      <c r="W11"/>
      <c r="X11"/>
      <c r="Y11"/>
      <c r="Z11"/>
      <c r="AA11"/>
    </row>
    <row r="12" spans="1:27">
      <c r="A12" s="36" t="s">
        <v>519</v>
      </c>
      <c r="B12" s="37">
        <v>104.31</v>
      </c>
      <c r="C12" s="37">
        <v>221.84</v>
      </c>
      <c r="D12" s="35">
        <v>0</v>
      </c>
      <c r="E12" s="91">
        <f>COUNTIF('Atual - Equipamentos '!$I$2:$I$350,'Extrato - seviço '!A12)</f>
        <v>7</v>
      </c>
      <c r="F12" s="164">
        <f>COUNTIFS('Atual - Equipamentos '!$S$2:$S$350,L12,'Atual - Equipamentos '!$I$2:$I$350,'Extrato - seviço '!A12)</f>
        <v>7</v>
      </c>
      <c r="G12" s="104">
        <f t="shared" si="2"/>
        <v>0</v>
      </c>
      <c r="H12" s="104">
        <f>COUNTIFS('Atual - Equipamentos '!$S$2:$S$350,M12,'Atual - Equipamentos '!$I$2:$I$350,'Extrato - seviço '!A12)</f>
        <v>0</v>
      </c>
      <c r="I12" s="104">
        <f>COUNTIFS('Atual - Equipamentos '!$S$2:$S$350,"",'Atual - Equipamentos '!$I$2:$I$350,'Extrato - seviço '!A12)</f>
        <v>0</v>
      </c>
      <c r="J12" s="35">
        <f t="shared" si="0"/>
        <v>0</v>
      </c>
      <c r="K12" s="35">
        <f t="shared" si="3"/>
        <v>0</v>
      </c>
      <c r="L12" s="37" t="s">
        <v>729</v>
      </c>
      <c r="M12" s="119" t="s">
        <v>901</v>
      </c>
      <c r="N12" s="197"/>
      <c r="O12" s="207">
        <f t="shared" si="4"/>
        <v>0</v>
      </c>
      <c r="P12" s="85"/>
      <c r="Q12" s="85"/>
      <c r="R12" s="85"/>
      <c r="S12" s="85"/>
      <c r="V12" s="38"/>
      <c r="W12"/>
      <c r="X12"/>
      <c r="Y12"/>
      <c r="Z12"/>
      <c r="AA12"/>
    </row>
    <row r="13" spans="1:27">
      <c r="A13" s="36" t="s">
        <v>8</v>
      </c>
      <c r="B13" s="1">
        <v>220.67</v>
      </c>
      <c r="C13" s="1">
        <v>241.44</v>
      </c>
      <c r="D13" s="35">
        <f t="shared" si="1"/>
        <v>462.11</v>
      </c>
      <c r="E13" s="91">
        <f>COUNTIF('Atual - Equipamentos '!$I$2:$I$350,'Extrato - seviço '!A13)</f>
        <v>7</v>
      </c>
      <c r="F13" s="164">
        <f>COUNTIFS('Atual - Equipamentos '!$S$2:$S$350,L13,'Atual - Equipamentos '!$I$2:$I$350,'Extrato - seviço '!A13)</f>
        <v>6</v>
      </c>
      <c r="G13" s="104">
        <f t="shared" si="2"/>
        <v>1</v>
      </c>
      <c r="H13" s="104">
        <f>COUNTIFS('Atual - Equipamentos '!$S$2:$S$350,M13,'Atual - Equipamentos '!$I$2:$I$350,'Extrato - seviço '!A13)</f>
        <v>0</v>
      </c>
      <c r="I13" s="104">
        <f>COUNTIFS('Atual - Equipamentos '!$S$2:$S$350,"",'Atual - Equipamentos '!$I$2:$I$350,'Extrato - seviço '!A13)</f>
        <v>1</v>
      </c>
      <c r="J13" s="35">
        <f t="shared" si="0"/>
        <v>2772.66</v>
      </c>
      <c r="K13" s="35">
        <f t="shared" si="3"/>
        <v>462.11</v>
      </c>
      <c r="L13" s="37" t="s">
        <v>729</v>
      </c>
      <c r="M13" s="119" t="s">
        <v>901</v>
      </c>
      <c r="N13" s="197"/>
      <c r="O13" s="207">
        <f>SUM(J13+K13)</f>
        <v>3234.77</v>
      </c>
      <c r="P13" s="85"/>
      <c r="Q13" s="85"/>
      <c r="R13" s="85"/>
      <c r="S13" s="85"/>
      <c r="V13" s="38"/>
      <c r="W13"/>
      <c r="X13"/>
      <c r="Y13"/>
      <c r="Z13"/>
      <c r="AA13"/>
    </row>
    <row r="14" spans="1:27">
      <c r="A14" s="36" t="s">
        <v>9</v>
      </c>
      <c r="B14" s="1">
        <v>263.56</v>
      </c>
      <c r="C14" s="1">
        <v>258.24</v>
      </c>
      <c r="D14" s="35">
        <f t="shared" si="1"/>
        <v>521.79999999999995</v>
      </c>
      <c r="E14" s="91">
        <f>COUNTIF('Atual - Equipamentos '!$I$2:$I$350,'Extrato - seviço '!A14)</f>
        <v>28</v>
      </c>
      <c r="F14" s="164">
        <f>COUNTIFS('Atual - Equipamentos '!$S$2:$S$350,L14,'Atual - Equipamentos '!$I$2:$I$350,'Extrato - seviço '!A14)</f>
        <v>24</v>
      </c>
      <c r="G14" s="104">
        <f t="shared" si="2"/>
        <v>4</v>
      </c>
      <c r="H14" s="104">
        <f>COUNTIFS('Atual - Equipamentos '!$S$2:$S$350,M14,'Atual - Equipamentos '!$I$2:$I$350,'Extrato - seviço '!A14)</f>
        <v>3</v>
      </c>
      <c r="I14" s="104">
        <f>COUNTIFS('Atual - Equipamentos '!$S$2:$S$350,"",'Atual - Equipamentos '!$I$2:$I$350,'Extrato - seviço '!A14)</f>
        <v>1</v>
      </c>
      <c r="J14" s="35">
        <f t="shared" si="0"/>
        <v>12523.199999999999</v>
      </c>
      <c r="K14" s="35">
        <f t="shared" si="3"/>
        <v>2087.1999999999998</v>
      </c>
      <c r="L14" s="37" t="s">
        <v>729</v>
      </c>
      <c r="M14" s="119" t="s">
        <v>901</v>
      </c>
      <c r="N14" s="197"/>
      <c r="O14" s="207">
        <f>SUM(J14+K14)</f>
        <v>14610.399999999998</v>
      </c>
      <c r="P14" s="85"/>
      <c r="Q14" s="85"/>
      <c r="R14" s="85"/>
      <c r="S14" s="85"/>
      <c r="V14" s="196"/>
      <c r="W14" s="205"/>
      <c r="X14"/>
      <c r="Y14"/>
      <c r="Z14"/>
      <c r="AA14"/>
    </row>
    <row r="15" spans="1:27">
      <c r="A15" s="370" t="s">
        <v>1191</v>
      </c>
      <c r="B15" s="370"/>
      <c r="C15" s="370"/>
      <c r="D15" s="370"/>
      <c r="E15" s="214"/>
      <c r="F15" s="215">
        <f>SUM(F3:F14)</f>
        <v>289</v>
      </c>
      <c r="G15" s="216">
        <f>SUM(G3:G14)</f>
        <v>33</v>
      </c>
      <c r="H15" s="215"/>
      <c r="I15" s="215"/>
      <c r="J15" s="217">
        <f>SUM(J3:J14)-G26</f>
        <v>132512.53</v>
      </c>
      <c r="K15" s="217">
        <f>SUM(K3:K14)-14583.9</f>
        <v>0</v>
      </c>
      <c r="L15" s="218"/>
      <c r="M15" s="218"/>
      <c r="N15" s="218"/>
      <c r="O15" s="219">
        <f>SUM(J15:K15)</f>
        <v>132512.53</v>
      </c>
      <c r="P15" s="32"/>
      <c r="S15" s="85"/>
      <c r="V15" s="29"/>
      <c r="W15"/>
      <c r="X15"/>
      <c r="Y15"/>
      <c r="Z15"/>
      <c r="AA15"/>
    </row>
    <row r="16" spans="1:27">
      <c r="A16" s="209"/>
      <c r="B16" s="209"/>
      <c r="C16" s="209"/>
      <c r="D16" s="209"/>
      <c r="E16" s="210"/>
      <c r="F16" s="211"/>
      <c r="G16" s="212"/>
      <c r="H16" s="211"/>
      <c r="I16" s="211"/>
      <c r="J16" s="213"/>
      <c r="K16" s="213"/>
      <c r="L16" s="92"/>
      <c r="M16" s="92"/>
      <c r="N16" s="92"/>
      <c r="S16" s="85"/>
      <c r="V16" s="202"/>
      <c r="W16"/>
      <c r="X16"/>
      <c r="Y16"/>
      <c r="Z16"/>
      <c r="AA16"/>
    </row>
    <row r="17" spans="1:27">
      <c r="A17" s="371" t="s">
        <v>1403</v>
      </c>
      <c r="B17" s="372"/>
      <c r="C17" s="372"/>
      <c r="D17" s="372"/>
      <c r="E17" s="372"/>
      <c r="F17" s="372"/>
      <c r="G17" s="372"/>
      <c r="J17" s="32"/>
      <c r="T17"/>
      <c r="U17"/>
      <c r="V17"/>
      <c r="W17" s="38"/>
      <c r="X17"/>
      <c r="Y17"/>
      <c r="Z17"/>
      <c r="AA17"/>
    </row>
    <row r="18" spans="1:27" ht="25.5">
      <c r="A18" s="11" t="s">
        <v>1474</v>
      </c>
      <c r="B18" s="69" t="s">
        <v>1418</v>
      </c>
      <c r="C18" s="69" t="s">
        <v>1420</v>
      </c>
      <c r="D18" s="69" t="s">
        <v>1419</v>
      </c>
      <c r="E18" s="69" t="s">
        <v>1442</v>
      </c>
      <c r="F18" s="69" t="s">
        <v>1421</v>
      </c>
      <c r="G18" s="11" t="s">
        <v>1472</v>
      </c>
      <c r="X18"/>
      <c r="Y18"/>
      <c r="Z18"/>
      <c r="AA18"/>
    </row>
    <row r="19" spans="1:27">
      <c r="A19" s="375" t="s">
        <v>1473</v>
      </c>
      <c r="B19" s="111" t="s">
        <v>5</v>
      </c>
      <c r="C19" s="199">
        <v>805.7</v>
      </c>
      <c r="D19" s="111">
        <v>1</v>
      </c>
      <c r="E19" s="198">
        <f>D19*C19</f>
        <v>805.7</v>
      </c>
      <c r="F19" s="374">
        <v>5023.72</v>
      </c>
      <c r="G19" s="373">
        <f>F19-(E22)</f>
        <v>4345.3</v>
      </c>
      <c r="M19" s="205"/>
      <c r="T19"/>
      <c r="U19"/>
      <c r="V19"/>
      <c r="W19"/>
      <c r="X19"/>
      <c r="Y19"/>
      <c r="Z19"/>
      <c r="AA19"/>
    </row>
    <row r="20" spans="1:27" ht="30">
      <c r="A20" s="375"/>
      <c r="B20" s="200" t="s">
        <v>1477</v>
      </c>
      <c r="C20" s="199">
        <v>497.37</v>
      </c>
      <c r="D20" s="111">
        <v>1</v>
      </c>
      <c r="E20" s="198">
        <f>D20*C20</f>
        <v>497.37</v>
      </c>
      <c r="F20" s="374"/>
      <c r="G20" s="373"/>
      <c r="L20" s="93"/>
      <c r="T20" s="33"/>
      <c r="U20"/>
      <c r="V20"/>
      <c r="W20" s="38"/>
      <c r="X20"/>
      <c r="Y20"/>
      <c r="Z20"/>
      <c r="AA20"/>
    </row>
    <row r="21" spans="1:27">
      <c r="A21" s="375"/>
      <c r="B21" s="111" t="s">
        <v>835</v>
      </c>
      <c r="C21" s="199">
        <v>492.12</v>
      </c>
      <c r="D21" s="111">
        <v>2</v>
      </c>
      <c r="E21" s="198">
        <f>D21*C21</f>
        <v>984.24</v>
      </c>
      <c r="F21" s="374"/>
      <c r="G21" s="373"/>
      <c r="L21" s="93"/>
      <c r="T21"/>
      <c r="U21"/>
      <c r="V21"/>
      <c r="W21" s="38"/>
      <c r="X21"/>
      <c r="Y21"/>
      <c r="Z21"/>
      <c r="AA21"/>
    </row>
    <row r="22" spans="1:27" ht="30">
      <c r="A22" s="375"/>
      <c r="B22" s="200" t="s">
        <v>1476</v>
      </c>
      <c r="C22" s="199">
        <v>339.21</v>
      </c>
      <c r="D22" s="111">
        <v>2</v>
      </c>
      <c r="E22" s="198">
        <f>D22*C22</f>
        <v>678.42</v>
      </c>
      <c r="F22" s="374"/>
      <c r="G22" s="373"/>
      <c r="L22" s="93"/>
      <c r="T22"/>
      <c r="U22"/>
      <c r="V22"/>
      <c r="W22" s="38"/>
      <c r="X22"/>
      <c r="Y22"/>
      <c r="Z22"/>
      <c r="AA22"/>
    </row>
    <row r="23" spans="1:27">
      <c r="A23" s="376" t="s">
        <v>1475</v>
      </c>
      <c r="B23" s="112" t="s">
        <v>2</v>
      </c>
      <c r="C23" s="208">
        <v>411.09</v>
      </c>
      <c r="D23" s="112">
        <v>7</v>
      </c>
      <c r="E23" s="198">
        <f>D23*C23</f>
        <v>2877.6299999999997</v>
      </c>
      <c r="F23" s="373">
        <v>8217.51</v>
      </c>
      <c r="G23" s="373">
        <f>F23-E24</f>
        <v>3227.33</v>
      </c>
      <c r="L23" s="93"/>
      <c r="T23"/>
      <c r="U23"/>
      <c r="V23"/>
      <c r="W23" s="38"/>
      <c r="X23"/>
      <c r="Y23"/>
      <c r="Z23"/>
      <c r="AA23"/>
    </row>
    <row r="24" spans="1:27">
      <c r="A24" s="376"/>
      <c r="B24" s="112" t="s">
        <v>1441</v>
      </c>
      <c r="C24" s="208">
        <v>293.54000000000002</v>
      </c>
      <c r="D24" s="112">
        <v>17</v>
      </c>
      <c r="E24" s="198">
        <f t="shared" ref="E24:E25" si="5">D24*C24</f>
        <v>4990.18</v>
      </c>
      <c r="F24" s="373"/>
      <c r="G24" s="373"/>
      <c r="T24"/>
      <c r="U24"/>
      <c r="V24"/>
      <c r="W24" s="38"/>
      <c r="X24"/>
      <c r="Y24"/>
      <c r="Z24"/>
      <c r="AA24"/>
    </row>
    <row r="25" spans="1:27" ht="30">
      <c r="A25" s="376"/>
      <c r="B25" s="200" t="s">
        <v>1478</v>
      </c>
      <c r="C25" s="208">
        <v>394.7</v>
      </c>
      <c r="D25" s="111">
        <v>1</v>
      </c>
      <c r="E25" s="198">
        <f t="shared" si="5"/>
        <v>394.7</v>
      </c>
      <c r="F25" s="373"/>
      <c r="G25" s="373"/>
      <c r="T25"/>
      <c r="U25"/>
      <c r="V25"/>
      <c r="W25" s="38"/>
      <c r="X25"/>
      <c r="Y25"/>
      <c r="Z25"/>
      <c r="AA25"/>
    </row>
    <row r="26" spans="1:27">
      <c r="A26" s="366" t="s">
        <v>1443</v>
      </c>
      <c r="B26" s="367"/>
      <c r="C26" s="367"/>
      <c r="D26" s="367"/>
      <c r="E26" s="367"/>
      <c r="F26" s="367"/>
      <c r="G26" s="206">
        <f>G19+G23</f>
        <v>7572.63</v>
      </c>
      <c r="T26"/>
      <c r="U26"/>
      <c r="V26"/>
      <c r="W26" s="38"/>
      <c r="X26"/>
      <c r="Y26"/>
      <c r="Z26"/>
      <c r="AA26"/>
    </row>
    <row r="27" spans="1:27">
      <c r="A27" s="84"/>
      <c r="C27" s="110"/>
      <c r="L27" s="32"/>
      <c r="T27"/>
      <c r="U27"/>
      <c r="V27"/>
      <c r="W27" s="38"/>
      <c r="X27"/>
      <c r="Y27"/>
      <c r="Z27"/>
      <c r="AA27"/>
    </row>
    <row r="28" spans="1:27">
      <c r="A28" s="84"/>
      <c r="T28"/>
      <c r="U28"/>
      <c r="V28"/>
      <c r="W28" s="38"/>
      <c r="X28"/>
      <c r="Y28"/>
      <c r="Z28"/>
      <c r="AA28"/>
    </row>
    <row r="29" spans="1:27">
      <c r="A29" s="84"/>
      <c r="T29"/>
      <c r="U29"/>
      <c r="V29"/>
      <c r="W29" s="38"/>
      <c r="X29"/>
      <c r="Y29"/>
      <c r="Z29"/>
      <c r="AA29"/>
    </row>
    <row r="30" spans="1:27">
      <c r="A30" s="84"/>
      <c r="T30"/>
      <c r="U30"/>
      <c r="V30"/>
      <c r="W30" s="38"/>
      <c r="X30"/>
      <c r="Y30"/>
      <c r="Z30"/>
      <c r="AA30"/>
    </row>
    <row r="31" spans="1:27">
      <c r="A31" s="84"/>
      <c r="T31"/>
      <c r="U31"/>
      <c r="V31"/>
      <c r="W31" s="38"/>
      <c r="X31"/>
      <c r="Y31"/>
      <c r="Z31"/>
      <c r="AA31"/>
    </row>
    <row r="32" spans="1:27">
      <c r="A32" s="84"/>
      <c r="T32"/>
      <c r="U32"/>
      <c r="V32"/>
      <c r="W32" s="38"/>
      <c r="X32"/>
      <c r="Y32"/>
      <c r="Z32"/>
      <c r="AA32"/>
    </row>
    <row r="33" spans="1:27">
      <c r="A33"/>
      <c r="T33"/>
      <c r="U33"/>
      <c r="V33"/>
      <c r="W33" s="38"/>
      <c r="X33"/>
      <c r="Y33"/>
      <c r="Z33"/>
      <c r="AA33"/>
    </row>
    <row r="34" spans="1:27">
      <c r="A34"/>
      <c r="T34"/>
      <c r="U34"/>
      <c r="V34"/>
      <c r="W34" s="38"/>
      <c r="X34"/>
      <c r="Y34"/>
      <c r="Z34"/>
      <c r="AA34"/>
    </row>
    <row r="35" spans="1:27">
      <c r="A35"/>
      <c r="T35"/>
      <c r="U35"/>
      <c r="V35"/>
      <c r="W35" s="38"/>
      <c r="X35"/>
      <c r="Y35"/>
      <c r="Z35"/>
      <c r="AA35"/>
    </row>
    <row r="36" spans="1:27">
      <c r="A36"/>
      <c r="T36"/>
      <c r="U36"/>
      <c r="V36"/>
      <c r="W36" s="38"/>
      <c r="X36"/>
      <c r="Y36"/>
      <c r="Z36"/>
      <c r="AA36"/>
    </row>
    <row r="37" spans="1:27">
      <c r="T37"/>
      <c r="U37"/>
      <c r="V37"/>
      <c r="W37" s="38"/>
      <c r="X37"/>
      <c r="Y37"/>
      <c r="Z37"/>
      <c r="AA37"/>
    </row>
    <row r="38" spans="1:27">
      <c r="T38"/>
      <c r="U38"/>
      <c r="V38"/>
      <c r="W38" s="38"/>
      <c r="X38"/>
      <c r="Y38"/>
      <c r="Z38"/>
      <c r="AA38"/>
    </row>
    <row r="39" spans="1:27">
      <c r="T39"/>
      <c r="U39"/>
      <c r="V39"/>
      <c r="W39" s="38"/>
      <c r="X39"/>
      <c r="Y39"/>
      <c r="Z39"/>
      <c r="AA39"/>
    </row>
    <row r="40" spans="1:27">
      <c r="T40"/>
      <c r="U40"/>
      <c r="V40"/>
      <c r="W40" s="38"/>
      <c r="X40"/>
      <c r="Y40"/>
      <c r="Z40"/>
      <c r="AA4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</sheetData>
  <autoFilter ref="A2:A19" xr:uid="{66FC5BBB-4D96-4204-87A6-E824C931D532}">
    <sortState xmlns:xlrd2="http://schemas.microsoft.com/office/spreadsheetml/2017/richdata2" ref="A3:A19">
      <sortCondition ref="A2:A19"/>
    </sortState>
  </autoFilter>
  <mergeCells count="10">
    <mergeCell ref="A26:F26"/>
    <mergeCell ref="A1:O1"/>
    <mergeCell ref="A15:D15"/>
    <mergeCell ref="A17:G17"/>
    <mergeCell ref="F23:F25"/>
    <mergeCell ref="G23:G25"/>
    <mergeCell ref="G19:G22"/>
    <mergeCell ref="F19:F22"/>
    <mergeCell ref="A19:A22"/>
    <mergeCell ref="A23:A25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10366-E8A0-4C52-98C0-847A4E0AB869}">
  <dimension ref="A1:S65"/>
  <sheetViews>
    <sheetView workbookViewId="0">
      <pane ySplit="1" topLeftCell="A35" activePane="bottomLeft" state="frozen"/>
      <selection pane="bottomLeft" activeCell="K54" sqref="K54"/>
    </sheetView>
  </sheetViews>
  <sheetFormatPr defaultRowHeight="15"/>
  <cols>
    <col min="1" max="1" width="12.5703125" bestFit="1" customWidth="1"/>
    <col min="2" max="2" width="23.5703125" bestFit="1" customWidth="1"/>
    <col min="3" max="3" width="9.140625" style="129" bestFit="1" customWidth="1"/>
    <col min="4" max="4" width="3.28515625" bestFit="1" customWidth="1"/>
    <col min="5" max="5" width="11.140625" bestFit="1" customWidth="1"/>
    <col min="6" max="6" width="17.140625" bestFit="1" customWidth="1"/>
    <col min="7" max="7" width="12.85546875" hidden="1" customWidth="1"/>
    <col min="8" max="8" width="9.5703125" style="29" hidden="1" customWidth="1"/>
    <col min="9" max="9" width="14.7109375" hidden="1" customWidth="1"/>
    <col min="10" max="10" width="14.7109375" bestFit="1" customWidth="1"/>
    <col min="11" max="11" width="14.42578125" bestFit="1" customWidth="1"/>
    <col min="12" max="12" width="12.140625" bestFit="1" customWidth="1"/>
    <col min="13" max="13" width="18.42578125" bestFit="1" customWidth="1"/>
    <col min="14" max="14" width="16.28515625" customWidth="1"/>
    <col min="15" max="15" width="12.140625" hidden="1" customWidth="1"/>
    <col min="16" max="17" width="13.28515625" hidden="1" customWidth="1"/>
    <col min="18" max="19" width="0" hidden="1" customWidth="1"/>
    <col min="20" max="20" width="10.85546875" bestFit="1" customWidth="1"/>
  </cols>
  <sheetData>
    <row r="1" spans="1:19" ht="25.5">
      <c r="A1" s="2" t="s">
        <v>10</v>
      </c>
      <c r="B1" s="2" t="s">
        <v>15</v>
      </c>
      <c r="C1" s="4" t="s">
        <v>16</v>
      </c>
      <c r="D1" s="2"/>
      <c r="E1" s="2" t="s">
        <v>17</v>
      </c>
      <c r="F1" s="2" t="s">
        <v>18</v>
      </c>
      <c r="G1" s="2"/>
      <c r="H1" s="2" t="s">
        <v>1465</v>
      </c>
      <c r="I1" s="2" t="s">
        <v>895</v>
      </c>
      <c r="J1" s="2" t="s">
        <v>1464</v>
      </c>
      <c r="K1" s="2" t="s">
        <v>896</v>
      </c>
    </row>
    <row r="2" spans="1:19">
      <c r="A2" s="130" t="s">
        <v>19</v>
      </c>
      <c r="B2" s="130" t="s">
        <v>23</v>
      </c>
      <c r="C2" s="137" t="s">
        <v>24</v>
      </c>
      <c r="D2" s="140">
        <v>9</v>
      </c>
      <c r="E2" s="6" t="s">
        <v>25</v>
      </c>
      <c r="F2" s="136">
        <v>3448.2</v>
      </c>
      <c r="G2" s="149" t="str">
        <f>VLOOKUP(B2,'Atual - Equipamentos '!$M$2:$U$330,9,0)</f>
        <v>REALIZADO</v>
      </c>
      <c r="H2" s="150">
        <f>VLOOKUP(B2,'Atual - Equipamentos '!$M$2:$V$330,10,0)</f>
        <v>9</v>
      </c>
      <c r="I2" s="157">
        <f t="shared" ref="I2:I33" si="0">IF(G2=$S$3,F2,0)</f>
        <v>3448.2</v>
      </c>
      <c r="J2" s="136">
        <f>I2</f>
        <v>3448.2</v>
      </c>
      <c r="K2" s="134">
        <f>IF(J2&gt;0,0,F2)</f>
        <v>0</v>
      </c>
      <c r="O2" s="204" t="s">
        <v>1469</v>
      </c>
      <c r="P2" s="204" t="s">
        <v>1470</v>
      </c>
      <c r="Q2" s="204" t="s">
        <v>1471</v>
      </c>
    </row>
    <row r="3" spans="1:19">
      <c r="A3" s="130" t="s">
        <v>33</v>
      </c>
      <c r="B3" s="130" t="s">
        <v>35</v>
      </c>
      <c r="C3" s="137" t="s">
        <v>24</v>
      </c>
      <c r="D3" s="140">
        <v>9</v>
      </c>
      <c r="E3" s="6" t="s">
        <v>25</v>
      </c>
      <c r="F3" s="136">
        <v>3980.72</v>
      </c>
      <c r="G3" s="160" t="str">
        <f>VLOOKUP(B3,'Atual - Equipamentos '!$M$2:$U$330,9,0)</f>
        <v>REALIZADO</v>
      </c>
      <c r="H3" s="161">
        <f>VLOOKUP(B3,'Atual - Equipamentos '!$M$2:$V$330,10,0)</f>
        <v>9</v>
      </c>
      <c r="I3" s="162">
        <f t="shared" si="0"/>
        <v>3980.72</v>
      </c>
      <c r="J3" s="136">
        <f t="shared" ref="J3:J53" si="1">I3</f>
        <v>3980.72</v>
      </c>
      <c r="K3" s="144">
        <f>IF(J3&gt;0,0,F3)</f>
        <v>0</v>
      </c>
      <c r="O3" s="195">
        <v>1</v>
      </c>
      <c r="P3" s="163">
        <f>SUMIF($D$2:$D$53,O3,$F$2:$F$53)</f>
        <v>2636.06</v>
      </c>
      <c r="Q3" s="163">
        <f>SUMIF($H$2:$H$53,O3,$J$2:$J$53)</f>
        <v>0</v>
      </c>
      <c r="S3" t="s">
        <v>291</v>
      </c>
    </row>
    <row r="4" spans="1:19">
      <c r="A4" s="130" t="s">
        <v>40</v>
      </c>
      <c r="B4" s="7" t="s">
        <v>41</v>
      </c>
      <c r="C4" s="398" t="s">
        <v>42</v>
      </c>
      <c r="D4" s="381">
        <v>8</v>
      </c>
      <c r="E4" s="6" t="s">
        <v>25</v>
      </c>
      <c r="F4" s="377">
        <v>3700.43</v>
      </c>
      <c r="G4" s="148" t="str">
        <f>VLOOKUP(B4,'Atual - Equipamentos '!$M$2:$U$330,9,0)</f>
        <v>REALIZADO</v>
      </c>
      <c r="H4" s="380">
        <f>VLOOKUP(B4,'Atual - Equipamentos '!$M$2:$V$330,10,0)</f>
        <v>9</v>
      </c>
      <c r="I4">
        <f t="shared" si="0"/>
        <v>3700.43</v>
      </c>
      <c r="J4" s="377">
        <f t="shared" si="1"/>
        <v>3700.43</v>
      </c>
      <c r="K4" s="377">
        <f>IF(J4&gt;0,0,F4)</f>
        <v>0</v>
      </c>
      <c r="O4" s="195">
        <v>2</v>
      </c>
      <c r="P4" s="163">
        <f t="shared" ref="P4:P14" si="2">SUMIF($D$2:$D$53,O4,$F$2:$F$53)</f>
        <v>4041.08</v>
      </c>
      <c r="Q4" s="163">
        <f t="shared" ref="Q4:Q14" si="3">SUMIF($H$2:$H$53,O4,$J$2:$J$53)</f>
        <v>0</v>
      </c>
    </row>
    <row r="5" spans="1:19">
      <c r="A5" s="130" t="s">
        <v>40</v>
      </c>
      <c r="B5" s="130" t="s">
        <v>50</v>
      </c>
      <c r="C5" s="383"/>
      <c r="D5" s="382"/>
      <c r="E5" s="6" t="s">
        <v>25</v>
      </c>
      <c r="F5" s="379"/>
      <c r="G5" s="148" t="e">
        <f>VLOOKUP(B5,'Atual - Equipamentos '!$M$2:$U$330,9,0)</f>
        <v>#N/A</v>
      </c>
      <c r="H5" s="380"/>
      <c r="I5" t="e">
        <f t="shared" si="0"/>
        <v>#N/A</v>
      </c>
      <c r="J5" s="379"/>
      <c r="K5" s="379"/>
      <c r="O5" s="195">
        <v>3</v>
      </c>
      <c r="P5" s="163">
        <f t="shared" si="2"/>
        <v>2500.62</v>
      </c>
      <c r="Q5" s="163">
        <f t="shared" si="3"/>
        <v>7167.1900000000005</v>
      </c>
    </row>
    <row r="6" spans="1:19">
      <c r="A6" s="130" t="s">
        <v>40</v>
      </c>
      <c r="B6" s="130" t="s">
        <v>70</v>
      </c>
      <c r="C6" s="138" t="s">
        <v>71</v>
      </c>
      <c r="D6" s="140">
        <v>12</v>
      </c>
      <c r="E6" s="6" t="s">
        <v>25</v>
      </c>
      <c r="F6" s="136">
        <v>2628.87</v>
      </c>
      <c r="G6" s="160" t="str">
        <f>VLOOKUP(B6,'Atual - Equipamentos '!$M$2:$U$330,9,0)</f>
        <v>REALIZADO</v>
      </c>
      <c r="H6" s="161">
        <f>VLOOKUP(B6,'Atual - Equipamentos '!$M$2:$V$330,10,0)</f>
        <v>9</v>
      </c>
      <c r="I6" s="162">
        <f t="shared" si="0"/>
        <v>2628.87</v>
      </c>
      <c r="J6" s="136">
        <f t="shared" si="1"/>
        <v>2628.87</v>
      </c>
      <c r="K6" s="134">
        <f>IF(J6&gt;0,0,F6)</f>
        <v>0</v>
      </c>
      <c r="O6" s="195">
        <v>4</v>
      </c>
      <c r="P6" s="163">
        <f t="shared" si="2"/>
        <v>0</v>
      </c>
      <c r="Q6" s="163">
        <f t="shared" si="3"/>
        <v>942.21</v>
      </c>
    </row>
    <row r="7" spans="1:19">
      <c r="A7" s="130" t="s">
        <v>73</v>
      </c>
      <c r="B7" s="130" t="s">
        <v>75</v>
      </c>
      <c r="C7" s="389" t="s">
        <v>42</v>
      </c>
      <c r="D7" s="385">
        <v>8</v>
      </c>
      <c r="E7" s="6" t="s">
        <v>25</v>
      </c>
      <c r="F7" s="377">
        <v>3736.28</v>
      </c>
      <c r="G7" s="149" t="str">
        <f>VLOOKUP(B7,'Atual - Equipamentos '!$M$2:$U$330,9,0)</f>
        <v>REALIZADO</v>
      </c>
      <c r="H7" s="150">
        <f>VLOOKUP(B7,'Atual - Equipamentos '!$M$2:$V$330,10,0)</f>
        <v>8</v>
      </c>
      <c r="I7" s="157">
        <f t="shared" si="0"/>
        <v>3736.28</v>
      </c>
      <c r="J7" s="377">
        <f t="shared" si="1"/>
        <v>3736.28</v>
      </c>
      <c r="K7" s="377">
        <f>IF(J7&gt;0,0,F7)</f>
        <v>0</v>
      </c>
      <c r="O7" s="195">
        <v>5</v>
      </c>
      <c r="P7" s="163">
        <f t="shared" si="2"/>
        <v>2466.1099999999997</v>
      </c>
      <c r="Q7" s="163">
        <f t="shared" si="3"/>
        <v>1818.11</v>
      </c>
    </row>
    <row r="8" spans="1:19">
      <c r="A8" s="130" t="s">
        <v>73</v>
      </c>
      <c r="B8" s="130" t="s">
        <v>425</v>
      </c>
      <c r="C8" s="390"/>
      <c r="D8" s="386"/>
      <c r="E8" s="6" t="s">
        <v>25</v>
      </c>
      <c r="F8" s="378"/>
      <c r="G8" s="148" t="str">
        <f>VLOOKUP(B8,'Atual - Equipamentos '!$M$2:$U$330,9,0)</f>
        <v>REALIZADO</v>
      </c>
      <c r="H8" s="152">
        <f>VLOOKUP(B8,'Atual - Equipamentos '!$M$2:$V$330,10,0)</f>
        <v>8</v>
      </c>
      <c r="I8" s="158">
        <f t="shared" si="0"/>
        <v>0</v>
      </c>
      <c r="J8" s="378"/>
      <c r="K8" s="378"/>
      <c r="O8" s="195">
        <v>6</v>
      </c>
      <c r="P8" s="163">
        <f t="shared" si="2"/>
        <v>6245.64</v>
      </c>
      <c r="Q8" s="163">
        <f t="shared" si="3"/>
        <v>6693.1799999999994</v>
      </c>
    </row>
    <row r="9" spans="1:19">
      <c r="A9" s="130" t="s">
        <v>73</v>
      </c>
      <c r="B9" s="130" t="s">
        <v>428</v>
      </c>
      <c r="C9" s="391"/>
      <c r="D9" s="387"/>
      <c r="E9" s="6" t="s">
        <v>25</v>
      </c>
      <c r="F9" s="379"/>
      <c r="G9" s="154" t="str">
        <f>VLOOKUP(B9,'Atual - Equipamentos '!$M$2:$U$330,9,0)</f>
        <v>REALIZADO</v>
      </c>
      <c r="H9" s="155">
        <f>VLOOKUP(B9,'Atual - Equipamentos '!$M$2:$V$330,10,0)</f>
        <v>8</v>
      </c>
      <c r="I9" s="159">
        <f t="shared" si="0"/>
        <v>0</v>
      </c>
      <c r="J9" s="379"/>
      <c r="K9" s="379"/>
      <c r="O9" s="195">
        <v>7</v>
      </c>
      <c r="P9" s="163">
        <f t="shared" si="2"/>
        <v>23263.839999999997</v>
      </c>
      <c r="Q9" s="163">
        <f t="shared" si="3"/>
        <v>10978.96</v>
      </c>
    </row>
    <row r="10" spans="1:19">
      <c r="A10" s="130" t="s">
        <v>83</v>
      </c>
      <c r="B10" s="130" t="s">
        <v>85</v>
      </c>
      <c r="C10" s="131" t="s">
        <v>86</v>
      </c>
      <c r="D10" s="140">
        <v>7</v>
      </c>
      <c r="E10" s="6" t="s">
        <v>25</v>
      </c>
      <c r="F10" s="8">
        <v>2550</v>
      </c>
      <c r="G10" s="146" t="str">
        <f>VLOOKUP(B10,'Atual - Equipamentos '!$M$2:$U$330,9,0)</f>
        <v>REALIZADO</v>
      </c>
      <c r="H10" s="29">
        <f>VLOOKUP(B10,'Atual - Equipamentos '!$M$2:$V$330,10,0)</f>
        <v>7</v>
      </c>
      <c r="I10">
        <f t="shared" si="0"/>
        <v>2550</v>
      </c>
      <c r="J10" s="136">
        <f t="shared" si="1"/>
        <v>2550</v>
      </c>
      <c r="K10" s="8">
        <f>IF(J10&gt;0,0,F10)</f>
        <v>0</v>
      </c>
      <c r="O10" s="195">
        <v>8</v>
      </c>
      <c r="P10" s="163">
        <f t="shared" si="2"/>
        <v>8281.73</v>
      </c>
      <c r="Q10" s="163">
        <f t="shared" si="3"/>
        <v>16316.88</v>
      </c>
    </row>
    <row r="11" spans="1:19">
      <c r="A11" s="220" t="s">
        <v>94</v>
      </c>
      <c r="B11" s="220" t="s">
        <v>97</v>
      </c>
      <c r="C11" s="221" t="s">
        <v>71</v>
      </c>
      <c r="D11" s="222">
        <v>12</v>
      </c>
      <c r="E11" s="223" t="s">
        <v>25</v>
      </c>
      <c r="F11" s="224">
        <v>2931.06</v>
      </c>
      <c r="G11" s="225" t="str">
        <f>VLOOKUP(B11,'Atual - Equipamentos '!$M$2:$U$330,9,0)</f>
        <v>REALIZADO</v>
      </c>
      <c r="H11" s="226">
        <f>VLOOKUP(B11,'Atual - Equipamentos '!$M$2:$V$330,10,0)</f>
        <v>3</v>
      </c>
      <c r="I11" s="227">
        <f t="shared" si="0"/>
        <v>2931.06</v>
      </c>
      <c r="J11" s="228">
        <v>0</v>
      </c>
      <c r="K11" s="224">
        <v>0</v>
      </c>
      <c r="O11" s="195">
        <v>9</v>
      </c>
      <c r="P11" s="163">
        <f>SUMIF($D$2:$D$53,O11,$F$2:$F$53)</f>
        <v>7428.92</v>
      </c>
      <c r="Q11" s="163">
        <f t="shared" si="3"/>
        <v>13758.220000000001</v>
      </c>
    </row>
    <row r="12" spans="1:19">
      <c r="A12" s="130" t="s">
        <v>98</v>
      </c>
      <c r="B12" s="130" t="s">
        <v>102</v>
      </c>
      <c r="C12" s="135" t="s">
        <v>103</v>
      </c>
      <c r="D12" s="140">
        <v>3</v>
      </c>
      <c r="E12" s="6" t="s">
        <v>25</v>
      </c>
      <c r="F12" s="8">
        <v>1996.48</v>
      </c>
      <c r="G12" s="146" t="str">
        <f>VLOOKUP(B12,'Atual - Equipamentos '!$M$2:$U$330,9,0)</f>
        <v>REALIZADO</v>
      </c>
      <c r="H12" s="29">
        <f>VLOOKUP(B12,'Atual - Equipamentos '!$M$2:$V$330,10,0)</f>
        <v>3</v>
      </c>
      <c r="I12">
        <f t="shared" si="0"/>
        <v>1996.48</v>
      </c>
      <c r="J12" s="136">
        <f t="shared" si="1"/>
        <v>1996.48</v>
      </c>
      <c r="K12" s="8">
        <f>IF(J12&gt;0,0,F12)</f>
        <v>0</v>
      </c>
      <c r="O12" s="195">
        <v>10</v>
      </c>
      <c r="P12" s="163">
        <f t="shared" si="2"/>
        <v>3509.19</v>
      </c>
      <c r="Q12" s="163">
        <f t="shared" si="3"/>
        <v>0</v>
      </c>
    </row>
    <row r="13" spans="1:19">
      <c r="A13" s="130" t="s">
        <v>98</v>
      </c>
      <c r="B13" s="130" t="s">
        <v>109</v>
      </c>
      <c r="C13" s="131" t="s">
        <v>110</v>
      </c>
      <c r="D13" s="140">
        <v>7</v>
      </c>
      <c r="E13" s="6" t="s">
        <v>25</v>
      </c>
      <c r="F13" s="8">
        <v>1945.46</v>
      </c>
      <c r="G13" s="146" t="str">
        <f>VLOOKUP(B13,'Atual - Equipamentos '!$M$2:$U$330,9,0)</f>
        <v>REALIZADO</v>
      </c>
      <c r="H13" s="29">
        <f>VLOOKUP(B13,'Atual - Equipamentos '!$M$2:$V$330,10,0)</f>
        <v>7</v>
      </c>
      <c r="I13">
        <f t="shared" si="0"/>
        <v>1945.46</v>
      </c>
      <c r="J13" s="136">
        <f t="shared" si="1"/>
        <v>1945.46</v>
      </c>
      <c r="K13" s="8">
        <f>IF(J13&gt;0,0,F13)</f>
        <v>0</v>
      </c>
      <c r="O13" s="195">
        <v>11</v>
      </c>
      <c r="P13" s="163">
        <f t="shared" si="2"/>
        <v>313.62</v>
      </c>
      <c r="Q13" s="163">
        <f t="shared" si="3"/>
        <v>6405.65</v>
      </c>
    </row>
    <row r="14" spans="1:19">
      <c r="A14" s="130" t="s">
        <v>98</v>
      </c>
      <c r="B14" s="130" t="s">
        <v>114</v>
      </c>
      <c r="C14" s="383" t="s">
        <v>110</v>
      </c>
      <c r="D14" s="381">
        <v>7</v>
      </c>
      <c r="E14" s="6" t="s">
        <v>25</v>
      </c>
      <c r="F14" s="377">
        <v>4502.82</v>
      </c>
      <c r="G14" s="149" t="str">
        <f>VLOOKUP(B14,'Atual - Equipamentos '!$M$2:$U$330,9,0)</f>
        <v>REALIZADO</v>
      </c>
      <c r="H14" s="150">
        <f>VLOOKUP(B14,'Atual - Equipamentos '!$M$2:$V$330,10,0)</f>
        <v>8</v>
      </c>
      <c r="I14" s="151">
        <f t="shared" si="0"/>
        <v>4502.82</v>
      </c>
      <c r="J14" s="377">
        <f t="shared" si="1"/>
        <v>4502.82</v>
      </c>
      <c r="K14" s="377">
        <f>IF(J14&gt;0,0,F14)</f>
        <v>0</v>
      </c>
      <c r="O14" s="195">
        <v>12</v>
      </c>
      <c r="P14" s="163">
        <f t="shared" si="2"/>
        <v>11235.96</v>
      </c>
      <c r="Q14" s="163">
        <f t="shared" si="3"/>
        <v>0</v>
      </c>
    </row>
    <row r="15" spans="1:19">
      <c r="A15" s="130" t="s">
        <v>98</v>
      </c>
      <c r="B15" s="130" t="s">
        <v>118</v>
      </c>
      <c r="C15" s="383"/>
      <c r="D15" s="388"/>
      <c r="E15" s="6" t="s">
        <v>25</v>
      </c>
      <c r="F15" s="378"/>
      <c r="G15" s="148" t="str">
        <f>VLOOKUP(B15,'Atual - Equipamentos '!$M$2:$U$330,9,0)</f>
        <v>REALIZADO</v>
      </c>
      <c r="H15" s="152">
        <f>VLOOKUP(B15,'Atual - Equipamentos '!$M$2:$V$330,10,0)</f>
        <v>8</v>
      </c>
      <c r="I15" s="153">
        <f t="shared" si="0"/>
        <v>0</v>
      </c>
      <c r="J15" s="378"/>
      <c r="K15" s="378"/>
      <c r="O15" s="195" t="s">
        <v>1425</v>
      </c>
      <c r="P15" s="203">
        <f>SUM(P3:P14)*0.9</f>
        <v>64730.492999999995</v>
      </c>
      <c r="Q15" s="203">
        <f>SUM(Q3:Q14)*0.9</f>
        <v>57672.36</v>
      </c>
    </row>
    <row r="16" spans="1:19">
      <c r="A16" s="130" t="s">
        <v>98</v>
      </c>
      <c r="B16" s="130" t="s">
        <v>120</v>
      </c>
      <c r="C16" s="383"/>
      <c r="D16" s="388"/>
      <c r="E16" s="6" t="s">
        <v>25</v>
      </c>
      <c r="F16" s="378"/>
      <c r="G16" s="148">
        <f>VLOOKUP(B16,'Atual - Equipamentos '!$M$2:$U$330,9,0)</f>
        <v>0</v>
      </c>
      <c r="H16" s="152">
        <f>VLOOKUP(B16,'Atual - Equipamentos '!$M$2:$V$330,10,0)</f>
        <v>10</v>
      </c>
      <c r="I16" s="153">
        <f t="shared" si="0"/>
        <v>0</v>
      </c>
      <c r="J16" s="378"/>
      <c r="K16" s="378"/>
    </row>
    <row r="17" spans="1:11">
      <c r="A17" s="130" t="s">
        <v>98</v>
      </c>
      <c r="B17" s="130" t="s">
        <v>132</v>
      </c>
      <c r="C17" s="384"/>
      <c r="D17" s="382"/>
      <c r="E17" s="6" t="s">
        <v>25</v>
      </c>
      <c r="F17" s="379"/>
      <c r="G17" s="154" t="str">
        <f>VLOOKUP(B17,'Atual - Equipamentos '!$M$2:$U$330,9,0)</f>
        <v>REALIZADO</v>
      </c>
      <c r="H17" s="155">
        <f>VLOOKUP(B17,'Atual - Equipamentos '!$M$2:$V$330,10,0)</f>
        <v>8</v>
      </c>
      <c r="I17" s="156">
        <f t="shared" si="0"/>
        <v>0</v>
      </c>
      <c r="J17" s="379"/>
      <c r="K17" s="379"/>
    </row>
    <row r="18" spans="1:11">
      <c r="A18" s="220" t="s">
        <v>98</v>
      </c>
      <c r="B18" s="220" t="s">
        <v>135</v>
      </c>
      <c r="C18" s="221" t="s">
        <v>71</v>
      </c>
      <c r="D18" s="222">
        <v>12</v>
      </c>
      <c r="E18" s="223" t="s">
        <v>25</v>
      </c>
      <c r="F18" s="224">
        <v>2381</v>
      </c>
      <c r="G18" s="225" t="str">
        <f>VLOOKUP(B18,'Atual - Equipamentos '!$M$2:$U$330,9,0)</f>
        <v>REALIZADO</v>
      </c>
      <c r="H18" s="226">
        <f>VLOOKUP(B18,'Atual - Equipamentos '!$M$2:$V$330,10,0)</f>
        <v>1</v>
      </c>
      <c r="I18" s="227">
        <f t="shared" si="0"/>
        <v>2381</v>
      </c>
      <c r="J18" s="228">
        <v>0</v>
      </c>
      <c r="K18" s="224">
        <v>0</v>
      </c>
    </row>
    <row r="19" spans="1:11">
      <c r="A19" s="130" t="s">
        <v>138</v>
      </c>
      <c r="B19" s="130" t="s">
        <v>139</v>
      </c>
      <c r="C19" s="131" t="s">
        <v>140</v>
      </c>
      <c r="D19" s="140">
        <v>10</v>
      </c>
      <c r="E19" s="6" t="s">
        <v>25</v>
      </c>
      <c r="F19" s="8">
        <v>2268.65</v>
      </c>
      <c r="G19" s="146" t="str">
        <f>VLOOKUP(B19,'Atual - Equipamentos '!$M$2:$U$330,9,0)</f>
        <v>REALIZADO</v>
      </c>
      <c r="H19" s="29">
        <f>VLOOKUP(B19,'Atual - Equipamentos '!$M$2:$V$330,10,0)</f>
        <v>11</v>
      </c>
      <c r="I19">
        <f t="shared" si="0"/>
        <v>2268.65</v>
      </c>
      <c r="J19" s="136">
        <f t="shared" si="1"/>
        <v>2268.65</v>
      </c>
      <c r="K19" s="8">
        <f t="shared" ref="K19:K20" si="4">IF(J19&gt;0,0,F19)</f>
        <v>0</v>
      </c>
    </row>
    <row r="20" spans="1:11">
      <c r="A20" s="130" t="s">
        <v>142</v>
      </c>
      <c r="B20" s="130" t="s">
        <v>145</v>
      </c>
      <c r="C20" s="131" t="s">
        <v>110</v>
      </c>
      <c r="D20" s="140">
        <v>7</v>
      </c>
      <c r="E20" s="6" t="s">
        <v>25</v>
      </c>
      <c r="F20" s="8">
        <v>2244.42</v>
      </c>
      <c r="G20" s="146" t="str">
        <f>VLOOKUP(B20,'Atual - Equipamentos '!$M$2:$U$330,9,0)</f>
        <v>REALIZADO</v>
      </c>
      <c r="H20" s="29">
        <f>VLOOKUP(B20,'Atual - Equipamentos '!$M$2:$V$330,10,0)</f>
        <v>7</v>
      </c>
      <c r="I20">
        <f t="shared" si="0"/>
        <v>2244.42</v>
      </c>
      <c r="J20" s="136">
        <f t="shared" si="1"/>
        <v>2244.42</v>
      </c>
      <c r="K20" s="8">
        <f t="shared" si="4"/>
        <v>0</v>
      </c>
    </row>
    <row r="21" spans="1:11">
      <c r="A21" s="220" t="s">
        <v>151</v>
      </c>
      <c r="B21" s="220" t="s">
        <v>152</v>
      </c>
      <c r="C21" s="221" t="s">
        <v>153</v>
      </c>
      <c r="D21" s="222">
        <v>1</v>
      </c>
      <c r="E21" s="223" t="s">
        <v>25</v>
      </c>
      <c r="F21" s="224">
        <v>2339.79</v>
      </c>
      <c r="G21" s="225">
        <f>VLOOKUP(B21,'Atual - Equipamentos '!$M$2:$U$330,9,0)</f>
        <v>0</v>
      </c>
      <c r="H21" s="226">
        <f>VLOOKUP(B21,'Atual - Equipamentos '!$M$2:$V$330,10,0)</f>
        <v>6</v>
      </c>
      <c r="I21" s="227">
        <f t="shared" si="0"/>
        <v>0</v>
      </c>
      <c r="J21" s="228">
        <f t="shared" si="1"/>
        <v>0</v>
      </c>
      <c r="K21" s="224">
        <v>0</v>
      </c>
    </row>
    <row r="22" spans="1:11">
      <c r="A22" s="7" t="s">
        <v>156</v>
      </c>
      <c r="B22" s="130" t="s">
        <v>157</v>
      </c>
      <c r="C22" s="389" t="s">
        <v>86</v>
      </c>
      <c r="D22" s="381">
        <v>7</v>
      </c>
      <c r="E22" s="6" t="s">
        <v>25</v>
      </c>
      <c r="F22" s="377">
        <v>4137</v>
      </c>
      <c r="G22" s="146" t="str">
        <f>VLOOKUP(B22,'Atual - Equipamentos '!$M$2:$U$330,9,0)</f>
        <v>REALIZADO</v>
      </c>
      <c r="H22" s="29">
        <f>VLOOKUP(B22,'Atual - Equipamentos '!$M$2:$V$330,10,0)</f>
        <v>11</v>
      </c>
      <c r="I22">
        <f t="shared" si="0"/>
        <v>4137</v>
      </c>
      <c r="J22" s="377">
        <f t="shared" si="1"/>
        <v>4137</v>
      </c>
      <c r="K22" s="377">
        <f>IF(J22&gt;0,0,F22)</f>
        <v>0</v>
      </c>
    </row>
    <row r="23" spans="1:11">
      <c r="A23" s="130" t="s">
        <v>156</v>
      </c>
      <c r="B23" s="130" t="s">
        <v>159</v>
      </c>
      <c r="C23" s="391"/>
      <c r="D23" s="382"/>
      <c r="E23" s="6" t="s">
        <v>25</v>
      </c>
      <c r="F23" s="379"/>
      <c r="G23" s="146" t="str">
        <f>VLOOKUP(B23,'Atual - Equipamentos '!$M$2:$U$330,9,0)</f>
        <v>REALIZADO</v>
      </c>
      <c r="H23" s="29">
        <f>VLOOKUP(B23,'Atual - Equipamentos '!$M$2:$V$330,10,0)</f>
        <v>6</v>
      </c>
      <c r="I23">
        <f t="shared" si="0"/>
        <v>0</v>
      </c>
      <c r="J23" s="379"/>
      <c r="K23" s="379"/>
    </row>
    <row r="24" spans="1:11">
      <c r="A24" s="130" t="s">
        <v>164</v>
      </c>
      <c r="B24" s="130" t="s">
        <v>166</v>
      </c>
      <c r="C24" s="389" t="s">
        <v>167</v>
      </c>
      <c r="D24" s="381">
        <v>2</v>
      </c>
      <c r="E24" s="6" t="s">
        <v>25</v>
      </c>
      <c r="F24" s="377">
        <v>2817.89</v>
      </c>
      <c r="G24" s="146" t="str">
        <f>VLOOKUP(B24,'Atual - Equipamentos '!$M$2:$U$330,9,0)</f>
        <v>REALIZADO</v>
      </c>
      <c r="H24" s="29">
        <f>VLOOKUP(B24,'Atual - Equipamentos '!$M$2:$V$330,10,0)</f>
        <v>3</v>
      </c>
      <c r="I24">
        <f t="shared" si="0"/>
        <v>2817.89</v>
      </c>
      <c r="J24" s="377">
        <f t="shared" si="1"/>
        <v>2817.89</v>
      </c>
      <c r="K24" s="377">
        <f>IF(J24&gt;0,0,F24)</f>
        <v>0</v>
      </c>
    </row>
    <row r="25" spans="1:11">
      <c r="A25" s="130" t="s">
        <v>164</v>
      </c>
      <c r="B25" s="130" t="s">
        <v>172</v>
      </c>
      <c r="C25" s="390"/>
      <c r="D25" s="382"/>
      <c r="E25" s="6" t="s">
        <v>25</v>
      </c>
      <c r="F25" s="378"/>
      <c r="G25" s="146" t="str">
        <f>VLOOKUP(B25,'Atual - Equipamentos '!$M$2:$U$330,9,0)</f>
        <v>REALIZADO</v>
      </c>
      <c r="H25" s="29">
        <f>VLOOKUP(B25,'Atual - Equipamentos '!$M$2:$V$330,10,0)</f>
        <v>3</v>
      </c>
      <c r="I25">
        <f t="shared" si="0"/>
        <v>0</v>
      </c>
      <c r="J25" s="379"/>
      <c r="K25" s="379"/>
    </row>
    <row r="26" spans="1:11">
      <c r="A26" s="130" t="s">
        <v>164</v>
      </c>
      <c r="B26" s="130" t="s">
        <v>175</v>
      </c>
      <c r="C26" s="131" t="s">
        <v>176</v>
      </c>
      <c r="D26" s="140">
        <v>12</v>
      </c>
      <c r="E26" s="6" t="s">
        <v>25</v>
      </c>
      <c r="F26" s="8">
        <v>2352.8200000000002</v>
      </c>
      <c r="G26" s="146" t="str">
        <f>VLOOKUP(B26,'Atual - Equipamentos '!$M$2:$U$330,9,0)</f>
        <v>REALIZADO</v>
      </c>
      <c r="H26" s="29">
        <f>VLOOKUP(B26,'Atual - Equipamentos '!$M$2:$V$330,10,0)</f>
        <v>3</v>
      </c>
      <c r="I26">
        <f t="shared" si="0"/>
        <v>2352.8200000000002</v>
      </c>
      <c r="J26" s="136">
        <f t="shared" si="1"/>
        <v>2352.8200000000002</v>
      </c>
      <c r="K26" s="8">
        <f>IF(J26&gt;0,0,F26)</f>
        <v>0</v>
      </c>
    </row>
    <row r="27" spans="1:11">
      <c r="A27" s="130" t="s">
        <v>177</v>
      </c>
      <c r="B27" s="130" t="s">
        <v>178</v>
      </c>
      <c r="C27" s="397" t="s">
        <v>86</v>
      </c>
      <c r="D27" s="381">
        <v>7</v>
      </c>
      <c r="E27" s="6" t="s">
        <v>25</v>
      </c>
      <c r="F27" s="374">
        <v>6957.22</v>
      </c>
      <c r="G27" s="146" t="str">
        <f>VLOOKUP(B27,'Atual - Equipamentos '!$M$2:$U$330,9,0)</f>
        <v>REALIZADO</v>
      </c>
      <c r="H27" s="29">
        <f>VLOOKUP(B27,'Atual - Equipamentos '!$M$2:$V$330,10,0)</f>
        <v>8</v>
      </c>
      <c r="I27">
        <f t="shared" si="0"/>
        <v>6957.22</v>
      </c>
      <c r="J27" s="377">
        <f t="shared" si="1"/>
        <v>6957.22</v>
      </c>
      <c r="K27" s="377">
        <f>IF(J27&gt;0,0,F27)</f>
        <v>0</v>
      </c>
    </row>
    <row r="28" spans="1:11">
      <c r="A28" s="130" t="s">
        <v>177</v>
      </c>
      <c r="B28" s="130" t="s">
        <v>182</v>
      </c>
      <c r="C28" s="397"/>
      <c r="D28" s="388"/>
      <c r="E28" s="6" t="s">
        <v>25</v>
      </c>
      <c r="F28" s="374"/>
      <c r="G28" s="146" t="str">
        <f>VLOOKUP(B28,'Atual - Equipamentos '!$M$2:$U$330,9,0)</f>
        <v>REALIZADO</v>
      </c>
      <c r="H28" s="29">
        <f>VLOOKUP(B28,'Atual - Equipamentos '!$M$2:$V$330,10,0)</f>
        <v>8</v>
      </c>
      <c r="I28">
        <f t="shared" si="0"/>
        <v>0</v>
      </c>
      <c r="J28" s="378"/>
      <c r="K28" s="378"/>
    </row>
    <row r="29" spans="1:11">
      <c r="A29" s="130" t="s">
        <v>177</v>
      </c>
      <c r="B29" s="130" t="s">
        <v>186</v>
      </c>
      <c r="C29" s="397"/>
      <c r="D29" s="382"/>
      <c r="E29" s="6" t="s">
        <v>25</v>
      </c>
      <c r="F29" s="374"/>
      <c r="G29" s="146" t="str">
        <f>VLOOKUP(B29,'Atual - Equipamentos '!$M$2:$U$330,9,0)</f>
        <v>REALIZADO</v>
      </c>
      <c r="H29" s="29">
        <f>VLOOKUP(B29,'Atual - Equipamentos '!$M$2:$V$330,10,0)</f>
        <v>9</v>
      </c>
      <c r="I29">
        <f t="shared" si="0"/>
        <v>0</v>
      </c>
      <c r="J29" s="379"/>
      <c r="K29" s="379"/>
    </row>
    <row r="30" spans="1:11">
      <c r="A30" s="130" t="s">
        <v>195</v>
      </c>
      <c r="B30" s="7" t="s">
        <v>197</v>
      </c>
      <c r="C30" s="396" t="s">
        <v>198</v>
      </c>
      <c r="D30" s="381">
        <v>6</v>
      </c>
      <c r="E30" s="6" t="s">
        <v>25</v>
      </c>
      <c r="F30" s="374">
        <v>4220</v>
      </c>
      <c r="G30" s="146" t="str">
        <f>IFERROR(VLOOKUP(B30,'Atual - Equipamentos '!$M$2:$U$330,9,0),G31)</f>
        <v>REALIZADO</v>
      </c>
      <c r="H30" s="29">
        <f>IFERROR(VLOOKUP(B30,'Atual - Equipamentos '!$M$2:$V$330,10,0),H31)</f>
        <v>6</v>
      </c>
      <c r="I30">
        <f t="shared" si="0"/>
        <v>4220</v>
      </c>
      <c r="J30" s="377">
        <f t="shared" si="1"/>
        <v>4220</v>
      </c>
      <c r="K30" s="377">
        <f>IF(J30&gt;0,0,F30)</f>
        <v>0</v>
      </c>
    </row>
    <row r="31" spans="1:11">
      <c r="A31" s="130" t="s">
        <v>195</v>
      </c>
      <c r="B31" s="7" t="s">
        <v>200</v>
      </c>
      <c r="C31" s="396"/>
      <c r="D31" s="382"/>
      <c r="E31" s="6" t="s">
        <v>25</v>
      </c>
      <c r="F31" s="374"/>
      <c r="G31" s="146" t="str">
        <f>VLOOKUP(B31,'Atual - Equipamentos '!$M$2:$U$330,9,0)</f>
        <v>REALIZADO</v>
      </c>
      <c r="H31" s="29">
        <f>VLOOKUP(B31,'Atual - Equipamentos '!$M$2:$V$330,10,0)</f>
        <v>6</v>
      </c>
      <c r="I31">
        <f t="shared" si="0"/>
        <v>0</v>
      </c>
      <c r="J31" s="379"/>
      <c r="K31" s="379"/>
    </row>
    <row r="32" spans="1:11">
      <c r="A32" s="130" t="s">
        <v>202</v>
      </c>
      <c r="B32" s="130" t="s">
        <v>204</v>
      </c>
      <c r="C32" s="137" t="s">
        <v>205</v>
      </c>
      <c r="D32" s="140">
        <v>6</v>
      </c>
      <c r="E32" s="6" t="s">
        <v>25</v>
      </c>
      <c r="F32" s="139">
        <v>1120.56</v>
      </c>
      <c r="G32" s="146" t="str">
        <f>VLOOKUP(B32,'Atual - Equipamentos '!$M$2:$U$330,9,0)</f>
        <v>REALIZADO</v>
      </c>
      <c r="H32" s="29">
        <f>VLOOKUP(B32,'Atual - Equipamentos '!$M$2:$V$330,10,0)</f>
        <v>8</v>
      </c>
      <c r="I32">
        <f t="shared" si="0"/>
        <v>1120.56</v>
      </c>
      <c r="J32" s="136">
        <f t="shared" si="1"/>
        <v>1120.56</v>
      </c>
      <c r="K32" s="139">
        <f>IF(J32&gt;0,0,F32)</f>
        <v>0</v>
      </c>
    </row>
    <row r="33" spans="1:17">
      <c r="A33" s="130" t="s">
        <v>202</v>
      </c>
      <c r="B33" s="130" t="s">
        <v>207</v>
      </c>
      <c r="C33" s="137" t="s">
        <v>208</v>
      </c>
      <c r="D33" s="140">
        <v>5</v>
      </c>
      <c r="E33" s="6" t="s">
        <v>25</v>
      </c>
      <c r="F33" s="139">
        <v>411.28</v>
      </c>
      <c r="G33" s="146" t="str">
        <f>VLOOKUP(B33,'Atual - Equipamentos '!$M$2:$U$330,9,0)</f>
        <v>REALIZADO</v>
      </c>
      <c r="H33" s="29">
        <f>VLOOKUP(B33,'Atual - Equipamentos '!$M$2:$V$330,10,0)</f>
        <v>5</v>
      </c>
      <c r="I33">
        <f t="shared" si="0"/>
        <v>411.28</v>
      </c>
      <c r="J33" s="136">
        <f t="shared" si="1"/>
        <v>411.28</v>
      </c>
      <c r="K33" s="139">
        <f t="shared" ref="K33:K53" si="5">IF(J33&gt;0,0,F33)</f>
        <v>0</v>
      </c>
    </row>
    <row r="34" spans="1:17">
      <c r="A34" s="130" t="s">
        <v>202</v>
      </c>
      <c r="B34" s="130" t="s">
        <v>211</v>
      </c>
      <c r="C34" s="137" t="s">
        <v>212</v>
      </c>
      <c r="D34" s="140">
        <v>2</v>
      </c>
      <c r="E34" s="6" t="s">
        <v>25</v>
      </c>
      <c r="F34" s="139">
        <v>926.92</v>
      </c>
      <c r="G34" s="146" t="str">
        <f>VLOOKUP(B34,'Atual - Equipamentos '!$M$2:$U$330,9,0)</f>
        <v>REALIZADO</v>
      </c>
      <c r="H34" s="29">
        <f>VLOOKUP(B34,'Atual - Equipamentos '!$M$2:$V$330,10,0)</f>
        <v>7</v>
      </c>
      <c r="I34">
        <f t="shared" ref="I34:I53" si="6">IF(G34=$S$3,F34,0)</f>
        <v>926.92</v>
      </c>
      <c r="J34" s="136">
        <f t="shared" si="1"/>
        <v>926.92</v>
      </c>
      <c r="K34" s="139">
        <f t="shared" si="5"/>
        <v>0</v>
      </c>
      <c r="O34" s="32"/>
      <c r="Q34" s="33"/>
    </row>
    <row r="35" spans="1:17">
      <c r="A35" s="130" t="s">
        <v>202</v>
      </c>
      <c r="B35" s="130" t="s">
        <v>211</v>
      </c>
      <c r="C35" s="131" t="s">
        <v>208</v>
      </c>
      <c r="D35" s="140">
        <v>5</v>
      </c>
      <c r="E35" s="6" t="s">
        <v>25</v>
      </c>
      <c r="F35" s="9">
        <v>926.92</v>
      </c>
      <c r="G35" s="146" t="str">
        <f>VLOOKUP(B35,'Atual - Equipamentos '!$M$2:$U$330,9,0)</f>
        <v>REALIZADO</v>
      </c>
      <c r="H35" s="29">
        <f>VLOOKUP(B35,'Atual - Equipamentos '!$M$2:$V$330,10,0)</f>
        <v>7</v>
      </c>
      <c r="I35">
        <f t="shared" si="6"/>
        <v>926.92</v>
      </c>
      <c r="J35" s="136">
        <f t="shared" si="1"/>
        <v>926.92</v>
      </c>
      <c r="K35" s="139">
        <f t="shared" si="5"/>
        <v>0</v>
      </c>
      <c r="O35" s="32"/>
      <c r="Q35" s="194"/>
    </row>
    <row r="36" spans="1:17">
      <c r="A36" s="130" t="s">
        <v>202</v>
      </c>
      <c r="B36" s="130" t="s">
        <v>211</v>
      </c>
      <c r="C36" s="131" t="s">
        <v>86</v>
      </c>
      <c r="D36" s="140">
        <v>7</v>
      </c>
      <c r="E36" s="6" t="s">
        <v>25</v>
      </c>
      <c r="F36" s="132">
        <v>926.92</v>
      </c>
      <c r="G36" s="146" t="str">
        <f>VLOOKUP(B36,'Atual - Equipamentos '!$M$2:$U$330,9,0)</f>
        <v>REALIZADO</v>
      </c>
      <c r="H36" s="29">
        <f>VLOOKUP(B36,'Atual - Equipamentos '!$M$2:$V$330,10,0)</f>
        <v>7</v>
      </c>
      <c r="I36">
        <f t="shared" si="6"/>
        <v>926.92</v>
      </c>
      <c r="J36" s="136">
        <f t="shared" si="1"/>
        <v>926.92</v>
      </c>
      <c r="K36" s="139">
        <f t="shared" si="5"/>
        <v>0</v>
      </c>
      <c r="Q36" s="33"/>
    </row>
    <row r="37" spans="1:17">
      <c r="A37" s="130" t="s">
        <v>202</v>
      </c>
      <c r="B37" s="130" t="s">
        <v>211</v>
      </c>
      <c r="C37" s="131" t="s">
        <v>140</v>
      </c>
      <c r="D37" s="140">
        <v>10</v>
      </c>
      <c r="E37" s="6" t="s">
        <v>25</v>
      </c>
      <c r="F37" s="132">
        <v>926.92</v>
      </c>
      <c r="G37" s="146" t="str">
        <f>VLOOKUP(B37,'Atual - Equipamentos '!$M$2:$U$330,9,0)</f>
        <v>REALIZADO</v>
      </c>
      <c r="H37" s="29">
        <f>VLOOKUP(B37,'Atual - Equipamentos '!$M$2:$V$330,10,0)</f>
        <v>7</v>
      </c>
      <c r="I37">
        <f t="shared" si="6"/>
        <v>926.92</v>
      </c>
      <c r="J37" s="136">
        <f t="shared" si="1"/>
        <v>926.92</v>
      </c>
      <c r="K37" s="139">
        <f t="shared" si="5"/>
        <v>0</v>
      </c>
      <c r="Q37" s="33"/>
    </row>
    <row r="38" spans="1:17">
      <c r="A38" s="220" t="s">
        <v>202</v>
      </c>
      <c r="B38" s="220" t="s">
        <v>214</v>
      </c>
      <c r="C38" s="221" t="s">
        <v>215</v>
      </c>
      <c r="D38" s="222">
        <v>3</v>
      </c>
      <c r="E38" s="223" t="s">
        <v>25</v>
      </c>
      <c r="F38" s="229">
        <v>190.52</v>
      </c>
      <c r="G38" s="225" t="str">
        <f>VLOOKUP(B38,'Atual - Equipamentos '!$M$2:$U$330,9,0)</f>
        <v>REALIZADO</v>
      </c>
      <c r="H38" s="226">
        <f>VLOOKUP(B38,'Atual - Equipamentos '!$M$2:$V$330,10,0)</f>
        <v>4</v>
      </c>
      <c r="I38" s="227">
        <f t="shared" si="6"/>
        <v>190.52</v>
      </c>
      <c r="J38" s="228">
        <v>0</v>
      </c>
      <c r="K38" s="246">
        <v>0</v>
      </c>
      <c r="Q38" s="32"/>
    </row>
    <row r="39" spans="1:17">
      <c r="A39" s="130" t="s">
        <v>202</v>
      </c>
      <c r="B39" s="130" t="s">
        <v>219</v>
      </c>
      <c r="C39" s="133" t="s">
        <v>153</v>
      </c>
      <c r="D39" s="140">
        <v>1</v>
      </c>
      <c r="E39" s="6" t="s">
        <v>25</v>
      </c>
      <c r="F39" s="1">
        <v>296.27</v>
      </c>
      <c r="G39" s="146" t="str">
        <f>VLOOKUP(B39,'Atual - Equipamentos '!$M$2:$U$330,9,0)</f>
        <v>REALIZADO</v>
      </c>
      <c r="H39" s="29">
        <f>VLOOKUP(B39,'Atual - Equipamentos '!$M$2:$V$330,10,0)</f>
        <v>5</v>
      </c>
      <c r="I39">
        <f t="shared" si="6"/>
        <v>296.27</v>
      </c>
      <c r="J39" s="136">
        <f t="shared" si="1"/>
        <v>296.27</v>
      </c>
      <c r="K39" s="139">
        <f t="shared" si="5"/>
        <v>0</v>
      </c>
    </row>
    <row r="40" spans="1:17">
      <c r="A40" s="130" t="s">
        <v>202</v>
      </c>
      <c r="B40" s="130" t="s">
        <v>219</v>
      </c>
      <c r="C40" s="133" t="s">
        <v>167</v>
      </c>
      <c r="D40" s="140">
        <v>2</v>
      </c>
      <c r="E40" s="10" t="s">
        <v>25</v>
      </c>
      <c r="F40" s="132">
        <v>296.27</v>
      </c>
      <c r="G40" s="146" t="str">
        <f>VLOOKUP(B40,'Atual - Equipamentos '!$M$2:$U$330,9,0)</f>
        <v>REALIZADO</v>
      </c>
      <c r="H40" s="29">
        <f>VLOOKUP(B40,'Atual - Equipamentos '!$M$2:$V$330,10,0)</f>
        <v>5</v>
      </c>
      <c r="I40">
        <f t="shared" si="6"/>
        <v>296.27</v>
      </c>
      <c r="J40" s="136">
        <f t="shared" si="1"/>
        <v>296.27</v>
      </c>
      <c r="K40" s="139">
        <f t="shared" si="5"/>
        <v>0</v>
      </c>
    </row>
    <row r="41" spans="1:17">
      <c r="A41" s="130" t="s">
        <v>202</v>
      </c>
      <c r="B41" s="130" t="s">
        <v>219</v>
      </c>
      <c r="C41" s="137" t="s">
        <v>223</v>
      </c>
      <c r="D41" s="140">
        <v>5</v>
      </c>
      <c r="E41" s="6" t="s">
        <v>25</v>
      </c>
      <c r="F41" s="139">
        <v>296.27</v>
      </c>
      <c r="G41" s="146" t="str">
        <f>VLOOKUP(B41,'Atual - Equipamentos '!$M$2:$U$330,9,0)</f>
        <v>REALIZADO</v>
      </c>
      <c r="H41" s="29">
        <f>VLOOKUP(B41,'Atual - Equipamentos '!$M$2:$V$330,10,0)</f>
        <v>5</v>
      </c>
      <c r="I41">
        <f t="shared" si="6"/>
        <v>296.27</v>
      </c>
      <c r="J41" s="136">
        <f t="shared" si="1"/>
        <v>296.27</v>
      </c>
      <c r="K41" s="139">
        <f t="shared" si="5"/>
        <v>0</v>
      </c>
    </row>
    <row r="42" spans="1:17">
      <c r="A42" s="130" t="s">
        <v>202</v>
      </c>
      <c r="B42" s="130" t="s">
        <v>230</v>
      </c>
      <c r="C42" s="131" t="s">
        <v>71</v>
      </c>
      <c r="D42" s="140">
        <v>12</v>
      </c>
      <c r="E42" s="6" t="s">
        <v>25</v>
      </c>
      <c r="F42" s="132">
        <v>942.21</v>
      </c>
      <c r="G42" s="146" t="str">
        <f>VLOOKUP(B42,'Atual - Equipamentos '!$M$2:$U$330,9,0)</f>
        <v>REALIZADO</v>
      </c>
      <c r="H42" s="29">
        <f>VLOOKUP(B42,'Atual - Equipamentos '!$M$2:$V$330,10,0)</f>
        <v>4</v>
      </c>
      <c r="I42">
        <f t="shared" si="6"/>
        <v>942.21</v>
      </c>
      <c r="J42" s="136">
        <f t="shared" si="1"/>
        <v>942.21</v>
      </c>
      <c r="K42" s="139">
        <f t="shared" si="5"/>
        <v>0</v>
      </c>
    </row>
    <row r="43" spans="1:17">
      <c r="A43" s="130" t="s">
        <v>202</v>
      </c>
      <c r="B43" s="7" t="s">
        <v>234</v>
      </c>
      <c r="C43" s="131" t="s">
        <v>42</v>
      </c>
      <c r="D43" s="140">
        <v>8</v>
      </c>
      <c r="E43" s="6" t="s">
        <v>25</v>
      </c>
      <c r="F43" s="132">
        <v>531.4</v>
      </c>
      <c r="G43" s="146" t="str">
        <f>VLOOKUP(B43,'Atual - Equipamentos '!$M$2:$U$330,9,0)</f>
        <v>REALIZADO</v>
      </c>
      <c r="H43" s="29">
        <f>VLOOKUP(B43,'Atual - Equipamentos '!$M$2:$V$330,10,0)</f>
        <v>7</v>
      </c>
      <c r="I43">
        <f t="shared" si="6"/>
        <v>531.4</v>
      </c>
      <c r="J43" s="136">
        <f t="shared" si="1"/>
        <v>531.4</v>
      </c>
      <c r="K43" s="139">
        <f t="shared" si="5"/>
        <v>0</v>
      </c>
    </row>
    <row r="44" spans="1:17">
      <c r="A44" s="130" t="s">
        <v>202</v>
      </c>
      <c r="B44" s="130" t="s">
        <v>236</v>
      </c>
      <c r="C44" s="137" t="s">
        <v>215</v>
      </c>
      <c r="D44" s="140">
        <v>3</v>
      </c>
      <c r="E44" s="6" t="s">
        <v>25</v>
      </c>
      <c r="F44" s="139">
        <v>313.62</v>
      </c>
      <c r="G44" s="146" t="str">
        <f>VLOOKUP(B44,'Atual - Equipamentos '!$M$2:$U$330,9,0)</f>
        <v>REALIZADO</v>
      </c>
      <c r="H44" s="29">
        <f>VLOOKUP(B44,'Atual - Equipamentos '!$M$2:$V$330,10,0)</f>
        <v>6</v>
      </c>
      <c r="I44">
        <f t="shared" si="6"/>
        <v>313.62</v>
      </c>
      <c r="J44" s="136">
        <f t="shared" si="1"/>
        <v>313.62</v>
      </c>
      <c r="K44" s="139">
        <f t="shared" si="5"/>
        <v>0</v>
      </c>
    </row>
    <row r="45" spans="1:17">
      <c r="A45" s="130" t="s">
        <v>202</v>
      </c>
      <c r="B45" s="130" t="s">
        <v>236</v>
      </c>
      <c r="C45" s="131" t="s">
        <v>223</v>
      </c>
      <c r="D45" s="140">
        <v>5</v>
      </c>
      <c r="E45" s="6" t="s">
        <v>25</v>
      </c>
      <c r="F45" s="132">
        <v>313.62</v>
      </c>
      <c r="G45" s="146" t="str">
        <f>VLOOKUP(B45,'Atual - Equipamentos '!$M$2:$U$330,9,0)</f>
        <v>REALIZADO</v>
      </c>
      <c r="H45" s="29">
        <f>VLOOKUP(B45,'Atual - Equipamentos '!$M$2:$V$330,10,0)</f>
        <v>6</v>
      </c>
      <c r="I45">
        <f t="shared" si="6"/>
        <v>313.62</v>
      </c>
      <c r="J45" s="136">
        <f t="shared" si="1"/>
        <v>313.62</v>
      </c>
      <c r="K45" s="139">
        <f t="shared" si="5"/>
        <v>0</v>
      </c>
    </row>
    <row r="46" spans="1:17">
      <c r="A46" s="130" t="s">
        <v>202</v>
      </c>
      <c r="B46" s="130" t="s">
        <v>236</v>
      </c>
      <c r="C46" s="131" t="s">
        <v>42</v>
      </c>
      <c r="D46" s="140">
        <v>8</v>
      </c>
      <c r="E46" s="6" t="s">
        <v>25</v>
      </c>
      <c r="F46" s="132">
        <v>313.62</v>
      </c>
      <c r="G46" s="146" t="str">
        <f>VLOOKUP(B46,'Atual - Equipamentos '!$M$2:$U$330,9,0)</f>
        <v>REALIZADO</v>
      </c>
      <c r="H46" s="29">
        <f>VLOOKUP(B46,'Atual - Equipamentos '!$M$2:$V$330,10,0)</f>
        <v>6</v>
      </c>
      <c r="I46">
        <f t="shared" si="6"/>
        <v>313.62</v>
      </c>
      <c r="J46" s="136">
        <f t="shared" si="1"/>
        <v>313.62</v>
      </c>
      <c r="K46" s="139">
        <f t="shared" si="5"/>
        <v>0</v>
      </c>
    </row>
    <row r="47" spans="1:17">
      <c r="A47" s="130" t="s">
        <v>202</v>
      </c>
      <c r="B47" s="130" t="s">
        <v>236</v>
      </c>
      <c r="C47" s="131" t="s">
        <v>247</v>
      </c>
      <c r="D47" s="140">
        <v>10</v>
      </c>
      <c r="E47" s="6" t="s">
        <v>25</v>
      </c>
      <c r="F47" s="9">
        <v>313.62</v>
      </c>
      <c r="G47" s="146" t="str">
        <f>VLOOKUP(B47,'Atual - Equipamentos '!$M$2:$U$330,9,0)</f>
        <v>REALIZADO</v>
      </c>
      <c r="H47" s="29">
        <f>VLOOKUP(B47,'Atual - Equipamentos '!$M$2:$V$330,10,0)</f>
        <v>6</v>
      </c>
      <c r="I47">
        <f t="shared" si="6"/>
        <v>313.62</v>
      </c>
      <c r="J47" s="136">
        <f t="shared" si="1"/>
        <v>313.62</v>
      </c>
      <c r="K47" s="139">
        <f t="shared" si="5"/>
        <v>0</v>
      </c>
    </row>
    <row r="48" spans="1:17" ht="15.75" thickBot="1">
      <c r="A48" s="130" t="s">
        <v>202</v>
      </c>
      <c r="B48" s="130" t="s">
        <v>236</v>
      </c>
      <c r="C48" s="131" t="s">
        <v>248</v>
      </c>
      <c r="D48" s="140">
        <v>11</v>
      </c>
      <c r="E48" s="6" t="s">
        <v>25</v>
      </c>
      <c r="F48" s="9">
        <v>313.62</v>
      </c>
      <c r="G48" s="146" t="str">
        <f>VLOOKUP(B48,'Atual - Equipamentos '!$M$2:$U$330,9,0)</f>
        <v>REALIZADO</v>
      </c>
      <c r="H48" s="29">
        <f>VLOOKUP(B48,'Atual - Equipamentos '!$M$2:$V$330,10,0)</f>
        <v>6</v>
      </c>
      <c r="I48">
        <f t="shared" si="6"/>
        <v>313.62</v>
      </c>
      <c r="J48" s="136">
        <f t="shared" si="1"/>
        <v>313.62</v>
      </c>
      <c r="K48" s="139">
        <f t="shared" si="5"/>
        <v>0</v>
      </c>
    </row>
    <row r="49" spans="1:14" ht="15.75" thickBot="1">
      <c r="A49" s="130" t="s">
        <v>202</v>
      </c>
      <c r="B49" s="130" t="s">
        <v>250</v>
      </c>
      <c r="C49" s="131" t="s">
        <v>198</v>
      </c>
      <c r="D49" s="140">
        <v>6</v>
      </c>
      <c r="E49" s="6" t="s">
        <v>25</v>
      </c>
      <c r="F49" s="132">
        <v>528.77</v>
      </c>
      <c r="G49" s="146" t="str">
        <f>VLOOKUP(B49,'Atual - Equipamentos '!$M$2:$U$330,9,0)</f>
        <v>REALIZADO</v>
      </c>
      <c r="H49" s="29">
        <f>VLOOKUP(B49,'Atual - Equipamentos '!$M$2:$V$330,10,0)</f>
        <v>6</v>
      </c>
      <c r="I49">
        <f t="shared" si="6"/>
        <v>528.77</v>
      </c>
      <c r="J49" s="136">
        <f t="shared" si="1"/>
        <v>528.77</v>
      </c>
      <c r="K49" s="139">
        <f t="shared" si="5"/>
        <v>0</v>
      </c>
      <c r="M49" s="392" t="s">
        <v>1481</v>
      </c>
      <c r="N49" s="393"/>
    </row>
    <row r="50" spans="1:14">
      <c r="A50" s="130" t="s">
        <v>202</v>
      </c>
      <c r="B50" s="130" t="s">
        <v>252</v>
      </c>
      <c r="C50" s="131" t="s">
        <v>223</v>
      </c>
      <c r="D50" s="140">
        <v>5</v>
      </c>
      <c r="E50" s="6" t="s">
        <v>25</v>
      </c>
      <c r="F50" s="132">
        <v>259.01</v>
      </c>
      <c r="G50" s="146" t="str">
        <f>VLOOKUP(B50,'Atual - Equipamentos '!$M$2:$U$330,9,0)</f>
        <v>REALIZADO</v>
      </c>
      <c r="H50" s="29">
        <f>VLOOKUP(B50,'Atual - Equipamentos '!$M$2:$V$330,10,0)</f>
        <v>5</v>
      </c>
      <c r="I50">
        <f t="shared" si="6"/>
        <v>259.01</v>
      </c>
      <c r="J50" s="136">
        <f t="shared" si="1"/>
        <v>259.01</v>
      </c>
      <c r="K50" s="139">
        <f t="shared" si="5"/>
        <v>0</v>
      </c>
      <c r="M50" s="234" t="s">
        <v>97</v>
      </c>
      <c r="N50" s="231">
        <v>2931.06</v>
      </c>
    </row>
    <row r="51" spans="1:14">
      <c r="A51" s="141" t="s">
        <v>202</v>
      </c>
      <c r="B51" s="141" t="s">
        <v>252</v>
      </c>
      <c r="C51" s="142" t="s">
        <v>223</v>
      </c>
      <c r="D51" s="145">
        <v>5</v>
      </c>
      <c r="E51" s="6" t="s">
        <v>25</v>
      </c>
      <c r="F51" s="143">
        <v>259.01</v>
      </c>
      <c r="G51" s="146" t="str">
        <f>VLOOKUP(B51,'Atual - Equipamentos '!$M$2:$U$330,9,0)</f>
        <v>REALIZADO</v>
      </c>
      <c r="H51" s="147">
        <f>VLOOKUP(B51,'Atual - Equipamentos '!$M$2:$V$330,10,0)</f>
        <v>5</v>
      </c>
      <c r="I51">
        <f t="shared" si="6"/>
        <v>259.01</v>
      </c>
      <c r="J51" s="136">
        <f t="shared" si="1"/>
        <v>259.01</v>
      </c>
      <c r="K51" s="139">
        <f t="shared" si="5"/>
        <v>0</v>
      </c>
      <c r="M51" s="235" t="s">
        <v>135</v>
      </c>
      <c r="N51" s="230">
        <v>2381</v>
      </c>
    </row>
    <row r="52" spans="1:14">
      <c r="A52" s="130" t="s">
        <v>202</v>
      </c>
      <c r="B52" s="130" t="s">
        <v>265</v>
      </c>
      <c r="C52" s="131" t="s">
        <v>205</v>
      </c>
      <c r="D52" s="140">
        <v>6</v>
      </c>
      <c r="E52" s="6" t="s">
        <v>25</v>
      </c>
      <c r="F52" s="132">
        <v>376.31</v>
      </c>
      <c r="G52" s="146" t="str">
        <f>VLOOKUP(B52,'Atual - Equipamentos '!$M$2:$U$330,9,0)</f>
        <v>REALIZADO</v>
      </c>
      <c r="H52" s="29">
        <f>VLOOKUP(B52,'Atual - Equipamentos '!$M$2:$V$330,10,0)</f>
        <v>6</v>
      </c>
      <c r="I52">
        <f t="shared" si="6"/>
        <v>376.31</v>
      </c>
      <c r="J52" s="136">
        <f t="shared" si="1"/>
        <v>376.31</v>
      </c>
      <c r="K52" s="139">
        <f t="shared" si="5"/>
        <v>0</v>
      </c>
      <c r="M52" s="235" t="s">
        <v>152</v>
      </c>
      <c r="N52" s="230">
        <v>2339.79</v>
      </c>
    </row>
    <row r="53" spans="1:14" ht="15.75" thickBot="1">
      <c r="A53" s="238" t="s">
        <v>202</v>
      </c>
      <c r="B53" s="239" t="s">
        <v>273</v>
      </c>
      <c r="C53" s="201" t="s">
        <v>42</v>
      </c>
      <c r="D53" s="140">
        <v>8</v>
      </c>
      <c r="E53" s="240" t="s">
        <v>25</v>
      </c>
      <c r="F53" s="139">
        <v>0</v>
      </c>
      <c r="G53" s="146" t="str">
        <f>VLOOKUP(B53,'Atual - Equipamentos '!$M$2:$U$330,9,0)</f>
        <v>REALIZADO</v>
      </c>
      <c r="H53" s="29">
        <f>VLOOKUP(B53,'Atual - Equipamentos '!$M$2:$V$330,10,0)</f>
        <v>8</v>
      </c>
      <c r="I53">
        <f t="shared" si="6"/>
        <v>0</v>
      </c>
      <c r="J53" s="136">
        <f t="shared" si="1"/>
        <v>0</v>
      </c>
      <c r="K53" s="139">
        <f t="shared" si="5"/>
        <v>0</v>
      </c>
      <c r="M53" s="236" t="s">
        <v>214</v>
      </c>
      <c r="N53" s="237">
        <v>190.52</v>
      </c>
    </row>
    <row r="54" spans="1:14" ht="15.75" thickBot="1">
      <c r="A54" s="394" t="s">
        <v>1191</v>
      </c>
      <c r="B54" s="395"/>
      <c r="C54" s="395"/>
      <c r="D54" s="395"/>
      <c r="E54" s="395"/>
      <c r="F54" s="243">
        <f>SUM(F2:F53)*0.9</f>
        <v>64730.49299999998</v>
      </c>
      <c r="G54" s="241"/>
      <c r="H54" s="242"/>
      <c r="I54" s="241"/>
      <c r="J54" s="244">
        <f>SUM(J2:J53)*0.9</f>
        <v>57672.359999999993</v>
      </c>
      <c r="K54" s="245">
        <f>SUM(K2:K53)*0.9</f>
        <v>0</v>
      </c>
      <c r="L54" s="32"/>
      <c r="M54" s="232" t="s">
        <v>1482</v>
      </c>
      <c r="N54" s="233">
        <f>SUM(N50:N53)</f>
        <v>7842.37</v>
      </c>
    </row>
    <row r="55" spans="1:14" ht="15" customHeight="1">
      <c r="F55" s="32"/>
    </row>
    <row r="61" spans="1:14">
      <c r="F61" s="33"/>
    </row>
    <row r="64" spans="1:14">
      <c r="F64" s="61"/>
    </row>
    <row r="65" spans="6:6">
      <c r="F65" s="61"/>
    </row>
  </sheetData>
  <autoFilter ref="A1:K56" xr:uid="{08F10366-E8A0-4C52-98C0-847A4E0AB869}"/>
  <mergeCells count="38">
    <mergeCell ref="M49:N49"/>
    <mergeCell ref="A54:E54"/>
    <mergeCell ref="K4:K5"/>
    <mergeCell ref="K7:K9"/>
    <mergeCell ref="K14:K17"/>
    <mergeCell ref="K22:K23"/>
    <mergeCell ref="K27:K29"/>
    <mergeCell ref="K30:K31"/>
    <mergeCell ref="F27:F29"/>
    <mergeCell ref="C30:C31"/>
    <mergeCell ref="F30:F31"/>
    <mergeCell ref="D27:D29"/>
    <mergeCell ref="D30:D31"/>
    <mergeCell ref="C27:C29"/>
    <mergeCell ref="F7:F9"/>
    <mergeCell ref="C4:C5"/>
    <mergeCell ref="F4:F5"/>
    <mergeCell ref="F24:F25"/>
    <mergeCell ref="K24:K25"/>
    <mergeCell ref="D24:D25"/>
    <mergeCell ref="C14:C17"/>
    <mergeCell ref="J14:J17"/>
    <mergeCell ref="F14:F17"/>
    <mergeCell ref="F22:F23"/>
    <mergeCell ref="D4:D5"/>
    <mergeCell ref="D7:D9"/>
    <mergeCell ref="D14:D17"/>
    <mergeCell ref="D22:D23"/>
    <mergeCell ref="C24:C25"/>
    <mergeCell ref="C7:C9"/>
    <mergeCell ref="C22:C23"/>
    <mergeCell ref="J27:J29"/>
    <mergeCell ref="J30:J31"/>
    <mergeCell ref="J22:J23"/>
    <mergeCell ref="J24:J25"/>
    <mergeCell ref="H4:H5"/>
    <mergeCell ref="J4:J5"/>
    <mergeCell ref="J7:J9"/>
  </mergeCells>
  <conditionalFormatting sqref="C2:C4 C6:C7 C10:C13 C24 C30 C18:C22 C26:C27 C32:C49">
    <cfRule type="expression" dxfId="953" priority="143">
      <formula>IF(C2&lt;=TODAY()-365,TRUE)</formula>
    </cfRule>
    <cfRule type="expression" dxfId="952" priority="144">
      <formula>IF(C2&lt;(TODAY())-320,TRUE)</formula>
    </cfRule>
    <cfRule type="expression" dxfId="951" priority="145">
      <formula>IF(C2&lt;(TODAY())+0,TRUE)</formula>
    </cfRule>
  </conditionalFormatting>
  <conditionalFormatting sqref="E35:E38 E41:E43 D2:E2 E3:E33 D3:D4 D6:D7 D10:D14 D18:D22 D24 D26:D27 D30 D32:D53">
    <cfRule type="expression" dxfId="950" priority="140">
      <formula>IF(#REF!&lt;=TODAY()-365,TRUE)</formula>
    </cfRule>
    <cfRule type="expression" dxfId="949" priority="141">
      <formula>IF(#REF!&lt;(TODAY())-320,TRUE)</formula>
    </cfRule>
    <cfRule type="expression" dxfId="948" priority="142">
      <formula>IF(#REF!&lt;(TODAY())+0,TRUE)</formula>
    </cfRule>
  </conditionalFormatting>
  <conditionalFormatting sqref="C50:C53">
    <cfRule type="expression" dxfId="947" priority="134">
      <formula>IF(C50&lt;=TODAY()-365,TRUE)</formula>
    </cfRule>
    <cfRule type="expression" dxfId="946" priority="135">
      <formula>IF(C50&lt;(TODAY())-320,TRUE)</formula>
    </cfRule>
    <cfRule type="expression" dxfId="945" priority="136">
      <formula>IF(C50&lt;(TODAY())+0,TRUE)</formula>
    </cfRule>
  </conditionalFormatting>
  <conditionalFormatting sqref="E40">
    <cfRule type="expression" dxfId="944" priority="131">
      <formula>IF(#REF!&lt;=TODAY()-365,TRUE)</formula>
    </cfRule>
    <cfRule type="expression" dxfId="943" priority="132">
      <formula>IF(#REF!&lt;(TODAY())-320,TRUE)</formula>
    </cfRule>
    <cfRule type="expression" dxfId="942" priority="133">
      <formula>IF(#REF!&lt;(TODAY())+0,TRUE)</formula>
    </cfRule>
  </conditionalFormatting>
  <conditionalFormatting sqref="E34 E47:E51">
    <cfRule type="expression" dxfId="941" priority="128">
      <formula>IF(#REF!&lt;=TODAY()-365,TRUE)</formula>
    </cfRule>
    <cfRule type="expression" dxfId="940" priority="129">
      <formula>IF(#REF!&lt;(TODAY())-320,TRUE)</formula>
    </cfRule>
    <cfRule type="expression" dxfId="939" priority="130">
      <formula>IF(#REF!&lt;(TODAY())+0,TRUE)</formula>
    </cfRule>
  </conditionalFormatting>
  <conditionalFormatting sqref="E39">
    <cfRule type="expression" dxfId="938" priority="125">
      <formula>IF(#REF!&lt;=TODAY()-365,TRUE)</formula>
    </cfRule>
    <cfRule type="expression" dxfId="937" priority="126">
      <formula>IF(#REF!&lt;(TODAY())-320,TRUE)</formula>
    </cfRule>
    <cfRule type="expression" dxfId="936" priority="127">
      <formula>IF(#REF!&lt;(TODAY())+0,TRUE)</formula>
    </cfRule>
  </conditionalFormatting>
  <conditionalFormatting sqref="E44">
    <cfRule type="expression" dxfId="935" priority="101">
      <formula>IF(#REF!&lt;=TODAY()-365,TRUE)</formula>
    </cfRule>
    <cfRule type="expression" dxfId="934" priority="102">
      <formula>IF(#REF!&lt;(TODAY())-320,TRUE)</formula>
    </cfRule>
    <cfRule type="expression" dxfId="933" priority="103">
      <formula>IF(#REF!&lt;(TODAY())+0,TRUE)</formula>
    </cfRule>
  </conditionalFormatting>
  <conditionalFormatting sqref="E45">
    <cfRule type="expression" dxfId="932" priority="77">
      <formula>IF(#REF!&lt;=TODAY()-365,TRUE)</formula>
    </cfRule>
    <cfRule type="expression" dxfId="931" priority="78">
      <formula>IF(#REF!&lt;(TODAY())-320,TRUE)</formula>
    </cfRule>
    <cfRule type="expression" dxfId="930" priority="79">
      <formula>IF(#REF!&lt;(TODAY())+0,TRUE)</formula>
    </cfRule>
  </conditionalFormatting>
  <conditionalFormatting sqref="E46">
    <cfRule type="expression" dxfId="929" priority="71">
      <formula>IF(#REF!&lt;=TODAY()-365,TRUE)</formula>
    </cfRule>
    <cfRule type="expression" dxfId="928" priority="72">
      <formula>IF(#REF!&lt;(TODAY())-320,TRUE)</formula>
    </cfRule>
    <cfRule type="expression" dxfId="927" priority="73">
      <formula>IF(#REF!&lt;(TODAY())+0,TRUE)</formula>
    </cfRule>
  </conditionalFormatting>
  <conditionalFormatting sqref="E52">
    <cfRule type="expression" dxfId="926" priority="23">
      <formula>IF(#REF!&lt;=TODAY()-365,TRUE)</formula>
    </cfRule>
    <cfRule type="expression" dxfId="925" priority="24">
      <formula>IF(#REF!&lt;(TODAY())-320,TRUE)</formula>
    </cfRule>
    <cfRule type="expression" dxfId="924" priority="25">
      <formula>IF(#REF!&lt;(TODAY())+0,TRUE)</formula>
    </cfRule>
  </conditionalFormatting>
  <conditionalFormatting sqref="E53">
    <cfRule type="expression" dxfId="923" priority="10">
      <formula>IF(#REF!&lt;=TODAY()-365,TRUE)</formula>
    </cfRule>
    <cfRule type="expression" dxfId="922" priority="11">
      <formula>IF(#REF!&lt;(TODAY())-320,TRUE)</formula>
    </cfRule>
    <cfRule type="expression" dxfId="921" priority="12">
      <formula>IF(#REF!&lt;(TODAY())+0,TRUE)</formula>
    </cfRule>
  </conditionalFormatting>
  <conditionalFormatting sqref="E52:E53 A52:B53">
    <cfRule type="colorScale" priority="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154E-D50B-4F68-80DA-D2B392BE6AFF}">
  <sheetPr filterMode="1"/>
  <dimension ref="A1:W328"/>
  <sheetViews>
    <sheetView topLeftCell="N1" zoomScale="90" zoomScaleNormal="90" workbookViewId="0">
      <selection activeCell="W257" sqref="W4:W257"/>
    </sheetView>
  </sheetViews>
  <sheetFormatPr defaultColWidth="5.85546875" defaultRowHeight="15"/>
  <cols>
    <col min="1" max="1" width="10.28515625" style="13" bestFit="1" customWidth="1"/>
    <col min="2" max="2" width="34.140625" style="13" bestFit="1" customWidth="1"/>
    <col min="3" max="3" width="35" style="13" customWidth="1"/>
    <col min="4" max="4" width="15.7109375" style="13" customWidth="1"/>
    <col min="5" max="5" width="31.85546875" style="13" customWidth="1"/>
    <col min="6" max="6" width="33.140625" style="13" customWidth="1"/>
    <col min="7" max="7" width="22.28515625" style="13" bestFit="1" customWidth="1"/>
    <col min="8" max="8" width="12" style="13" customWidth="1"/>
    <col min="9" max="9" width="24.28515625" style="13" bestFit="1" customWidth="1"/>
    <col min="10" max="10" width="18.85546875" style="165" bestFit="1" customWidth="1"/>
    <col min="11" max="11" width="17.5703125" style="13" bestFit="1" customWidth="1"/>
    <col min="12" max="12" width="25.85546875" style="13" bestFit="1" customWidth="1"/>
    <col min="13" max="13" width="23.5703125" style="169" bestFit="1" customWidth="1"/>
    <col min="14" max="14" width="34.5703125" style="13" customWidth="1"/>
    <col min="15" max="15" width="13.28515625" style="14" hidden="1" customWidth="1"/>
    <col min="16" max="16" width="16.140625" style="14" bestFit="1" customWidth="1"/>
    <col min="17" max="17" width="11.140625" style="14" bestFit="1" customWidth="1"/>
    <col min="18" max="18" width="14.85546875" style="169" bestFit="1" customWidth="1"/>
    <col min="19" max="19" width="13.140625" style="14" bestFit="1" customWidth="1"/>
    <col min="20" max="20" width="183.42578125" style="14" bestFit="1" customWidth="1"/>
    <col min="21" max="21" width="13.42578125" style="14" bestFit="1" customWidth="1"/>
    <col min="22" max="22" width="13.42578125" style="14" customWidth="1"/>
    <col min="23" max="23" width="11.140625" style="20" customWidth="1"/>
    <col min="24" max="16384" width="5.85546875" style="14"/>
  </cols>
  <sheetData>
    <row r="1" spans="1:23" s="12" customFormat="1" ht="25.5">
      <c r="A1" s="11" t="s">
        <v>897</v>
      </c>
      <c r="B1" s="11" t="s">
        <v>274</v>
      </c>
      <c r="C1" s="11" t="s">
        <v>275</v>
      </c>
      <c r="D1" s="11" t="s">
        <v>276</v>
      </c>
      <c r="E1" s="11" t="s">
        <v>277</v>
      </c>
      <c r="F1" s="11" t="s">
        <v>278</v>
      </c>
      <c r="G1" s="11" t="s">
        <v>279</v>
      </c>
      <c r="H1" s="278" t="s">
        <v>10</v>
      </c>
      <c r="I1" s="11" t="s">
        <v>11</v>
      </c>
      <c r="J1" s="279" t="s">
        <v>12</v>
      </c>
      <c r="K1" s="11" t="s">
        <v>13</v>
      </c>
      <c r="L1" s="11" t="s">
        <v>14</v>
      </c>
      <c r="M1" s="278" t="s">
        <v>15</v>
      </c>
      <c r="N1" s="278" t="s">
        <v>280</v>
      </c>
      <c r="O1" s="12" t="s">
        <v>281</v>
      </c>
      <c r="P1" s="280" t="s">
        <v>282</v>
      </c>
      <c r="Q1" s="280" t="s">
        <v>17</v>
      </c>
      <c r="R1" s="278" t="s">
        <v>283</v>
      </c>
      <c r="S1" s="278" t="s">
        <v>284</v>
      </c>
      <c r="T1" s="278" t="s">
        <v>898</v>
      </c>
      <c r="U1" s="278" t="s">
        <v>285</v>
      </c>
      <c r="V1" s="278" t="s">
        <v>285</v>
      </c>
      <c r="W1" s="96"/>
    </row>
    <row r="2" spans="1:23" hidden="1">
      <c r="A2" s="13" t="s">
        <v>899</v>
      </c>
      <c r="B2" s="13" t="s">
        <v>286</v>
      </c>
      <c r="C2" s="15" t="s">
        <v>287</v>
      </c>
      <c r="D2" s="13" t="s">
        <v>288</v>
      </c>
      <c r="E2" s="13" t="s">
        <v>286</v>
      </c>
      <c r="F2" s="15" t="s">
        <v>287</v>
      </c>
      <c r="G2" s="13" t="s">
        <v>289</v>
      </c>
      <c r="H2" s="13" t="s">
        <v>98</v>
      </c>
      <c r="I2" s="13" t="s">
        <v>3</v>
      </c>
      <c r="J2" s="16" t="s">
        <v>131</v>
      </c>
      <c r="K2" s="13" t="s">
        <v>21</v>
      </c>
      <c r="L2" s="13" t="s">
        <v>22</v>
      </c>
      <c r="M2" s="13" t="s">
        <v>132</v>
      </c>
      <c r="N2" s="13" t="s">
        <v>290</v>
      </c>
      <c r="O2" s="17">
        <v>44033</v>
      </c>
      <c r="P2" s="18">
        <f>IFERROR(VLOOKUP(J2,'[1]Obs Tecnicas'!$D$2:$I$313,5,0),O2)</f>
        <v>44432</v>
      </c>
      <c r="Q2" s="17" t="str">
        <f t="shared" ref="Q2:Q33" ca="1" si="0">IF(P2&lt;&gt;"",IF(P2+365&gt;TODAY(),"Calibrado","Vencido"),"")</f>
        <v>Calibrado</v>
      </c>
      <c r="R2" s="19">
        <f>IFERROR(VLOOKUP(J2,'[1]Obs Tecnicas'!$D$2:$G$333,2,0),"")</f>
        <v>13509</v>
      </c>
      <c r="S2" s="13" t="str">
        <f>IFERROR(VLOOKUP(J2,'[1]Obs Tecnicas'!$D$2:$G$337,3,0),"Hexis")</f>
        <v>ER ANALITICA</v>
      </c>
      <c r="T2" s="13">
        <f>IFERROR(VLOOKUP(J2,'[1]Obs Tecnicas'!$D$2:$G$337,4,0),"")</f>
        <v>0</v>
      </c>
      <c r="U2" s="14" t="s">
        <v>291</v>
      </c>
      <c r="V2" s="14">
        <f t="shared" ref="V2:V33" si="1">IF(P2&lt;&gt;"",MONTH(P2),"")</f>
        <v>8</v>
      </c>
      <c r="W2" s="20">
        <f>VLOOKUP(I2,Indicadores!$N$4:$Q$15,4,0)</f>
        <v>552.64</v>
      </c>
    </row>
    <row r="3" spans="1:23" hidden="1">
      <c r="A3" s="13" t="s">
        <v>899</v>
      </c>
      <c r="B3" s="13" t="s">
        <v>286</v>
      </c>
      <c r="C3" s="15" t="s">
        <v>287</v>
      </c>
      <c r="D3" s="13" t="s">
        <v>288</v>
      </c>
      <c r="E3" s="13" t="s">
        <v>286</v>
      </c>
      <c r="F3" s="15" t="s">
        <v>287</v>
      </c>
      <c r="G3" s="13" t="s">
        <v>289</v>
      </c>
      <c r="H3" s="13" t="s">
        <v>98</v>
      </c>
      <c r="I3" s="13" t="s">
        <v>4</v>
      </c>
      <c r="J3" s="16" t="s">
        <v>292</v>
      </c>
      <c r="K3" s="13" t="s">
        <v>133</v>
      </c>
      <c r="L3" s="13" t="s">
        <v>134</v>
      </c>
      <c r="M3" s="13" t="s">
        <v>132</v>
      </c>
      <c r="N3" s="13" t="s">
        <v>290</v>
      </c>
      <c r="O3" s="17">
        <v>44033</v>
      </c>
      <c r="P3" s="18">
        <f>IFERROR(VLOOKUP(J3,'[1]Obs Tecnicas'!$D$2:$I$313,5,0),O3)</f>
        <v>44432</v>
      </c>
      <c r="Q3" s="17" t="str">
        <f t="shared" ca="1" si="0"/>
        <v>Calibrado</v>
      </c>
      <c r="R3" s="19">
        <f>IFERROR(VLOOKUP(J3,'[1]Obs Tecnicas'!$D$2:$G$333,2,0),"")</f>
        <v>13505</v>
      </c>
      <c r="S3" s="13" t="str">
        <f>IFERROR(VLOOKUP(J3,'[1]Obs Tecnicas'!$D$2:$G$337,3,0),"Hexis")</f>
        <v>ER ANALITICA</v>
      </c>
      <c r="T3" s="13">
        <f>IFERROR(VLOOKUP(J3,'[1]Obs Tecnicas'!$D$2:$G$337,4,0),"")</f>
        <v>0</v>
      </c>
      <c r="U3" s="14" t="s">
        <v>291</v>
      </c>
      <c r="V3" s="14">
        <f t="shared" si="1"/>
        <v>8</v>
      </c>
      <c r="W3" s="20">
        <f>VLOOKUP(I3,Indicadores!$N$4:$Q$15,4,0)</f>
        <v>329.87</v>
      </c>
    </row>
    <row r="4" spans="1:23">
      <c r="A4" s="13" t="s">
        <v>899</v>
      </c>
      <c r="B4" s="13" t="s">
        <v>286</v>
      </c>
      <c r="C4" s="15" t="s">
        <v>287</v>
      </c>
      <c r="D4" s="13" t="s">
        <v>288</v>
      </c>
      <c r="E4" s="13" t="s">
        <v>286</v>
      </c>
      <c r="F4" s="15" t="s">
        <v>287</v>
      </c>
      <c r="G4" s="13" t="s">
        <v>289</v>
      </c>
      <c r="H4" s="13" t="s">
        <v>98</v>
      </c>
      <c r="I4" s="13" t="s">
        <v>7</v>
      </c>
      <c r="J4" s="16">
        <v>63259</v>
      </c>
      <c r="K4" s="13" t="s">
        <v>31</v>
      </c>
      <c r="L4" s="13" t="s">
        <v>129</v>
      </c>
      <c r="M4" s="13" t="s">
        <v>132</v>
      </c>
      <c r="N4" s="13" t="s">
        <v>290</v>
      </c>
      <c r="O4" s="17">
        <v>44432</v>
      </c>
      <c r="P4" s="18">
        <f>IFERROR(VLOOKUP(J4,'[1]Obs Tecnicas'!$D$2:$I$313,5,0),O4)</f>
        <v>44432</v>
      </c>
      <c r="Q4" s="17" t="str">
        <f t="shared" ca="1" si="0"/>
        <v>Calibrado</v>
      </c>
      <c r="R4" s="19" t="str">
        <f>IFERROR(VLOOKUP(J4,'[1]Obs Tecnicas'!$D$2:$G$333,2,0),"")</f>
        <v/>
      </c>
      <c r="S4" s="13" t="str">
        <f>IFERROR(VLOOKUP(J4,'[1]Obs Tecnicas'!$D$2:$G$337,3,0),"Hexis")</f>
        <v>Hexis</v>
      </c>
      <c r="T4" s="13" t="str">
        <f>IFERROR(VLOOKUP(J4,'[1]Obs Tecnicas'!$D$2:$G$337,4,0),"")</f>
        <v/>
      </c>
      <c r="V4" s="14">
        <f t="shared" si="1"/>
        <v>8</v>
      </c>
      <c r="W4" s="20">
        <f>VLOOKUP(I4,Indicadores!$N$4:$Q$15,4,0)</f>
        <v>329.87</v>
      </c>
    </row>
    <row r="5" spans="1:23" hidden="1">
      <c r="A5" s="13" t="s">
        <v>899</v>
      </c>
      <c r="B5" s="13" t="s">
        <v>293</v>
      </c>
      <c r="C5" s="15" t="s">
        <v>294</v>
      </c>
      <c r="D5" s="13" t="s">
        <v>295</v>
      </c>
      <c r="E5" s="13" t="s">
        <v>296</v>
      </c>
      <c r="F5" s="15" t="s">
        <v>297</v>
      </c>
      <c r="G5" s="13" t="s">
        <v>298</v>
      </c>
      <c r="H5" s="13" t="s">
        <v>98</v>
      </c>
      <c r="I5" s="13" t="s">
        <v>4</v>
      </c>
      <c r="J5" s="16" t="s">
        <v>299</v>
      </c>
      <c r="K5" s="13" t="s">
        <v>100</v>
      </c>
      <c r="L5" s="13" t="s">
        <v>104</v>
      </c>
      <c r="M5" s="13" t="s">
        <v>102</v>
      </c>
      <c r="N5" s="13" t="s">
        <v>300</v>
      </c>
      <c r="O5" s="17">
        <v>44259</v>
      </c>
      <c r="P5" s="18">
        <f>IFERROR(VLOOKUP(J5,'[1]Obs Tecnicas'!$D$2:$I$313,5,0),O5)</f>
        <v>44623</v>
      </c>
      <c r="Q5" s="17" t="str">
        <f t="shared" ca="1" si="0"/>
        <v>Calibrado</v>
      </c>
      <c r="R5" s="19">
        <f>IFERROR(VLOOKUP(J5,'[1]Obs Tecnicas'!$D$2:$G$333,2,0),"")</f>
        <v>15641</v>
      </c>
      <c r="S5" s="13" t="str">
        <f>IFERROR(VLOOKUP(J5,'[1]Obs Tecnicas'!$D$2:$G$337,3,0),"Hexis")</f>
        <v>ER ANALITICA</v>
      </c>
      <c r="T5" s="13">
        <f>IFERROR(VLOOKUP(J5,'[1]Obs Tecnicas'!$D$2:$G$337,4,0),"")</f>
        <v>0</v>
      </c>
      <c r="U5" s="14" t="s">
        <v>291</v>
      </c>
      <c r="V5" s="14">
        <f t="shared" si="1"/>
        <v>3</v>
      </c>
      <c r="W5" s="20">
        <f>VLOOKUP(I5,Indicadores!$N$4:$Q$15,4,0)</f>
        <v>329.87</v>
      </c>
    </row>
    <row r="6" spans="1:23" hidden="1">
      <c r="A6" s="13" t="s">
        <v>899</v>
      </c>
      <c r="B6" s="13" t="s">
        <v>293</v>
      </c>
      <c r="C6" s="15" t="s">
        <v>294</v>
      </c>
      <c r="D6" s="13" t="s">
        <v>295</v>
      </c>
      <c r="E6" s="13" t="s">
        <v>296</v>
      </c>
      <c r="F6" s="15" t="s">
        <v>297</v>
      </c>
      <c r="G6" s="13" t="s">
        <v>298</v>
      </c>
      <c r="H6" s="13" t="s">
        <v>98</v>
      </c>
      <c r="I6" s="13" t="s">
        <v>7</v>
      </c>
      <c r="J6" s="16" t="s">
        <v>99</v>
      </c>
      <c r="K6" s="13" t="s">
        <v>100</v>
      </c>
      <c r="L6" s="13" t="s">
        <v>101</v>
      </c>
      <c r="M6" s="13" t="s">
        <v>102</v>
      </c>
      <c r="N6" s="13" t="s">
        <v>300</v>
      </c>
      <c r="O6" s="17">
        <v>44259</v>
      </c>
      <c r="P6" s="18">
        <f>IFERROR(VLOOKUP(J6,'[1]Obs Tecnicas'!$D$2:$I$313,5,0),O6)</f>
        <v>44623</v>
      </c>
      <c r="Q6" s="17" t="str">
        <f t="shared" ca="1" si="0"/>
        <v>Calibrado</v>
      </c>
      <c r="R6" s="19">
        <f>IFERROR(VLOOKUP(J6,'[1]Obs Tecnicas'!$D$2:$G$333,2,0),"")</f>
        <v>15643</v>
      </c>
      <c r="S6" s="13" t="str">
        <f>IFERROR(VLOOKUP(J6,'[1]Obs Tecnicas'!$D$2:$G$337,3,0),"Hexis")</f>
        <v>ER ANALITICA</v>
      </c>
      <c r="T6" s="13" t="str">
        <f>IFERROR(VLOOKUP(J6,'[1]Obs Tecnicas'!$D$2:$G$337,4,0),"")</f>
        <v>Eletrodo apresenta vida útil avançada.</v>
      </c>
      <c r="U6" s="14" t="s">
        <v>291</v>
      </c>
      <c r="V6" s="14">
        <f t="shared" si="1"/>
        <v>3</v>
      </c>
      <c r="W6" s="20">
        <f>VLOOKUP(I6,Indicadores!$N$4:$Q$15,4,0)</f>
        <v>329.87</v>
      </c>
    </row>
    <row r="7" spans="1:23" hidden="1">
      <c r="A7" s="13" t="s">
        <v>899</v>
      </c>
      <c r="B7" s="13" t="s">
        <v>293</v>
      </c>
      <c r="C7" s="15" t="s">
        <v>294</v>
      </c>
      <c r="D7" s="13" t="s">
        <v>295</v>
      </c>
      <c r="E7" s="13" t="s">
        <v>296</v>
      </c>
      <c r="F7" s="15" t="s">
        <v>297</v>
      </c>
      <c r="G7" s="13" t="s">
        <v>298</v>
      </c>
      <c r="H7" s="13" t="s">
        <v>98</v>
      </c>
      <c r="I7" s="13" t="s">
        <v>5</v>
      </c>
      <c r="J7" s="16">
        <v>142870001022</v>
      </c>
      <c r="K7" s="13" t="s">
        <v>105</v>
      </c>
      <c r="L7" s="13" t="s">
        <v>96</v>
      </c>
      <c r="M7" s="13" t="s">
        <v>102</v>
      </c>
      <c r="N7" s="13" t="s">
        <v>300</v>
      </c>
      <c r="O7" s="17">
        <v>44264</v>
      </c>
      <c r="P7" s="18">
        <f>IFERROR(VLOOKUP(J7,'[1]Obs Tecnicas'!$D$2:$I$313,5,0),O7)</f>
        <v>44623</v>
      </c>
      <c r="Q7" s="17" t="str">
        <f t="shared" ca="1" si="0"/>
        <v>Calibrado</v>
      </c>
      <c r="R7" s="19">
        <f>IFERROR(VLOOKUP(J7,'[1]Obs Tecnicas'!$D$2:$G$333,2,0),"")</f>
        <v>15646</v>
      </c>
      <c r="S7" s="13" t="str">
        <f>IFERROR(VLOOKUP(J7,'[1]Obs Tecnicas'!$D$2:$G$337,3,0),"Hexis")</f>
        <v>ER ANALITICA</v>
      </c>
      <c r="T7" s="13">
        <f>IFERROR(VLOOKUP(J7,'[1]Obs Tecnicas'!$D$2:$G$337,4,0),"")</f>
        <v>0</v>
      </c>
      <c r="U7" s="14" t="s">
        <v>291</v>
      </c>
      <c r="V7" s="14">
        <f t="shared" si="1"/>
        <v>3</v>
      </c>
      <c r="W7" s="20">
        <f>VLOOKUP(I7,Indicadores!$N$4:$Q$15,4,0)</f>
        <v>895.23</v>
      </c>
    </row>
    <row r="8" spans="1:23" hidden="1">
      <c r="A8" s="13" t="s">
        <v>899</v>
      </c>
      <c r="B8" s="13" t="s">
        <v>301</v>
      </c>
      <c r="C8" s="15" t="s">
        <v>302</v>
      </c>
      <c r="D8" s="13" t="s">
        <v>303</v>
      </c>
      <c r="E8" s="13" t="s">
        <v>296</v>
      </c>
      <c r="F8" s="15" t="s">
        <v>297</v>
      </c>
      <c r="G8" s="13" t="s">
        <v>298</v>
      </c>
      <c r="H8" s="13" t="s">
        <v>98</v>
      </c>
      <c r="I8" s="13" t="s">
        <v>5</v>
      </c>
      <c r="J8" s="16" t="s">
        <v>106</v>
      </c>
      <c r="K8" s="13" t="s">
        <v>105</v>
      </c>
      <c r="L8" s="13" t="s">
        <v>22</v>
      </c>
      <c r="M8" s="13" t="s">
        <v>304</v>
      </c>
      <c r="N8" s="13" t="s">
        <v>305</v>
      </c>
      <c r="O8" s="17">
        <v>44264</v>
      </c>
      <c r="P8" s="18">
        <f>IFERROR(VLOOKUP(J8,'[1]Obs Tecnicas'!$D$2:$I$313,5,0),O8)</f>
        <v>44623</v>
      </c>
      <c r="Q8" s="17" t="str">
        <f t="shared" ca="1" si="0"/>
        <v>Calibrado</v>
      </c>
      <c r="R8" s="19">
        <f>IFERROR(VLOOKUP(J8,'[1]Obs Tecnicas'!$D$2:$G$333,2,0),"")</f>
        <v>15644</v>
      </c>
      <c r="S8" s="13" t="str">
        <f>IFERROR(VLOOKUP(J8,'[1]Obs Tecnicas'!$D$2:$G$337,3,0),"Hexis")</f>
        <v>ER ANALITICA</v>
      </c>
      <c r="T8" s="13" t="str">
        <f>IFERROR(VLOOKUP(J8,'[1]Obs Tecnicas'!$D$2:$G$337,4,0),"")</f>
        <v>Filtro de 560nm manchado.</v>
      </c>
      <c r="U8" s="14" t="s">
        <v>291</v>
      </c>
      <c r="V8" s="14">
        <f t="shared" si="1"/>
        <v>3</v>
      </c>
      <c r="W8" s="20">
        <f>VLOOKUP(I8,Indicadores!$N$4:$Q$15,4,0)</f>
        <v>895.23</v>
      </c>
    </row>
    <row r="9" spans="1:23" s="23" customFormat="1" hidden="1">
      <c r="A9" s="13" t="s">
        <v>899</v>
      </c>
      <c r="B9" s="13" t="s">
        <v>306</v>
      </c>
      <c r="C9" s="15" t="s">
        <v>307</v>
      </c>
      <c r="D9" s="13" t="s">
        <v>308</v>
      </c>
      <c r="E9" s="13" t="s">
        <v>309</v>
      </c>
      <c r="F9" s="15" t="s">
        <v>310</v>
      </c>
      <c r="G9" s="13" t="s">
        <v>298</v>
      </c>
      <c r="H9" s="13" t="s">
        <v>202</v>
      </c>
      <c r="I9" s="13" t="s">
        <v>7</v>
      </c>
      <c r="J9" s="16" t="s">
        <v>311</v>
      </c>
      <c r="K9" s="13" t="s">
        <v>56</v>
      </c>
      <c r="L9" s="13" t="s">
        <v>57</v>
      </c>
      <c r="M9" s="13" t="s">
        <v>312</v>
      </c>
      <c r="N9" s="13" t="s">
        <v>305</v>
      </c>
      <c r="O9" s="17"/>
      <c r="P9" s="18">
        <f>IFERROR(VLOOKUP(J9,'[1]Obs Tecnicas'!$D$2:$I$313,5,0),O9)</f>
        <v>44333</v>
      </c>
      <c r="Q9" s="17" t="str">
        <f t="shared" ca="1" si="0"/>
        <v>Calibrado</v>
      </c>
      <c r="R9" s="19">
        <f>IFERROR(VLOOKUP(J9,'[1]Obs Tecnicas'!$D$2:$G$333,2,0),"")</f>
        <v>12322</v>
      </c>
      <c r="S9" s="13" t="str">
        <f>IFERROR(VLOOKUP(J9,'[1]Obs Tecnicas'!$D$2:$G$337,3,0),"Hexis")</f>
        <v>ER ANALITICA</v>
      </c>
      <c r="T9" s="13">
        <f>IFERROR(VLOOKUP(J9,'[1]Obs Tecnicas'!$D$2:$G$337,4,0),"")</f>
        <v>0</v>
      </c>
      <c r="U9" s="14" t="s">
        <v>291</v>
      </c>
      <c r="V9" s="14">
        <f t="shared" si="1"/>
        <v>5</v>
      </c>
      <c r="W9" s="20">
        <f>VLOOKUP(I9,Indicadores!$N$4:$Q$15,4,0)</f>
        <v>329.87</v>
      </c>
    </row>
    <row r="10" spans="1:23" hidden="1">
      <c r="A10" s="13" t="s">
        <v>899</v>
      </c>
      <c r="B10" s="13" t="s">
        <v>313</v>
      </c>
      <c r="C10" s="15" t="s">
        <v>314</v>
      </c>
      <c r="D10" s="13" t="s">
        <v>315</v>
      </c>
      <c r="E10" s="13" t="s">
        <v>316</v>
      </c>
      <c r="F10" s="15" t="s">
        <v>317</v>
      </c>
      <c r="G10" s="13" t="s">
        <v>318</v>
      </c>
      <c r="H10" s="13" t="s">
        <v>177</v>
      </c>
      <c r="I10" s="13" t="s">
        <v>3</v>
      </c>
      <c r="J10" s="16" t="s">
        <v>181</v>
      </c>
      <c r="K10" s="13" t="s">
        <v>21</v>
      </c>
      <c r="L10" s="13" t="s">
        <v>22</v>
      </c>
      <c r="M10" s="13" t="s">
        <v>178</v>
      </c>
      <c r="N10" s="13" t="s">
        <v>305</v>
      </c>
      <c r="O10" s="17">
        <v>44035</v>
      </c>
      <c r="P10" s="18">
        <f>IFERROR(VLOOKUP(J10,'[1]Obs Tecnicas'!$D$2:$I$313,5,0),O10)</f>
        <v>44426</v>
      </c>
      <c r="Q10" s="17" t="str">
        <f t="shared" ca="1" si="0"/>
        <v>Calibrado</v>
      </c>
      <c r="R10" s="19">
        <f>IFERROR(VLOOKUP(J10,'[1]Obs Tecnicas'!$D$2:$G$333,2,0),"")</f>
        <v>13440</v>
      </c>
      <c r="S10" s="13" t="str">
        <f>IFERROR(VLOOKUP(J10,'[1]Obs Tecnicas'!$D$2:$G$337,3,0),"Hexis")</f>
        <v>ER ANALITICA</v>
      </c>
      <c r="T10" s="13">
        <f>IFERROR(VLOOKUP(J10,'[1]Obs Tecnicas'!$D$2:$G$337,4,0),"")</f>
        <v>0</v>
      </c>
      <c r="U10" s="14" t="s">
        <v>291</v>
      </c>
      <c r="V10" s="14">
        <f t="shared" si="1"/>
        <v>8</v>
      </c>
      <c r="W10" s="20">
        <f>VLOOKUP(I10,Indicadores!$N$4:$Q$15,4,0)</f>
        <v>552.64</v>
      </c>
    </row>
    <row r="11" spans="1:23" hidden="1">
      <c r="A11" s="13" t="s">
        <v>899</v>
      </c>
      <c r="B11" s="13" t="s">
        <v>319</v>
      </c>
      <c r="C11" s="15" t="s">
        <v>320</v>
      </c>
      <c r="D11" s="13" t="s">
        <v>321</v>
      </c>
      <c r="E11" s="13" t="s">
        <v>322</v>
      </c>
      <c r="F11" s="15" t="s">
        <v>323</v>
      </c>
      <c r="G11" s="13" t="s">
        <v>289</v>
      </c>
      <c r="H11" s="13" t="s">
        <v>40</v>
      </c>
      <c r="I11" s="13" t="s">
        <v>2</v>
      </c>
      <c r="J11" s="16" t="s">
        <v>47</v>
      </c>
      <c r="K11" s="13" t="s">
        <v>48</v>
      </c>
      <c r="L11" s="13" t="s">
        <v>49</v>
      </c>
      <c r="M11" s="24" t="s">
        <v>41</v>
      </c>
      <c r="N11" s="13" t="s">
        <v>324</v>
      </c>
      <c r="O11" s="17">
        <v>44068</v>
      </c>
      <c r="P11" s="18">
        <f>IFERROR(VLOOKUP(J11,'[1]Obs Tecnicas'!$D$2:$I$313,5,0),O11)</f>
        <v>44459</v>
      </c>
      <c r="Q11" s="17" t="str">
        <f t="shared" ca="1" si="0"/>
        <v>Calibrado</v>
      </c>
      <c r="R11" s="19">
        <f>IFERROR(VLOOKUP(J11,'[1]Obs Tecnicas'!$D$2:$G$333,2,0),"")</f>
        <v>13827</v>
      </c>
      <c r="S11" s="13" t="str">
        <f>IFERROR(VLOOKUP(J11,'[1]Obs Tecnicas'!$D$2:$G$337,3,0),"Hexis")</f>
        <v>ER ANALITICA</v>
      </c>
      <c r="T11" s="13">
        <f>IFERROR(VLOOKUP(J11,'[1]Obs Tecnicas'!$D$2:$G$337,4,0),"")</f>
        <v>0</v>
      </c>
      <c r="U11" s="14" t="s">
        <v>291</v>
      </c>
      <c r="V11" s="14">
        <f t="shared" si="1"/>
        <v>9</v>
      </c>
      <c r="W11" s="20">
        <f>VLOOKUP(I11,Indicadores!$N$4:$Q$15,4,0)</f>
        <v>456.77</v>
      </c>
    </row>
    <row r="12" spans="1:23" hidden="1">
      <c r="A12" s="13" t="s">
        <v>899</v>
      </c>
      <c r="B12" s="13" t="s">
        <v>319</v>
      </c>
      <c r="C12" s="15" t="s">
        <v>320</v>
      </c>
      <c r="D12" s="13" t="s">
        <v>321</v>
      </c>
      <c r="E12" s="13" t="s">
        <v>322</v>
      </c>
      <c r="F12" s="15" t="s">
        <v>323</v>
      </c>
      <c r="G12" s="13" t="s">
        <v>289</v>
      </c>
      <c r="H12" s="13" t="s">
        <v>40</v>
      </c>
      <c r="I12" s="13" t="s">
        <v>7</v>
      </c>
      <c r="J12" s="16">
        <v>49483</v>
      </c>
      <c r="K12" s="13" t="s">
        <v>31</v>
      </c>
      <c r="L12" s="13" t="s">
        <v>53</v>
      </c>
      <c r="M12" s="24" t="s">
        <v>41</v>
      </c>
      <c r="N12" s="13" t="s">
        <v>324</v>
      </c>
      <c r="O12" s="17">
        <v>44068</v>
      </c>
      <c r="P12" s="18">
        <f>IFERROR(VLOOKUP(J12,'[1]Obs Tecnicas'!$D$2:$I$313,5,0),O12)</f>
        <v>44459</v>
      </c>
      <c r="Q12" s="17" t="str">
        <f t="shared" ca="1" si="0"/>
        <v>Calibrado</v>
      </c>
      <c r="R12" s="19">
        <f>IFERROR(VLOOKUP(J12,'[1]Obs Tecnicas'!$D$2:$G$333,2,0),"")</f>
        <v>13822</v>
      </c>
      <c r="S12" s="13" t="str">
        <f>IFERROR(VLOOKUP(J12,'[1]Obs Tecnicas'!$D$2:$G$337,3,0),"Hexis")</f>
        <v>ER ANALITICA</v>
      </c>
      <c r="T12" s="13">
        <f>IFERROR(VLOOKUP(J12,'[1]Obs Tecnicas'!$D$2:$G$337,4,0),"")</f>
        <v>0</v>
      </c>
      <c r="U12" s="14" t="s">
        <v>291</v>
      </c>
      <c r="V12" s="14">
        <f t="shared" si="1"/>
        <v>9</v>
      </c>
      <c r="W12" s="20">
        <f>VLOOKUP(I12,Indicadores!$N$4:$Q$15,4,0)</f>
        <v>329.87</v>
      </c>
    </row>
    <row r="13" spans="1:23" hidden="1">
      <c r="A13" s="13" t="s">
        <v>899</v>
      </c>
      <c r="B13" s="13" t="s">
        <v>319</v>
      </c>
      <c r="C13" s="15" t="s">
        <v>320</v>
      </c>
      <c r="D13" s="13" t="s">
        <v>321</v>
      </c>
      <c r="E13" s="13" t="s">
        <v>322</v>
      </c>
      <c r="F13" s="15" t="s">
        <v>323</v>
      </c>
      <c r="G13" s="13" t="s">
        <v>289</v>
      </c>
      <c r="H13" s="13" t="s">
        <v>40</v>
      </c>
      <c r="I13" s="13" t="s">
        <v>8</v>
      </c>
      <c r="J13" s="26" t="s">
        <v>43</v>
      </c>
      <c r="K13" s="13" t="s">
        <v>21</v>
      </c>
      <c r="L13" s="13" t="s">
        <v>44</v>
      </c>
      <c r="M13" s="24" t="s">
        <v>41</v>
      </c>
      <c r="N13" s="13" t="s">
        <v>324</v>
      </c>
      <c r="O13" s="17">
        <v>44068</v>
      </c>
      <c r="P13" s="18">
        <f>IFERROR(VLOOKUP(J13,'[1]Obs Tecnicas'!$D$2:$I$313,5,0),O13)</f>
        <v>44459</v>
      </c>
      <c r="Q13" s="17" t="str">
        <f t="shared" ca="1" si="0"/>
        <v>Calibrado</v>
      </c>
      <c r="R13" s="19">
        <f>IFERROR(VLOOKUP(J13,'[1]Obs Tecnicas'!$D$2:$G$333,2,0),"")</f>
        <v>13832</v>
      </c>
      <c r="S13" s="13" t="str">
        <f>IFERROR(VLOOKUP(J13,'[1]Obs Tecnicas'!$D$2:$G$337,3,0),"Hexis")</f>
        <v>ER ANALITICA</v>
      </c>
      <c r="T13" s="13" t="str">
        <f>IFERROR(VLOOKUP(J13,'[1]Obs Tecnicas'!$D$2:$G$337,4,0),"")</f>
        <v xml:space="preserve"> Equipamento sem a manta térmica centra</v>
      </c>
      <c r="U13" s="14" t="s">
        <v>291</v>
      </c>
      <c r="V13" s="14">
        <f t="shared" si="1"/>
        <v>9</v>
      </c>
      <c r="W13" s="20">
        <f>VLOOKUP(I13,Indicadores!$N$4:$Q$15,4,0)</f>
        <v>462.11</v>
      </c>
    </row>
    <row r="14" spans="1:23" hidden="1">
      <c r="A14" s="13" t="s">
        <v>899</v>
      </c>
      <c r="B14" s="13" t="s">
        <v>319</v>
      </c>
      <c r="C14" s="15" t="s">
        <v>320</v>
      </c>
      <c r="D14" s="13" t="s">
        <v>321</v>
      </c>
      <c r="E14" s="13" t="s">
        <v>322</v>
      </c>
      <c r="F14" s="15" t="s">
        <v>323</v>
      </c>
      <c r="G14" s="13" t="s">
        <v>289</v>
      </c>
      <c r="H14" s="13" t="s">
        <v>40</v>
      </c>
      <c r="I14" s="13" t="s">
        <v>9</v>
      </c>
      <c r="J14" s="26" t="s">
        <v>45</v>
      </c>
      <c r="K14" s="13" t="s">
        <v>21</v>
      </c>
      <c r="L14" s="13" t="s">
        <v>29</v>
      </c>
      <c r="M14" s="24" t="s">
        <v>41</v>
      </c>
      <c r="N14" s="13" t="s">
        <v>324</v>
      </c>
      <c r="O14" s="17">
        <v>44068</v>
      </c>
      <c r="P14" s="18">
        <f>IFERROR(VLOOKUP(J14,'[1]Obs Tecnicas'!$D$2:$I$313,5,0),O14)</f>
        <v>44459</v>
      </c>
      <c r="Q14" s="17" t="str">
        <f t="shared" ca="1" si="0"/>
        <v>Calibrado</v>
      </c>
      <c r="R14" s="19">
        <f>IFERROR(VLOOKUP(J14,'[1]Obs Tecnicas'!$D$2:$G$333,2,0),"")</f>
        <v>13829</v>
      </c>
      <c r="S14" s="13" t="str">
        <f>IFERROR(VLOOKUP(J14,'[1]Obs Tecnicas'!$D$2:$G$337,3,0),"Hexis")</f>
        <v>ER ANALITICA</v>
      </c>
      <c r="T14" s="13">
        <f>IFERROR(VLOOKUP(J14,'[1]Obs Tecnicas'!$D$2:$G$337,4,0),"")</f>
        <v>0</v>
      </c>
      <c r="U14" s="14" t="s">
        <v>291</v>
      </c>
      <c r="V14" s="14">
        <f t="shared" si="1"/>
        <v>9</v>
      </c>
      <c r="W14" s="20">
        <f>VLOOKUP(I14,Indicadores!$N$4:$Q$15,4,0)</f>
        <v>521.79999999999995</v>
      </c>
    </row>
    <row r="15" spans="1:23" hidden="1">
      <c r="A15" s="13" t="s">
        <v>899</v>
      </c>
      <c r="B15" s="13" t="s">
        <v>319</v>
      </c>
      <c r="C15" s="15" t="s">
        <v>320</v>
      </c>
      <c r="D15" s="13" t="s">
        <v>321</v>
      </c>
      <c r="E15" s="13" t="s">
        <v>322</v>
      </c>
      <c r="F15" s="15" t="s">
        <v>323</v>
      </c>
      <c r="G15" s="13" t="s">
        <v>289</v>
      </c>
      <c r="H15" s="13" t="s">
        <v>40</v>
      </c>
      <c r="I15" s="13" t="s">
        <v>5</v>
      </c>
      <c r="J15" s="16">
        <v>1426206</v>
      </c>
      <c r="K15" s="13" t="s">
        <v>21</v>
      </c>
      <c r="L15" s="13" t="s">
        <v>34</v>
      </c>
      <c r="M15" s="24" t="s">
        <v>41</v>
      </c>
      <c r="N15" s="13" t="s">
        <v>324</v>
      </c>
      <c r="O15" s="17">
        <v>44068</v>
      </c>
      <c r="P15" s="18">
        <f>IFERROR(VLOOKUP(J15,'[1]Obs Tecnicas'!$D$2:$I$313,5,0),O15)</f>
        <v>44459</v>
      </c>
      <c r="Q15" s="17" t="str">
        <f t="shared" ca="1" si="0"/>
        <v>Calibrado</v>
      </c>
      <c r="R15" s="19">
        <f>IFERROR(VLOOKUP(J15,'[1]Obs Tecnicas'!$D$2:$G$333,2,0),"")</f>
        <v>13831</v>
      </c>
      <c r="S15" s="13" t="str">
        <f>IFERROR(VLOOKUP(J15,'[1]Obs Tecnicas'!$D$2:$G$337,3,0),"Hexis")</f>
        <v>ER ANALITICA</v>
      </c>
      <c r="T15" s="13" t="str">
        <f>IFERROR(VLOOKUP(J15,'[1]Obs Tecnicas'!$D$2:$G$337,4,0),"")</f>
        <v xml:space="preserve"> Filtro óptico azul encontra-se oxidado e bateria de lítio responsável pelo armazenamento de dados e configurações do usuário está sem carga.</v>
      </c>
      <c r="U15" s="14" t="s">
        <v>291</v>
      </c>
      <c r="V15" s="14">
        <f t="shared" si="1"/>
        <v>9</v>
      </c>
      <c r="W15" s="20">
        <f>VLOOKUP(I15,Indicadores!$N$4:$Q$15,4,0)</f>
        <v>895.23</v>
      </c>
    </row>
    <row r="16" spans="1:23" hidden="1">
      <c r="A16" s="13" t="s">
        <v>899</v>
      </c>
      <c r="B16" s="13" t="s">
        <v>319</v>
      </c>
      <c r="C16" s="15" t="s">
        <v>320</v>
      </c>
      <c r="D16" s="13" t="s">
        <v>321</v>
      </c>
      <c r="E16" s="13" t="s">
        <v>322</v>
      </c>
      <c r="F16" s="15" t="s">
        <v>323</v>
      </c>
      <c r="G16" s="13" t="s">
        <v>289</v>
      </c>
      <c r="H16" s="13" t="s">
        <v>40</v>
      </c>
      <c r="I16" s="13" t="s">
        <v>2</v>
      </c>
      <c r="J16" s="16" t="s">
        <v>64</v>
      </c>
      <c r="K16" s="13" t="s">
        <v>48</v>
      </c>
      <c r="L16" s="13" t="s">
        <v>49</v>
      </c>
      <c r="M16" s="24" t="s">
        <v>41</v>
      </c>
      <c r="N16" s="13" t="s">
        <v>324</v>
      </c>
      <c r="O16" s="17">
        <v>44069</v>
      </c>
      <c r="P16" s="18">
        <f>IFERROR(VLOOKUP(J16,'[1]Obs Tecnicas'!$D$2:$I$313,5,0),O16)</f>
        <v>44459</v>
      </c>
      <c r="Q16" s="17" t="str">
        <f t="shared" ca="1" si="0"/>
        <v>Calibrado</v>
      </c>
      <c r="R16" s="19">
        <f>IFERROR(VLOOKUP(J16,'[1]Obs Tecnicas'!$D$2:$G$333,2,0),"")</f>
        <v>13833</v>
      </c>
      <c r="S16" s="13" t="str">
        <f>IFERROR(VLOOKUP(J16,'[1]Obs Tecnicas'!$D$2:$G$337,3,0),"Hexis")</f>
        <v>ER ANALITICA</v>
      </c>
      <c r="T16" s="13">
        <f>IFERROR(VLOOKUP(J16,'[1]Obs Tecnicas'!$D$2:$G$337,4,0),"")</f>
        <v>0</v>
      </c>
      <c r="U16" s="14" t="s">
        <v>291</v>
      </c>
      <c r="V16" s="14">
        <f t="shared" si="1"/>
        <v>9</v>
      </c>
      <c r="W16" s="20">
        <f>VLOOKUP(I16,Indicadores!$N$4:$Q$15,4,0)</f>
        <v>456.77</v>
      </c>
    </row>
    <row r="17" spans="1:23" hidden="1">
      <c r="A17" s="13" t="s">
        <v>899</v>
      </c>
      <c r="B17" s="13" t="s">
        <v>319</v>
      </c>
      <c r="C17" s="15" t="s">
        <v>320</v>
      </c>
      <c r="D17" s="13" t="s">
        <v>321</v>
      </c>
      <c r="E17" s="13" t="s">
        <v>322</v>
      </c>
      <c r="F17" s="15" t="s">
        <v>323</v>
      </c>
      <c r="G17" s="13" t="s">
        <v>289</v>
      </c>
      <c r="H17" s="13" t="s">
        <v>40</v>
      </c>
      <c r="I17" s="13" t="s">
        <v>4</v>
      </c>
      <c r="J17" s="16" t="s">
        <v>325</v>
      </c>
      <c r="K17" s="13" t="s">
        <v>26</v>
      </c>
      <c r="L17" s="24" t="s">
        <v>27</v>
      </c>
      <c r="M17" s="24" t="s">
        <v>41</v>
      </c>
      <c r="N17" s="13" t="s">
        <v>324</v>
      </c>
      <c r="O17" s="17">
        <v>44069</v>
      </c>
      <c r="P17" s="18">
        <f>IFERROR(VLOOKUP(J17,'[1]Obs Tecnicas'!$D$2:$I$313,5,0),O17)</f>
        <v>44459</v>
      </c>
      <c r="Q17" s="17" t="str">
        <f t="shared" ca="1" si="0"/>
        <v>Calibrado</v>
      </c>
      <c r="R17" s="19">
        <f>IFERROR(VLOOKUP(J17,'[1]Obs Tecnicas'!$D$2:$G$333,2,0),"")</f>
        <v>13928</v>
      </c>
      <c r="S17" s="13" t="str">
        <f>IFERROR(VLOOKUP(J17,'[1]Obs Tecnicas'!$D$2:$G$337,3,0),"Hexis")</f>
        <v>ER ANALITICA</v>
      </c>
      <c r="T17" s="13">
        <f>IFERROR(VLOOKUP(J17,'[1]Obs Tecnicas'!$D$2:$G$337,4,0),"")</f>
        <v>0</v>
      </c>
      <c r="U17" s="14" t="s">
        <v>291</v>
      </c>
      <c r="V17" s="14">
        <f t="shared" si="1"/>
        <v>9</v>
      </c>
      <c r="W17" s="20">
        <f>VLOOKUP(I17,Indicadores!$N$4:$Q$15,4,0)</f>
        <v>329.87</v>
      </c>
    </row>
    <row r="18" spans="1:23" hidden="1">
      <c r="A18" s="13" t="s">
        <v>899</v>
      </c>
      <c r="B18" s="13" t="s">
        <v>319</v>
      </c>
      <c r="C18" s="15" t="s">
        <v>320</v>
      </c>
      <c r="D18" s="13" t="s">
        <v>321</v>
      </c>
      <c r="E18" s="13" t="s">
        <v>322</v>
      </c>
      <c r="F18" s="15" t="s">
        <v>323</v>
      </c>
      <c r="G18" s="13" t="s">
        <v>289</v>
      </c>
      <c r="H18" s="13" t="s">
        <v>40</v>
      </c>
      <c r="I18" s="13" t="s">
        <v>4</v>
      </c>
      <c r="J18" s="16" t="s">
        <v>61</v>
      </c>
      <c r="K18" s="13" t="s">
        <v>62</v>
      </c>
      <c r="L18" s="13" t="s">
        <v>63</v>
      </c>
      <c r="M18" s="24" t="s">
        <v>41</v>
      </c>
      <c r="N18" s="13" t="s">
        <v>324</v>
      </c>
      <c r="O18" s="17">
        <v>44069</v>
      </c>
      <c r="P18" s="18">
        <f>IFERROR(VLOOKUP(J18,'[1]Obs Tecnicas'!$D$2:$I$313,5,0),O18)</f>
        <v>44459</v>
      </c>
      <c r="Q18" s="17" t="str">
        <f t="shared" ca="1" si="0"/>
        <v>Calibrado</v>
      </c>
      <c r="R18" s="19">
        <f>IFERROR(VLOOKUP(J18,'[1]Obs Tecnicas'!$D$2:$G$333,2,0),"")</f>
        <v>13837</v>
      </c>
      <c r="S18" s="13" t="str">
        <f>IFERROR(VLOOKUP(J18,'[1]Obs Tecnicas'!$D$2:$G$337,3,0),"Hexis")</f>
        <v>ER ANALITICA</v>
      </c>
      <c r="T18" s="13">
        <f>IFERROR(VLOOKUP(J18,'[1]Obs Tecnicas'!$D$2:$G$337,4,0),"")</f>
        <v>0</v>
      </c>
      <c r="U18" s="14" t="s">
        <v>291</v>
      </c>
      <c r="V18" s="14">
        <f t="shared" si="1"/>
        <v>9</v>
      </c>
      <c r="W18" s="20">
        <f>VLOOKUP(I18,Indicadores!$N$4:$Q$15,4,0)</f>
        <v>329.87</v>
      </c>
    </row>
    <row r="19" spans="1:23" s="23" customFormat="1" hidden="1">
      <c r="A19" s="13" t="s">
        <v>899</v>
      </c>
      <c r="B19" s="13" t="s">
        <v>319</v>
      </c>
      <c r="C19" s="15" t="s">
        <v>320</v>
      </c>
      <c r="D19" s="13" t="s">
        <v>321</v>
      </c>
      <c r="E19" s="13" t="s">
        <v>322</v>
      </c>
      <c r="F19" s="15" t="s">
        <v>323</v>
      </c>
      <c r="G19" s="13" t="s">
        <v>289</v>
      </c>
      <c r="H19" s="13" t="s">
        <v>40</v>
      </c>
      <c r="I19" s="13" t="s">
        <v>4</v>
      </c>
      <c r="J19" s="16" t="s">
        <v>68</v>
      </c>
      <c r="K19" s="13" t="s">
        <v>62</v>
      </c>
      <c r="L19" s="13" t="s">
        <v>63</v>
      </c>
      <c r="M19" s="24" t="s">
        <v>41</v>
      </c>
      <c r="N19" s="13" t="s">
        <v>324</v>
      </c>
      <c r="O19" s="17">
        <v>44069</v>
      </c>
      <c r="P19" s="18">
        <f>IFERROR(VLOOKUP(J19,'[1]Obs Tecnicas'!$D$2:$I$313,5,0),O19)</f>
        <v>44459</v>
      </c>
      <c r="Q19" s="17" t="str">
        <f t="shared" ca="1" si="0"/>
        <v>Calibrado</v>
      </c>
      <c r="R19" s="19">
        <f>IFERROR(VLOOKUP(J19,'[1]Obs Tecnicas'!$D$2:$G$333,2,0),"")</f>
        <v>13826</v>
      </c>
      <c r="S19" s="13" t="str">
        <f>IFERROR(VLOOKUP(J19,'[1]Obs Tecnicas'!$D$2:$G$337,3,0),"Hexis")</f>
        <v>ER ANALITICA</v>
      </c>
      <c r="T19" s="13">
        <f>IFERROR(VLOOKUP(J19,'[1]Obs Tecnicas'!$D$2:$G$337,4,0),"")</f>
        <v>0</v>
      </c>
      <c r="U19" s="14" t="s">
        <v>291</v>
      </c>
      <c r="V19" s="14">
        <f t="shared" si="1"/>
        <v>9</v>
      </c>
      <c r="W19" s="20">
        <f>VLOOKUP(I19,Indicadores!$N$4:$Q$15,4,0)</f>
        <v>329.87</v>
      </c>
    </row>
    <row r="20" spans="1:23" hidden="1">
      <c r="A20" s="13" t="s">
        <v>899</v>
      </c>
      <c r="B20" s="13" t="s">
        <v>319</v>
      </c>
      <c r="C20" s="15" t="s">
        <v>320</v>
      </c>
      <c r="D20" s="13" t="s">
        <v>321</v>
      </c>
      <c r="E20" s="13" t="s">
        <v>322</v>
      </c>
      <c r="F20" s="15" t="s">
        <v>323</v>
      </c>
      <c r="G20" s="13" t="s">
        <v>289</v>
      </c>
      <c r="H20" s="13" t="s">
        <v>40</v>
      </c>
      <c r="I20" s="13" t="s">
        <v>7</v>
      </c>
      <c r="J20" s="16">
        <v>893769</v>
      </c>
      <c r="K20" s="13" t="s">
        <v>56</v>
      </c>
      <c r="L20" s="13" t="s">
        <v>57</v>
      </c>
      <c r="M20" s="24" t="s">
        <v>41</v>
      </c>
      <c r="N20" s="13" t="s">
        <v>324</v>
      </c>
      <c r="O20" s="17">
        <v>44069</v>
      </c>
      <c r="P20" s="18">
        <f>IFERROR(VLOOKUP(J20,'[1]Obs Tecnicas'!$D$2:$I$313,5,0),O20)</f>
        <v>44459</v>
      </c>
      <c r="Q20" s="17" t="str">
        <f t="shared" ca="1" si="0"/>
        <v>Calibrado</v>
      </c>
      <c r="R20" s="19">
        <f>IFERROR(VLOOKUP(J20,'[1]Obs Tecnicas'!$D$2:$G$333,2,0),"")</f>
        <v>13926</v>
      </c>
      <c r="S20" s="13" t="str">
        <f>IFERROR(VLOOKUP(J20,'[1]Obs Tecnicas'!$D$2:$G$337,3,0),"Hexis")</f>
        <v>ER ANALITICA</v>
      </c>
      <c r="T20" s="13">
        <f>IFERROR(VLOOKUP(J20,'[1]Obs Tecnicas'!$D$2:$G$337,4,0),"")</f>
        <v>0</v>
      </c>
      <c r="U20" s="14" t="s">
        <v>291</v>
      </c>
      <c r="V20" s="14">
        <f t="shared" si="1"/>
        <v>9</v>
      </c>
      <c r="W20" s="20">
        <f>VLOOKUP(I20,Indicadores!$N$4:$Q$15,4,0)</f>
        <v>329.87</v>
      </c>
    </row>
    <row r="21" spans="1:23" hidden="1">
      <c r="A21" s="13" t="s">
        <v>899</v>
      </c>
      <c r="B21" s="13" t="s">
        <v>319</v>
      </c>
      <c r="C21" s="15" t="s">
        <v>320</v>
      </c>
      <c r="D21" s="13" t="s">
        <v>321</v>
      </c>
      <c r="E21" s="13" t="s">
        <v>322</v>
      </c>
      <c r="F21" s="15" t="s">
        <v>323</v>
      </c>
      <c r="G21" s="13" t="s">
        <v>289</v>
      </c>
      <c r="H21" s="13" t="s">
        <v>40</v>
      </c>
      <c r="I21" s="13" t="s">
        <v>7</v>
      </c>
      <c r="J21" s="16">
        <v>51302520</v>
      </c>
      <c r="K21" s="13" t="s">
        <v>58</v>
      </c>
      <c r="L21" s="13" t="s">
        <v>59</v>
      </c>
      <c r="M21" s="24" t="s">
        <v>41</v>
      </c>
      <c r="N21" s="13" t="s">
        <v>324</v>
      </c>
      <c r="O21" s="17">
        <v>44069</v>
      </c>
      <c r="P21" s="18">
        <f>IFERROR(VLOOKUP(J21,'[1]Obs Tecnicas'!$D$2:$I$313,5,0),O21)</f>
        <v>44459</v>
      </c>
      <c r="Q21" s="17" t="str">
        <f t="shared" ca="1" si="0"/>
        <v>Calibrado</v>
      </c>
      <c r="R21" s="19">
        <f>IFERROR(VLOOKUP(J21,'[1]Obs Tecnicas'!$D$2:$G$333,2,0),"")</f>
        <v>13838</v>
      </c>
      <c r="S21" s="13" t="str">
        <f>IFERROR(VLOOKUP(J21,'[1]Obs Tecnicas'!$D$2:$G$337,3,0),"Hexis")</f>
        <v>ER ANALITICA</v>
      </c>
      <c r="T21" s="13">
        <f>IFERROR(VLOOKUP(J21,'[1]Obs Tecnicas'!$D$2:$G$337,4,0),"")</f>
        <v>0</v>
      </c>
      <c r="U21" s="14" t="s">
        <v>291</v>
      </c>
      <c r="V21" s="14">
        <f t="shared" si="1"/>
        <v>9</v>
      </c>
      <c r="W21" s="20">
        <f>VLOOKUP(I21,Indicadores!$N$4:$Q$15,4,0)</f>
        <v>329.87</v>
      </c>
    </row>
    <row r="22" spans="1:23" hidden="1">
      <c r="A22" s="13" t="s">
        <v>899</v>
      </c>
      <c r="B22" s="13" t="s">
        <v>319</v>
      </c>
      <c r="C22" s="15" t="s">
        <v>320</v>
      </c>
      <c r="D22" s="13" t="s">
        <v>321</v>
      </c>
      <c r="E22" s="13" t="s">
        <v>322</v>
      </c>
      <c r="F22" s="15" t="s">
        <v>323</v>
      </c>
      <c r="G22" s="13" t="s">
        <v>289</v>
      </c>
      <c r="H22" s="13" t="s">
        <v>40</v>
      </c>
      <c r="I22" s="13" t="s">
        <v>7</v>
      </c>
      <c r="J22" s="16" t="s">
        <v>65</v>
      </c>
      <c r="K22" s="13" t="s">
        <v>66</v>
      </c>
      <c r="L22" s="13" t="s">
        <v>67</v>
      </c>
      <c r="M22" s="24" t="s">
        <v>41</v>
      </c>
      <c r="N22" s="13" t="s">
        <v>324</v>
      </c>
      <c r="O22" s="17">
        <v>44069</v>
      </c>
      <c r="P22" s="18">
        <f>IFERROR(VLOOKUP(J22,'[1]Obs Tecnicas'!$D$2:$I$313,5,0),O22)</f>
        <v>44459</v>
      </c>
      <c r="Q22" s="17" t="str">
        <f t="shared" ca="1" si="0"/>
        <v>Calibrado</v>
      </c>
      <c r="R22" s="19">
        <f>IFERROR(VLOOKUP(J22,'[1]Obs Tecnicas'!$D$2:$G$333,2,0),"")</f>
        <v>13834</v>
      </c>
      <c r="S22" s="13" t="str">
        <f>IFERROR(VLOOKUP(J22,'[1]Obs Tecnicas'!$D$2:$G$337,3,0),"Hexis")</f>
        <v>ER ANALITICA</v>
      </c>
      <c r="T22" s="13">
        <f>IFERROR(VLOOKUP(J22,'[1]Obs Tecnicas'!$D$2:$G$337,4,0),"")</f>
        <v>0</v>
      </c>
      <c r="U22" s="14" t="s">
        <v>291</v>
      </c>
      <c r="V22" s="14">
        <f t="shared" si="1"/>
        <v>9</v>
      </c>
      <c r="W22" s="20">
        <f>VLOOKUP(I22,Indicadores!$N$4:$Q$15,4,0)</f>
        <v>329.87</v>
      </c>
    </row>
    <row r="23" spans="1:23" hidden="1">
      <c r="A23" s="13" t="s">
        <v>899</v>
      </c>
      <c r="B23" s="13" t="s">
        <v>319</v>
      </c>
      <c r="C23" s="15" t="s">
        <v>320</v>
      </c>
      <c r="D23" s="13" t="s">
        <v>321</v>
      </c>
      <c r="E23" s="13" t="s">
        <v>322</v>
      </c>
      <c r="F23" s="15" t="s">
        <v>323</v>
      </c>
      <c r="G23" s="13" t="s">
        <v>289</v>
      </c>
      <c r="H23" s="13" t="s">
        <v>40</v>
      </c>
      <c r="I23" s="13" t="s">
        <v>7</v>
      </c>
      <c r="J23" s="16" t="s">
        <v>326</v>
      </c>
      <c r="K23" s="13" t="s">
        <v>31</v>
      </c>
      <c r="L23" s="13" t="s">
        <v>69</v>
      </c>
      <c r="M23" s="24" t="s">
        <v>41</v>
      </c>
      <c r="N23" s="13" t="s">
        <v>324</v>
      </c>
      <c r="O23" s="17">
        <v>44069</v>
      </c>
      <c r="P23" s="18">
        <f>IFERROR(VLOOKUP(J23,'[1]Obs Tecnicas'!$D$2:$I$313,5,0),O23)</f>
        <v>44459</v>
      </c>
      <c r="Q23" s="17" t="str">
        <f t="shared" ca="1" si="0"/>
        <v>Calibrado</v>
      </c>
      <c r="R23" s="19">
        <f>IFERROR(VLOOKUP(J23,'[1]Obs Tecnicas'!$D$2:$G$333,2,0),"")</f>
        <v>13828</v>
      </c>
      <c r="S23" s="13" t="str">
        <f>IFERROR(VLOOKUP(J23,'[1]Obs Tecnicas'!$D$2:$G$337,3,0),"Hexis")</f>
        <v>ER ANALITICA</v>
      </c>
      <c r="T23" s="13">
        <f>IFERROR(VLOOKUP(J23,'[1]Obs Tecnicas'!$D$2:$G$337,4,0),"")</f>
        <v>0</v>
      </c>
      <c r="U23" s="14" t="s">
        <v>291</v>
      </c>
      <c r="V23" s="14">
        <f t="shared" si="1"/>
        <v>9</v>
      </c>
      <c r="W23" s="20">
        <f>VLOOKUP(I23,Indicadores!$N$4:$Q$15,4,0)</f>
        <v>329.87</v>
      </c>
    </row>
    <row r="24" spans="1:23" hidden="1">
      <c r="A24" s="13" t="s">
        <v>899</v>
      </c>
      <c r="B24" s="13" t="s">
        <v>327</v>
      </c>
      <c r="C24" s="15" t="s">
        <v>328</v>
      </c>
      <c r="D24" s="13" t="s">
        <v>329</v>
      </c>
      <c r="E24" s="13" t="s">
        <v>327</v>
      </c>
      <c r="F24" s="15" t="s">
        <v>328</v>
      </c>
      <c r="G24" s="13" t="s">
        <v>330</v>
      </c>
      <c r="H24" s="13" t="s">
        <v>202</v>
      </c>
      <c r="I24" s="13" t="s">
        <v>5</v>
      </c>
      <c r="J24" s="16" t="s">
        <v>331</v>
      </c>
      <c r="K24" s="13" t="s">
        <v>21</v>
      </c>
      <c r="L24" s="13" t="s">
        <v>78</v>
      </c>
      <c r="M24" s="13" t="s">
        <v>211</v>
      </c>
      <c r="N24" s="13" t="s">
        <v>332</v>
      </c>
      <c r="O24" s="17">
        <v>44407</v>
      </c>
      <c r="P24" s="18">
        <f>IFERROR(VLOOKUP(J24,'[1]Obs Tecnicas'!$D$2:$I$313,5,0),O24)</f>
        <v>44407</v>
      </c>
      <c r="Q24" s="17" t="str">
        <f t="shared" ca="1" si="0"/>
        <v>Calibrado</v>
      </c>
      <c r="R24" s="19">
        <f>IFERROR(VLOOKUP(J24,'[1]Obs Tecnicas'!$D$2:$G$333,2,0),"")</f>
        <v>13313</v>
      </c>
      <c r="S24" s="13" t="str">
        <f>IFERROR(VLOOKUP(J24,'[1]Obs Tecnicas'!$D$2:$G$337,3,0),"Hexis")</f>
        <v>ER ANALITICA</v>
      </c>
      <c r="T24" s="13">
        <f>IFERROR(VLOOKUP(J24,'[1]Obs Tecnicas'!$D$2:$G$337,4,0),"")</f>
        <v>0</v>
      </c>
      <c r="U24" s="14" t="s">
        <v>291</v>
      </c>
      <c r="V24" s="14">
        <f t="shared" si="1"/>
        <v>7</v>
      </c>
      <c r="W24" s="20">
        <f>VLOOKUP(I24,Indicadores!$N$4:$Q$15,4,0)</f>
        <v>895.23</v>
      </c>
    </row>
    <row r="25" spans="1:23" hidden="1">
      <c r="A25" s="13" t="s">
        <v>899</v>
      </c>
      <c r="B25" s="13" t="s">
        <v>327</v>
      </c>
      <c r="C25" s="15" t="s">
        <v>328</v>
      </c>
      <c r="D25" s="13" t="s">
        <v>329</v>
      </c>
      <c r="E25" s="13" t="s">
        <v>327</v>
      </c>
      <c r="F25" s="15" t="s">
        <v>328</v>
      </c>
      <c r="G25" s="13" t="s">
        <v>330</v>
      </c>
      <c r="H25" s="13" t="s">
        <v>202</v>
      </c>
      <c r="I25" s="13" t="s">
        <v>835</v>
      </c>
      <c r="J25" s="16" t="s">
        <v>333</v>
      </c>
      <c r="K25" s="13" t="s">
        <v>26</v>
      </c>
      <c r="L25" s="13" t="s">
        <v>84</v>
      </c>
      <c r="M25" s="13" t="s">
        <v>211</v>
      </c>
      <c r="N25" s="13" t="s">
        <v>332</v>
      </c>
      <c r="O25" s="17">
        <v>44407</v>
      </c>
      <c r="P25" s="18">
        <f>IFERROR(VLOOKUP(J25,'[1]Obs Tecnicas'!$D$2:$I$313,5,0),O25)</f>
        <v>44407</v>
      </c>
      <c r="Q25" s="17" t="str">
        <f t="shared" ca="1" si="0"/>
        <v>Calibrado</v>
      </c>
      <c r="R25" s="19">
        <f>IFERROR(VLOOKUP(J25,'[1]Obs Tecnicas'!$D$2:$G$333,2,0),"")</f>
        <v>13312</v>
      </c>
      <c r="S25" s="13" t="str">
        <f>IFERROR(VLOOKUP(J25,'[1]Obs Tecnicas'!$D$2:$G$337,3,0),"Hexis")</f>
        <v>ER ANALITICA</v>
      </c>
      <c r="T25" s="13">
        <f>IFERROR(VLOOKUP(J25,'[1]Obs Tecnicas'!$D$2:$G$337,4,0),"")</f>
        <v>0</v>
      </c>
      <c r="U25" s="14" t="s">
        <v>291</v>
      </c>
      <c r="V25" s="14">
        <f t="shared" si="1"/>
        <v>7</v>
      </c>
      <c r="W25" s="20">
        <f>VLOOKUP(I25,Indicadores!$N$4:$Q$15,4,0)</f>
        <v>546.79</v>
      </c>
    </row>
    <row r="26" spans="1:23" hidden="1">
      <c r="A26" s="13" t="s">
        <v>899</v>
      </c>
      <c r="B26" s="13" t="s">
        <v>327</v>
      </c>
      <c r="C26" s="15" t="s">
        <v>328</v>
      </c>
      <c r="D26" s="13" t="s">
        <v>329</v>
      </c>
      <c r="E26" s="13" t="s">
        <v>327</v>
      </c>
      <c r="F26" s="15" t="s">
        <v>328</v>
      </c>
      <c r="G26" s="13" t="s">
        <v>330</v>
      </c>
      <c r="H26" s="13" t="s">
        <v>202</v>
      </c>
      <c r="I26" s="13" t="s">
        <v>7</v>
      </c>
      <c r="J26" s="16" t="s">
        <v>334</v>
      </c>
      <c r="K26" s="13" t="s">
        <v>31</v>
      </c>
      <c r="L26" s="13" t="s">
        <v>129</v>
      </c>
      <c r="M26" s="13" t="s">
        <v>211</v>
      </c>
      <c r="N26" s="13" t="s">
        <v>332</v>
      </c>
      <c r="O26" s="17">
        <v>44407</v>
      </c>
      <c r="P26" s="18">
        <f>IFERROR(VLOOKUP(J26,'[1]Obs Tecnicas'!$D$2:$I$313,5,0),O26)</f>
        <v>44407</v>
      </c>
      <c r="Q26" s="17" t="str">
        <f t="shared" ca="1" si="0"/>
        <v>Calibrado</v>
      </c>
      <c r="R26" s="19">
        <f>IFERROR(VLOOKUP(J26,'[1]Obs Tecnicas'!$D$2:$G$333,2,0),"")</f>
        <v>13310</v>
      </c>
      <c r="S26" s="13" t="str">
        <f>IFERROR(VLOOKUP(J26,'[1]Obs Tecnicas'!$D$2:$G$337,3,0),"Hexis")</f>
        <v>ER ANALITICA</v>
      </c>
      <c r="T26" s="13" t="str">
        <f>IFERROR(VLOOKUP(J26,'[1]Obs Tecnicas'!$D$2:$G$337,4,0),"")</f>
        <v>Conselhavel a troca do eletrodo, devido instabilidade nas leituras.</v>
      </c>
      <c r="U26" s="14" t="s">
        <v>291</v>
      </c>
      <c r="V26" s="14">
        <f t="shared" si="1"/>
        <v>7</v>
      </c>
      <c r="W26" s="20">
        <f>VLOOKUP(I26,Indicadores!$N$4:$Q$15,4,0)</f>
        <v>329.87</v>
      </c>
    </row>
    <row r="27" spans="1:23" hidden="1">
      <c r="A27" s="24" t="s">
        <v>899</v>
      </c>
      <c r="B27" s="24" t="s">
        <v>335</v>
      </c>
      <c r="C27" s="15" t="s">
        <v>336</v>
      </c>
      <c r="D27" s="13" t="s">
        <v>337</v>
      </c>
      <c r="E27" s="24" t="s">
        <v>338</v>
      </c>
      <c r="F27" s="15" t="s">
        <v>339</v>
      </c>
      <c r="G27" s="13" t="s">
        <v>298</v>
      </c>
      <c r="H27" s="13" t="s">
        <v>33</v>
      </c>
      <c r="I27" s="13" t="s">
        <v>4</v>
      </c>
      <c r="J27" s="16">
        <v>4222730</v>
      </c>
      <c r="K27" s="13" t="s">
        <v>26</v>
      </c>
      <c r="L27" s="24" t="s">
        <v>27</v>
      </c>
      <c r="M27" s="13" t="s">
        <v>35</v>
      </c>
      <c r="N27" s="13" t="s">
        <v>340</v>
      </c>
      <c r="O27" s="17">
        <v>44089</v>
      </c>
      <c r="P27" s="18">
        <f>IFERROR(VLOOKUP(J27,'[1]Obs Tecnicas'!$D$2:$I$313,5,0),O27)</f>
        <v>44455</v>
      </c>
      <c r="Q27" s="17" t="str">
        <f t="shared" ca="1" si="0"/>
        <v>Calibrado</v>
      </c>
      <c r="R27" s="19">
        <f>IFERROR(VLOOKUP(J27,'[1]Obs Tecnicas'!$D$2:$G$333,2,0),"")</f>
        <v>13761</v>
      </c>
      <c r="S27" s="13" t="str">
        <f>IFERROR(VLOOKUP(J27,'[1]Obs Tecnicas'!$D$2:$G$337,3,0),"Hexis")</f>
        <v>ER ANALITICA</v>
      </c>
      <c r="T27" s="13">
        <f>IFERROR(VLOOKUP(J27,'[1]Obs Tecnicas'!$D$2:$G$337,4,0),"")</f>
        <v>0</v>
      </c>
      <c r="U27" s="14" t="s">
        <v>291</v>
      </c>
      <c r="V27" s="14">
        <f t="shared" si="1"/>
        <v>9</v>
      </c>
      <c r="W27" s="20">
        <f>VLOOKUP(I27,Indicadores!$N$4:$Q$15,4,0)</f>
        <v>329.87</v>
      </c>
    </row>
    <row r="28" spans="1:23" hidden="1">
      <c r="A28" s="13" t="s">
        <v>899</v>
      </c>
      <c r="B28" s="24" t="s">
        <v>335</v>
      </c>
      <c r="C28" s="15" t="s">
        <v>336</v>
      </c>
      <c r="D28" s="13" t="s">
        <v>337</v>
      </c>
      <c r="E28" s="24" t="s">
        <v>338</v>
      </c>
      <c r="F28" s="15" t="s">
        <v>339</v>
      </c>
      <c r="G28" s="13" t="s">
        <v>298</v>
      </c>
      <c r="H28" s="13" t="s">
        <v>33</v>
      </c>
      <c r="I28" s="13" t="s">
        <v>5</v>
      </c>
      <c r="J28" s="16" t="s">
        <v>341</v>
      </c>
      <c r="K28" s="13" t="s">
        <v>21</v>
      </c>
      <c r="L28" s="13" t="s">
        <v>34</v>
      </c>
      <c r="M28" s="13" t="s">
        <v>35</v>
      </c>
      <c r="N28" s="13" t="s">
        <v>340</v>
      </c>
      <c r="O28" s="17">
        <v>44089</v>
      </c>
      <c r="P28" s="18">
        <f>IFERROR(VLOOKUP(J28,'[1]Obs Tecnicas'!$D$2:$I$313,5,0),O28)</f>
        <v>44455</v>
      </c>
      <c r="Q28" s="17" t="str">
        <f t="shared" ca="1" si="0"/>
        <v>Calibrado</v>
      </c>
      <c r="R28" s="19">
        <f>IFERROR(VLOOKUP(J28,'[1]Obs Tecnicas'!$D$2:$G$333,2,0),"")</f>
        <v>13764</v>
      </c>
      <c r="S28" s="13" t="str">
        <f>IFERROR(VLOOKUP(J28,'[1]Obs Tecnicas'!$D$2:$G$337,3,0),"Hexis")</f>
        <v>ER ANALITICA</v>
      </c>
      <c r="T28" s="13">
        <f>IFERROR(VLOOKUP(J28,'[1]Obs Tecnicas'!$D$2:$G$337,4,0),"")</f>
        <v>0</v>
      </c>
      <c r="U28" s="14" t="s">
        <v>291</v>
      </c>
      <c r="V28" s="14">
        <f t="shared" si="1"/>
        <v>9</v>
      </c>
      <c r="W28" s="20">
        <f>VLOOKUP(I28,Indicadores!$N$4:$Q$15,4,0)</f>
        <v>895.23</v>
      </c>
    </row>
    <row r="29" spans="1:23" hidden="1">
      <c r="A29" s="13" t="s">
        <v>899</v>
      </c>
      <c r="B29" s="24" t="s">
        <v>335</v>
      </c>
      <c r="C29" s="15" t="s">
        <v>336</v>
      </c>
      <c r="D29" s="13" t="s">
        <v>337</v>
      </c>
      <c r="E29" s="24" t="s">
        <v>338</v>
      </c>
      <c r="F29" s="15" t="s">
        <v>339</v>
      </c>
      <c r="G29" s="13" t="s">
        <v>298</v>
      </c>
      <c r="H29" s="13" t="s">
        <v>33</v>
      </c>
      <c r="I29" s="13" t="s">
        <v>7</v>
      </c>
      <c r="J29" s="165" t="s">
        <v>342</v>
      </c>
      <c r="K29" s="13" t="s">
        <v>343</v>
      </c>
      <c r="L29" s="13" t="s">
        <v>344</v>
      </c>
      <c r="M29" s="13" t="s">
        <v>35</v>
      </c>
      <c r="N29" s="13" t="s">
        <v>340</v>
      </c>
      <c r="P29" s="18">
        <f>IFERROR(VLOOKUP(J29,'[1]Obs Tecnicas'!$D$2:$I$313,5,0),O29)</f>
        <v>44455</v>
      </c>
      <c r="Q29" s="17" t="str">
        <f t="shared" ca="1" si="0"/>
        <v>Calibrado</v>
      </c>
      <c r="R29" s="19">
        <f>IFERROR(VLOOKUP(J29,'[1]Obs Tecnicas'!$D$2:$G$333,2,0),"")</f>
        <v>13762</v>
      </c>
      <c r="S29" s="13" t="str">
        <f>IFERROR(VLOOKUP(J29,'[1]Obs Tecnicas'!$D$2:$G$337,3,0),"Hexis")</f>
        <v>ER ANALITICA</v>
      </c>
      <c r="T29" s="13">
        <f>IFERROR(VLOOKUP(J29,'[1]Obs Tecnicas'!$D$2:$G$337,4,0),"")</f>
        <v>0</v>
      </c>
      <c r="U29" s="14" t="s">
        <v>291</v>
      </c>
      <c r="V29" s="14">
        <f t="shared" si="1"/>
        <v>9</v>
      </c>
      <c r="W29" s="20">
        <f>VLOOKUP(I29,Indicadores!$N$4:$Q$15,4,0)</f>
        <v>329.87</v>
      </c>
    </row>
    <row r="30" spans="1:23" hidden="1">
      <c r="A30" s="13" t="s">
        <v>899</v>
      </c>
      <c r="B30" s="24" t="s">
        <v>335</v>
      </c>
      <c r="C30" s="15" t="s">
        <v>336</v>
      </c>
      <c r="D30" s="13" t="s">
        <v>337</v>
      </c>
      <c r="E30" s="24" t="s">
        <v>338</v>
      </c>
      <c r="F30" s="15" t="s">
        <v>339</v>
      </c>
      <c r="G30" s="13" t="s">
        <v>298</v>
      </c>
      <c r="H30" s="13" t="s">
        <v>33</v>
      </c>
      <c r="I30" s="13" t="s">
        <v>7</v>
      </c>
      <c r="J30" s="165" t="s">
        <v>345</v>
      </c>
      <c r="K30" s="13" t="s">
        <v>343</v>
      </c>
      <c r="L30" s="13" t="s">
        <v>346</v>
      </c>
      <c r="M30" s="13" t="s">
        <v>35</v>
      </c>
      <c r="N30" s="13" t="s">
        <v>340</v>
      </c>
      <c r="P30" s="18">
        <f>IFERROR(VLOOKUP(J30,'[1]Obs Tecnicas'!$D$2:$I$313,5,0),O30)</f>
        <v>44455</v>
      </c>
      <c r="Q30" s="17" t="str">
        <f t="shared" ca="1" si="0"/>
        <v>Calibrado</v>
      </c>
      <c r="R30" s="19">
        <f>IFERROR(VLOOKUP(J30,'[1]Obs Tecnicas'!$D$2:$G$333,2,0),"")</f>
        <v>13763</v>
      </c>
      <c r="S30" s="13" t="str">
        <f>IFERROR(VLOOKUP(J30,'[1]Obs Tecnicas'!$D$2:$G$337,3,0),"Hexis")</f>
        <v>ER ANALITICA</v>
      </c>
      <c r="T30" s="13">
        <f>IFERROR(VLOOKUP(J30,'[1]Obs Tecnicas'!$D$2:$G$337,4,0),"")</f>
        <v>0</v>
      </c>
      <c r="U30" s="14" t="s">
        <v>291</v>
      </c>
      <c r="V30" s="14">
        <f t="shared" si="1"/>
        <v>9</v>
      </c>
      <c r="W30" s="20">
        <f>VLOOKUP(I30,Indicadores!$N$4:$Q$15,4,0)</f>
        <v>329.87</v>
      </c>
    </row>
    <row r="31" spans="1:23" hidden="1">
      <c r="A31" s="13" t="s">
        <v>899</v>
      </c>
      <c r="B31" s="24" t="s">
        <v>347</v>
      </c>
      <c r="C31" s="15" t="s">
        <v>348</v>
      </c>
      <c r="D31" s="166" t="s">
        <v>349</v>
      </c>
      <c r="E31" s="167" t="s">
        <v>350</v>
      </c>
      <c r="F31" s="15" t="s">
        <v>351</v>
      </c>
      <c r="G31" s="13" t="s">
        <v>352</v>
      </c>
      <c r="H31" s="13" t="s">
        <v>202</v>
      </c>
      <c r="I31" s="13" t="s">
        <v>3</v>
      </c>
      <c r="J31" s="16" t="s">
        <v>251</v>
      </c>
      <c r="K31" s="13" t="s">
        <v>21</v>
      </c>
      <c r="L31" s="13" t="s">
        <v>22</v>
      </c>
      <c r="M31" s="24" t="s">
        <v>250</v>
      </c>
      <c r="N31" s="13" t="s">
        <v>353</v>
      </c>
      <c r="O31" s="17">
        <v>44012</v>
      </c>
      <c r="P31" s="18">
        <f>IFERROR(VLOOKUP(J31,'[1]Obs Tecnicas'!$D$2:$I$313,5,0),O31)</f>
        <v>44370</v>
      </c>
      <c r="Q31" s="17" t="str">
        <f t="shared" ca="1" si="0"/>
        <v>Calibrado</v>
      </c>
      <c r="R31" s="19">
        <f>IFERROR(VLOOKUP(J31,'[1]Obs Tecnicas'!$D$2:$G$333,2,0),"")</f>
        <v>12665</v>
      </c>
      <c r="S31" s="13" t="str">
        <f>IFERROR(VLOOKUP(J31,'[1]Obs Tecnicas'!$D$2:$G$337,3,0),"Hexis")</f>
        <v>ER ANALITICA</v>
      </c>
      <c r="T31" s="13">
        <f>IFERROR(VLOOKUP(J31,'[1]Obs Tecnicas'!$D$2:$G$337,4,0),"")</f>
        <v>0</v>
      </c>
      <c r="U31" s="14" t="s">
        <v>291</v>
      </c>
      <c r="V31" s="14">
        <f t="shared" si="1"/>
        <v>6</v>
      </c>
      <c r="W31" s="20">
        <f>VLOOKUP(I31,Indicadores!$N$4:$Q$15,4,0)</f>
        <v>552.64</v>
      </c>
    </row>
    <row r="32" spans="1:23" hidden="1">
      <c r="A32" s="13" t="s">
        <v>899</v>
      </c>
      <c r="B32" s="24" t="s">
        <v>347</v>
      </c>
      <c r="C32" s="15" t="s">
        <v>348</v>
      </c>
      <c r="D32" s="166" t="s">
        <v>349</v>
      </c>
      <c r="E32" s="167" t="s">
        <v>350</v>
      </c>
      <c r="F32" s="15" t="s">
        <v>351</v>
      </c>
      <c r="G32" s="13" t="s">
        <v>352</v>
      </c>
      <c r="H32" s="13" t="s">
        <v>202</v>
      </c>
      <c r="I32" s="13" t="s">
        <v>4</v>
      </c>
      <c r="J32" s="16" t="s">
        <v>354</v>
      </c>
      <c r="K32" s="13" t="s">
        <v>31</v>
      </c>
      <c r="L32" s="13" t="s">
        <v>74</v>
      </c>
      <c r="M32" s="13" t="s">
        <v>250</v>
      </c>
      <c r="N32" s="13" t="s">
        <v>353</v>
      </c>
      <c r="O32" s="17">
        <v>44012</v>
      </c>
      <c r="P32" s="18">
        <f>IFERROR(VLOOKUP(J32,'[1]Obs Tecnicas'!$D$2:$I$313,5,0),O32)</f>
        <v>44370</v>
      </c>
      <c r="Q32" s="17" t="str">
        <f t="shared" ca="1" si="0"/>
        <v>Calibrado</v>
      </c>
      <c r="R32" s="19">
        <f>IFERROR(VLOOKUP(J32,'[1]Obs Tecnicas'!$D$2:$G$333,2,0),"")</f>
        <v>12664</v>
      </c>
      <c r="S32" s="13" t="str">
        <f>IFERROR(VLOOKUP(J32,'[1]Obs Tecnicas'!$D$2:$G$337,3,0),"Hexis")</f>
        <v>ER ANALITICA</v>
      </c>
      <c r="T32" s="13">
        <f>IFERROR(VLOOKUP(J32,'[1]Obs Tecnicas'!$D$2:$G$337,4,0),"")</f>
        <v>0</v>
      </c>
      <c r="U32" s="14" t="s">
        <v>291</v>
      </c>
      <c r="V32" s="14">
        <f t="shared" si="1"/>
        <v>6</v>
      </c>
      <c r="W32" s="20">
        <f>VLOOKUP(I32,Indicadores!$N$4:$Q$15,4,0)</f>
        <v>329.87</v>
      </c>
    </row>
    <row r="33" spans="1:23" hidden="1">
      <c r="A33" s="13" t="s">
        <v>899</v>
      </c>
      <c r="B33" s="13" t="s">
        <v>355</v>
      </c>
      <c r="C33" s="15" t="s">
        <v>356</v>
      </c>
      <c r="D33" s="13" t="s">
        <v>357</v>
      </c>
      <c r="E33" s="13" t="s">
        <v>735</v>
      </c>
      <c r="F33" s="15" t="s">
        <v>736</v>
      </c>
      <c r="G33" s="13" t="s">
        <v>330</v>
      </c>
      <c r="H33" s="13" t="s">
        <v>202</v>
      </c>
      <c r="I33" s="13" t="s">
        <v>2</v>
      </c>
      <c r="J33" s="16" t="s">
        <v>231</v>
      </c>
      <c r="K33" s="13" t="s">
        <v>232</v>
      </c>
      <c r="L33" s="13" t="s">
        <v>93</v>
      </c>
      <c r="M33" s="13" t="s">
        <v>230</v>
      </c>
      <c r="N33" s="13" t="s">
        <v>358</v>
      </c>
      <c r="O33" s="17">
        <v>44173</v>
      </c>
      <c r="P33" s="18">
        <f>IFERROR(VLOOKUP(J33,'[1]Obs Tecnicas'!$D$2:$I$313,5,0),O33)</f>
        <v>44678</v>
      </c>
      <c r="Q33" s="17" t="str">
        <f t="shared" ca="1" si="0"/>
        <v>Calibrado</v>
      </c>
      <c r="R33" s="19">
        <f>IFERROR(VLOOKUP(J33,'[1]Obs Tecnicas'!$D$2:$G$333,2,0),"")</f>
        <v>16228</v>
      </c>
      <c r="S33" s="13" t="str">
        <f>IFERROR(VLOOKUP(J33,'[1]Obs Tecnicas'!$D$2:$G$337,3,0),"Hexis")</f>
        <v>ER ANALITICA</v>
      </c>
      <c r="T33" s="13">
        <f>IFERROR(VLOOKUP(J33,'[1]Obs Tecnicas'!$D$2:$G$337,4,0),"")</f>
        <v>0</v>
      </c>
      <c r="U33" s="14" t="s">
        <v>291</v>
      </c>
      <c r="V33" s="14">
        <f t="shared" si="1"/>
        <v>4</v>
      </c>
      <c r="W33" s="20">
        <f>VLOOKUP(I33,Indicadores!$N$4:$Q$15,4,0)</f>
        <v>456.77</v>
      </c>
    </row>
    <row r="34" spans="1:23" hidden="1">
      <c r="A34" s="13" t="s">
        <v>899</v>
      </c>
      <c r="B34" s="13" t="s">
        <v>355</v>
      </c>
      <c r="C34" s="15" t="s">
        <v>356</v>
      </c>
      <c r="D34" s="13" t="s">
        <v>357</v>
      </c>
      <c r="E34" s="13" t="s">
        <v>735</v>
      </c>
      <c r="F34" s="15" t="s">
        <v>736</v>
      </c>
      <c r="G34" s="13" t="s">
        <v>330</v>
      </c>
      <c r="H34" s="13" t="s">
        <v>202</v>
      </c>
      <c r="I34" s="13" t="s">
        <v>4</v>
      </c>
      <c r="J34" s="16" t="s">
        <v>360</v>
      </c>
      <c r="K34" s="13" t="s">
        <v>31</v>
      </c>
      <c r="L34" s="13" t="s">
        <v>74</v>
      </c>
      <c r="M34" s="13" t="s">
        <v>230</v>
      </c>
      <c r="N34" s="13" t="s">
        <v>358</v>
      </c>
      <c r="O34" s="17">
        <v>44173</v>
      </c>
      <c r="P34" s="18">
        <f>IFERROR(VLOOKUP(J34,'[1]Obs Tecnicas'!$D$2:$I$313,5,0),O34)</f>
        <v>44678</v>
      </c>
      <c r="Q34" s="17" t="str">
        <f t="shared" ref="Q34:Q65" ca="1" si="2">IF(P34&lt;&gt;"",IF(P34+365&gt;TODAY(),"Calibrado","Vencido"),"")</f>
        <v>Calibrado</v>
      </c>
      <c r="R34" s="19">
        <f>IFERROR(VLOOKUP(J34,'[1]Obs Tecnicas'!$D$2:$G$333,2,0),"")</f>
        <v>16229</v>
      </c>
      <c r="S34" s="13" t="str">
        <f>IFERROR(VLOOKUP(J34,'[1]Obs Tecnicas'!$D$2:$G$337,3,0),"Hexis")</f>
        <v>ER ANALITICA</v>
      </c>
      <c r="T34" s="13">
        <f>IFERROR(VLOOKUP(J34,'[1]Obs Tecnicas'!$D$2:$G$337,4,0),"")</f>
        <v>0</v>
      </c>
      <c r="U34" s="14" t="s">
        <v>291</v>
      </c>
      <c r="V34" s="14">
        <f t="shared" ref="V34:V63" si="3">IF(P34&lt;&gt;"",MONTH(P34),"")</f>
        <v>4</v>
      </c>
      <c r="W34" s="20">
        <f>VLOOKUP(I34,Indicadores!$N$4:$Q$15,4,0)</f>
        <v>329.87</v>
      </c>
    </row>
    <row r="35" spans="1:23" hidden="1">
      <c r="A35" s="13" t="s">
        <v>899</v>
      </c>
      <c r="B35" s="13" t="s">
        <v>355</v>
      </c>
      <c r="C35" s="15" t="s">
        <v>356</v>
      </c>
      <c r="D35" s="13" t="s">
        <v>357</v>
      </c>
      <c r="E35" s="13" t="s">
        <v>735</v>
      </c>
      <c r="F35" s="15" t="s">
        <v>736</v>
      </c>
      <c r="G35" s="13" t="s">
        <v>330</v>
      </c>
      <c r="H35" s="13" t="s">
        <v>202</v>
      </c>
      <c r="I35" s="13" t="s">
        <v>4</v>
      </c>
      <c r="J35" s="16" t="s">
        <v>361</v>
      </c>
      <c r="K35" s="13" t="s">
        <v>26</v>
      </c>
      <c r="L35" s="24" t="s">
        <v>27</v>
      </c>
      <c r="M35" s="13" t="s">
        <v>230</v>
      </c>
      <c r="N35" s="13" t="s">
        <v>358</v>
      </c>
      <c r="O35" s="17">
        <v>44173</v>
      </c>
      <c r="P35" s="18">
        <f>IFERROR(VLOOKUP(J35,'[1]Obs Tecnicas'!$D$2:$I$313,5,0),O35)</f>
        <v>44678</v>
      </c>
      <c r="Q35" s="17" t="str">
        <f t="shared" ca="1" si="2"/>
        <v>Calibrado</v>
      </c>
      <c r="R35" s="19">
        <f>IFERROR(VLOOKUP(J35,'[1]Obs Tecnicas'!$D$2:$G$333,2,0),"")</f>
        <v>16230</v>
      </c>
      <c r="S35" s="13" t="str">
        <f>IFERROR(VLOOKUP(J35,'[1]Obs Tecnicas'!$D$2:$G$337,3,0),"Hexis")</f>
        <v>ER ANALITICA</v>
      </c>
      <c r="T35" s="13">
        <f>IFERROR(VLOOKUP(J35,'[1]Obs Tecnicas'!$D$2:$G$337,4,0),"")</f>
        <v>0</v>
      </c>
      <c r="U35" s="14" t="s">
        <v>291</v>
      </c>
      <c r="V35" s="14">
        <f t="shared" si="3"/>
        <v>4</v>
      </c>
      <c r="W35" s="20">
        <f>VLOOKUP(I35,Indicadores!$N$4:$Q$15,4,0)</f>
        <v>329.87</v>
      </c>
    </row>
    <row r="36" spans="1:23" hidden="1">
      <c r="A36" s="13" t="s">
        <v>899</v>
      </c>
      <c r="B36" s="13" t="s">
        <v>1487</v>
      </c>
      <c r="C36" s="15" t="s">
        <v>1488</v>
      </c>
      <c r="E36" s="13" t="s">
        <v>735</v>
      </c>
      <c r="F36" s="15" t="s">
        <v>736</v>
      </c>
      <c r="G36" s="13" t="s">
        <v>330</v>
      </c>
      <c r="H36" s="13" t="s">
        <v>202</v>
      </c>
      <c r="I36" s="13" t="s">
        <v>5</v>
      </c>
      <c r="J36" s="16" t="s">
        <v>362</v>
      </c>
      <c r="K36" s="13" t="s">
        <v>21</v>
      </c>
      <c r="L36" s="13" t="s">
        <v>78</v>
      </c>
      <c r="M36" s="13" t="s">
        <v>1489</v>
      </c>
      <c r="N36" s="13" t="s">
        <v>358</v>
      </c>
      <c r="O36" s="17">
        <v>44173</v>
      </c>
      <c r="P36" s="18">
        <f>IFERROR(VLOOKUP(J36,'[1]Obs Tecnicas'!$D$2:$I$313,5,0),O36)</f>
        <v>44678</v>
      </c>
      <c r="Q36" s="17" t="str">
        <f t="shared" ca="1" si="2"/>
        <v>Calibrado</v>
      </c>
      <c r="R36" s="19">
        <f>IFERROR(VLOOKUP(J36,'[1]Obs Tecnicas'!$D$2:$G$333,2,0),"")</f>
        <v>16237</v>
      </c>
      <c r="S36" s="13" t="str">
        <f>IFERROR(VLOOKUP(J36,'[1]Obs Tecnicas'!$D$2:$G$337,3,0),"Hexis")</f>
        <v>ER ANALITICA</v>
      </c>
      <c r="T36" s="13" t="str">
        <f>IFERROR(VLOOKUP(J36,'[1]Obs Tecnicas'!$D$2:$G$337,4,0),"")</f>
        <v xml:space="preserve"> Filtro óptico azul manchado e lâmpada de tungstênio com vida útil avançada.</v>
      </c>
      <c r="U36" s="14" t="s">
        <v>291</v>
      </c>
      <c r="V36" s="14">
        <f t="shared" si="3"/>
        <v>4</v>
      </c>
      <c r="W36" s="20">
        <f>VLOOKUP(I36,Indicadores!$N$4:$Q$15,4,0)</f>
        <v>895.23</v>
      </c>
    </row>
    <row r="37" spans="1:23" hidden="1">
      <c r="A37" s="13" t="s">
        <v>899</v>
      </c>
      <c r="B37" s="13" t="s">
        <v>355</v>
      </c>
      <c r="C37" s="15" t="s">
        <v>356</v>
      </c>
      <c r="D37" s="13" t="s">
        <v>357</v>
      </c>
      <c r="E37" s="13" t="s">
        <v>735</v>
      </c>
      <c r="F37" s="15" t="s">
        <v>736</v>
      </c>
      <c r="G37" s="13" t="s">
        <v>330</v>
      </c>
      <c r="H37" s="13" t="s">
        <v>202</v>
      </c>
      <c r="I37" s="13" t="s">
        <v>5</v>
      </c>
      <c r="J37" s="16" t="s">
        <v>363</v>
      </c>
      <c r="K37" s="13" t="s">
        <v>21</v>
      </c>
      <c r="L37" s="13" t="s">
        <v>80</v>
      </c>
      <c r="M37" s="13" t="s">
        <v>230</v>
      </c>
      <c r="N37" s="13" t="s">
        <v>358</v>
      </c>
      <c r="O37" s="17">
        <v>44173</v>
      </c>
      <c r="P37" s="18">
        <f>IFERROR(VLOOKUP(J37,'[1]Obs Tecnicas'!$D$2:$I$313,5,0),O37)</f>
        <v>44678</v>
      </c>
      <c r="Q37" s="17" t="str">
        <f t="shared" ca="1" si="2"/>
        <v>Calibrado</v>
      </c>
      <c r="R37" s="19">
        <f>IFERROR(VLOOKUP(J37,'[1]Obs Tecnicas'!$D$2:$G$333,2,0),"")</f>
        <v>16226</v>
      </c>
      <c r="S37" s="13" t="str">
        <f>IFERROR(VLOOKUP(J37,'[1]Obs Tecnicas'!$D$2:$G$337,3,0),"Hexis")</f>
        <v>ER ANALITICA</v>
      </c>
      <c r="T37" s="13" t="str">
        <f>IFERROR(VLOOKUP(J37,'[1]Obs Tecnicas'!$D$2:$G$337,4,0),"")</f>
        <v>Carcaça superior danificada, necessário troca na próxima manutenção.</v>
      </c>
      <c r="U37" s="14" t="s">
        <v>291</v>
      </c>
      <c r="V37" s="14">
        <f t="shared" si="3"/>
        <v>4</v>
      </c>
      <c r="W37" s="20">
        <f>VLOOKUP(I37,Indicadores!$N$4:$Q$15,4,0)</f>
        <v>895.23</v>
      </c>
    </row>
    <row r="38" spans="1:23" hidden="1">
      <c r="A38" s="24" t="s">
        <v>899</v>
      </c>
      <c r="B38" s="24" t="s">
        <v>1490</v>
      </c>
      <c r="C38" s="15" t="s">
        <v>1146</v>
      </c>
      <c r="D38" s="13" t="s">
        <v>1491</v>
      </c>
      <c r="E38" s="13" t="s">
        <v>735</v>
      </c>
      <c r="F38" s="15" t="s">
        <v>736</v>
      </c>
      <c r="G38" s="13" t="s">
        <v>330</v>
      </c>
      <c r="H38" s="13" t="s">
        <v>202</v>
      </c>
      <c r="I38" s="13" t="s">
        <v>5</v>
      </c>
      <c r="J38" s="16">
        <v>142380001014</v>
      </c>
      <c r="K38" s="13" t="s">
        <v>21</v>
      </c>
      <c r="L38" s="13" t="s">
        <v>80</v>
      </c>
      <c r="M38" s="13" t="s">
        <v>230</v>
      </c>
      <c r="N38" s="13" t="s">
        <v>358</v>
      </c>
      <c r="O38" s="17">
        <v>44173</v>
      </c>
      <c r="P38" s="18">
        <f>IFERROR(VLOOKUP(J38,'[1]Obs Tecnicas'!$D$2:$I$313,5,0),O38)</f>
        <v>44678</v>
      </c>
      <c r="Q38" s="17" t="str">
        <f t="shared" ca="1" si="2"/>
        <v>Calibrado</v>
      </c>
      <c r="R38" s="19">
        <f>IFERROR(VLOOKUP(J38,'[1]Obs Tecnicas'!$D$2:$G$333,2,0),"")</f>
        <v>16231</v>
      </c>
      <c r="S38" s="13" t="str">
        <f>IFERROR(VLOOKUP(J38,'[1]Obs Tecnicas'!$D$2:$G$337,3,0),"Hexis")</f>
        <v>ER ANALITICA</v>
      </c>
      <c r="T38" s="13">
        <f>IFERROR(VLOOKUP(J38,'[1]Obs Tecnicas'!$D$2:$G$337,4,0),"")</f>
        <v>0</v>
      </c>
      <c r="U38" s="14" t="s">
        <v>291</v>
      </c>
      <c r="V38" s="14">
        <f t="shared" si="3"/>
        <v>4</v>
      </c>
      <c r="W38" s="20">
        <f>VLOOKUP(I38,Indicadores!$N$4:$Q$15,4,0)</f>
        <v>895.23</v>
      </c>
    </row>
    <row r="39" spans="1:23" hidden="1">
      <c r="A39" s="13" t="s">
        <v>899</v>
      </c>
      <c r="B39" s="13" t="s">
        <v>1490</v>
      </c>
      <c r="C39" s="15" t="s">
        <v>1146</v>
      </c>
      <c r="D39" s="13" t="s">
        <v>1491</v>
      </c>
      <c r="E39" s="13" t="s">
        <v>735</v>
      </c>
      <c r="F39" s="15" t="s">
        <v>736</v>
      </c>
      <c r="G39" s="13" t="s">
        <v>330</v>
      </c>
      <c r="H39" s="13" t="s">
        <v>202</v>
      </c>
      <c r="I39" s="13" t="s">
        <v>835</v>
      </c>
      <c r="J39" s="16" t="s">
        <v>364</v>
      </c>
      <c r="K39" s="13" t="s">
        <v>26</v>
      </c>
      <c r="L39" s="13" t="s">
        <v>84</v>
      </c>
      <c r="M39" s="13" t="s">
        <v>230</v>
      </c>
      <c r="N39" s="13" t="s">
        <v>358</v>
      </c>
      <c r="O39" s="17">
        <v>44173</v>
      </c>
      <c r="P39" s="18">
        <f>IFERROR(VLOOKUP(J39,'[1]Obs Tecnicas'!$D$2:$I$313,5,0),O39)</f>
        <v>44678</v>
      </c>
      <c r="Q39" s="17" t="str">
        <f t="shared" ca="1" si="2"/>
        <v>Calibrado</v>
      </c>
      <c r="R39" s="19">
        <f>IFERROR(VLOOKUP(J39,'[1]Obs Tecnicas'!$D$2:$G$333,2,0),"")</f>
        <v>16225</v>
      </c>
      <c r="S39" s="13" t="str">
        <f>IFERROR(VLOOKUP(J39,'[1]Obs Tecnicas'!$D$2:$G$337,3,0),"Hexis")</f>
        <v>ER ANALITICA</v>
      </c>
      <c r="T39" s="13">
        <f>IFERROR(VLOOKUP(J39,'[1]Obs Tecnicas'!$D$2:$G$337,4,0),"")</f>
        <v>0</v>
      </c>
      <c r="U39" s="14" t="s">
        <v>291</v>
      </c>
      <c r="V39" s="14">
        <f t="shared" si="3"/>
        <v>4</v>
      </c>
      <c r="W39" s="20">
        <f>VLOOKUP(I39,Indicadores!$N$4:$Q$15,4,0)</f>
        <v>546.79</v>
      </c>
    </row>
    <row r="40" spans="1:23" hidden="1">
      <c r="A40" s="13" t="s">
        <v>899</v>
      </c>
      <c r="B40" s="13" t="s">
        <v>355</v>
      </c>
      <c r="C40" s="15" t="s">
        <v>356</v>
      </c>
      <c r="D40" s="13" t="s">
        <v>357</v>
      </c>
      <c r="E40" s="13" t="s">
        <v>735</v>
      </c>
      <c r="F40" s="15" t="s">
        <v>736</v>
      </c>
      <c r="G40" s="13" t="s">
        <v>330</v>
      </c>
      <c r="H40" s="13" t="s">
        <v>202</v>
      </c>
      <c r="I40" s="13" t="s">
        <v>7</v>
      </c>
      <c r="J40" s="26" t="s">
        <v>365</v>
      </c>
      <c r="K40" s="13" t="s">
        <v>31</v>
      </c>
      <c r="L40" s="13" t="s">
        <v>53</v>
      </c>
      <c r="M40" s="13" t="s">
        <v>230</v>
      </c>
      <c r="N40" s="13" t="s">
        <v>358</v>
      </c>
      <c r="O40" s="17">
        <v>44173</v>
      </c>
      <c r="P40" s="18">
        <f>IFERROR(VLOOKUP(J40,'[1]Obs Tecnicas'!$D$2:$I$313,5,0),O40)</f>
        <v>44678</v>
      </c>
      <c r="Q40" s="17" t="str">
        <f t="shared" ca="1" si="2"/>
        <v>Calibrado</v>
      </c>
      <c r="R40" s="19">
        <f>IFERROR(VLOOKUP(J40,'[1]Obs Tecnicas'!$D$2:$G$333,2,0),"")</f>
        <v>16232</v>
      </c>
      <c r="S40" s="13" t="str">
        <f>IFERROR(VLOOKUP(J40,'[1]Obs Tecnicas'!$D$2:$G$337,3,0),"Hexis")</f>
        <v>ER ANALITICA</v>
      </c>
      <c r="T40" s="13">
        <f>IFERROR(VLOOKUP(J40,'[1]Obs Tecnicas'!$D$2:$G$337,4,0),"")</f>
        <v>0</v>
      </c>
      <c r="U40" s="14" t="s">
        <v>291</v>
      </c>
      <c r="V40" s="14">
        <f t="shared" si="3"/>
        <v>4</v>
      </c>
      <c r="W40" s="20">
        <f>VLOOKUP(I40,Indicadores!$N$4:$Q$15,4,0)</f>
        <v>329.87</v>
      </c>
    </row>
    <row r="41" spans="1:23" hidden="1">
      <c r="A41" s="13" t="s">
        <v>899</v>
      </c>
      <c r="B41" s="13" t="s">
        <v>355</v>
      </c>
      <c r="C41" s="15" t="s">
        <v>356</v>
      </c>
      <c r="D41" s="13" t="s">
        <v>357</v>
      </c>
      <c r="E41" s="13" t="s">
        <v>735</v>
      </c>
      <c r="F41" s="15" t="s">
        <v>736</v>
      </c>
      <c r="G41" s="13" t="s">
        <v>330</v>
      </c>
      <c r="H41" s="13" t="s">
        <v>202</v>
      </c>
      <c r="I41" s="13" t="s">
        <v>7</v>
      </c>
      <c r="J41" s="16" t="s">
        <v>366</v>
      </c>
      <c r="K41" s="13" t="s">
        <v>56</v>
      </c>
      <c r="L41" s="13" t="s">
        <v>57</v>
      </c>
      <c r="M41" s="13" t="s">
        <v>230</v>
      </c>
      <c r="N41" s="13" t="s">
        <v>358</v>
      </c>
      <c r="O41" s="17">
        <v>44173</v>
      </c>
      <c r="P41" s="18">
        <f>IFERROR(VLOOKUP(J41,'[1]Obs Tecnicas'!$D$2:$I$313,5,0),O41)</f>
        <v>44678</v>
      </c>
      <c r="Q41" s="17" t="str">
        <f t="shared" ca="1" si="2"/>
        <v>Calibrado</v>
      </c>
      <c r="R41" s="19">
        <f>IFERROR(VLOOKUP(J41,'[1]Obs Tecnicas'!$D$2:$G$333,2,0),"")</f>
        <v>16227</v>
      </c>
      <c r="S41" s="13" t="str">
        <f>IFERROR(VLOOKUP(J41,'[1]Obs Tecnicas'!$D$2:$G$337,3,0),"Hexis")</f>
        <v>ER ANALITICA</v>
      </c>
      <c r="T41" s="13" t="str">
        <f>IFERROR(VLOOKUP(J41,'[1]Obs Tecnicas'!$D$2:$G$337,4,0),"")</f>
        <v>Eletrodo com vida útil avançada, sendo necessário sua troca.</v>
      </c>
      <c r="U41" s="14" t="s">
        <v>291</v>
      </c>
      <c r="V41" s="14">
        <f t="shared" si="3"/>
        <v>4</v>
      </c>
      <c r="W41" s="20">
        <f>VLOOKUP(I41,Indicadores!$N$4:$Q$15,4,0)</f>
        <v>329.87</v>
      </c>
    </row>
    <row r="42" spans="1:23" hidden="1">
      <c r="A42" s="24" t="s">
        <v>899</v>
      </c>
      <c r="B42" s="24" t="s">
        <v>1490</v>
      </c>
      <c r="C42" s="15" t="s">
        <v>1146</v>
      </c>
      <c r="D42" s="13" t="s">
        <v>1491</v>
      </c>
      <c r="E42" s="13" t="s">
        <v>735</v>
      </c>
      <c r="F42" s="15" t="s">
        <v>736</v>
      </c>
      <c r="G42" s="13" t="s">
        <v>330</v>
      </c>
      <c r="H42" s="13" t="s">
        <v>202</v>
      </c>
      <c r="I42" s="13" t="s">
        <v>7</v>
      </c>
      <c r="J42" s="16" t="s">
        <v>367</v>
      </c>
      <c r="K42" s="13" t="s">
        <v>56</v>
      </c>
      <c r="L42" s="13" t="s">
        <v>57</v>
      </c>
      <c r="M42" s="13" t="s">
        <v>230</v>
      </c>
      <c r="N42" s="13" t="s">
        <v>358</v>
      </c>
      <c r="O42" s="17">
        <v>44173</v>
      </c>
      <c r="P42" s="18">
        <f>IFERROR(VLOOKUP(J42,'[1]Obs Tecnicas'!$D$2:$I$313,5,0),O42)</f>
        <v>44678</v>
      </c>
      <c r="Q42" s="17" t="str">
        <f t="shared" ca="1" si="2"/>
        <v>Calibrado</v>
      </c>
      <c r="R42" s="19">
        <f>IFERROR(VLOOKUP(J42,'[1]Obs Tecnicas'!$D$2:$G$333,2,0),"")</f>
        <v>16233</v>
      </c>
      <c r="S42" s="13" t="str">
        <f>IFERROR(VLOOKUP(J42,'[1]Obs Tecnicas'!$D$2:$G$337,3,0),"Hexis")</f>
        <v>ER ANALITICA</v>
      </c>
      <c r="T42" s="13">
        <f>IFERROR(VLOOKUP(J42,'[1]Obs Tecnicas'!$D$2:$G$337,4,0),"")</f>
        <v>0</v>
      </c>
      <c r="U42" s="14" t="s">
        <v>291</v>
      </c>
      <c r="V42" s="14">
        <f t="shared" si="3"/>
        <v>4</v>
      </c>
      <c r="W42" s="20">
        <f>VLOOKUP(I42,Indicadores!$N$4:$Q$15,4,0)</f>
        <v>329.87</v>
      </c>
    </row>
    <row r="43" spans="1:23" hidden="1">
      <c r="A43" s="13" t="s">
        <v>899</v>
      </c>
      <c r="B43" s="13" t="s">
        <v>1487</v>
      </c>
      <c r="C43" s="15" t="s">
        <v>1488</v>
      </c>
      <c r="E43" s="13" t="s">
        <v>735</v>
      </c>
      <c r="F43" s="15" t="s">
        <v>736</v>
      </c>
      <c r="G43" s="13" t="s">
        <v>330</v>
      </c>
      <c r="H43" s="13" t="s">
        <v>202</v>
      </c>
      <c r="I43" s="13" t="s">
        <v>7</v>
      </c>
      <c r="J43" s="16" t="s">
        <v>368</v>
      </c>
      <c r="K43" s="13" t="s">
        <v>56</v>
      </c>
      <c r="L43" s="13" t="s">
        <v>57</v>
      </c>
      <c r="M43" s="13" t="s">
        <v>1489</v>
      </c>
      <c r="N43" s="13" t="s">
        <v>358</v>
      </c>
      <c r="O43" s="17">
        <v>44173</v>
      </c>
      <c r="P43" s="18">
        <f>IFERROR(VLOOKUP(J43,'[1]Obs Tecnicas'!$D$2:$I$313,5,0),O43)</f>
        <v>44678</v>
      </c>
      <c r="Q43" s="17" t="str">
        <f t="shared" ca="1" si="2"/>
        <v>Calibrado</v>
      </c>
      <c r="R43" s="19">
        <f>IFERROR(VLOOKUP(J43,'[1]Obs Tecnicas'!$D$2:$G$333,2,0),"")</f>
        <v>16236</v>
      </c>
      <c r="S43" s="13" t="str">
        <f>IFERROR(VLOOKUP(J43,'[1]Obs Tecnicas'!$D$2:$G$337,3,0),"Hexis")</f>
        <v>ER ANALITICA</v>
      </c>
      <c r="T43" s="13">
        <f>IFERROR(VLOOKUP(J43,'[1]Obs Tecnicas'!$D$2:$G$337,4,0),"")</f>
        <v>0</v>
      </c>
      <c r="U43" s="14" t="s">
        <v>291</v>
      </c>
      <c r="V43" s="14">
        <f t="shared" si="3"/>
        <v>4</v>
      </c>
      <c r="W43" s="20">
        <f>VLOOKUP(I43,Indicadores!$N$4:$Q$15,4,0)</f>
        <v>329.87</v>
      </c>
    </row>
    <row r="44" spans="1:23" hidden="1">
      <c r="A44" s="13" t="s">
        <v>899</v>
      </c>
      <c r="B44" s="13" t="s">
        <v>355</v>
      </c>
      <c r="C44" s="15" t="s">
        <v>356</v>
      </c>
      <c r="D44" s="13" t="s">
        <v>357</v>
      </c>
      <c r="E44" s="13" t="s">
        <v>735</v>
      </c>
      <c r="F44" s="15" t="s">
        <v>736</v>
      </c>
      <c r="G44" s="13" t="s">
        <v>330</v>
      </c>
      <c r="H44" s="13" t="s">
        <v>202</v>
      </c>
      <c r="I44" s="13" t="s">
        <v>9</v>
      </c>
      <c r="J44" s="16" t="s">
        <v>1492</v>
      </c>
      <c r="K44" s="13" t="s">
        <v>21</v>
      </c>
      <c r="L44" s="13" t="s">
        <v>29</v>
      </c>
      <c r="M44" s="13" t="s">
        <v>230</v>
      </c>
      <c r="N44" s="13" t="s">
        <v>358</v>
      </c>
      <c r="O44" s="17">
        <v>44173</v>
      </c>
      <c r="P44" s="18">
        <f>IFERROR(VLOOKUP(J44,'[1]Obs Tecnicas'!$D$2:$I$313,5,0),O44)</f>
        <v>44678</v>
      </c>
      <c r="Q44" s="17" t="str">
        <f t="shared" ca="1" si="2"/>
        <v>Calibrado</v>
      </c>
      <c r="R44" s="19">
        <f>IFERROR(VLOOKUP(J44,'[1]Obs Tecnicas'!$D$2:$G$333,2,0),"")</f>
        <v>16234</v>
      </c>
      <c r="S44" s="13" t="str">
        <f>IFERROR(VLOOKUP(J44,'[1]Obs Tecnicas'!$D$2:$G$337,3,0),"Hexis")</f>
        <v>ER ANALITICA</v>
      </c>
      <c r="T44" s="13">
        <f>IFERROR(VLOOKUP(J44,'[1]Obs Tecnicas'!$D$2:$G$337,4,0),"")</f>
        <v>0</v>
      </c>
      <c r="U44" s="14" t="s">
        <v>291</v>
      </c>
      <c r="V44" s="14">
        <f t="shared" si="3"/>
        <v>4</v>
      </c>
      <c r="W44" s="20">
        <f>VLOOKUP(I44,Indicadores!$N$4:$Q$15,4,0)</f>
        <v>521.79999999999995</v>
      </c>
    </row>
    <row r="45" spans="1:23" hidden="1">
      <c r="A45" s="13" t="s">
        <v>899</v>
      </c>
      <c r="B45" s="13" t="s">
        <v>369</v>
      </c>
      <c r="C45" s="15" t="s">
        <v>370</v>
      </c>
      <c r="D45" s="13" t="s">
        <v>371</v>
      </c>
      <c r="E45" s="13" t="s">
        <v>372</v>
      </c>
      <c r="F45" s="15" t="s">
        <v>373</v>
      </c>
      <c r="G45" s="13" t="s">
        <v>374</v>
      </c>
      <c r="H45" s="13" t="s">
        <v>202</v>
      </c>
      <c r="I45" s="13" t="s">
        <v>2</v>
      </c>
      <c r="J45" s="16" t="s">
        <v>375</v>
      </c>
      <c r="K45" s="13" t="s">
        <v>376</v>
      </c>
      <c r="M45" s="13" t="s">
        <v>219</v>
      </c>
      <c r="O45" s="17"/>
      <c r="P45" s="18">
        <f>IFERROR(VLOOKUP(J45,'[1]Obs Tecnicas'!$D$2:$I$313,5,0),O45)</f>
        <v>44333</v>
      </c>
      <c r="Q45" s="17" t="str">
        <f t="shared" ca="1" si="2"/>
        <v>Calibrado</v>
      </c>
      <c r="R45" s="19">
        <f>IFERROR(VLOOKUP(J45,'[1]Obs Tecnicas'!$D$2:$G$333,2,0),"")</f>
        <v>12351</v>
      </c>
      <c r="S45" s="13" t="str">
        <f>IFERROR(VLOOKUP(J45,'[1]Obs Tecnicas'!$D$2:$G$337,3,0),"Hexis")</f>
        <v>ER ANALITICA</v>
      </c>
      <c r="T45" s="13">
        <f>IFERROR(VLOOKUP(J45,'[1]Obs Tecnicas'!$D$2:$G$337,4,0),"")</f>
        <v>0</v>
      </c>
      <c r="U45" s="14" t="s">
        <v>291</v>
      </c>
      <c r="V45" s="14">
        <f t="shared" si="3"/>
        <v>5</v>
      </c>
      <c r="W45" s="20">
        <f>VLOOKUP(I45,Indicadores!$N$4:$Q$15,4,0)</f>
        <v>456.77</v>
      </c>
    </row>
    <row r="46" spans="1:23" hidden="1">
      <c r="A46" s="13" t="s">
        <v>899</v>
      </c>
      <c r="B46" s="13" t="s">
        <v>369</v>
      </c>
      <c r="C46" s="15" t="s">
        <v>370</v>
      </c>
      <c r="D46" s="13" t="s">
        <v>371</v>
      </c>
      <c r="E46" s="13" t="s">
        <v>372</v>
      </c>
      <c r="F46" s="15" t="s">
        <v>373</v>
      </c>
      <c r="G46" s="13" t="s">
        <v>374</v>
      </c>
      <c r="H46" s="13" t="s">
        <v>202</v>
      </c>
      <c r="I46" s="13" t="s">
        <v>2</v>
      </c>
      <c r="J46" s="16" t="s">
        <v>377</v>
      </c>
      <c r="K46" s="13" t="s">
        <v>376</v>
      </c>
      <c r="M46" s="13" t="s">
        <v>219</v>
      </c>
      <c r="O46" s="17"/>
      <c r="P46" s="18">
        <f>IFERROR(VLOOKUP(J46,'[1]Obs Tecnicas'!$D$2:$I$313,5,0),O46)</f>
        <v>44333</v>
      </c>
      <c r="Q46" s="17" t="str">
        <f t="shared" ca="1" si="2"/>
        <v>Calibrado</v>
      </c>
      <c r="R46" s="19">
        <f>IFERROR(VLOOKUP(J46,'[1]Obs Tecnicas'!$D$2:$G$333,2,0),"")</f>
        <v>12350</v>
      </c>
      <c r="S46" s="13" t="str">
        <f>IFERROR(VLOOKUP(J46,'[1]Obs Tecnicas'!$D$2:$G$337,3,0),"Hexis")</f>
        <v>ER ANALITICA</v>
      </c>
      <c r="T46" s="13">
        <f>IFERROR(VLOOKUP(J46,'[1]Obs Tecnicas'!$D$2:$G$337,4,0),"")</f>
        <v>0</v>
      </c>
      <c r="U46" s="14" t="s">
        <v>291</v>
      </c>
      <c r="V46" s="14">
        <f t="shared" si="3"/>
        <v>5</v>
      </c>
      <c r="W46" s="20">
        <f>VLOOKUP(I46,Indicadores!$N$4:$Q$15,4,0)</f>
        <v>456.77</v>
      </c>
    </row>
    <row r="47" spans="1:23" hidden="1">
      <c r="A47" s="13" t="s">
        <v>899</v>
      </c>
      <c r="B47" s="13" t="s">
        <v>378</v>
      </c>
      <c r="C47" s="15" t="s">
        <v>379</v>
      </c>
      <c r="D47" s="13" t="s">
        <v>380</v>
      </c>
      <c r="E47" s="13" t="s">
        <v>381</v>
      </c>
      <c r="F47" s="15" t="s">
        <v>382</v>
      </c>
      <c r="G47" s="13" t="s">
        <v>352</v>
      </c>
      <c r="H47" s="13" t="s">
        <v>202</v>
      </c>
      <c r="I47" s="13" t="s">
        <v>4</v>
      </c>
      <c r="J47" s="16" t="s">
        <v>383</v>
      </c>
      <c r="K47" s="13" t="s">
        <v>26</v>
      </c>
      <c r="L47" s="24" t="s">
        <v>27</v>
      </c>
      <c r="M47" s="13" t="s">
        <v>207</v>
      </c>
      <c r="N47" s="13" t="s">
        <v>384</v>
      </c>
      <c r="O47" s="17">
        <v>43979</v>
      </c>
      <c r="P47" s="18">
        <f>IFERROR(VLOOKUP(J47,'[1]Obs Tecnicas'!$D$2:$I$313,5,0),O47)</f>
        <v>44333</v>
      </c>
      <c r="Q47" s="17" t="str">
        <f t="shared" ca="1" si="2"/>
        <v>Calibrado</v>
      </c>
      <c r="R47" s="19">
        <f>IFERROR(VLOOKUP(J47,'[1]Obs Tecnicas'!$D$2:$G$333,2,0),"")</f>
        <v>12337</v>
      </c>
      <c r="S47" s="13" t="str">
        <f>IFERROR(VLOOKUP(J47,'[1]Obs Tecnicas'!$D$2:$G$337,3,0),"Hexis")</f>
        <v>ER ANALITICA</v>
      </c>
      <c r="T47" s="13">
        <f>IFERROR(VLOOKUP(J47,'[1]Obs Tecnicas'!$D$2:$G$337,4,0),"")</f>
        <v>0</v>
      </c>
      <c r="U47" s="14" t="s">
        <v>291</v>
      </c>
      <c r="V47" s="14">
        <f t="shared" si="3"/>
        <v>5</v>
      </c>
      <c r="W47" s="20">
        <f>VLOOKUP(I47,Indicadores!$N$4:$Q$15,4,0)</f>
        <v>329.87</v>
      </c>
    </row>
    <row r="48" spans="1:23" hidden="1">
      <c r="A48" s="13" t="s">
        <v>899</v>
      </c>
      <c r="B48" s="13" t="s">
        <v>378</v>
      </c>
      <c r="C48" s="15" t="s">
        <v>379</v>
      </c>
      <c r="D48" s="13" t="s">
        <v>380</v>
      </c>
      <c r="E48" s="13" t="s">
        <v>381</v>
      </c>
      <c r="F48" s="15" t="s">
        <v>382</v>
      </c>
      <c r="G48" s="13" t="s">
        <v>352</v>
      </c>
      <c r="H48" s="13" t="s">
        <v>202</v>
      </c>
      <c r="I48" s="13" t="s">
        <v>4</v>
      </c>
      <c r="J48" s="16" t="s">
        <v>385</v>
      </c>
      <c r="K48" s="13" t="s">
        <v>26</v>
      </c>
      <c r="L48" s="24" t="s">
        <v>27</v>
      </c>
      <c r="M48" s="13" t="s">
        <v>207</v>
      </c>
      <c r="N48" s="13" t="s">
        <v>384</v>
      </c>
      <c r="O48" s="17">
        <v>43979</v>
      </c>
      <c r="P48" s="18">
        <f>IFERROR(VLOOKUP(J48,'[1]Obs Tecnicas'!$D$2:$I$313,5,0),O48)</f>
        <v>44333</v>
      </c>
      <c r="Q48" s="17" t="str">
        <f t="shared" ca="1" si="2"/>
        <v>Calibrado</v>
      </c>
      <c r="R48" s="19">
        <f>IFERROR(VLOOKUP(J48,'[1]Obs Tecnicas'!$D$2:$G$333,2,0),"")</f>
        <v>12317</v>
      </c>
      <c r="S48" s="13" t="str">
        <f>IFERROR(VLOOKUP(J48,'[1]Obs Tecnicas'!$D$2:$G$337,3,0),"Hexis")</f>
        <v>ER ANALITICA</v>
      </c>
      <c r="T48" s="13">
        <f>IFERROR(VLOOKUP(J48,'[1]Obs Tecnicas'!$D$2:$G$337,4,0),"")</f>
        <v>0</v>
      </c>
      <c r="U48" s="14" t="s">
        <v>291</v>
      </c>
      <c r="V48" s="14">
        <f t="shared" si="3"/>
        <v>5</v>
      </c>
      <c r="W48" s="20">
        <f>VLOOKUP(I48,Indicadores!$N$4:$Q$15,4,0)</f>
        <v>329.87</v>
      </c>
    </row>
    <row r="49" spans="1:23" hidden="1">
      <c r="A49" s="13" t="s">
        <v>899</v>
      </c>
      <c r="B49" s="13" t="s">
        <v>378</v>
      </c>
      <c r="C49" s="15" t="s">
        <v>379</v>
      </c>
      <c r="D49" s="13" t="s">
        <v>380</v>
      </c>
      <c r="E49" s="13" t="s">
        <v>381</v>
      </c>
      <c r="F49" s="15" t="s">
        <v>382</v>
      </c>
      <c r="G49" s="13" t="s">
        <v>352</v>
      </c>
      <c r="H49" s="13" t="s">
        <v>202</v>
      </c>
      <c r="I49" s="13" t="s">
        <v>5</v>
      </c>
      <c r="J49" s="16" t="s">
        <v>386</v>
      </c>
      <c r="K49" s="13" t="s">
        <v>21</v>
      </c>
      <c r="L49" s="13" t="s">
        <v>34</v>
      </c>
      <c r="M49" s="13" t="s">
        <v>207</v>
      </c>
      <c r="N49" s="13" t="s">
        <v>384</v>
      </c>
      <c r="O49" s="17">
        <v>43979</v>
      </c>
      <c r="P49" s="18">
        <f>IFERROR(VLOOKUP(J49,'[1]Obs Tecnicas'!$D$2:$I$313,5,0),O49)</f>
        <v>44333</v>
      </c>
      <c r="Q49" s="17" t="str">
        <f t="shared" ca="1" si="2"/>
        <v>Calibrado</v>
      </c>
      <c r="R49" s="19">
        <f>IFERROR(VLOOKUP(J49,'[1]Obs Tecnicas'!$D$2:$G$333,2,0),"")</f>
        <v>12326</v>
      </c>
      <c r="S49" s="13" t="str">
        <f>IFERROR(VLOOKUP(J49,'[1]Obs Tecnicas'!$D$2:$G$337,3,0),"Hexis")</f>
        <v>ER ANALITICA</v>
      </c>
      <c r="T49" s="13" t="str">
        <f>IFERROR(VLOOKUP(J49,'[1]Obs Tecnicas'!$D$2:$G$337,4,0),"")</f>
        <v>Compartimento de cubeta e bateria de lítio em final de vida útil.</v>
      </c>
      <c r="U49" s="14" t="s">
        <v>291</v>
      </c>
      <c r="V49" s="14">
        <f t="shared" si="3"/>
        <v>5</v>
      </c>
      <c r="W49" s="20">
        <f>VLOOKUP(I49,Indicadores!$N$4:$Q$15,4,0)</f>
        <v>895.23</v>
      </c>
    </row>
    <row r="50" spans="1:23" hidden="1">
      <c r="A50" s="13" t="s">
        <v>899</v>
      </c>
      <c r="B50" s="13" t="s">
        <v>378</v>
      </c>
      <c r="C50" s="15" t="s">
        <v>379</v>
      </c>
      <c r="D50" s="13" t="s">
        <v>380</v>
      </c>
      <c r="E50" s="13" t="s">
        <v>381</v>
      </c>
      <c r="F50" s="15" t="s">
        <v>382</v>
      </c>
      <c r="G50" s="13" t="s">
        <v>352</v>
      </c>
      <c r="H50" s="13" t="s">
        <v>202</v>
      </c>
      <c r="I50" s="13" t="s">
        <v>7</v>
      </c>
      <c r="J50" s="16" t="s">
        <v>387</v>
      </c>
      <c r="K50" s="13" t="s">
        <v>56</v>
      </c>
      <c r="L50" s="13" t="s">
        <v>57</v>
      </c>
      <c r="M50" s="13" t="s">
        <v>207</v>
      </c>
      <c r="N50" s="13" t="s">
        <v>384</v>
      </c>
      <c r="O50" s="17">
        <v>43979</v>
      </c>
      <c r="P50" s="18">
        <f>IFERROR(VLOOKUP(J50,'[1]Obs Tecnicas'!$D$2:$I$313,5,0),O50)</f>
        <v>44333</v>
      </c>
      <c r="Q50" s="17" t="str">
        <f t="shared" ca="1" si="2"/>
        <v>Calibrado</v>
      </c>
      <c r="R50" s="19">
        <f>IFERROR(VLOOKUP(J50,'[1]Obs Tecnicas'!$D$2:$G$333,2,0),"")</f>
        <v>12321</v>
      </c>
      <c r="S50" s="13" t="str">
        <f>IFERROR(VLOOKUP(J50,'[1]Obs Tecnicas'!$D$2:$G$337,3,0),"Hexis")</f>
        <v>ER ANALITICA</v>
      </c>
      <c r="T50" s="13">
        <f>IFERROR(VLOOKUP(J50,'[1]Obs Tecnicas'!$D$2:$G$337,4,0),"")</f>
        <v>0</v>
      </c>
      <c r="U50" s="14" t="s">
        <v>291</v>
      </c>
      <c r="V50" s="14">
        <f t="shared" si="3"/>
        <v>5</v>
      </c>
      <c r="W50" s="20">
        <f>VLOOKUP(I50,Indicadores!$N$4:$Q$15,4,0)</f>
        <v>329.87</v>
      </c>
    </row>
    <row r="51" spans="1:23" hidden="1">
      <c r="A51" s="13" t="s">
        <v>899</v>
      </c>
      <c r="B51" s="13" t="s">
        <v>388</v>
      </c>
      <c r="C51" s="168" t="s">
        <v>389</v>
      </c>
      <c r="D51" s="13" t="s">
        <v>390</v>
      </c>
      <c r="E51" s="13" t="s">
        <v>391</v>
      </c>
      <c r="F51" s="15" t="s">
        <v>392</v>
      </c>
      <c r="G51" s="13" t="s">
        <v>318</v>
      </c>
      <c r="H51" s="13" t="s">
        <v>138</v>
      </c>
      <c r="I51" s="13" t="s">
        <v>7</v>
      </c>
      <c r="J51" s="16" t="s">
        <v>393</v>
      </c>
      <c r="K51" s="13" t="s">
        <v>56</v>
      </c>
      <c r="L51" s="13" t="s">
        <v>57</v>
      </c>
      <c r="M51" s="169" t="s">
        <v>139</v>
      </c>
      <c r="N51" s="13" t="s">
        <v>394</v>
      </c>
      <c r="O51" s="17">
        <v>44343</v>
      </c>
      <c r="P51" s="18">
        <f>IFERROR(VLOOKUP(J51,'[1]Obs Tecnicas'!$D$2:$I$313,5,0),O51)</f>
        <v>44523</v>
      </c>
      <c r="Q51" s="17" t="str">
        <f t="shared" ca="1" si="2"/>
        <v>Calibrado</v>
      </c>
      <c r="R51" s="19">
        <f>IFERROR(VLOOKUP(J51,'[1]Obs Tecnicas'!$D$2:$G$333,2,0),"")</f>
        <v>14620</v>
      </c>
      <c r="S51" s="13" t="str">
        <f>IFERROR(VLOOKUP(J51,'[1]Obs Tecnicas'!$D$2:$G$337,3,0),"Hexis")</f>
        <v>ER ANALITICA</v>
      </c>
      <c r="T51" s="13" t="str">
        <f>IFERROR(VLOOKUP(J51,'[1]Obs Tecnicas'!$D$2:$G$337,4,0),"")</f>
        <v>Liberado com restrição, eletrodo de pH em final da vida útil (lentidão).</v>
      </c>
      <c r="U51" s="14" t="s">
        <v>291</v>
      </c>
      <c r="V51" s="14">
        <f t="shared" si="3"/>
        <v>11</v>
      </c>
      <c r="W51" s="20">
        <f>VLOOKUP(I51,Indicadores!$N$4:$Q$15,4,0)</f>
        <v>329.87</v>
      </c>
    </row>
    <row r="52" spans="1:23">
      <c r="A52" s="13" t="s">
        <v>899</v>
      </c>
      <c r="B52" s="13" t="s">
        <v>388</v>
      </c>
      <c r="C52" s="168" t="s">
        <v>389</v>
      </c>
      <c r="D52" s="13" t="s">
        <v>390</v>
      </c>
      <c r="E52" s="13" t="s">
        <v>391</v>
      </c>
      <c r="F52" s="15" t="s">
        <v>392</v>
      </c>
      <c r="G52" s="13" t="s">
        <v>318</v>
      </c>
      <c r="H52" s="13" t="s">
        <v>138</v>
      </c>
      <c r="I52" s="13" t="s">
        <v>7</v>
      </c>
      <c r="J52" s="16" t="s">
        <v>395</v>
      </c>
      <c r="K52" s="13" t="s">
        <v>21</v>
      </c>
      <c r="L52" s="13" t="s">
        <v>141</v>
      </c>
      <c r="M52" s="169" t="s">
        <v>139</v>
      </c>
      <c r="N52" s="13" t="s">
        <v>394</v>
      </c>
      <c r="O52" s="17">
        <v>44343</v>
      </c>
      <c r="P52" s="18">
        <f>IFERROR(VLOOKUP(J52,'[1]Obs Tecnicas'!$D$2:$I$313,5,0),O52)</f>
        <v>44343</v>
      </c>
      <c r="Q52" s="17" t="str">
        <f t="shared" ca="1" si="2"/>
        <v>Calibrado</v>
      </c>
      <c r="R52" s="19" t="str">
        <f>IFERROR(VLOOKUP(J52,'[1]Obs Tecnicas'!$D$2:$G$333,2,0),"")</f>
        <v/>
      </c>
      <c r="S52" s="13" t="str">
        <f>IFERROR(VLOOKUP(J52,'[1]Obs Tecnicas'!$D$2:$G$337,3,0),"Hexis")</f>
        <v>Hexis</v>
      </c>
      <c r="T52" s="13" t="str">
        <f>IFERROR(VLOOKUP(J52,'[1]Obs Tecnicas'!$D$2:$G$337,4,0),"")</f>
        <v/>
      </c>
      <c r="V52" s="14">
        <f t="shared" si="3"/>
        <v>5</v>
      </c>
      <c r="W52" s="20">
        <f>VLOOKUP(I52,Indicadores!$N$4:$Q$15,4,0)</f>
        <v>329.87</v>
      </c>
    </row>
    <row r="53" spans="1:23" hidden="1">
      <c r="A53" s="13" t="s">
        <v>899</v>
      </c>
      <c r="B53" s="13" t="s">
        <v>396</v>
      </c>
      <c r="C53" s="15" t="s">
        <v>397</v>
      </c>
      <c r="D53" s="13" t="s">
        <v>398</v>
      </c>
      <c r="E53" s="13" t="s">
        <v>399</v>
      </c>
      <c r="F53" s="15" t="s">
        <v>397</v>
      </c>
      <c r="G53" s="13" t="s">
        <v>374</v>
      </c>
      <c r="H53" s="13" t="s">
        <v>202</v>
      </c>
      <c r="I53" s="13" t="s">
        <v>3</v>
      </c>
      <c r="J53" s="16" t="s">
        <v>400</v>
      </c>
      <c r="K53" s="13" t="s">
        <v>21</v>
      </c>
      <c r="L53" s="13" t="s">
        <v>96</v>
      </c>
      <c r="M53" s="13" t="s">
        <v>219</v>
      </c>
      <c r="N53" s="13" t="s">
        <v>332</v>
      </c>
      <c r="O53" s="17">
        <v>43978</v>
      </c>
      <c r="P53" s="18">
        <f>IFERROR(VLOOKUP(J53,'[1]Obs Tecnicas'!$D$2:$I$313,5,0),O53)</f>
        <v>44333</v>
      </c>
      <c r="Q53" s="17" t="str">
        <f t="shared" ca="1" si="2"/>
        <v>Calibrado</v>
      </c>
      <c r="R53" s="19">
        <f>IFERROR(VLOOKUP(J53,'[1]Obs Tecnicas'!$D$2:$G$333,2,0),"")</f>
        <v>12332</v>
      </c>
      <c r="S53" s="13" t="str">
        <f>IFERROR(VLOOKUP(J53,'[1]Obs Tecnicas'!$D$2:$G$337,3,0),"Hexis")</f>
        <v>ER ANALITICA</v>
      </c>
      <c r="T53" s="13">
        <f>IFERROR(VLOOKUP(J53,'[1]Obs Tecnicas'!$D$2:$G$337,4,0),"")</f>
        <v>0</v>
      </c>
      <c r="U53" s="14" t="s">
        <v>291</v>
      </c>
      <c r="V53" s="14">
        <f t="shared" si="3"/>
        <v>5</v>
      </c>
      <c r="W53" s="20">
        <f>VLOOKUP(I53,Indicadores!$N$4:$Q$15,4,0)</f>
        <v>552.64</v>
      </c>
    </row>
    <row r="54" spans="1:23">
      <c r="A54" s="13" t="s">
        <v>899</v>
      </c>
      <c r="B54" s="13" t="s">
        <v>396</v>
      </c>
      <c r="C54" s="15" t="s">
        <v>397</v>
      </c>
      <c r="D54" s="13" t="s">
        <v>398</v>
      </c>
      <c r="E54" s="13" t="s">
        <v>399</v>
      </c>
      <c r="F54" s="15" t="s">
        <v>397</v>
      </c>
      <c r="G54" s="13" t="s">
        <v>374</v>
      </c>
      <c r="H54" s="13" t="s">
        <v>202</v>
      </c>
      <c r="I54" s="13" t="s">
        <v>7</v>
      </c>
      <c r="J54" s="16">
        <v>2296242</v>
      </c>
      <c r="K54" s="13" t="s">
        <v>56</v>
      </c>
      <c r="L54" s="13" t="s">
        <v>57</v>
      </c>
      <c r="M54" s="13" t="s">
        <v>219</v>
      </c>
      <c r="N54" s="13" t="s">
        <v>332</v>
      </c>
      <c r="O54" s="17">
        <v>43979</v>
      </c>
      <c r="P54" s="18">
        <f>IFERROR(VLOOKUP(J54,'[1]Obs Tecnicas'!$D$2:$I$313,5,0),O54)</f>
        <v>43979</v>
      </c>
      <c r="Q54" s="17" t="str">
        <f t="shared" ca="1" si="2"/>
        <v>Vencido</v>
      </c>
      <c r="R54" s="19" t="str">
        <f>IFERROR(VLOOKUP(J54,'[1]Obs Tecnicas'!$D$2:$G$333,2,0),"")</f>
        <v/>
      </c>
      <c r="S54" s="13" t="str">
        <f>IFERROR(VLOOKUP(J54,'[1]Obs Tecnicas'!$D$2:$G$337,3,0),"Hexis")</f>
        <v>Hexis</v>
      </c>
      <c r="T54" s="13" t="str">
        <f>IFERROR(VLOOKUP(J54,'[1]Obs Tecnicas'!$D$2:$G$337,4,0),"")</f>
        <v/>
      </c>
      <c r="U54" s="14" t="s">
        <v>401</v>
      </c>
      <c r="V54" s="14">
        <f t="shared" si="3"/>
        <v>5</v>
      </c>
      <c r="W54" s="20">
        <f>VLOOKUP(I54,Indicadores!$N$4:$Q$15,4,0)</f>
        <v>329.87</v>
      </c>
    </row>
    <row r="55" spans="1:23" hidden="1">
      <c r="A55" s="13" t="s">
        <v>899</v>
      </c>
      <c r="B55" s="13" t="s">
        <v>396</v>
      </c>
      <c r="C55" s="15" t="s">
        <v>397</v>
      </c>
      <c r="D55" s="13" t="s">
        <v>398</v>
      </c>
      <c r="E55" s="13" t="s">
        <v>399</v>
      </c>
      <c r="F55" s="15" t="s">
        <v>397</v>
      </c>
      <c r="G55" s="13" t="s">
        <v>374</v>
      </c>
      <c r="H55" s="13" t="s">
        <v>202</v>
      </c>
      <c r="I55" s="13" t="s">
        <v>8</v>
      </c>
      <c r="J55" s="16" t="s">
        <v>229</v>
      </c>
      <c r="K55" s="13" t="s">
        <v>21</v>
      </c>
      <c r="L55" s="13" t="s">
        <v>44</v>
      </c>
      <c r="M55" s="13" t="s">
        <v>219</v>
      </c>
      <c r="N55" s="13" t="s">
        <v>332</v>
      </c>
      <c r="O55" s="17">
        <v>43979</v>
      </c>
      <c r="P55" s="18">
        <f>IFERROR(VLOOKUP(J55,'[1]Obs Tecnicas'!$D$2:$I$313,5,0),O55)</f>
        <v>44333</v>
      </c>
      <c r="Q55" s="17" t="str">
        <f t="shared" ca="1" si="2"/>
        <v>Calibrado</v>
      </c>
      <c r="R55" s="19">
        <f>IFERROR(VLOOKUP(J55,'[1]Obs Tecnicas'!$D$2:$G$333,2,0),"")</f>
        <v>12327</v>
      </c>
      <c r="S55" s="13" t="str">
        <f>IFERROR(VLOOKUP(J55,'[1]Obs Tecnicas'!$D$2:$G$337,3,0),"Hexis")</f>
        <v>ER ANALITICA</v>
      </c>
      <c r="T55" s="13">
        <f>IFERROR(VLOOKUP(J55,'[1]Obs Tecnicas'!$D$2:$G$337,4,0),"")</f>
        <v>0</v>
      </c>
      <c r="U55" s="14" t="s">
        <v>291</v>
      </c>
      <c r="V55" s="14">
        <f t="shared" si="3"/>
        <v>5</v>
      </c>
      <c r="W55" s="20">
        <f>VLOOKUP(I55,Indicadores!$N$4:$Q$15,4,0)</f>
        <v>462.11</v>
      </c>
    </row>
    <row r="56" spans="1:23" hidden="1">
      <c r="A56" s="13" t="s">
        <v>899</v>
      </c>
      <c r="B56" s="13" t="s">
        <v>396</v>
      </c>
      <c r="C56" s="15" t="s">
        <v>397</v>
      </c>
      <c r="D56" s="13" t="s">
        <v>398</v>
      </c>
      <c r="E56" s="13" t="s">
        <v>399</v>
      </c>
      <c r="F56" s="15" t="s">
        <v>397</v>
      </c>
      <c r="G56" s="13" t="s">
        <v>374</v>
      </c>
      <c r="H56" s="13" t="s">
        <v>202</v>
      </c>
      <c r="I56" s="13" t="s">
        <v>5</v>
      </c>
      <c r="J56" s="16" t="s">
        <v>402</v>
      </c>
      <c r="K56" s="13" t="s">
        <v>21</v>
      </c>
      <c r="L56" s="13" t="s">
        <v>80</v>
      </c>
      <c r="M56" s="13" t="s">
        <v>219</v>
      </c>
      <c r="N56" s="13" t="s">
        <v>332</v>
      </c>
      <c r="O56" s="17">
        <v>43980</v>
      </c>
      <c r="P56" s="18">
        <f>IFERROR(VLOOKUP(J56,'[1]Obs Tecnicas'!$D$2:$I$313,5,0),O56)</f>
        <v>44333</v>
      </c>
      <c r="Q56" s="17" t="str">
        <f t="shared" ca="1" si="2"/>
        <v>Calibrado</v>
      </c>
      <c r="R56" s="19">
        <f>IFERROR(VLOOKUP(J56,'[1]Obs Tecnicas'!$D$2:$G$333,2,0),"")</f>
        <v>12336</v>
      </c>
      <c r="S56" s="13" t="str">
        <f>IFERROR(VLOOKUP(J56,'[1]Obs Tecnicas'!$D$2:$G$337,3,0),"Hexis")</f>
        <v>ER ANALITICA</v>
      </c>
      <c r="T56" s="13">
        <f>IFERROR(VLOOKUP(J56,'[1]Obs Tecnicas'!$D$2:$G$337,4,0),"")</f>
        <v>0</v>
      </c>
      <c r="U56" s="14" t="s">
        <v>291</v>
      </c>
      <c r="V56" s="14">
        <f t="shared" si="3"/>
        <v>5</v>
      </c>
      <c r="W56" s="20">
        <f>VLOOKUP(I56,Indicadores!$N$4:$Q$15,4,0)</f>
        <v>895.23</v>
      </c>
    </row>
    <row r="57" spans="1:23">
      <c r="A57" s="13" t="s">
        <v>899</v>
      </c>
      <c r="B57" s="13" t="s">
        <v>396</v>
      </c>
      <c r="C57" s="15" t="s">
        <v>397</v>
      </c>
      <c r="D57" s="13" t="s">
        <v>398</v>
      </c>
      <c r="E57" s="13" t="s">
        <v>399</v>
      </c>
      <c r="F57" s="15" t="s">
        <v>397</v>
      </c>
      <c r="G57" s="13" t="s">
        <v>374</v>
      </c>
      <c r="H57" s="13" t="s">
        <v>202</v>
      </c>
      <c r="I57" s="13" t="s">
        <v>4</v>
      </c>
      <c r="J57" s="16">
        <v>4239598</v>
      </c>
      <c r="K57" s="13" t="s">
        <v>26</v>
      </c>
      <c r="L57" s="13" t="s">
        <v>27</v>
      </c>
      <c r="M57" s="13" t="s">
        <v>219</v>
      </c>
      <c r="N57" s="13" t="s">
        <v>332</v>
      </c>
      <c r="O57" s="17">
        <v>44239</v>
      </c>
      <c r="P57" s="18">
        <f>IFERROR(VLOOKUP(J57,'[1]Obs Tecnicas'!$D$2:$I$313,5,0),O57)</f>
        <v>44239</v>
      </c>
      <c r="Q57" s="17" t="str">
        <f t="shared" ca="1" si="2"/>
        <v>Vencido</v>
      </c>
      <c r="R57" s="19" t="str">
        <f>IFERROR(VLOOKUP(J57,'[1]Obs Tecnicas'!$D$2:$G$333,2,0),"")</f>
        <v/>
      </c>
      <c r="S57" s="13" t="str">
        <f>IFERROR(VLOOKUP(J57,'[1]Obs Tecnicas'!$D$2:$G$337,3,0),"Hexis")</f>
        <v>Hexis</v>
      </c>
      <c r="T57" s="13" t="str">
        <f>IFERROR(VLOOKUP(J57,'[1]Obs Tecnicas'!$D$2:$G$337,4,0),"")</f>
        <v/>
      </c>
      <c r="U57" s="14" t="s">
        <v>401</v>
      </c>
      <c r="V57" s="14">
        <f t="shared" si="3"/>
        <v>2</v>
      </c>
      <c r="W57" s="20">
        <f>VLOOKUP(I57,Indicadores!$N$4:$Q$15,4,0)</f>
        <v>329.87</v>
      </c>
    </row>
    <row r="58" spans="1:23">
      <c r="A58" s="13" t="s">
        <v>899</v>
      </c>
      <c r="B58" s="13" t="s">
        <v>396</v>
      </c>
      <c r="C58" s="15" t="s">
        <v>397</v>
      </c>
      <c r="D58" s="13" t="s">
        <v>398</v>
      </c>
      <c r="E58" s="13" t="s">
        <v>399</v>
      </c>
      <c r="F58" s="15" t="s">
        <v>397</v>
      </c>
      <c r="G58" s="13" t="s">
        <v>374</v>
      </c>
      <c r="H58" s="13" t="s">
        <v>202</v>
      </c>
      <c r="I58" s="13" t="s">
        <v>835</v>
      </c>
      <c r="J58" s="16">
        <v>6203837</v>
      </c>
      <c r="K58" s="13" t="s">
        <v>26</v>
      </c>
      <c r="L58" s="13" t="s">
        <v>84</v>
      </c>
      <c r="M58" s="13" t="s">
        <v>219</v>
      </c>
      <c r="N58" s="13" t="s">
        <v>332</v>
      </c>
      <c r="O58" s="17">
        <v>44239</v>
      </c>
      <c r="P58" s="18">
        <f>IFERROR(VLOOKUP(J58,'[1]Obs Tecnicas'!$D$2:$I$313,5,0),O58)</f>
        <v>44239</v>
      </c>
      <c r="Q58" s="17" t="str">
        <f t="shared" ca="1" si="2"/>
        <v>Vencido</v>
      </c>
      <c r="R58" s="19" t="str">
        <f>IFERROR(VLOOKUP(J58,'[1]Obs Tecnicas'!$D$2:$G$333,2,0),"")</f>
        <v/>
      </c>
      <c r="S58" s="13" t="str">
        <f>IFERROR(VLOOKUP(J58,'[1]Obs Tecnicas'!$D$2:$G$337,3,0),"Hexis")</f>
        <v>Hexis</v>
      </c>
      <c r="T58" s="13" t="str">
        <f>IFERROR(VLOOKUP(J58,'[1]Obs Tecnicas'!$D$2:$G$337,4,0),"")</f>
        <v/>
      </c>
      <c r="U58" s="14" t="s">
        <v>401</v>
      </c>
      <c r="V58" s="14">
        <f t="shared" si="3"/>
        <v>2</v>
      </c>
      <c r="W58" s="20">
        <f>VLOOKUP(I58,Indicadores!$N$4:$Q$15,4,0)</f>
        <v>546.79</v>
      </c>
    </row>
    <row r="59" spans="1:23">
      <c r="A59" s="13" t="s">
        <v>899</v>
      </c>
      <c r="B59" s="13" t="s">
        <v>396</v>
      </c>
      <c r="C59" s="15" t="s">
        <v>397</v>
      </c>
      <c r="D59" s="13" t="s">
        <v>398</v>
      </c>
      <c r="E59" s="13" t="s">
        <v>399</v>
      </c>
      <c r="F59" s="15" t="s">
        <v>397</v>
      </c>
      <c r="G59" s="13" t="s">
        <v>374</v>
      </c>
      <c r="H59" s="13" t="s">
        <v>202</v>
      </c>
      <c r="I59" s="13" t="s">
        <v>835</v>
      </c>
      <c r="J59" s="16">
        <v>6261850</v>
      </c>
      <c r="K59" s="13" t="s">
        <v>26</v>
      </c>
      <c r="L59" s="13" t="s">
        <v>84</v>
      </c>
      <c r="M59" s="13" t="s">
        <v>219</v>
      </c>
      <c r="N59" s="13" t="s">
        <v>332</v>
      </c>
      <c r="O59" s="17">
        <v>44239</v>
      </c>
      <c r="P59" s="18">
        <f>IFERROR(VLOOKUP(J59,'[1]Obs Tecnicas'!$D$2:$I$313,5,0),O59)</f>
        <v>44239</v>
      </c>
      <c r="Q59" s="17" t="str">
        <f t="shared" ca="1" si="2"/>
        <v>Vencido</v>
      </c>
      <c r="R59" s="19" t="str">
        <f>IFERROR(VLOOKUP(J59,'[1]Obs Tecnicas'!$D$2:$G$333,2,0),"")</f>
        <v/>
      </c>
      <c r="S59" s="13" t="str">
        <f>IFERROR(VLOOKUP(J59,'[1]Obs Tecnicas'!$D$2:$G$337,3,0),"Hexis")</f>
        <v>Hexis</v>
      </c>
      <c r="T59" s="13" t="str">
        <f>IFERROR(VLOOKUP(J59,'[1]Obs Tecnicas'!$D$2:$G$337,4,0),"")</f>
        <v/>
      </c>
      <c r="U59" s="14" t="s">
        <v>401</v>
      </c>
      <c r="V59" s="14">
        <f t="shared" si="3"/>
        <v>2</v>
      </c>
      <c r="W59" s="20">
        <f>VLOOKUP(I59,Indicadores!$N$4:$Q$15,4,0)</f>
        <v>546.79</v>
      </c>
    </row>
    <row r="60" spans="1:23">
      <c r="A60" s="13" t="s">
        <v>899</v>
      </c>
      <c r="B60" s="13" t="s">
        <v>396</v>
      </c>
      <c r="C60" s="15" t="s">
        <v>397</v>
      </c>
      <c r="D60" s="13" t="s">
        <v>398</v>
      </c>
      <c r="E60" s="13" t="s">
        <v>399</v>
      </c>
      <c r="F60" s="15" t="s">
        <v>397</v>
      </c>
      <c r="G60" s="13" t="s">
        <v>374</v>
      </c>
      <c r="H60" s="13" t="s">
        <v>202</v>
      </c>
      <c r="I60" s="13" t="s">
        <v>7</v>
      </c>
      <c r="J60" s="16">
        <v>2909161</v>
      </c>
      <c r="K60" s="13" t="s">
        <v>56</v>
      </c>
      <c r="L60" s="13" t="s">
        <v>57</v>
      </c>
      <c r="M60" s="13" t="s">
        <v>219</v>
      </c>
      <c r="N60" s="13" t="s">
        <v>332</v>
      </c>
      <c r="O60" s="17">
        <v>44239</v>
      </c>
      <c r="P60" s="18">
        <f>IFERROR(VLOOKUP(J60,'[1]Obs Tecnicas'!$D$2:$I$313,5,0),O60)</f>
        <v>44239</v>
      </c>
      <c r="Q60" s="17" t="str">
        <f t="shared" ca="1" si="2"/>
        <v>Vencido</v>
      </c>
      <c r="R60" s="19" t="str">
        <f>IFERROR(VLOOKUP(J60,'[1]Obs Tecnicas'!$D$2:$G$333,2,0),"")</f>
        <v/>
      </c>
      <c r="S60" s="13" t="str">
        <f>IFERROR(VLOOKUP(J60,'[1]Obs Tecnicas'!$D$2:$G$337,3,0),"Hexis")</f>
        <v>Hexis</v>
      </c>
      <c r="T60" s="13" t="str">
        <f>IFERROR(VLOOKUP(J60,'[1]Obs Tecnicas'!$D$2:$G$337,4,0),"")</f>
        <v/>
      </c>
      <c r="U60" s="14" t="s">
        <v>401</v>
      </c>
      <c r="V60" s="14">
        <f t="shared" si="3"/>
        <v>2</v>
      </c>
      <c r="W60" s="20">
        <f>VLOOKUP(I60,Indicadores!$N$4:$Q$15,4,0)</f>
        <v>329.87</v>
      </c>
    </row>
    <row r="61" spans="1:23" hidden="1">
      <c r="A61" s="13" t="s">
        <v>899</v>
      </c>
      <c r="B61" s="13" t="s">
        <v>391</v>
      </c>
      <c r="C61" s="15" t="s">
        <v>392</v>
      </c>
      <c r="D61" s="13" t="s">
        <v>403</v>
      </c>
      <c r="E61" s="13" t="s">
        <v>391</v>
      </c>
      <c r="F61" s="15" t="s">
        <v>392</v>
      </c>
      <c r="G61" s="13" t="s">
        <v>318</v>
      </c>
      <c r="H61" s="24" t="s">
        <v>156</v>
      </c>
      <c r="I61" s="13" t="s">
        <v>835</v>
      </c>
      <c r="J61" s="28" t="s">
        <v>404</v>
      </c>
      <c r="K61" s="13" t="s">
        <v>26</v>
      </c>
      <c r="L61" s="13" t="s">
        <v>84</v>
      </c>
      <c r="M61" s="13" t="s">
        <v>157</v>
      </c>
      <c r="N61" s="13" t="s">
        <v>405</v>
      </c>
      <c r="O61" s="17">
        <v>43888</v>
      </c>
      <c r="P61" s="18">
        <f>IFERROR(VLOOKUP(J61,'[1]Obs Tecnicas'!$D$2:$I$313,5,0),O61)</f>
        <v>44523</v>
      </c>
      <c r="Q61" s="17" t="str">
        <f t="shared" ca="1" si="2"/>
        <v>Calibrado</v>
      </c>
      <c r="R61" s="19">
        <f>IFERROR(VLOOKUP(J61,'[1]Obs Tecnicas'!$D$2:$G$333,2,0),"")</f>
        <v>14621</v>
      </c>
      <c r="S61" s="13" t="str">
        <f>IFERROR(VLOOKUP(J61,'[1]Obs Tecnicas'!$D$2:$G$337,3,0),"Hexis")</f>
        <v>ER ANALITICA</v>
      </c>
      <c r="T61" s="13" t="str">
        <f>IFERROR(VLOOKUP(J61,'[1]Obs Tecnicas'!$D$2:$G$337,4,0),"")</f>
        <v>Liberado com restrição, eletrodo de pH em final da vida útil (lentidão).</v>
      </c>
      <c r="U61" s="14" t="s">
        <v>291</v>
      </c>
      <c r="V61" s="14">
        <f t="shared" si="3"/>
        <v>11</v>
      </c>
      <c r="W61" s="20">
        <f>VLOOKUP(I61,Indicadores!$N$4:$Q$15,4,0)</f>
        <v>546.79</v>
      </c>
    </row>
    <row r="62" spans="1:23" hidden="1">
      <c r="A62" s="13" t="s">
        <v>899</v>
      </c>
      <c r="B62" s="13" t="s">
        <v>391</v>
      </c>
      <c r="C62" s="15" t="s">
        <v>392</v>
      </c>
      <c r="D62" s="13" t="s">
        <v>403</v>
      </c>
      <c r="E62" s="13" t="s">
        <v>391</v>
      </c>
      <c r="F62" s="15" t="s">
        <v>392</v>
      </c>
      <c r="G62" s="13" t="s">
        <v>318</v>
      </c>
      <c r="H62" s="24" t="s">
        <v>156</v>
      </c>
      <c r="I62" s="13" t="s">
        <v>5</v>
      </c>
      <c r="J62" s="28" t="s">
        <v>406</v>
      </c>
      <c r="K62" s="13" t="s">
        <v>21</v>
      </c>
      <c r="L62" s="24" t="s">
        <v>80</v>
      </c>
      <c r="M62" s="13" t="s">
        <v>157</v>
      </c>
      <c r="N62" s="13" t="s">
        <v>405</v>
      </c>
      <c r="O62" s="17">
        <v>44019</v>
      </c>
      <c r="P62" s="18">
        <f>IFERROR(VLOOKUP(J62,'[1]Obs Tecnicas'!$D$2:$I$313,5,0),O62)</f>
        <v>44523</v>
      </c>
      <c r="Q62" s="17" t="str">
        <f t="shared" ca="1" si="2"/>
        <v>Calibrado</v>
      </c>
      <c r="R62" s="19">
        <f>IFERROR(VLOOKUP(J62,'[1]Obs Tecnicas'!$D$2:$G$333,2,0),"")</f>
        <v>13932</v>
      </c>
      <c r="S62" s="13" t="str">
        <f>IFERROR(VLOOKUP(J62,'[1]Obs Tecnicas'!$D$2:$G$337,3,0),"Hexis")</f>
        <v>ER ANALITICA</v>
      </c>
      <c r="T62" s="13" t="str">
        <f>IFERROR(VLOOKUP(J62,'[1]Obs Tecnicas'!$D$2:$G$337,4,0),"")</f>
        <v>MODULO DE ALIMENTAÇÃOCOM AVARIAS,E NCAMINHADO PARA NOSSA AT</v>
      </c>
      <c r="U62" s="14" t="s">
        <v>291</v>
      </c>
      <c r="V62" s="14">
        <f t="shared" si="3"/>
        <v>11</v>
      </c>
      <c r="W62" s="20">
        <f>VLOOKUP(I62,Indicadores!$N$4:$Q$15,4,0)</f>
        <v>895.23</v>
      </c>
    </row>
    <row r="63" spans="1:23" hidden="1">
      <c r="A63" s="13" t="s">
        <v>899</v>
      </c>
      <c r="B63" s="13" t="s">
        <v>391</v>
      </c>
      <c r="C63" s="15" t="s">
        <v>392</v>
      </c>
      <c r="D63" s="13" t="s">
        <v>403</v>
      </c>
      <c r="E63" s="13" t="s">
        <v>391</v>
      </c>
      <c r="F63" s="15" t="s">
        <v>392</v>
      </c>
      <c r="G63" s="13" t="s">
        <v>318</v>
      </c>
      <c r="H63" s="24" t="s">
        <v>156</v>
      </c>
      <c r="I63" s="13" t="s">
        <v>5</v>
      </c>
      <c r="J63" s="28" t="s">
        <v>407</v>
      </c>
      <c r="K63" s="13" t="s">
        <v>21</v>
      </c>
      <c r="L63" s="13" t="s">
        <v>80</v>
      </c>
      <c r="M63" s="13" t="s">
        <v>157</v>
      </c>
      <c r="N63" s="13" t="s">
        <v>405</v>
      </c>
      <c r="O63" s="17">
        <v>44019</v>
      </c>
      <c r="P63" s="18">
        <f>IFERROR(VLOOKUP(J63,'[1]Obs Tecnicas'!$D$2:$I$313,5,0),O63)</f>
        <v>44523</v>
      </c>
      <c r="Q63" s="17" t="str">
        <f t="shared" ca="1" si="2"/>
        <v>Calibrado</v>
      </c>
      <c r="R63" s="19">
        <f>IFERROR(VLOOKUP(J63,'[1]Obs Tecnicas'!$D$2:$G$333,2,0),"")</f>
        <v>14288</v>
      </c>
      <c r="S63" s="13" t="str">
        <f>IFERROR(VLOOKUP(J63,'[1]Obs Tecnicas'!$D$2:$G$337,3,0),"Hexis")</f>
        <v>ER ANALITICA</v>
      </c>
      <c r="T63" s="13">
        <f>IFERROR(VLOOKUP(J63,'[1]Obs Tecnicas'!$D$2:$G$337,4,0),"")</f>
        <v>0</v>
      </c>
      <c r="U63" s="14" t="s">
        <v>291</v>
      </c>
      <c r="V63" s="14">
        <f t="shared" si="3"/>
        <v>11</v>
      </c>
      <c r="W63" s="20">
        <f>VLOOKUP(I63,Indicadores!$N$4:$Q$15,4,0)</f>
        <v>895.23</v>
      </c>
    </row>
    <row r="64" spans="1:23" hidden="1">
      <c r="A64" s="13" t="s">
        <v>899</v>
      </c>
      <c r="B64" s="13" t="s">
        <v>391</v>
      </c>
      <c r="C64" s="15" t="s">
        <v>392</v>
      </c>
      <c r="D64" s="13" t="s">
        <v>403</v>
      </c>
      <c r="E64" s="13" t="s">
        <v>391</v>
      </c>
      <c r="F64" s="15" t="s">
        <v>392</v>
      </c>
      <c r="G64" s="13" t="s">
        <v>318</v>
      </c>
      <c r="H64" s="24" t="s">
        <v>156</v>
      </c>
      <c r="I64" s="13" t="s">
        <v>5</v>
      </c>
      <c r="J64" s="28" t="s">
        <v>408</v>
      </c>
      <c r="K64" s="13" t="s">
        <v>21</v>
      </c>
      <c r="L64" s="13" t="s">
        <v>78</v>
      </c>
      <c r="M64" s="13" t="s">
        <v>157</v>
      </c>
      <c r="N64" s="13" t="s">
        <v>405</v>
      </c>
      <c r="O64" s="17">
        <v>44019</v>
      </c>
      <c r="P64" s="18">
        <f>IFERROR(VLOOKUP(J64,'[1]Obs Tecnicas'!$D$2:$I$313,5,0),O64)</f>
        <v>44523</v>
      </c>
      <c r="Q64" s="17" t="str">
        <f t="shared" ref="Q64:Q74" ca="1" si="4">IF(P64&lt;&gt;"",IF(P64+365&gt;TODAY(),"Calibrado","Vencido"),"")</f>
        <v>Calibrado</v>
      </c>
      <c r="R64" s="19">
        <f>IFERROR(VLOOKUP(J64,'[1]Obs Tecnicas'!$D$2:$G$333,2,0),"")</f>
        <v>13237</v>
      </c>
      <c r="S64" s="13" t="str">
        <f>IFERROR(VLOOKUP(J64,'[1]Obs Tecnicas'!$D$2:$G$337,3,0),"Hexis")</f>
        <v>ER ANALITICA</v>
      </c>
      <c r="T64" s="13">
        <f>IFERROR(VLOOKUP(J64,'[1]Obs Tecnicas'!$D$2:$G$337,4,0),"")</f>
        <v>0</v>
      </c>
      <c r="U64" s="14" t="s">
        <v>291</v>
      </c>
      <c r="V64" s="14">
        <f t="shared" ref="V64:V127" si="5">IF(P64&lt;&gt;"",MONTH(P64),"")</f>
        <v>11</v>
      </c>
      <c r="W64" s="20">
        <f>VLOOKUP(I64,Indicadores!$N$4:$Q$15,4,0)</f>
        <v>895.23</v>
      </c>
    </row>
    <row r="65" spans="1:23" hidden="1">
      <c r="A65" s="13" t="s">
        <v>899</v>
      </c>
      <c r="B65" s="13" t="s">
        <v>391</v>
      </c>
      <c r="C65" s="15" t="s">
        <v>392</v>
      </c>
      <c r="D65" s="13" t="s">
        <v>403</v>
      </c>
      <c r="E65" s="13" t="s">
        <v>391</v>
      </c>
      <c r="F65" s="15" t="s">
        <v>392</v>
      </c>
      <c r="G65" s="13" t="s">
        <v>318</v>
      </c>
      <c r="H65" s="24" t="s">
        <v>156</v>
      </c>
      <c r="I65" s="13" t="s">
        <v>835</v>
      </c>
      <c r="J65" s="28" t="s">
        <v>409</v>
      </c>
      <c r="K65" s="13" t="s">
        <v>26</v>
      </c>
      <c r="L65" s="24" t="s">
        <v>84</v>
      </c>
      <c r="M65" s="13" t="s">
        <v>157</v>
      </c>
      <c r="N65" s="13" t="s">
        <v>405</v>
      </c>
      <c r="O65" s="17">
        <v>44019</v>
      </c>
      <c r="P65" s="18">
        <f>IFERROR(VLOOKUP(J65,'[1]Obs Tecnicas'!$D$2:$I$313,5,0),O65)</f>
        <v>44523</v>
      </c>
      <c r="Q65" s="17" t="str">
        <f t="shared" ca="1" si="4"/>
        <v>Calibrado</v>
      </c>
      <c r="R65" s="19">
        <f>IFERROR(VLOOKUP(J65,'[1]Obs Tecnicas'!$D$2:$G$333,2,0),"")</f>
        <v>14624</v>
      </c>
      <c r="S65" s="13" t="str">
        <f>IFERROR(VLOOKUP(J65,'[1]Obs Tecnicas'!$D$2:$G$337,3,0),"Hexis")</f>
        <v>ER ANALITICA</v>
      </c>
      <c r="T65" s="13" t="str">
        <f>IFERROR(VLOOKUP(J65,'[1]Obs Tecnicas'!$D$2:$G$337,4,0),"")</f>
        <v>Liberado com restrição, eletrodo de pH em final da vida útil (lentidão).</v>
      </c>
      <c r="U65" s="14" t="s">
        <v>291</v>
      </c>
      <c r="V65" s="14">
        <f t="shared" si="5"/>
        <v>11</v>
      </c>
      <c r="W65" s="20">
        <f>VLOOKUP(I65,Indicadores!$N$4:$Q$15,4,0)</f>
        <v>546.79</v>
      </c>
    </row>
    <row r="66" spans="1:23" hidden="1">
      <c r="A66" s="13" t="s">
        <v>899</v>
      </c>
      <c r="B66" s="13" t="s">
        <v>391</v>
      </c>
      <c r="C66" s="15" t="s">
        <v>392</v>
      </c>
      <c r="D66" s="13" t="s">
        <v>403</v>
      </c>
      <c r="E66" s="13" t="s">
        <v>391</v>
      </c>
      <c r="F66" s="15" t="s">
        <v>392</v>
      </c>
      <c r="G66" s="13" t="s">
        <v>318</v>
      </c>
      <c r="H66" s="13" t="s">
        <v>156</v>
      </c>
      <c r="I66" s="13" t="s">
        <v>9</v>
      </c>
      <c r="J66" s="28" t="s">
        <v>158</v>
      </c>
      <c r="K66" s="13" t="s">
        <v>21</v>
      </c>
      <c r="L66" s="13" t="s">
        <v>29</v>
      </c>
      <c r="M66" s="13" t="s">
        <v>157</v>
      </c>
      <c r="N66" s="13" t="s">
        <v>405</v>
      </c>
      <c r="O66" s="17">
        <v>44019</v>
      </c>
      <c r="P66" s="18">
        <f>IFERROR(VLOOKUP(J66,'[1]Obs Tecnicas'!$D$2:$I$313,5,0),O66)</f>
        <v>44523</v>
      </c>
      <c r="Q66" s="17" t="str">
        <f t="shared" ca="1" si="4"/>
        <v>Calibrado</v>
      </c>
      <c r="R66" s="19">
        <f>IFERROR(VLOOKUP(J66,'[1]Obs Tecnicas'!$D$2:$G$333,2,0),"")</f>
        <v>14291</v>
      </c>
      <c r="S66" s="13" t="str">
        <f>IFERROR(VLOOKUP(J66,'[1]Obs Tecnicas'!$D$2:$G$337,3,0),"Hexis")</f>
        <v>ER ANALITICA</v>
      </c>
      <c r="T66" s="13">
        <f>IFERROR(VLOOKUP(J66,'[1]Obs Tecnicas'!$D$2:$G$337,4,0),"")</f>
        <v>0</v>
      </c>
      <c r="U66" s="14" t="s">
        <v>291</v>
      </c>
      <c r="V66" s="14">
        <f t="shared" si="5"/>
        <v>11</v>
      </c>
      <c r="W66" s="20">
        <f>VLOOKUP(I66,Indicadores!$N$4:$Q$15,4,0)</f>
        <v>521.79999999999995</v>
      </c>
    </row>
    <row r="67" spans="1:23" hidden="1">
      <c r="A67" s="13" t="s">
        <v>899</v>
      </c>
      <c r="B67" s="13" t="s">
        <v>391</v>
      </c>
      <c r="C67" s="15" t="s">
        <v>392</v>
      </c>
      <c r="D67" s="13" t="s">
        <v>403</v>
      </c>
      <c r="E67" s="13" t="s">
        <v>391</v>
      </c>
      <c r="F67" s="15" t="s">
        <v>392</v>
      </c>
      <c r="G67" s="13" t="s">
        <v>318</v>
      </c>
      <c r="H67" s="13" t="s">
        <v>156</v>
      </c>
      <c r="I67" s="13" t="s">
        <v>835</v>
      </c>
      <c r="J67" s="28" t="s">
        <v>410</v>
      </c>
      <c r="K67" s="13" t="s">
        <v>26</v>
      </c>
      <c r="L67" s="13" t="s">
        <v>27</v>
      </c>
      <c r="M67" s="13" t="s">
        <v>157</v>
      </c>
      <c r="N67" s="13" t="s">
        <v>405</v>
      </c>
      <c r="O67" s="17">
        <v>44019</v>
      </c>
      <c r="P67" s="18">
        <f>IFERROR(VLOOKUP(J67,'[1]Obs Tecnicas'!$D$2:$I$313,5,0),O67)</f>
        <v>44523</v>
      </c>
      <c r="Q67" s="17" t="str">
        <f t="shared" ca="1" si="4"/>
        <v>Calibrado</v>
      </c>
      <c r="R67" s="19">
        <f>IFERROR(VLOOKUP(J67,'[1]Obs Tecnicas'!$D$2:$G$333,2,0),"")</f>
        <v>14292</v>
      </c>
      <c r="S67" s="13" t="str">
        <f>IFERROR(VLOOKUP(J67,'[1]Obs Tecnicas'!$D$2:$G$337,3,0),"Hexis")</f>
        <v>ER ANALITICA</v>
      </c>
      <c r="T67" s="13">
        <f>IFERROR(VLOOKUP(J67,'[1]Obs Tecnicas'!$D$2:$G$337,4,0),"")</f>
        <v>0</v>
      </c>
      <c r="U67" s="14" t="s">
        <v>291</v>
      </c>
      <c r="V67" s="14">
        <f t="shared" si="5"/>
        <v>11</v>
      </c>
      <c r="W67" s="20">
        <f>VLOOKUP(I67,Indicadores!$N$4:$Q$15,4,0)</f>
        <v>546.79</v>
      </c>
    </row>
    <row r="68" spans="1:23" hidden="1">
      <c r="A68" s="13" t="s">
        <v>899</v>
      </c>
      <c r="B68" s="13" t="s">
        <v>399</v>
      </c>
      <c r="C68" s="15" t="s">
        <v>397</v>
      </c>
      <c r="D68" s="13" t="s">
        <v>398</v>
      </c>
      <c r="E68" s="13" t="s">
        <v>399</v>
      </c>
      <c r="F68" s="15" t="s">
        <v>397</v>
      </c>
      <c r="G68" s="13" t="s">
        <v>411</v>
      </c>
      <c r="H68" s="13" t="s">
        <v>412</v>
      </c>
      <c r="I68" s="13" t="s">
        <v>4</v>
      </c>
      <c r="J68" s="28" t="s">
        <v>413</v>
      </c>
      <c r="K68" s="13" t="s">
        <v>26</v>
      </c>
      <c r="L68" s="13" t="s">
        <v>27</v>
      </c>
      <c r="M68" s="13" t="s">
        <v>219</v>
      </c>
      <c r="N68" s="13" t="s">
        <v>332</v>
      </c>
      <c r="O68" s="17"/>
      <c r="P68" s="18">
        <f>IFERROR(VLOOKUP(J68,'[1]Obs Tecnicas'!$D$2:$I$313,5,0),O68)</f>
        <v>44333</v>
      </c>
      <c r="Q68" s="17" t="str">
        <f t="shared" ca="1" si="4"/>
        <v>Calibrado</v>
      </c>
      <c r="R68" s="19">
        <f>IFERROR(VLOOKUP(J68,'[1]Obs Tecnicas'!$D$2:$G$333,2,0),"")</f>
        <v>12342</v>
      </c>
      <c r="S68" s="13" t="str">
        <f>IFERROR(VLOOKUP(J68,'[1]Obs Tecnicas'!$D$2:$G$337,3,0),"Hexis")</f>
        <v>ER ANALITICA</v>
      </c>
      <c r="T68" s="13">
        <f>IFERROR(VLOOKUP(J68,'[1]Obs Tecnicas'!$D$2:$G$337,4,0),"")</f>
        <v>0</v>
      </c>
      <c r="U68" s="14" t="s">
        <v>291</v>
      </c>
      <c r="V68" s="14">
        <f t="shared" si="5"/>
        <v>5</v>
      </c>
      <c r="W68" s="20">
        <f>VLOOKUP(I68,Indicadores!$N$4:$Q$15,4,0)</f>
        <v>329.87</v>
      </c>
    </row>
    <row r="69" spans="1:23" hidden="1">
      <c r="A69" s="13" t="s">
        <v>899</v>
      </c>
      <c r="B69" s="13" t="s">
        <v>414</v>
      </c>
      <c r="C69" s="15" t="s">
        <v>415</v>
      </c>
      <c r="D69" s="13" t="s">
        <v>416</v>
      </c>
      <c r="E69" s="13" t="s">
        <v>322</v>
      </c>
      <c r="F69" s="15" t="s">
        <v>323</v>
      </c>
      <c r="G69" s="13" t="s">
        <v>289</v>
      </c>
      <c r="H69" s="13" t="s">
        <v>73</v>
      </c>
      <c r="I69" s="13" t="s">
        <v>2</v>
      </c>
      <c r="J69" s="28" t="s">
        <v>417</v>
      </c>
      <c r="K69" s="13" t="s">
        <v>38</v>
      </c>
      <c r="L69" s="13" t="s">
        <v>418</v>
      </c>
      <c r="M69" s="13" t="s">
        <v>419</v>
      </c>
      <c r="N69" s="13" t="s">
        <v>420</v>
      </c>
      <c r="O69" s="17">
        <v>44105</v>
      </c>
      <c r="P69" s="18">
        <f>IFERROR(VLOOKUP(J69,'[1]Obs Tecnicas'!$D$2:$I$313,5,0),O69)</f>
        <v>44426</v>
      </c>
      <c r="Q69" s="17" t="str">
        <f t="shared" ca="1" si="4"/>
        <v>Calibrado</v>
      </c>
      <c r="R69" s="19">
        <f>IFERROR(VLOOKUP(J69,'[1]Obs Tecnicas'!$D$2:$G$333,2,0),"")</f>
        <v>13483</v>
      </c>
      <c r="S69" s="13" t="str">
        <f>IFERROR(VLOOKUP(J69,'[1]Obs Tecnicas'!$D$2:$G$337,3,0),"Hexis")</f>
        <v>ER ANALITICA</v>
      </c>
      <c r="T69" s="13">
        <f>IFERROR(VLOOKUP(J69,'[1]Obs Tecnicas'!$D$2:$G$337,4,0),"")</f>
        <v>0</v>
      </c>
      <c r="U69" s="14" t="s">
        <v>291</v>
      </c>
      <c r="V69" s="14">
        <f t="shared" si="5"/>
        <v>8</v>
      </c>
      <c r="W69" s="20">
        <f>VLOOKUP(I69,Indicadores!$N$4:$Q$15,4,0)</f>
        <v>456.77</v>
      </c>
    </row>
    <row r="70" spans="1:23" hidden="1">
      <c r="A70" s="13" t="s">
        <v>899</v>
      </c>
      <c r="B70" s="13" t="s">
        <v>421</v>
      </c>
      <c r="C70" s="15" t="s">
        <v>422</v>
      </c>
      <c r="D70" s="13" t="s">
        <v>423</v>
      </c>
      <c r="E70" s="13" t="s">
        <v>322</v>
      </c>
      <c r="F70" s="15" t="s">
        <v>323</v>
      </c>
      <c r="G70" s="13" t="s">
        <v>289</v>
      </c>
      <c r="H70" s="13" t="s">
        <v>73</v>
      </c>
      <c r="I70" s="13" t="s">
        <v>4</v>
      </c>
      <c r="J70" s="28" t="s">
        <v>424</v>
      </c>
      <c r="K70" s="13" t="s">
        <v>31</v>
      </c>
      <c r="L70" s="13" t="s">
        <v>74</v>
      </c>
      <c r="M70" s="13" t="s">
        <v>425</v>
      </c>
      <c r="N70" s="13" t="s">
        <v>426</v>
      </c>
      <c r="O70" s="17">
        <v>44105</v>
      </c>
      <c r="P70" s="18">
        <f>IFERROR(VLOOKUP(J70,'[1]Obs Tecnicas'!$D$2:$I$313,5,0),O70)</f>
        <v>44426</v>
      </c>
      <c r="Q70" s="17" t="str">
        <f t="shared" ca="1" si="4"/>
        <v>Calibrado</v>
      </c>
      <c r="R70" s="19">
        <f>IFERROR(VLOOKUP(J70,'[1]Obs Tecnicas'!$D$2:$G$333,2,0),"")</f>
        <v>13484</v>
      </c>
      <c r="S70" s="13" t="str">
        <f>IFERROR(VLOOKUP(J70,'[1]Obs Tecnicas'!$D$2:$G$337,3,0),"Hexis")</f>
        <v>ER ANALITICA</v>
      </c>
      <c r="T70" s="13" t="str">
        <f>IFERROR(VLOOKUP(J70,'[1]Obs Tecnicas'!$D$2:$G$337,4,0),"")</f>
        <v>Sonda de condutivídade com vida útil avançada.</v>
      </c>
      <c r="U70" s="14" t="s">
        <v>291</v>
      </c>
      <c r="V70" s="14">
        <f t="shared" si="5"/>
        <v>8</v>
      </c>
      <c r="W70" s="20">
        <f>VLOOKUP(I70,Indicadores!$N$4:$Q$15,4,0)</f>
        <v>329.87</v>
      </c>
    </row>
    <row r="71" spans="1:23" hidden="1">
      <c r="A71" s="13" t="s">
        <v>899</v>
      </c>
      <c r="B71" s="13" t="s">
        <v>414</v>
      </c>
      <c r="C71" s="15" t="s">
        <v>415</v>
      </c>
      <c r="D71" s="13" t="s">
        <v>416</v>
      </c>
      <c r="E71" s="13" t="s">
        <v>322</v>
      </c>
      <c r="F71" s="15" t="s">
        <v>323</v>
      </c>
      <c r="G71" s="13" t="s">
        <v>289</v>
      </c>
      <c r="H71" s="13" t="s">
        <v>73</v>
      </c>
      <c r="I71" s="13" t="s">
        <v>5</v>
      </c>
      <c r="J71" s="28" t="s">
        <v>427</v>
      </c>
      <c r="K71" s="13" t="s">
        <v>21</v>
      </c>
      <c r="L71" s="13" t="s">
        <v>78</v>
      </c>
      <c r="M71" s="13" t="s">
        <v>419</v>
      </c>
      <c r="N71" s="13" t="s">
        <v>420</v>
      </c>
      <c r="O71" s="17">
        <v>44105</v>
      </c>
      <c r="P71" s="18">
        <f>IFERROR(VLOOKUP(J71,'[1]Obs Tecnicas'!$D$2:$I$313,5,0),O71)</f>
        <v>44426</v>
      </c>
      <c r="Q71" s="17" t="str">
        <f t="shared" ca="1" si="4"/>
        <v>Calibrado</v>
      </c>
      <c r="R71" s="19">
        <f>IFERROR(VLOOKUP(J71,'[1]Obs Tecnicas'!$D$2:$G$333,2,0),"")</f>
        <v>13485</v>
      </c>
      <c r="S71" s="13" t="str">
        <f>IFERROR(VLOOKUP(J71,'[1]Obs Tecnicas'!$D$2:$G$337,3,0),"Hexis")</f>
        <v>ER ANALITICA</v>
      </c>
      <c r="T71" s="13" t="str">
        <f>IFERROR(VLOOKUP(J71,'[1]Obs Tecnicas'!$D$2:$G$337,4,0),"")</f>
        <v xml:space="preserve"> Filtro óptico azul manchado.</v>
      </c>
      <c r="U71" s="14" t="s">
        <v>291</v>
      </c>
      <c r="V71" s="14">
        <f t="shared" si="5"/>
        <v>8</v>
      </c>
      <c r="W71" s="20">
        <f>VLOOKUP(I71,Indicadores!$N$4:$Q$15,4,0)</f>
        <v>895.23</v>
      </c>
    </row>
    <row r="72" spans="1:23" hidden="1">
      <c r="A72" s="13" t="s">
        <v>899</v>
      </c>
      <c r="B72" s="13" t="s">
        <v>421</v>
      </c>
      <c r="C72" s="15" t="s">
        <v>422</v>
      </c>
      <c r="D72" s="13" t="s">
        <v>423</v>
      </c>
      <c r="E72" s="13" t="s">
        <v>322</v>
      </c>
      <c r="F72" s="15" t="s">
        <v>323</v>
      </c>
      <c r="G72" s="13" t="s">
        <v>289</v>
      </c>
      <c r="H72" s="13" t="s">
        <v>73</v>
      </c>
      <c r="I72" s="13" t="s">
        <v>5</v>
      </c>
      <c r="J72" s="28" t="s">
        <v>79</v>
      </c>
      <c r="K72" s="13" t="s">
        <v>21</v>
      </c>
      <c r="L72" s="13" t="s">
        <v>80</v>
      </c>
      <c r="M72" s="13" t="s">
        <v>428</v>
      </c>
      <c r="N72" s="13" t="s">
        <v>429</v>
      </c>
      <c r="O72" s="17">
        <v>44105</v>
      </c>
      <c r="P72" s="18">
        <f>IFERROR(VLOOKUP(J72,'[1]Obs Tecnicas'!$D$2:$I$313,5,0),O72)</f>
        <v>44426</v>
      </c>
      <c r="Q72" s="17" t="str">
        <f t="shared" ca="1" si="4"/>
        <v>Calibrado</v>
      </c>
      <c r="R72" s="19">
        <f>IFERROR(VLOOKUP(J72,'[1]Obs Tecnicas'!$D$2:$G$333,2,0),"")</f>
        <v>13486</v>
      </c>
      <c r="S72" s="13" t="str">
        <f>IFERROR(VLOOKUP(J72,'[1]Obs Tecnicas'!$D$2:$G$337,3,0),"Hexis")</f>
        <v>ER ANALITICA</v>
      </c>
      <c r="T72" s="13" t="str">
        <f>IFERROR(VLOOKUP(J72,'[1]Obs Tecnicas'!$D$2:$G$337,4,0),"")</f>
        <v>Carcaça superior avariada</v>
      </c>
      <c r="U72" s="14" t="s">
        <v>291</v>
      </c>
      <c r="V72" s="14">
        <f t="shared" si="5"/>
        <v>8</v>
      </c>
      <c r="W72" s="20">
        <f>VLOOKUP(I72,Indicadores!$N$4:$Q$15,4,0)</f>
        <v>895.23</v>
      </c>
    </row>
    <row r="73" spans="1:23" hidden="1">
      <c r="A73" s="13" t="s">
        <v>899</v>
      </c>
      <c r="B73" s="13" t="s">
        <v>421</v>
      </c>
      <c r="C73" s="15" t="s">
        <v>422</v>
      </c>
      <c r="D73" s="13" t="s">
        <v>423</v>
      </c>
      <c r="E73" s="13" t="s">
        <v>322</v>
      </c>
      <c r="F73" s="15" t="s">
        <v>323</v>
      </c>
      <c r="G73" s="13" t="s">
        <v>289</v>
      </c>
      <c r="H73" s="13" t="s">
        <v>73</v>
      </c>
      <c r="I73" s="13" t="s">
        <v>7</v>
      </c>
      <c r="J73" s="28" t="s">
        <v>430</v>
      </c>
      <c r="K73" s="13" t="s">
        <v>31</v>
      </c>
      <c r="L73" s="13" t="s">
        <v>53</v>
      </c>
      <c r="M73" s="13" t="s">
        <v>425</v>
      </c>
      <c r="N73" s="13" t="s">
        <v>426</v>
      </c>
      <c r="O73" s="17">
        <v>44105</v>
      </c>
      <c r="P73" s="18">
        <f>IFERROR(VLOOKUP(J73,'[1]Obs Tecnicas'!$D$2:$I$313,5,0),O73)</f>
        <v>44426</v>
      </c>
      <c r="Q73" s="17" t="str">
        <f t="shared" ca="1" si="4"/>
        <v>Calibrado</v>
      </c>
      <c r="R73" s="19">
        <f>IFERROR(VLOOKUP(J73,'[1]Obs Tecnicas'!$D$2:$G$333,2,0),"")</f>
        <v>13487</v>
      </c>
      <c r="S73" s="13" t="str">
        <f>IFERROR(VLOOKUP(J73,'[1]Obs Tecnicas'!$D$2:$G$337,3,0),"Hexis")</f>
        <v>ER ANALITICA</v>
      </c>
      <c r="T73" s="13" t="str">
        <f>IFERROR(VLOOKUP(J73,'[1]Obs Tecnicas'!$D$2:$G$337,4,0),"")</f>
        <v>Eletrodo com vida útil avançada.</v>
      </c>
      <c r="U73" s="14" t="s">
        <v>291</v>
      </c>
      <c r="V73" s="14">
        <f t="shared" si="5"/>
        <v>8</v>
      </c>
      <c r="W73" s="20">
        <f>VLOOKUP(I73,Indicadores!$N$4:$Q$15,4,0)</f>
        <v>329.87</v>
      </c>
    </row>
    <row r="74" spans="1:23" hidden="1">
      <c r="A74" s="13" t="s">
        <v>899</v>
      </c>
      <c r="B74" s="13" t="s">
        <v>421</v>
      </c>
      <c r="C74" s="15" t="s">
        <v>422</v>
      </c>
      <c r="D74" s="13" t="s">
        <v>423</v>
      </c>
      <c r="E74" s="13" t="s">
        <v>322</v>
      </c>
      <c r="F74" s="15" t="s">
        <v>323</v>
      </c>
      <c r="G74" s="13" t="s">
        <v>289</v>
      </c>
      <c r="H74" s="13" t="s">
        <v>73</v>
      </c>
      <c r="I74" s="13" t="s">
        <v>9</v>
      </c>
      <c r="J74" s="28" t="s">
        <v>431</v>
      </c>
      <c r="K74" s="13" t="s">
        <v>31</v>
      </c>
      <c r="L74" s="13" t="s">
        <v>82</v>
      </c>
      <c r="M74" s="13" t="s">
        <v>425</v>
      </c>
      <c r="N74" s="13" t="s">
        <v>426</v>
      </c>
      <c r="O74" s="17">
        <v>44105</v>
      </c>
      <c r="P74" s="18">
        <f>IFERROR(VLOOKUP(J74,'[1]Obs Tecnicas'!$D$2:$I$313,5,0),O74)</f>
        <v>44426</v>
      </c>
      <c r="Q74" s="17" t="str">
        <f t="shared" ca="1" si="4"/>
        <v>Calibrado</v>
      </c>
      <c r="R74" s="19">
        <f>IFERROR(VLOOKUP(J74,'[1]Obs Tecnicas'!$D$2:$G$333,2,0),"")</f>
        <v>13488</v>
      </c>
      <c r="S74" s="13" t="str">
        <f>IFERROR(VLOOKUP(J74,'[1]Obs Tecnicas'!$D$2:$G$337,3,0),"Hexis")</f>
        <v>ER ANALITICA</v>
      </c>
      <c r="T74" s="13" t="str">
        <f>IFERROR(VLOOKUP(J74,'[1]Obs Tecnicas'!$D$2:$G$337,4,0),"")</f>
        <v>Carcaça superior avariada</v>
      </c>
      <c r="U74" s="14" t="s">
        <v>291</v>
      </c>
      <c r="V74" s="14">
        <f t="shared" si="5"/>
        <v>8</v>
      </c>
      <c r="W74" s="20">
        <f>VLOOKUP(I74,Indicadores!$N$4:$Q$15,4,0)</f>
        <v>521.79999999999995</v>
      </c>
    </row>
    <row r="75" spans="1:23">
      <c r="A75" s="13" t="s">
        <v>899</v>
      </c>
      <c r="B75" s="13" t="s">
        <v>414</v>
      </c>
      <c r="C75" s="15" t="s">
        <v>415</v>
      </c>
      <c r="D75" s="13" t="s">
        <v>416</v>
      </c>
      <c r="E75" s="13" t="s">
        <v>322</v>
      </c>
      <c r="F75" s="15" t="s">
        <v>323</v>
      </c>
      <c r="G75" s="13" t="s">
        <v>289</v>
      </c>
      <c r="H75" s="13" t="s">
        <v>73</v>
      </c>
      <c r="I75" s="13" t="s">
        <v>7</v>
      </c>
      <c r="J75" s="28" t="s">
        <v>432</v>
      </c>
      <c r="K75" s="322" t="s">
        <v>433</v>
      </c>
      <c r="L75" s="322" t="s">
        <v>434</v>
      </c>
      <c r="M75" s="13" t="s">
        <v>419</v>
      </c>
      <c r="N75" s="13" t="s">
        <v>420</v>
      </c>
      <c r="O75" s="17"/>
      <c r="P75" s="18">
        <v>44509</v>
      </c>
      <c r="Q75" s="17"/>
      <c r="R75" s="19"/>
      <c r="S75" s="13"/>
      <c r="T75" s="13"/>
      <c r="V75" s="14">
        <f t="shared" si="5"/>
        <v>11</v>
      </c>
      <c r="W75" s="20">
        <f>VLOOKUP(I75,Indicadores!$N$4:$Q$15,4,0)</f>
        <v>329.87</v>
      </c>
    </row>
    <row r="76" spans="1:23">
      <c r="A76" s="13" t="s">
        <v>899</v>
      </c>
      <c r="B76" s="13" t="s">
        <v>414</v>
      </c>
      <c r="C76" s="15" t="s">
        <v>415</v>
      </c>
      <c r="D76" s="13" t="s">
        <v>416</v>
      </c>
      <c r="E76" s="13" t="s">
        <v>322</v>
      </c>
      <c r="F76" s="15" t="s">
        <v>323</v>
      </c>
      <c r="G76" s="13" t="s">
        <v>289</v>
      </c>
      <c r="H76" s="13" t="s">
        <v>73</v>
      </c>
      <c r="I76" s="13" t="s">
        <v>4</v>
      </c>
      <c r="J76" s="28" t="s">
        <v>435</v>
      </c>
      <c r="K76" s="322" t="s">
        <v>436</v>
      </c>
      <c r="L76" s="322" t="s">
        <v>437</v>
      </c>
      <c r="M76" s="13" t="s">
        <v>419</v>
      </c>
      <c r="N76" s="13" t="s">
        <v>438</v>
      </c>
      <c r="O76" s="17" t="s">
        <v>439</v>
      </c>
      <c r="P76" s="18">
        <v>44409</v>
      </c>
      <c r="Q76" s="17"/>
      <c r="R76" s="19"/>
      <c r="S76" s="13"/>
      <c r="T76" s="13"/>
      <c r="V76" s="14">
        <f t="shared" si="5"/>
        <v>8</v>
      </c>
      <c r="W76" s="20">
        <f>VLOOKUP(I76,Indicadores!$N$4:$Q$15,4,0)</f>
        <v>329.87</v>
      </c>
    </row>
    <row r="77" spans="1:23">
      <c r="A77" s="13" t="s">
        <v>899</v>
      </c>
      <c r="B77" s="13" t="s">
        <v>421</v>
      </c>
      <c r="C77" s="15" t="s">
        <v>422</v>
      </c>
      <c r="D77" s="13" t="s">
        <v>423</v>
      </c>
      <c r="E77" s="13" t="s">
        <v>322</v>
      </c>
      <c r="F77" s="15" t="s">
        <v>323</v>
      </c>
      <c r="G77" s="13" t="s">
        <v>289</v>
      </c>
      <c r="H77" s="13" t="s">
        <v>73</v>
      </c>
      <c r="I77" s="13" t="s">
        <v>5</v>
      </c>
      <c r="J77" s="28" t="s">
        <v>440</v>
      </c>
      <c r="K77" s="322" t="s">
        <v>441</v>
      </c>
      <c r="L77" s="322" t="s">
        <v>442</v>
      </c>
      <c r="M77" s="13" t="s">
        <v>425</v>
      </c>
      <c r="N77" s="13" t="s">
        <v>443</v>
      </c>
      <c r="O77" s="17"/>
      <c r="P77" s="18">
        <v>44409</v>
      </c>
      <c r="Q77" s="17"/>
      <c r="R77" s="19"/>
      <c r="S77" s="13"/>
      <c r="T77" s="13"/>
      <c r="V77" s="14">
        <f t="shared" si="5"/>
        <v>8</v>
      </c>
      <c r="W77" s="20">
        <f>VLOOKUP(I77,Indicadores!$N$4:$Q$15,4,0)</f>
        <v>895.23</v>
      </c>
    </row>
    <row r="78" spans="1:23">
      <c r="A78" s="13" t="s">
        <v>899</v>
      </c>
      <c r="B78" s="13" t="s">
        <v>421</v>
      </c>
      <c r="C78" s="15" t="s">
        <v>422</v>
      </c>
      <c r="D78" s="13" t="s">
        <v>423</v>
      </c>
      <c r="E78" s="13" t="s">
        <v>322</v>
      </c>
      <c r="F78" s="15" t="s">
        <v>323</v>
      </c>
      <c r="G78" s="13" t="s">
        <v>289</v>
      </c>
      <c r="H78" s="13" t="s">
        <v>73</v>
      </c>
      <c r="I78" s="13" t="s">
        <v>9</v>
      </c>
      <c r="J78" s="322" t="s">
        <v>444</v>
      </c>
      <c r="K78" s="322" t="s">
        <v>441</v>
      </c>
      <c r="L78" s="322" t="s">
        <v>445</v>
      </c>
      <c r="M78" s="196" t="s">
        <v>425</v>
      </c>
      <c r="N78" s="196" t="s">
        <v>446</v>
      </c>
      <c r="O78" s="170">
        <v>44501</v>
      </c>
      <c r="P78" s="18">
        <v>44421</v>
      </c>
      <c r="Q78" s="17"/>
      <c r="R78" s="19"/>
      <c r="S78" s="13"/>
      <c r="T78" s="13"/>
      <c r="V78" s="14">
        <f t="shared" si="5"/>
        <v>8</v>
      </c>
      <c r="W78" s="20">
        <f>VLOOKUP(I78,Indicadores!$N$4:$Q$15,4,0)</f>
        <v>521.79999999999995</v>
      </c>
    </row>
    <row r="79" spans="1:23">
      <c r="A79" s="13" t="s">
        <v>899</v>
      </c>
      <c r="B79" s="13" t="s">
        <v>414</v>
      </c>
      <c r="C79" s="15" t="s">
        <v>415</v>
      </c>
      <c r="D79" s="13" t="s">
        <v>416</v>
      </c>
      <c r="E79" s="13" t="s">
        <v>322</v>
      </c>
      <c r="F79" s="15" t="s">
        <v>323</v>
      </c>
      <c r="G79" s="13" t="s">
        <v>289</v>
      </c>
      <c r="H79" s="13" t="s">
        <v>73</v>
      </c>
      <c r="I79" s="196" t="s">
        <v>8</v>
      </c>
      <c r="J79" s="322" t="s">
        <v>447</v>
      </c>
      <c r="K79" s="322" t="s">
        <v>105</v>
      </c>
      <c r="L79" s="322" t="s">
        <v>448</v>
      </c>
      <c r="M79" s="196" t="s">
        <v>419</v>
      </c>
      <c r="N79" s="196" t="s">
        <v>420</v>
      </c>
      <c r="O79" s="170">
        <v>44501</v>
      </c>
      <c r="P79" s="18">
        <v>44409</v>
      </c>
      <c r="Q79" s="17"/>
      <c r="R79" s="19"/>
      <c r="S79" s="13"/>
      <c r="T79" s="13"/>
      <c r="V79" s="14">
        <f t="shared" si="5"/>
        <v>8</v>
      </c>
      <c r="W79" s="20">
        <f>VLOOKUP(I79,Indicadores!$N$4:$Q$15,4,0)</f>
        <v>462.11</v>
      </c>
    </row>
    <row r="80" spans="1:23" hidden="1">
      <c r="A80" s="13" t="s">
        <v>899</v>
      </c>
      <c r="B80" s="13" t="s">
        <v>449</v>
      </c>
      <c r="C80" s="15" t="s">
        <v>450</v>
      </c>
      <c r="D80" s="13" t="s">
        <v>451</v>
      </c>
      <c r="E80" s="13" t="s">
        <v>452</v>
      </c>
      <c r="F80" s="15" t="s">
        <v>453</v>
      </c>
      <c r="G80" s="13" t="s">
        <v>289</v>
      </c>
      <c r="H80" s="13" t="s">
        <v>83</v>
      </c>
      <c r="I80" s="13" t="s">
        <v>4</v>
      </c>
      <c r="J80" s="28" t="s">
        <v>454</v>
      </c>
      <c r="K80" s="13" t="s">
        <v>62</v>
      </c>
      <c r="L80" s="13" t="s">
        <v>63</v>
      </c>
      <c r="M80" s="13" t="s">
        <v>85</v>
      </c>
      <c r="N80" s="13" t="s">
        <v>455</v>
      </c>
      <c r="O80" s="17">
        <v>44406</v>
      </c>
      <c r="P80" s="18">
        <f>IFERROR(VLOOKUP(J80,'[1]Obs Tecnicas'!$D$2:$I$313,5,0),O80)</f>
        <v>44406</v>
      </c>
      <c r="Q80" s="17" t="str">
        <f t="shared" ref="Q80:Q143" ca="1" si="6">IF(P80&lt;&gt;"",IF(P80+365&gt;TODAY(),"Calibrado","Vencido"),"")</f>
        <v>Calibrado</v>
      </c>
      <c r="R80" s="19">
        <f>IFERROR(VLOOKUP(J80,'[1]Obs Tecnicas'!$D$2:$G$333,2,0),"")</f>
        <v>13270</v>
      </c>
      <c r="S80" s="13" t="str">
        <f>IFERROR(VLOOKUP(J80,'[1]Obs Tecnicas'!$D$2:$G$337,3,0),"Hexis")</f>
        <v>ER ANALITICA</v>
      </c>
      <c r="T80" s="13">
        <f>IFERROR(VLOOKUP(J80,'[1]Obs Tecnicas'!$D$2:$G$337,4,0),"")</f>
        <v>0</v>
      </c>
      <c r="U80" s="14" t="s">
        <v>291</v>
      </c>
      <c r="V80" s="14">
        <f t="shared" si="5"/>
        <v>7</v>
      </c>
      <c r="W80" s="20">
        <f>VLOOKUP(I80,Indicadores!$N$4:$Q$15,4,0)</f>
        <v>329.87</v>
      </c>
    </row>
    <row r="81" spans="1:23" hidden="1">
      <c r="A81" s="13" t="s">
        <v>899</v>
      </c>
      <c r="B81" s="13" t="s">
        <v>449</v>
      </c>
      <c r="C81" s="15" t="s">
        <v>450</v>
      </c>
      <c r="D81" s="13" t="s">
        <v>451</v>
      </c>
      <c r="E81" s="13" t="s">
        <v>452</v>
      </c>
      <c r="F81" s="15" t="s">
        <v>453</v>
      </c>
      <c r="G81" s="13" t="s">
        <v>289</v>
      </c>
      <c r="H81" s="13" t="s">
        <v>83</v>
      </c>
      <c r="I81" s="13" t="s">
        <v>5</v>
      </c>
      <c r="J81" s="28" t="s">
        <v>456</v>
      </c>
      <c r="K81" s="13" t="s">
        <v>21</v>
      </c>
      <c r="L81" s="13" t="s">
        <v>34</v>
      </c>
      <c r="M81" s="13" t="s">
        <v>85</v>
      </c>
      <c r="N81" s="13" t="s">
        <v>455</v>
      </c>
      <c r="O81" s="17">
        <v>44013</v>
      </c>
      <c r="P81" s="18">
        <f>IFERROR(VLOOKUP(J81,'[1]Obs Tecnicas'!$D$2:$I$313,5,0),O81)</f>
        <v>44406</v>
      </c>
      <c r="Q81" s="17" t="str">
        <f t="shared" ca="1" si="6"/>
        <v>Calibrado</v>
      </c>
      <c r="R81" s="19">
        <f>IFERROR(VLOOKUP(J81,'[1]Obs Tecnicas'!$D$2:$G$333,2,0),"")</f>
        <v>13271</v>
      </c>
      <c r="S81" s="13" t="str">
        <f>IFERROR(VLOOKUP(J81,'[1]Obs Tecnicas'!$D$2:$G$337,3,0),"Hexis")</f>
        <v>ER ANALITICA</v>
      </c>
      <c r="T81" s="13" t="str">
        <f>IFERROR(VLOOKUP(J81,'[1]Obs Tecnicas'!$D$2:$G$337,4,0),"")</f>
        <v>Filtro óptico azul encontra-se oxidado e compartimento de cubeta quebrado</v>
      </c>
      <c r="U81" s="14" t="s">
        <v>291</v>
      </c>
      <c r="V81" s="14">
        <f t="shared" si="5"/>
        <v>7</v>
      </c>
      <c r="W81" s="20">
        <f>VLOOKUP(I81,Indicadores!$N$4:$Q$15,4,0)</f>
        <v>895.23</v>
      </c>
    </row>
    <row r="82" spans="1:23" hidden="1">
      <c r="A82" s="13" t="s">
        <v>899</v>
      </c>
      <c r="B82" s="13" t="s">
        <v>449</v>
      </c>
      <c r="C82" s="15" t="s">
        <v>450</v>
      </c>
      <c r="D82" s="13" t="s">
        <v>451</v>
      </c>
      <c r="E82" s="13" t="s">
        <v>452</v>
      </c>
      <c r="F82" s="15" t="s">
        <v>453</v>
      </c>
      <c r="G82" s="13" t="s">
        <v>289</v>
      </c>
      <c r="H82" s="13" t="s">
        <v>83</v>
      </c>
      <c r="I82" s="13" t="s">
        <v>835</v>
      </c>
      <c r="J82" s="28" t="s">
        <v>457</v>
      </c>
      <c r="K82" s="13" t="s">
        <v>26</v>
      </c>
      <c r="L82" s="13" t="s">
        <v>84</v>
      </c>
      <c r="M82" s="13" t="s">
        <v>85</v>
      </c>
      <c r="N82" s="13" t="s">
        <v>455</v>
      </c>
      <c r="O82" s="17">
        <v>44406</v>
      </c>
      <c r="P82" s="18">
        <f>IFERROR(VLOOKUP(J82,'[1]Obs Tecnicas'!$D$2:$I$313,5,0),O82)</f>
        <v>44406</v>
      </c>
      <c r="Q82" s="17" t="str">
        <f t="shared" ca="1" si="6"/>
        <v>Calibrado</v>
      </c>
      <c r="R82" s="19">
        <f>IFERROR(VLOOKUP(J82,'[1]Obs Tecnicas'!$D$2:$G$333,2,0),"")</f>
        <v>13272</v>
      </c>
      <c r="S82" s="13" t="str">
        <f>IFERROR(VLOOKUP(J82,'[1]Obs Tecnicas'!$D$2:$G$337,3,0),"Hexis")</f>
        <v>ER ANALITICA</v>
      </c>
      <c r="T82" s="13">
        <f>IFERROR(VLOOKUP(J82,'[1]Obs Tecnicas'!$D$2:$G$337,4,0),"")</f>
        <v>0</v>
      </c>
      <c r="U82" s="14" t="s">
        <v>291</v>
      </c>
      <c r="V82" s="14">
        <f t="shared" si="5"/>
        <v>7</v>
      </c>
      <c r="W82" s="20">
        <f>VLOOKUP(I82,Indicadores!$N$4:$Q$15,4,0)</f>
        <v>546.79</v>
      </c>
    </row>
    <row r="83" spans="1:23" hidden="1">
      <c r="A83" s="13" t="s">
        <v>899</v>
      </c>
      <c r="B83" s="13" t="s">
        <v>449</v>
      </c>
      <c r="C83" s="15" t="s">
        <v>450</v>
      </c>
      <c r="D83" s="13" t="s">
        <v>451</v>
      </c>
      <c r="E83" s="13" t="s">
        <v>452</v>
      </c>
      <c r="F83" s="15" t="s">
        <v>453</v>
      </c>
      <c r="G83" s="13" t="s">
        <v>289</v>
      </c>
      <c r="H83" s="13" t="s">
        <v>83</v>
      </c>
      <c r="I83" s="13" t="s">
        <v>835</v>
      </c>
      <c r="J83" s="28" t="s">
        <v>458</v>
      </c>
      <c r="K83" s="13" t="s">
        <v>26</v>
      </c>
      <c r="L83" s="13" t="s">
        <v>84</v>
      </c>
      <c r="M83" s="13" t="s">
        <v>85</v>
      </c>
      <c r="N83" s="13" t="s">
        <v>455</v>
      </c>
      <c r="O83" s="17">
        <v>44013</v>
      </c>
      <c r="P83" s="18">
        <f>IFERROR(VLOOKUP(J83,'[1]Obs Tecnicas'!$D$2:$I$313,5,0),O83)</f>
        <v>44406</v>
      </c>
      <c r="Q83" s="17" t="str">
        <f t="shared" ca="1" si="6"/>
        <v>Calibrado</v>
      </c>
      <c r="R83" s="19">
        <f>IFERROR(VLOOKUP(J83,'[1]Obs Tecnicas'!$D$2:$G$333,2,0),"")</f>
        <v>13273</v>
      </c>
      <c r="S83" s="13" t="str">
        <f>IFERROR(VLOOKUP(J83,'[1]Obs Tecnicas'!$D$2:$G$337,3,0),"Hexis")</f>
        <v>ER ANALITICA</v>
      </c>
      <c r="T83" s="13">
        <f>IFERROR(VLOOKUP(J83,'[1]Obs Tecnicas'!$D$2:$G$337,4,0),"")</f>
        <v>0</v>
      </c>
      <c r="U83" s="14" t="s">
        <v>291</v>
      </c>
      <c r="V83" s="14">
        <f t="shared" si="5"/>
        <v>7</v>
      </c>
      <c r="W83" s="20">
        <f>VLOOKUP(I83,Indicadores!$N$4:$Q$15,4,0)</f>
        <v>546.79</v>
      </c>
    </row>
    <row r="84" spans="1:23" hidden="1">
      <c r="A84" s="13" t="s">
        <v>899</v>
      </c>
      <c r="B84" s="13" t="s">
        <v>449</v>
      </c>
      <c r="C84" s="15" t="s">
        <v>450</v>
      </c>
      <c r="D84" s="13" t="s">
        <v>451</v>
      </c>
      <c r="E84" s="13" t="s">
        <v>452</v>
      </c>
      <c r="F84" s="15" t="s">
        <v>453</v>
      </c>
      <c r="G84" s="13" t="s">
        <v>289</v>
      </c>
      <c r="H84" s="13" t="s">
        <v>83</v>
      </c>
      <c r="I84" s="13" t="s">
        <v>7</v>
      </c>
      <c r="J84" s="28" t="s">
        <v>459</v>
      </c>
      <c r="K84" s="13" t="s">
        <v>31</v>
      </c>
      <c r="L84" s="13" t="s">
        <v>88</v>
      </c>
      <c r="M84" s="13" t="s">
        <v>85</v>
      </c>
      <c r="N84" s="13" t="s">
        <v>455</v>
      </c>
      <c r="O84" s="17">
        <v>44406</v>
      </c>
      <c r="P84" s="18">
        <f>IFERROR(VLOOKUP(J84,'[1]Obs Tecnicas'!$D$2:$I$313,5,0),O84)</f>
        <v>44406</v>
      </c>
      <c r="Q84" s="17" t="str">
        <f t="shared" ca="1" si="6"/>
        <v>Calibrado</v>
      </c>
      <c r="R84" s="19">
        <f>IFERROR(VLOOKUP(J84,'[1]Obs Tecnicas'!$D$2:$G$333,2,0),"")</f>
        <v>13274</v>
      </c>
      <c r="S84" s="13" t="str">
        <f>IFERROR(VLOOKUP(J84,'[1]Obs Tecnicas'!$D$2:$G$337,3,0),"Hexis")</f>
        <v>ER ANALITICA</v>
      </c>
      <c r="T84" s="13">
        <f>IFERROR(VLOOKUP(J84,'[1]Obs Tecnicas'!$D$2:$G$337,4,0),"")</f>
        <v>0</v>
      </c>
      <c r="U84" s="14" t="s">
        <v>291</v>
      </c>
      <c r="V84" s="14">
        <f t="shared" si="5"/>
        <v>7</v>
      </c>
      <c r="W84" s="20">
        <f>VLOOKUP(I84,Indicadores!$N$4:$Q$15,4,0)</f>
        <v>329.87</v>
      </c>
    </row>
    <row r="85" spans="1:23" hidden="1">
      <c r="A85" s="13" t="s">
        <v>899</v>
      </c>
      <c r="B85" s="13" t="s">
        <v>449</v>
      </c>
      <c r="C85" s="15" t="s">
        <v>450</v>
      </c>
      <c r="D85" s="13" t="s">
        <v>451</v>
      </c>
      <c r="E85" s="13" t="s">
        <v>452</v>
      </c>
      <c r="F85" s="15" t="s">
        <v>453</v>
      </c>
      <c r="G85" s="13" t="s">
        <v>289</v>
      </c>
      <c r="H85" s="13" t="s">
        <v>83</v>
      </c>
      <c r="I85" s="13" t="s">
        <v>9</v>
      </c>
      <c r="J85" s="28" t="s">
        <v>460</v>
      </c>
      <c r="K85" s="13" t="s">
        <v>54</v>
      </c>
      <c r="L85" s="13" t="s">
        <v>87</v>
      </c>
      <c r="M85" s="13" t="s">
        <v>85</v>
      </c>
      <c r="N85" s="13" t="s">
        <v>455</v>
      </c>
      <c r="O85" s="17">
        <v>44013</v>
      </c>
      <c r="P85" s="18">
        <f>IFERROR(VLOOKUP(J85,'[1]Obs Tecnicas'!$D$2:$I$313,5,0),O85)</f>
        <v>44406</v>
      </c>
      <c r="Q85" s="17" t="str">
        <f t="shared" ca="1" si="6"/>
        <v>Calibrado</v>
      </c>
      <c r="R85" s="19">
        <f>IFERROR(VLOOKUP(J85,'[1]Obs Tecnicas'!$D$2:$G$333,2,0),"")</f>
        <v>13276</v>
      </c>
      <c r="S85" s="13" t="str">
        <f>IFERROR(VLOOKUP(J85,'[1]Obs Tecnicas'!$D$2:$G$337,3,0),"Hexis")</f>
        <v>ER ANALITICA</v>
      </c>
      <c r="T85" s="13" t="str">
        <f>IFERROR(VLOOKUP(J85,'[1]Obs Tecnicas'!$D$2:$G$337,4,0),"")</f>
        <v>Tampa corta luz danificada</v>
      </c>
      <c r="U85" s="14" t="s">
        <v>291</v>
      </c>
      <c r="V85" s="14">
        <f t="shared" si="5"/>
        <v>7</v>
      </c>
      <c r="W85" s="20">
        <f>VLOOKUP(I85,Indicadores!$N$4:$Q$15,4,0)</f>
        <v>521.79999999999995</v>
      </c>
    </row>
    <row r="86" spans="1:23" hidden="1">
      <c r="A86" s="13" t="s">
        <v>899</v>
      </c>
      <c r="B86" s="13" t="s">
        <v>449</v>
      </c>
      <c r="C86" s="15" t="s">
        <v>450</v>
      </c>
      <c r="D86" s="13" t="s">
        <v>451</v>
      </c>
      <c r="E86" s="13" t="s">
        <v>452</v>
      </c>
      <c r="F86" s="15" t="s">
        <v>453</v>
      </c>
      <c r="G86" s="13" t="s">
        <v>289</v>
      </c>
      <c r="H86" s="13" t="s">
        <v>83</v>
      </c>
      <c r="I86" s="13" t="s">
        <v>9</v>
      </c>
      <c r="J86" s="28" t="s">
        <v>461</v>
      </c>
      <c r="K86" s="13" t="s">
        <v>31</v>
      </c>
      <c r="L86" s="13" t="s">
        <v>89</v>
      </c>
      <c r="M86" s="13" t="s">
        <v>85</v>
      </c>
      <c r="N86" s="13" t="s">
        <v>455</v>
      </c>
      <c r="O86" s="17">
        <v>44406</v>
      </c>
      <c r="P86" s="18">
        <f>IFERROR(VLOOKUP(J86,'[1]Obs Tecnicas'!$D$2:$I$313,5,0),O86)</f>
        <v>44406</v>
      </c>
      <c r="Q86" s="17" t="str">
        <f t="shared" ca="1" si="6"/>
        <v>Calibrado</v>
      </c>
      <c r="R86" s="19">
        <f>IFERROR(VLOOKUP(J86,'[1]Obs Tecnicas'!$D$2:$G$333,2,0),"")</f>
        <v>13277</v>
      </c>
      <c r="S86" s="13" t="str">
        <f>IFERROR(VLOOKUP(J86,'[1]Obs Tecnicas'!$D$2:$G$337,3,0),"Hexis")</f>
        <v>ER ANALITICA</v>
      </c>
      <c r="T86" s="13">
        <f>IFERROR(VLOOKUP(J86,'[1]Obs Tecnicas'!$D$2:$G$337,4,0),"")</f>
        <v>0</v>
      </c>
      <c r="U86" s="14" t="s">
        <v>291</v>
      </c>
      <c r="V86" s="14">
        <f t="shared" si="5"/>
        <v>7</v>
      </c>
      <c r="W86" s="20">
        <f>VLOOKUP(I86,Indicadores!$N$4:$Q$15,4,0)</f>
        <v>521.79999999999995</v>
      </c>
    </row>
    <row r="87" spans="1:23" hidden="1">
      <c r="A87" s="13" t="s">
        <v>899</v>
      </c>
      <c r="B87" s="13" t="s">
        <v>449</v>
      </c>
      <c r="C87" s="15" t="s">
        <v>450</v>
      </c>
      <c r="D87" s="13" t="s">
        <v>451</v>
      </c>
      <c r="E87" s="13" t="s">
        <v>452</v>
      </c>
      <c r="F87" s="15" t="s">
        <v>453</v>
      </c>
      <c r="G87" s="13" t="s">
        <v>289</v>
      </c>
      <c r="H87" s="13" t="s">
        <v>83</v>
      </c>
      <c r="I87" s="13" t="s">
        <v>2</v>
      </c>
      <c r="J87" s="28" t="s">
        <v>91</v>
      </c>
      <c r="K87" s="13" t="s">
        <v>92</v>
      </c>
      <c r="L87" s="13" t="s">
        <v>93</v>
      </c>
      <c r="M87" s="13" t="s">
        <v>85</v>
      </c>
      <c r="N87" s="13" t="s">
        <v>455</v>
      </c>
      <c r="O87" s="17">
        <v>44118</v>
      </c>
      <c r="P87" s="18">
        <f>IFERROR(VLOOKUP(J87,'[1]Obs Tecnicas'!$D$2:$I$313,5,0),O87)</f>
        <v>44406</v>
      </c>
      <c r="Q87" s="17" t="str">
        <f t="shared" ca="1" si="6"/>
        <v>Calibrado</v>
      </c>
      <c r="R87" s="19">
        <f>IFERROR(VLOOKUP(J87,'[1]Obs Tecnicas'!$D$2:$G$333,2,0),"")</f>
        <v>13278</v>
      </c>
      <c r="S87" s="13" t="str">
        <f>IFERROR(VLOOKUP(J87,'[1]Obs Tecnicas'!$D$2:$G$337,3,0),"Hexis")</f>
        <v>ER ANALITICA</v>
      </c>
      <c r="T87" s="13" t="str">
        <f>IFERROR(VLOOKUP(J87,'[1]Obs Tecnicas'!$D$2:$G$337,4,0),"")</f>
        <v>Equipamento possui demasiada oxidação no seu compartimento de pilhas e placa eletrônica, fazendo com que o instrumento não inicialize. Recomendado o envio do equipamento à ER para verificação</v>
      </c>
      <c r="U87" s="14" t="s">
        <v>291</v>
      </c>
      <c r="V87" s="14">
        <f t="shared" si="5"/>
        <v>7</v>
      </c>
      <c r="W87" s="20">
        <f>VLOOKUP(I87,Indicadores!$N$4:$Q$15,4,0)</f>
        <v>456.77</v>
      </c>
    </row>
    <row r="88" spans="1:23" hidden="1">
      <c r="A88" s="13" t="s">
        <v>899</v>
      </c>
      <c r="B88" s="13" t="s">
        <v>462</v>
      </c>
      <c r="C88" s="15" t="s">
        <v>463</v>
      </c>
      <c r="D88" s="13" t="s">
        <v>464</v>
      </c>
      <c r="E88" s="13" t="s">
        <v>465</v>
      </c>
      <c r="F88" s="15" t="s">
        <v>466</v>
      </c>
      <c r="G88" s="13" t="s">
        <v>298</v>
      </c>
      <c r="H88" s="13" t="s">
        <v>164</v>
      </c>
      <c r="I88" s="13" t="s">
        <v>3</v>
      </c>
      <c r="J88" s="16">
        <v>182180001014</v>
      </c>
      <c r="K88" s="13" t="s">
        <v>21</v>
      </c>
      <c r="L88" s="13" t="s">
        <v>96</v>
      </c>
      <c r="M88" s="13" t="s">
        <v>175</v>
      </c>
      <c r="N88" s="13" t="s">
        <v>468</v>
      </c>
      <c r="O88" s="17">
        <v>44180</v>
      </c>
      <c r="P88" s="18">
        <f>IFERROR(VLOOKUP(J88,'[1]Obs Tecnicas'!$D$2:$I$313,5,0),O88)</f>
        <v>44644</v>
      </c>
      <c r="Q88" s="17" t="str">
        <f t="shared" ca="1" si="6"/>
        <v>Calibrado</v>
      </c>
      <c r="R88" s="19">
        <f>IFERROR(VLOOKUP(J88,'[1]Obs Tecnicas'!$D$2:$G$333,2,0),"")</f>
        <v>15854</v>
      </c>
      <c r="S88" s="13" t="str">
        <f>IFERROR(VLOOKUP(J88,'[1]Obs Tecnicas'!$D$2:$G$337,3,0),"Hexis")</f>
        <v>ER ANALITICA</v>
      </c>
      <c r="T88" s="13">
        <f>IFERROR(VLOOKUP(J88,'[1]Obs Tecnicas'!$D$2:$G$337,4,0),"")</f>
        <v>0</v>
      </c>
      <c r="U88" s="14" t="s">
        <v>291</v>
      </c>
      <c r="V88" s="14">
        <f t="shared" si="5"/>
        <v>3</v>
      </c>
      <c r="W88" s="20">
        <f>VLOOKUP(I88,Indicadores!$N$4:$Q$15,4,0)</f>
        <v>552.64</v>
      </c>
    </row>
    <row r="89" spans="1:23" hidden="1">
      <c r="A89" s="13" t="s">
        <v>899</v>
      </c>
      <c r="B89" s="13" t="s">
        <v>469</v>
      </c>
      <c r="C89" s="15" t="s">
        <v>470</v>
      </c>
      <c r="D89" s="13" t="s">
        <v>471</v>
      </c>
      <c r="E89" s="13" t="s">
        <v>391</v>
      </c>
      <c r="F89" s="15" t="s">
        <v>392</v>
      </c>
      <c r="G89" s="13" t="s">
        <v>318</v>
      </c>
      <c r="H89" s="13" t="s">
        <v>195</v>
      </c>
      <c r="I89" s="13" t="s">
        <v>3</v>
      </c>
      <c r="J89" s="28" t="s">
        <v>201</v>
      </c>
      <c r="K89" s="13" t="s">
        <v>21</v>
      </c>
      <c r="L89" s="13" t="s">
        <v>96</v>
      </c>
      <c r="M89" s="24" t="s">
        <v>200</v>
      </c>
      <c r="N89" s="13" t="s">
        <v>472</v>
      </c>
      <c r="O89" s="17">
        <v>44369</v>
      </c>
      <c r="P89" s="18">
        <f>IFERROR(VLOOKUP(J89,'[1]Obs Tecnicas'!$D$2:$I$313,5,0),O89)</f>
        <v>44369</v>
      </c>
      <c r="Q89" s="17" t="str">
        <f t="shared" ca="1" si="6"/>
        <v>Calibrado</v>
      </c>
      <c r="R89" s="19">
        <f>IFERROR(VLOOKUP(J89,'[1]Obs Tecnicas'!$D$2:$G$333,2,0),"")</f>
        <v>12612</v>
      </c>
      <c r="S89" s="13" t="str">
        <f>IFERROR(VLOOKUP(J89,'[1]Obs Tecnicas'!$D$2:$G$337,3,0),"Hexis")</f>
        <v>ER ANALITICA</v>
      </c>
      <c r="T89" s="13">
        <f>IFERROR(VLOOKUP(J89,'[1]Obs Tecnicas'!$D$2:$G$337,4,0),"")</f>
        <v>0</v>
      </c>
      <c r="U89" s="14" t="s">
        <v>291</v>
      </c>
      <c r="V89" s="14">
        <f t="shared" si="5"/>
        <v>6</v>
      </c>
      <c r="W89" s="20">
        <f>VLOOKUP(I89,Indicadores!$N$4:$Q$15,4,0)</f>
        <v>552.64</v>
      </c>
    </row>
    <row r="90" spans="1:23" hidden="1">
      <c r="A90" s="13" t="s">
        <v>899</v>
      </c>
      <c r="B90" s="13" t="s">
        <v>469</v>
      </c>
      <c r="C90" s="15" t="s">
        <v>470</v>
      </c>
      <c r="D90" s="13" t="s">
        <v>471</v>
      </c>
      <c r="E90" s="13" t="s">
        <v>391</v>
      </c>
      <c r="F90" s="15" t="s">
        <v>392</v>
      </c>
      <c r="G90" s="13" t="s">
        <v>318</v>
      </c>
      <c r="H90" s="13" t="s">
        <v>195</v>
      </c>
      <c r="I90" s="13" t="s">
        <v>835</v>
      </c>
      <c r="J90" s="28" t="s">
        <v>473</v>
      </c>
      <c r="K90" s="13" t="s">
        <v>26</v>
      </c>
      <c r="L90" s="13" t="s">
        <v>84</v>
      </c>
      <c r="M90" s="24" t="s">
        <v>200</v>
      </c>
      <c r="N90" s="13" t="s">
        <v>472</v>
      </c>
      <c r="O90" s="17">
        <v>44369</v>
      </c>
      <c r="P90" s="18">
        <f>IFERROR(VLOOKUP(J90,'[1]Obs Tecnicas'!$D$2:$I$313,5,0),O90)</f>
        <v>44369</v>
      </c>
      <c r="Q90" s="17" t="str">
        <f t="shared" ca="1" si="6"/>
        <v>Calibrado</v>
      </c>
      <c r="R90" s="19">
        <f>IFERROR(VLOOKUP(J90,'[1]Obs Tecnicas'!$D$2:$G$333,2,0),"")</f>
        <v>12613</v>
      </c>
      <c r="S90" s="13" t="str">
        <f>IFERROR(VLOOKUP(J90,'[1]Obs Tecnicas'!$D$2:$G$337,3,0),"Hexis")</f>
        <v>ER ANALITICA</v>
      </c>
      <c r="T90" s="13">
        <f>IFERROR(VLOOKUP(J90,'[1]Obs Tecnicas'!$D$2:$G$337,4,0),"")</f>
        <v>0</v>
      </c>
      <c r="U90" s="14" t="s">
        <v>291</v>
      </c>
      <c r="V90" s="14">
        <f t="shared" si="5"/>
        <v>6</v>
      </c>
      <c r="W90" s="20">
        <f>VLOOKUP(I90,Indicadores!$N$4:$Q$15,4,0)</f>
        <v>546.79</v>
      </c>
    </row>
    <row r="91" spans="1:23" hidden="1">
      <c r="A91" s="13" t="s">
        <v>899</v>
      </c>
      <c r="B91" s="13" t="s">
        <v>469</v>
      </c>
      <c r="C91" s="15" t="s">
        <v>470</v>
      </c>
      <c r="D91" s="13" t="s">
        <v>471</v>
      </c>
      <c r="E91" s="13" t="s">
        <v>391</v>
      </c>
      <c r="F91" s="15" t="s">
        <v>392</v>
      </c>
      <c r="G91" s="13" t="s">
        <v>318</v>
      </c>
      <c r="H91" s="13" t="s">
        <v>195</v>
      </c>
      <c r="I91" s="13" t="s">
        <v>835</v>
      </c>
      <c r="J91" s="28" t="s">
        <v>474</v>
      </c>
      <c r="K91" s="13" t="s">
        <v>26</v>
      </c>
      <c r="L91" s="13" t="s">
        <v>84</v>
      </c>
      <c r="M91" s="24" t="s">
        <v>200</v>
      </c>
      <c r="N91" s="13" t="s">
        <v>472</v>
      </c>
      <c r="O91" s="17">
        <v>44369</v>
      </c>
      <c r="P91" s="18">
        <f>IFERROR(VLOOKUP(J91,'[1]Obs Tecnicas'!$D$2:$I$313,5,0),O91)</f>
        <v>44369</v>
      </c>
      <c r="Q91" s="17" t="str">
        <f t="shared" ca="1" si="6"/>
        <v>Calibrado</v>
      </c>
      <c r="R91" s="19">
        <f>IFERROR(VLOOKUP(J91,'[1]Obs Tecnicas'!$D$2:$G$333,2,0),"")</f>
        <v>12614</v>
      </c>
      <c r="S91" s="13" t="str">
        <f>IFERROR(VLOOKUP(J91,'[1]Obs Tecnicas'!$D$2:$G$337,3,0),"Hexis")</f>
        <v>ER ANALITICA</v>
      </c>
      <c r="T91" s="13">
        <f>IFERROR(VLOOKUP(J91,'[1]Obs Tecnicas'!$D$2:$G$337,4,0),"")</f>
        <v>0</v>
      </c>
      <c r="U91" s="14" t="s">
        <v>291</v>
      </c>
      <c r="V91" s="14">
        <f t="shared" si="5"/>
        <v>6</v>
      </c>
      <c r="W91" s="20">
        <f>VLOOKUP(I91,Indicadores!$N$4:$Q$15,4,0)</f>
        <v>546.79</v>
      </c>
    </row>
    <row r="92" spans="1:23" hidden="1">
      <c r="A92" s="13" t="s">
        <v>899</v>
      </c>
      <c r="B92" s="13" t="s">
        <v>469</v>
      </c>
      <c r="C92" s="15" t="s">
        <v>470</v>
      </c>
      <c r="D92" s="13" t="s">
        <v>471</v>
      </c>
      <c r="E92" s="13" t="s">
        <v>391</v>
      </c>
      <c r="F92" s="15" t="s">
        <v>392</v>
      </c>
      <c r="G92" s="13" t="s">
        <v>318</v>
      </c>
      <c r="H92" s="13" t="s">
        <v>195</v>
      </c>
      <c r="I92" s="13" t="s">
        <v>835</v>
      </c>
      <c r="J92" s="28" t="s">
        <v>475</v>
      </c>
      <c r="K92" s="13" t="s">
        <v>26</v>
      </c>
      <c r="L92" s="13" t="s">
        <v>84</v>
      </c>
      <c r="M92" s="24" t="s">
        <v>200</v>
      </c>
      <c r="N92" s="13" t="s">
        <v>472</v>
      </c>
      <c r="O92" s="17">
        <v>44369</v>
      </c>
      <c r="P92" s="18">
        <f>IFERROR(VLOOKUP(J92,'[1]Obs Tecnicas'!$D$2:$I$313,5,0),O92)</f>
        <v>44369</v>
      </c>
      <c r="Q92" s="17" t="str">
        <f t="shared" ca="1" si="6"/>
        <v>Calibrado</v>
      </c>
      <c r="R92" s="19">
        <f>IFERROR(VLOOKUP(J92,'[1]Obs Tecnicas'!$D$2:$G$333,2,0),"")</f>
        <v>12617</v>
      </c>
      <c r="S92" s="13" t="str">
        <f>IFERROR(VLOOKUP(J92,'[1]Obs Tecnicas'!$D$2:$G$337,3,0),"Hexis")</f>
        <v>ER ANALITICA</v>
      </c>
      <c r="T92" s="13">
        <f>IFERROR(VLOOKUP(J92,'[1]Obs Tecnicas'!$D$2:$G$337,4,0),"")</f>
        <v>0</v>
      </c>
      <c r="U92" s="14" t="s">
        <v>291</v>
      </c>
      <c r="V92" s="14">
        <f t="shared" si="5"/>
        <v>6</v>
      </c>
      <c r="W92" s="20">
        <f>VLOOKUP(I92,Indicadores!$N$4:$Q$15,4,0)</f>
        <v>546.79</v>
      </c>
    </row>
    <row r="93" spans="1:23" hidden="1">
      <c r="A93" s="13" t="s">
        <v>899</v>
      </c>
      <c r="B93" s="13" t="s">
        <v>469</v>
      </c>
      <c r="C93" s="15" t="s">
        <v>470</v>
      </c>
      <c r="D93" s="13" t="s">
        <v>471</v>
      </c>
      <c r="E93" s="13" t="s">
        <v>391</v>
      </c>
      <c r="F93" s="15" t="s">
        <v>392</v>
      </c>
      <c r="G93" s="13" t="s">
        <v>318</v>
      </c>
      <c r="H93" s="13" t="s">
        <v>195</v>
      </c>
      <c r="I93" s="13" t="s">
        <v>835</v>
      </c>
      <c r="J93" s="28" t="s">
        <v>476</v>
      </c>
      <c r="K93" s="13" t="s">
        <v>26</v>
      </c>
      <c r="L93" s="13" t="s">
        <v>84</v>
      </c>
      <c r="M93" s="24" t="s">
        <v>200</v>
      </c>
      <c r="N93" s="13" t="s">
        <v>472</v>
      </c>
      <c r="O93" s="17">
        <v>44369</v>
      </c>
      <c r="P93" s="18">
        <f>IFERROR(VLOOKUP(J93,'[1]Obs Tecnicas'!$D$2:$I$313,5,0),O93)</f>
        <v>44369</v>
      </c>
      <c r="Q93" s="17" t="str">
        <f t="shared" ca="1" si="6"/>
        <v>Calibrado</v>
      </c>
      <c r="R93" s="19">
        <f>IFERROR(VLOOKUP(J93,'[1]Obs Tecnicas'!$D$2:$G$333,2,0),"")</f>
        <v>12618</v>
      </c>
      <c r="S93" s="13" t="str">
        <f>IFERROR(VLOOKUP(J93,'[1]Obs Tecnicas'!$D$2:$G$337,3,0),"Hexis")</f>
        <v>ER ANALITICA</v>
      </c>
      <c r="T93" s="13">
        <f>IFERROR(VLOOKUP(J93,'[1]Obs Tecnicas'!$D$2:$G$337,4,0),"")</f>
        <v>0</v>
      </c>
      <c r="U93" s="14" t="s">
        <v>291</v>
      </c>
      <c r="V93" s="14">
        <f t="shared" si="5"/>
        <v>6</v>
      </c>
      <c r="W93" s="20">
        <f>VLOOKUP(I93,Indicadores!$N$4:$Q$15,4,0)</f>
        <v>546.79</v>
      </c>
    </row>
    <row r="94" spans="1:23" hidden="1">
      <c r="A94" s="13" t="s">
        <v>899</v>
      </c>
      <c r="B94" s="13" t="s">
        <v>469</v>
      </c>
      <c r="C94" s="15" t="s">
        <v>470</v>
      </c>
      <c r="D94" s="13" t="s">
        <v>471</v>
      </c>
      <c r="E94" s="13" t="s">
        <v>391</v>
      </c>
      <c r="F94" s="15" t="s">
        <v>392</v>
      </c>
      <c r="G94" s="13" t="s">
        <v>318</v>
      </c>
      <c r="H94" s="13" t="s">
        <v>195</v>
      </c>
      <c r="I94" s="13" t="s">
        <v>835</v>
      </c>
      <c r="J94" s="28" t="s">
        <v>477</v>
      </c>
      <c r="K94" s="13" t="s">
        <v>26</v>
      </c>
      <c r="L94" s="13" t="s">
        <v>84</v>
      </c>
      <c r="M94" s="24" t="s">
        <v>200</v>
      </c>
      <c r="N94" s="13" t="s">
        <v>472</v>
      </c>
      <c r="O94" s="17">
        <v>44369</v>
      </c>
      <c r="P94" s="18">
        <f>IFERROR(VLOOKUP(J94,'[1]Obs Tecnicas'!$D$2:$I$313,5,0),O94)</f>
        <v>44369</v>
      </c>
      <c r="Q94" s="17" t="str">
        <f t="shared" ca="1" si="6"/>
        <v>Calibrado</v>
      </c>
      <c r="R94" s="19">
        <f>IFERROR(VLOOKUP(J94,'[1]Obs Tecnicas'!$D$2:$G$333,2,0),"")</f>
        <v>12616</v>
      </c>
      <c r="S94" s="13" t="str">
        <f>IFERROR(VLOOKUP(J94,'[1]Obs Tecnicas'!$D$2:$G$337,3,0),"Hexis")</f>
        <v>ER ANALITICA</v>
      </c>
      <c r="T94" s="13" t="str">
        <f>IFERROR(VLOOKUP(J94,'[1]Obs Tecnicas'!$D$2:$G$337,4,0),"")</f>
        <v>eletrodo de pH lento, recomendável a troca</v>
      </c>
      <c r="U94" s="14" t="s">
        <v>291</v>
      </c>
      <c r="V94" s="14">
        <f t="shared" si="5"/>
        <v>6</v>
      </c>
      <c r="W94" s="20">
        <f>VLOOKUP(I94,Indicadores!$N$4:$Q$15,4,0)</f>
        <v>546.79</v>
      </c>
    </row>
    <row r="95" spans="1:23" hidden="1">
      <c r="A95" s="13" t="s">
        <v>899</v>
      </c>
      <c r="B95" s="13" t="s">
        <v>469</v>
      </c>
      <c r="C95" s="15" t="s">
        <v>470</v>
      </c>
      <c r="D95" s="13" t="s">
        <v>471</v>
      </c>
      <c r="E95" s="13" t="s">
        <v>391</v>
      </c>
      <c r="F95" s="15" t="s">
        <v>392</v>
      </c>
      <c r="G95" s="13" t="s">
        <v>318</v>
      </c>
      <c r="H95" s="13" t="s">
        <v>195</v>
      </c>
      <c r="I95" s="13" t="s">
        <v>835</v>
      </c>
      <c r="J95" s="28" t="s">
        <v>478</v>
      </c>
      <c r="K95" s="13" t="s">
        <v>26</v>
      </c>
      <c r="L95" s="13" t="s">
        <v>84</v>
      </c>
      <c r="M95" s="24" t="s">
        <v>200</v>
      </c>
      <c r="N95" s="13" t="s">
        <v>472</v>
      </c>
      <c r="O95" s="17">
        <v>44369</v>
      </c>
      <c r="P95" s="18">
        <f>IFERROR(VLOOKUP(J95,'[1]Obs Tecnicas'!$D$2:$I$313,5,0),O95)</f>
        <v>44369</v>
      </c>
      <c r="Q95" s="17" t="str">
        <f t="shared" ca="1" si="6"/>
        <v>Calibrado</v>
      </c>
      <c r="R95" s="19">
        <f>IFERROR(VLOOKUP(J95,'[1]Obs Tecnicas'!$D$2:$G$333,2,0),"")</f>
        <v>12615</v>
      </c>
      <c r="S95" s="13" t="str">
        <f>IFERROR(VLOOKUP(J95,'[1]Obs Tecnicas'!$D$2:$G$337,3,0),"Hexis")</f>
        <v>ER ANALITICA</v>
      </c>
      <c r="T95" s="13">
        <f>IFERROR(VLOOKUP(J95,'[1]Obs Tecnicas'!$D$2:$G$337,4,0),"")</f>
        <v>0</v>
      </c>
      <c r="U95" s="14" t="s">
        <v>291</v>
      </c>
      <c r="V95" s="14">
        <f t="shared" si="5"/>
        <v>6</v>
      </c>
      <c r="W95" s="20">
        <f>VLOOKUP(I95,Indicadores!$N$4:$Q$15,4,0)</f>
        <v>546.79</v>
      </c>
    </row>
    <row r="96" spans="1:23" hidden="1">
      <c r="A96" s="171" t="s">
        <v>899</v>
      </c>
      <c r="B96" s="171" t="s">
        <v>479</v>
      </c>
      <c r="C96" s="172" t="s">
        <v>480</v>
      </c>
      <c r="D96" s="173" t="s">
        <v>481</v>
      </c>
      <c r="E96" s="173" t="s">
        <v>296</v>
      </c>
      <c r="F96" s="172" t="s">
        <v>297</v>
      </c>
      <c r="G96" s="173" t="s">
        <v>298</v>
      </c>
      <c r="H96" s="173" t="s">
        <v>98</v>
      </c>
      <c r="I96" s="13" t="s">
        <v>3</v>
      </c>
      <c r="J96" s="28" t="s">
        <v>482</v>
      </c>
      <c r="K96" s="173" t="s">
        <v>21</v>
      </c>
      <c r="L96" s="173" t="s">
        <v>96</v>
      </c>
      <c r="M96" s="173" t="s">
        <v>135</v>
      </c>
      <c r="N96" s="173" t="s">
        <v>483</v>
      </c>
      <c r="O96" s="17">
        <v>44173</v>
      </c>
      <c r="P96" s="174">
        <f>IFERROR(VLOOKUP(J96,'[1]Obs Tecnicas'!$D$2:$I$313,5,0),O96)</f>
        <v>44578</v>
      </c>
      <c r="Q96" s="17" t="str">
        <f t="shared" ca="1" si="6"/>
        <v>Calibrado</v>
      </c>
      <c r="R96" s="175">
        <f>IFERROR(VLOOKUP(J96,'[1]Obs Tecnicas'!$D$2:$G$333,2,0),"")</f>
        <v>15235</v>
      </c>
      <c r="S96" s="13" t="str">
        <f>IFERROR(VLOOKUP(J96,'[1]Obs Tecnicas'!$D$2:$G$337,3,0),"Hexis")</f>
        <v>ER ANALITICA</v>
      </c>
      <c r="T96" s="173">
        <f>IFERROR(VLOOKUP(J96,'[1]Obs Tecnicas'!$D$2:$G$337,4,0),"")</f>
        <v>0</v>
      </c>
      <c r="U96" s="14" t="s">
        <v>291</v>
      </c>
      <c r="V96" s="14">
        <f t="shared" si="5"/>
        <v>1</v>
      </c>
      <c r="W96" s="20">
        <f>VLOOKUP(I96,Indicadores!$N$4:$Q$15,4,0)</f>
        <v>552.64</v>
      </c>
    </row>
    <row r="97" spans="1:23" hidden="1">
      <c r="A97" s="13" t="s">
        <v>899</v>
      </c>
      <c r="B97" s="13" t="s">
        <v>484</v>
      </c>
      <c r="C97" s="15" t="s">
        <v>485</v>
      </c>
      <c r="D97" s="13" t="s">
        <v>486</v>
      </c>
      <c r="E97" s="13" t="s">
        <v>487</v>
      </c>
      <c r="F97" s="15" t="s">
        <v>488</v>
      </c>
      <c r="G97" s="13" t="s">
        <v>289</v>
      </c>
      <c r="H97" s="13" t="s">
        <v>19</v>
      </c>
      <c r="I97" s="13" t="s">
        <v>8</v>
      </c>
      <c r="J97" s="28">
        <v>3652</v>
      </c>
      <c r="K97" s="13" t="s">
        <v>30</v>
      </c>
      <c r="L97" s="13" t="s">
        <v>8</v>
      </c>
      <c r="M97" s="13" t="s">
        <v>23</v>
      </c>
      <c r="N97" s="13" t="s">
        <v>305</v>
      </c>
      <c r="O97" s="17">
        <v>44078</v>
      </c>
      <c r="P97" s="18">
        <f>IFERROR(VLOOKUP(J97,'[1]Obs Tecnicas'!$D$2:$I$243,5,0),O97)</f>
        <v>44447</v>
      </c>
      <c r="Q97" s="17" t="str">
        <f t="shared" ca="1" si="6"/>
        <v>Calibrado</v>
      </c>
      <c r="R97" s="19">
        <f>IFERROR(VLOOKUP(J97,'[1]Obs Tecnicas'!$D$2:$G$333,2,0),"")</f>
        <v>13669</v>
      </c>
      <c r="S97" s="13" t="str">
        <f>IFERROR(VLOOKUP(J97,'[1]Obs Tecnicas'!$D$2:$G$337,3,0),"Hexis")</f>
        <v>ER ANALITICA</v>
      </c>
      <c r="T97" s="13" t="str">
        <f>IFERROR(VLOOKUP(J97,'[1]Obs Tecnicas'!$D$2:$G$337,4,0),"")</f>
        <v xml:space="preserve"> Equipamento com vida útil avançada</v>
      </c>
      <c r="U97" s="14" t="s">
        <v>291</v>
      </c>
      <c r="V97" s="14">
        <f t="shared" si="5"/>
        <v>9</v>
      </c>
      <c r="W97" s="20">
        <f>VLOOKUP(I97,Indicadores!$N$4:$Q$15,4,0)</f>
        <v>462.11</v>
      </c>
    </row>
    <row r="98" spans="1:23" s="30" customFormat="1" hidden="1">
      <c r="A98" s="13" t="s">
        <v>899</v>
      </c>
      <c r="B98" s="13" t="s">
        <v>484</v>
      </c>
      <c r="C98" s="15" t="s">
        <v>485</v>
      </c>
      <c r="D98" s="13" t="s">
        <v>486</v>
      </c>
      <c r="E98" s="13" t="s">
        <v>487</v>
      </c>
      <c r="F98" s="15" t="s">
        <v>488</v>
      </c>
      <c r="G98" s="13" t="s">
        <v>289</v>
      </c>
      <c r="H98" s="13" t="s">
        <v>19</v>
      </c>
      <c r="I98" s="13" t="s">
        <v>3</v>
      </c>
      <c r="J98" s="28" t="s">
        <v>20</v>
      </c>
      <c r="K98" s="13" t="s">
        <v>21</v>
      </c>
      <c r="L98" s="13" t="s">
        <v>22</v>
      </c>
      <c r="M98" s="13" t="s">
        <v>23</v>
      </c>
      <c r="N98" s="13" t="s">
        <v>305</v>
      </c>
      <c r="O98" s="17">
        <v>44078</v>
      </c>
      <c r="P98" s="18">
        <f>IFERROR(VLOOKUP(J98,'[1]Obs Tecnicas'!$D$2:$I$313,5,0),O98)</f>
        <v>44447</v>
      </c>
      <c r="Q98" s="17" t="str">
        <f t="shared" ca="1" si="6"/>
        <v>Calibrado</v>
      </c>
      <c r="R98" s="19">
        <f>IFERROR(VLOOKUP(J98,'[1]Obs Tecnicas'!$D$2:$G$333,2,0),"")</f>
        <v>13670</v>
      </c>
      <c r="S98" s="13" t="str">
        <f>IFERROR(VLOOKUP(J98,'[1]Obs Tecnicas'!$D$2:$G$337,3,0),"Hexis")</f>
        <v>ER ANALITICA</v>
      </c>
      <c r="T98" s="13" t="str">
        <f>IFERROR(VLOOKUP(J98,'[1]Obs Tecnicas'!$D$2:$G$337,4,0),"")</f>
        <v xml:space="preserve"> Filtro óptico de 420nm manchado e contatos de pilhas oxidados</v>
      </c>
      <c r="U98" s="14" t="s">
        <v>291</v>
      </c>
      <c r="V98" s="14">
        <f t="shared" si="5"/>
        <v>9</v>
      </c>
      <c r="W98" s="20">
        <f>VLOOKUP(I98,Indicadores!$N$4:$Q$15,4,0)</f>
        <v>552.64</v>
      </c>
    </row>
    <row r="99" spans="1:23" hidden="1">
      <c r="A99" s="13" t="s">
        <v>899</v>
      </c>
      <c r="B99" s="13" t="s">
        <v>484</v>
      </c>
      <c r="C99" s="15" t="s">
        <v>485</v>
      </c>
      <c r="D99" s="13" t="s">
        <v>486</v>
      </c>
      <c r="E99" s="13" t="s">
        <v>487</v>
      </c>
      <c r="F99" s="15" t="s">
        <v>488</v>
      </c>
      <c r="G99" s="13" t="s">
        <v>289</v>
      </c>
      <c r="H99" s="13" t="s">
        <v>19</v>
      </c>
      <c r="I99" s="13" t="s">
        <v>4</v>
      </c>
      <c r="J99" s="28">
        <v>4210981</v>
      </c>
      <c r="K99" s="13" t="s">
        <v>26</v>
      </c>
      <c r="L99" s="24" t="s">
        <v>27</v>
      </c>
      <c r="M99" s="13" t="s">
        <v>23</v>
      </c>
      <c r="N99" s="13" t="s">
        <v>305</v>
      </c>
      <c r="O99" s="17">
        <v>44078</v>
      </c>
      <c r="P99" s="18">
        <f>IFERROR(VLOOKUP(J99,'[1]Obs Tecnicas'!$D$2:$I$313,5,0),O99)</f>
        <v>44447</v>
      </c>
      <c r="Q99" s="17" t="str">
        <f t="shared" ca="1" si="6"/>
        <v>Calibrado</v>
      </c>
      <c r="R99" s="19">
        <f>IFERROR(VLOOKUP(J99,'[1]Obs Tecnicas'!$D$2:$G$333,2,0),"")</f>
        <v>13671</v>
      </c>
      <c r="S99" s="13" t="str">
        <f>IFERROR(VLOOKUP(J99,'[1]Obs Tecnicas'!$D$2:$G$337,3,0),"Hexis")</f>
        <v>ER ANALITICA</v>
      </c>
      <c r="T99" s="13">
        <f>IFERROR(VLOOKUP(J99,'[1]Obs Tecnicas'!$D$2:$G$337,4,0),"")</f>
        <v>0</v>
      </c>
      <c r="U99" s="14" t="s">
        <v>291</v>
      </c>
      <c r="V99" s="14">
        <f t="shared" si="5"/>
        <v>9</v>
      </c>
      <c r="W99" s="20">
        <f>VLOOKUP(I99,Indicadores!$N$4:$Q$15,4,0)</f>
        <v>329.87</v>
      </c>
    </row>
    <row r="100" spans="1:23" hidden="1">
      <c r="A100" s="13" t="s">
        <v>899</v>
      </c>
      <c r="B100" s="13" t="s">
        <v>484</v>
      </c>
      <c r="C100" s="15" t="s">
        <v>485</v>
      </c>
      <c r="D100" s="13" t="s">
        <v>486</v>
      </c>
      <c r="E100" s="13" t="s">
        <v>487</v>
      </c>
      <c r="F100" s="15" t="s">
        <v>488</v>
      </c>
      <c r="G100" s="13" t="s">
        <v>289</v>
      </c>
      <c r="H100" s="13" t="s">
        <v>19</v>
      </c>
      <c r="I100" s="13" t="s">
        <v>7</v>
      </c>
      <c r="J100" s="28">
        <v>49433</v>
      </c>
      <c r="K100" s="13" t="s">
        <v>31</v>
      </c>
      <c r="L100" s="13" t="s">
        <v>32</v>
      </c>
      <c r="M100" s="13" t="s">
        <v>23</v>
      </c>
      <c r="N100" s="13" t="s">
        <v>305</v>
      </c>
      <c r="O100" s="17">
        <v>44078</v>
      </c>
      <c r="P100" s="18">
        <f>IFERROR(VLOOKUP(J100,'[1]Obs Tecnicas'!$D$2:$I$313,5,0),O100)</f>
        <v>44447</v>
      </c>
      <c r="Q100" s="17" t="str">
        <f t="shared" ca="1" si="6"/>
        <v>Calibrado</v>
      </c>
      <c r="R100" s="19">
        <f>IFERROR(VLOOKUP(J100,'[1]Obs Tecnicas'!$D$2:$G$333,2,0),"")</f>
        <v>13672</v>
      </c>
      <c r="S100" s="13" t="str">
        <f>IFERROR(VLOOKUP(J100,'[1]Obs Tecnicas'!$D$2:$G$337,3,0),"Hexis")</f>
        <v>ER ANALITICA</v>
      </c>
      <c r="T100" s="13">
        <f>IFERROR(VLOOKUP(J100,'[1]Obs Tecnicas'!$D$2:$G$337,4,0),"")</f>
        <v>0</v>
      </c>
      <c r="U100" s="14" t="s">
        <v>291</v>
      </c>
      <c r="V100" s="14">
        <f t="shared" si="5"/>
        <v>9</v>
      </c>
      <c r="W100" s="20">
        <f>VLOOKUP(I100,Indicadores!$N$4:$Q$15,4,0)</f>
        <v>329.87</v>
      </c>
    </row>
    <row r="101" spans="1:23" hidden="1">
      <c r="A101" s="13" t="s">
        <v>899</v>
      </c>
      <c r="B101" s="13" t="s">
        <v>484</v>
      </c>
      <c r="C101" s="15" t="s">
        <v>485</v>
      </c>
      <c r="D101" s="13" t="s">
        <v>486</v>
      </c>
      <c r="E101" s="13" t="s">
        <v>487</v>
      </c>
      <c r="F101" s="15" t="s">
        <v>488</v>
      </c>
      <c r="G101" s="13" t="s">
        <v>289</v>
      </c>
      <c r="H101" s="13" t="s">
        <v>19</v>
      </c>
      <c r="I101" s="13" t="s">
        <v>9</v>
      </c>
      <c r="J101" s="28" t="s">
        <v>28</v>
      </c>
      <c r="K101" s="13" t="s">
        <v>21</v>
      </c>
      <c r="L101" s="13" t="s">
        <v>29</v>
      </c>
      <c r="M101" s="13" t="s">
        <v>23</v>
      </c>
      <c r="N101" s="13" t="s">
        <v>305</v>
      </c>
      <c r="O101" s="17">
        <v>44078</v>
      </c>
      <c r="P101" s="18">
        <f>IFERROR(VLOOKUP(J101,'[1]Obs Tecnicas'!$D$2:$I$313,5,0),O101)</f>
        <v>44447</v>
      </c>
      <c r="Q101" s="17" t="str">
        <f t="shared" ca="1" si="6"/>
        <v>Calibrado</v>
      </c>
      <c r="R101" s="19">
        <f>IFERROR(VLOOKUP(J101,'[1]Obs Tecnicas'!$D$2:$G$333,2,0),"")</f>
        <v>13673</v>
      </c>
      <c r="S101" s="13" t="str">
        <f>IFERROR(VLOOKUP(J101,'[1]Obs Tecnicas'!$D$2:$G$337,3,0),"Hexis")</f>
        <v>ER ANALITICA</v>
      </c>
      <c r="T101" s="13" t="str">
        <f>IFERROR(VLOOKUP(J101,'[1]Obs Tecnicas'!$D$2:$G$337,4,0),"")</f>
        <v>Equipamento não realiza leituras, o mesmo deverá ser encaminha à ER para avaliação.</v>
      </c>
      <c r="U101" s="14" t="s">
        <v>291</v>
      </c>
      <c r="V101" s="14">
        <f t="shared" si="5"/>
        <v>9</v>
      </c>
      <c r="W101" s="20">
        <f>VLOOKUP(I101,Indicadores!$N$4:$Q$15,4,0)</f>
        <v>521.79999999999995</v>
      </c>
    </row>
    <row r="102" spans="1:23" hidden="1">
      <c r="A102" s="13" t="s">
        <v>899</v>
      </c>
      <c r="B102" s="13" t="s">
        <v>489</v>
      </c>
      <c r="C102" s="15" t="s">
        <v>490</v>
      </c>
      <c r="D102" s="13" t="s">
        <v>491</v>
      </c>
      <c r="E102" s="13" t="s">
        <v>487</v>
      </c>
      <c r="F102" s="15" t="s">
        <v>488</v>
      </c>
      <c r="G102" s="13" t="s">
        <v>289</v>
      </c>
      <c r="H102" s="13" t="s">
        <v>142</v>
      </c>
      <c r="I102" s="13" t="s">
        <v>2</v>
      </c>
      <c r="J102" s="28" t="s">
        <v>492</v>
      </c>
      <c r="K102" s="13" t="s">
        <v>48</v>
      </c>
      <c r="L102" s="13" t="s">
        <v>144</v>
      </c>
      <c r="M102" s="13" t="s">
        <v>145</v>
      </c>
      <c r="O102" s="17">
        <v>44397</v>
      </c>
      <c r="P102" s="18">
        <f>IFERROR(VLOOKUP(J102,'[1]Obs Tecnicas'!$D$2:$I$313,5,0),O102)</f>
        <v>44397</v>
      </c>
      <c r="Q102" s="17" t="str">
        <f t="shared" ca="1" si="6"/>
        <v>Calibrado</v>
      </c>
      <c r="R102" s="19">
        <f>IFERROR(VLOOKUP(J102,'[1]Obs Tecnicas'!$D$2:$G$333,2,0),"")</f>
        <v>13163</v>
      </c>
      <c r="S102" s="13" t="str">
        <f>IFERROR(VLOOKUP(J102,'[1]Obs Tecnicas'!$D$2:$G$337,3,0),"Hexis")</f>
        <v>ER ANALITICA</v>
      </c>
      <c r="T102" s="13">
        <f>IFERROR(VLOOKUP(J102,'[1]Obs Tecnicas'!$D$2:$G$337,4,0),"")</f>
        <v>0</v>
      </c>
      <c r="U102" s="14" t="s">
        <v>291</v>
      </c>
      <c r="V102" s="14">
        <f t="shared" si="5"/>
        <v>7</v>
      </c>
      <c r="W102" s="20">
        <f>VLOOKUP(I102,Indicadores!$N$4:$Q$15,4,0)</f>
        <v>456.77</v>
      </c>
    </row>
    <row r="103" spans="1:23" hidden="1">
      <c r="A103" s="13" t="s">
        <v>899</v>
      </c>
      <c r="B103" s="13" t="s">
        <v>489</v>
      </c>
      <c r="C103" s="15" t="s">
        <v>490</v>
      </c>
      <c r="D103" s="13" t="s">
        <v>491</v>
      </c>
      <c r="E103" s="13" t="s">
        <v>487</v>
      </c>
      <c r="F103" s="15" t="s">
        <v>488</v>
      </c>
      <c r="G103" s="13" t="s">
        <v>289</v>
      </c>
      <c r="H103" s="13" t="s">
        <v>142</v>
      </c>
      <c r="I103" s="13" t="s">
        <v>4</v>
      </c>
      <c r="J103" s="28" t="s">
        <v>149</v>
      </c>
      <c r="K103" s="13" t="s">
        <v>21</v>
      </c>
      <c r="L103" s="13" t="s">
        <v>150</v>
      </c>
      <c r="M103" s="13" t="s">
        <v>145</v>
      </c>
      <c r="O103" s="17">
        <v>44397</v>
      </c>
      <c r="P103" s="18">
        <f>IFERROR(VLOOKUP(J103,'[1]Obs Tecnicas'!$D$2:$I$313,5,0),O103)</f>
        <v>44397</v>
      </c>
      <c r="Q103" s="17" t="str">
        <f t="shared" ca="1" si="6"/>
        <v>Calibrado</v>
      </c>
      <c r="R103" s="19">
        <f>IFERROR(VLOOKUP(J103,'[1]Obs Tecnicas'!$D$2:$G$333,2,0),"")</f>
        <v>13164</v>
      </c>
      <c r="S103" s="13" t="str">
        <f>IFERROR(VLOOKUP(J103,'[1]Obs Tecnicas'!$D$2:$G$337,3,0),"Hexis")</f>
        <v>ER ANALITICA</v>
      </c>
      <c r="T103" s="13">
        <f>IFERROR(VLOOKUP(J103,'[1]Obs Tecnicas'!$D$2:$G$337,4,0),"")</f>
        <v>0</v>
      </c>
      <c r="U103" s="14" t="s">
        <v>291</v>
      </c>
      <c r="V103" s="14">
        <f t="shared" si="5"/>
        <v>7</v>
      </c>
      <c r="W103" s="20">
        <f>VLOOKUP(I103,Indicadores!$N$4:$Q$15,4,0)</f>
        <v>329.87</v>
      </c>
    </row>
    <row r="104" spans="1:23" hidden="1">
      <c r="A104" s="13" t="s">
        <v>899</v>
      </c>
      <c r="B104" s="13" t="s">
        <v>489</v>
      </c>
      <c r="C104" s="15" t="s">
        <v>490</v>
      </c>
      <c r="D104" s="13" t="s">
        <v>491</v>
      </c>
      <c r="E104" s="13" t="s">
        <v>487</v>
      </c>
      <c r="F104" s="15" t="s">
        <v>488</v>
      </c>
      <c r="G104" s="13" t="s">
        <v>289</v>
      </c>
      <c r="H104" s="13" t="s">
        <v>142</v>
      </c>
      <c r="I104" s="13" t="s">
        <v>5</v>
      </c>
      <c r="J104" s="28" t="s">
        <v>493</v>
      </c>
      <c r="K104" s="13" t="s">
        <v>21</v>
      </c>
      <c r="L104" s="13" t="s">
        <v>148</v>
      </c>
      <c r="M104" s="13" t="s">
        <v>145</v>
      </c>
      <c r="O104" s="17">
        <v>44397</v>
      </c>
      <c r="P104" s="18">
        <f>IFERROR(VLOOKUP(J104,'[1]Obs Tecnicas'!$D$2:$I$313,5,0),O104)</f>
        <v>44397</v>
      </c>
      <c r="Q104" s="17" t="str">
        <f t="shared" ca="1" si="6"/>
        <v>Calibrado</v>
      </c>
      <c r="R104" s="19">
        <f>IFERROR(VLOOKUP(J104,'[1]Obs Tecnicas'!$D$2:$G$333,2,0),"")</f>
        <v>13165</v>
      </c>
      <c r="S104" s="13" t="str">
        <f>IFERROR(VLOOKUP(J104,'[1]Obs Tecnicas'!$D$2:$G$337,3,0),"Hexis")</f>
        <v>ER ANALITICA</v>
      </c>
      <c r="T104" s="13">
        <f>IFERROR(VLOOKUP(J104,'[1]Obs Tecnicas'!$D$2:$G$337,4,0),"")</f>
        <v>0</v>
      </c>
      <c r="U104" s="14" t="s">
        <v>291</v>
      </c>
      <c r="V104" s="14">
        <f t="shared" si="5"/>
        <v>7</v>
      </c>
      <c r="W104" s="20">
        <f>VLOOKUP(I104,Indicadores!$N$4:$Q$15,4,0)</f>
        <v>895.23</v>
      </c>
    </row>
    <row r="105" spans="1:23" hidden="1">
      <c r="A105" s="13" t="s">
        <v>899</v>
      </c>
      <c r="B105" s="13" t="s">
        <v>489</v>
      </c>
      <c r="C105" s="15" t="s">
        <v>490</v>
      </c>
      <c r="D105" s="13" t="s">
        <v>491</v>
      </c>
      <c r="E105" s="13" t="s">
        <v>487</v>
      </c>
      <c r="F105" s="15" t="s">
        <v>488</v>
      </c>
      <c r="G105" s="13" t="s">
        <v>289</v>
      </c>
      <c r="H105" s="13" t="s">
        <v>142</v>
      </c>
      <c r="I105" s="13" t="s">
        <v>7</v>
      </c>
      <c r="J105" s="28" t="s">
        <v>146</v>
      </c>
      <c r="K105" s="13" t="s">
        <v>66</v>
      </c>
      <c r="L105" s="13" t="s">
        <v>63</v>
      </c>
      <c r="M105" s="13" t="s">
        <v>145</v>
      </c>
      <c r="O105" s="17">
        <v>44397</v>
      </c>
      <c r="P105" s="18">
        <f>IFERROR(VLOOKUP(J105,'[1]Obs Tecnicas'!$D$2:$I$313,5,0),O105)</f>
        <v>44397</v>
      </c>
      <c r="Q105" s="17" t="str">
        <f t="shared" ca="1" si="6"/>
        <v>Calibrado</v>
      </c>
      <c r="R105" s="19">
        <f>IFERROR(VLOOKUP(J105,'[1]Obs Tecnicas'!$D$2:$G$333,2,0),"")</f>
        <v>13166</v>
      </c>
      <c r="S105" s="13" t="str">
        <f>IFERROR(VLOOKUP(J105,'[1]Obs Tecnicas'!$D$2:$G$337,3,0),"Hexis")</f>
        <v>ER ANALITICA</v>
      </c>
      <c r="T105" s="13">
        <f>IFERROR(VLOOKUP(J105,'[1]Obs Tecnicas'!$D$2:$G$337,4,0),"")</f>
        <v>0</v>
      </c>
      <c r="U105" s="14" t="s">
        <v>291</v>
      </c>
      <c r="V105" s="14">
        <f t="shared" si="5"/>
        <v>7</v>
      </c>
      <c r="W105" s="20">
        <f>VLOOKUP(I105,Indicadores!$N$4:$Q$15,4,0)</f>
        <v>329.87</v>
      </c>
    </row>
    <row r="106" spans="1:23" hidden="1">
      <c r="A106" s="13" t="s">
        <v>899</v>
      </c>
      <c r="B106" s="13" t="s">
        <v>494</v>
      </c>
      <c r="C106" s="15" t="s">
        <v>495</v>
      </c>
      <c r="D106" s="13" t="s">
        <v>496</v>
      </c>
      <c r="E106" s="13" t="s">
        <v>494</v>
      </c>
      <c r="F106" s="15" t="s">
        <v>495</v>
      </c>
      <c r="G106" s="13" t="s">
        <v>497</v>
      </c>
      <c r="H106" s="13" t="s">
        <v>202</v>
      </c>
      <c r="I106" s="13" t="s">
        <v>2</v>
      </c>
      <c r="J106" s="28" t="s">
        <v>498</v>
      </c>
      <c r="K106" s="13" t="s">
        <v>499</v>
      </c>
      <c r="M106" s="13" t="s">
        <v>219</v>
      </c>
      <c r="O106" s="17"/>
      <c r="P106" s="18">
        <f>IFERROR(VLOOKUP(J106,'[1]Obs Tecnicas'!$D$2:$I$313,5,0),O106)</f>
        <v>44333</v>
      </c>
      <c r="Q106" s="17" t="str">
        <f t="shared" ca="1" si="6"/>
        <v>Calibrado</v>
      </c>
      <c r="R106" s="19">
        <f>IFERROR(VLOOKUP(J106,'[1]Obs Tecnicas'!$D$2:$G$333,2,0),"")</f>
        <v>12355</v>
      </c>
      <c r="S106" s="13" t="str">
        <f>IFERROR(VLOOKUP(J106,'[1]Obs Tecnicas'!$D$2:$G$337,3,0),"Hexis")</f>
        <v>ER ANALITICA</v>
      </c>
      <c r="T106" s="13">
        <f>IFERROR(VLOOKUP(J106,'[1]Obs Tecnicas'!$D$2:$G$337,4,0),"")</f>
        <v>0</v>
      </c>
      <c r="U106" s="14" t="s">
        <v>291</v>
      </c>
      <c r="V106" s="14">
        <f t="shared" si="5"/>
        <v>5</v>
      </c>
      <c r="W106" s="20">
        <f>VLOOKUP(I106,Indicadores!$N$4:$Q$15,4,0)</f>
        <v>456.77</v>
      </c>
    </row>
    <row r="107" spans="1:23" hidden="1">
      <c r="A107" s="13" t="s">
        <v>899</v>
      </c>
      <c r="B107" s="13" t="s">
        <v>494</v>
      </c>
      <c r="C107" s="15" t="s">
        <v>495</v>
      </c>
      <c r="D107" s="13" t="s">
        <v>496</v>
      </c>
      <c r="E107" s="13" t="s">
        <v>494</v>
      </c>
      <c r="F107" s="15" t="s">
        <v>495</v>
      </c>
      <c r="G107" s="13" t="s">
        <v>497</v>
      </c>
      <c r="H107" s="13" t="s">
        <v>202</v>
      </c>
      <c r="I107" s="13" t="s">
        <v>2</v>
      </c>
      <c r="J107" s="28" t="s">
        <v>500</v>
      </c>
      <c r="K107" s="176" t="s">
        <v>173</v>
      </c>
      <c r="M107" s="13" t="s">
        <v>219</v>
      </c>
      <c r="O107" s="17"/>
      <c r="P107" s="18">
        <f>IFERROR(VLOOKUP(J107,'[1]Obs Tecnicas'!$D$2:$I$313,5,0),O107)</f>
        <v>44333</v>
      </c>
      <c r="Q107" s="17" t="str">
        <f t="shared" ca="1" si="6"/>
        <v>Calibrado</v>
      </c>
      <c r="R107" s="19">
        <f>IFERROR(VLOOKUP(J107,'[1]Obs Tecnicas'!$D$2:$G$333,2,0),"")</f>
        <v>12352</v>
      </c>
      <c r="S107" s="13" t="str">
        <f>IFERROR(VLOOKUP(J107,'[1]Obs Tecnicas'!$D$2:$G$337,3,0),"Hexis")</f>
        <v>ER ANALITICA</v>
      </c>
      <c r="T107" s="13">
        <f>IFERROR(VLOOKUP(J107,'[1]Obs Tecnicas'!$D$2:$G$337,4,0),"")</f>
        <v>0</v>
      </c>
      <c r="U107" s="14" t="s">
        <v>291</v>
      </c>
      <c r="V107" s="14">
        <f t="shared" si="5"/>
        <v>5</v>
      </c>
      <c r="W107" s="20">
        <f>VLOOKUP(I107,Indicadores!$N$4:$Q$15,4,0)</f>
        <v>456.77</v>
      </c>
    </row>
    <row r="108" spans="1:23" hidden="1">
      <c r="A108" s="13" t="s">
        <v>899</v>
      </c>
      <c r="B108" s="13" t="s">
        <v>501</v>
      </c>
      <c r="C108" s="15" t="s">
        <v>495</v>
      </c>
      <c r="D108" s="13" t="s">
        <v>502</v>
      </c>
      <c r="E108" s="13" t="s">
        <v>399</v>
      </c>
      <c r="F108" s="15" t="s">
        <v>397</v>
      </c>
      <c r="G108" s="13" t="s">
        <v>374</v>
      </c>
      <c r="H108" s="13" t="s">
        <v>202</v>
      </c>
      <c r="I108" s="13" t="s">
        <v>7</v>
      </c>
      <c r="J108" s="28" t="s">
        <v>503</v>
      </c>
      <c r="K108" s="13" t="s">
        <v>225</v>
      </c>
      <c r="L108" s="13" t="s">
        <v>226</v>
      </c>
      <c r="M108" s="13" t="s">
        <v>219</v>
      </c>
      <c r="N108" s="13" t="s">
        <v>332</v>
      </c>
      <c r="O108" s="17">
        <v>43978</v>
      </c>
      <c r="P108" s="18">
        <f>IFERROR(VLOOKUP(J108,'[1]Obs Tecnicas'!$D$2:$I$313,5,0),O108)</f>
        <v>44333</v>
      </c>
      <c r="Q108" s="17" t="str">
        <f t="shared" ca="1" si="6"/>
        <v>Calibrado</v>
      </c>
      <c r="R108" s="19">
        <f>IFERROR(VLOOKUP(J108,'[1]Obs Tecnicas'!$D$2:$G$333,2,0),"")</f>
        <v>12329</v>
      </c>
      <c r="S108" s="13" t="str">
        <f>IFERROR(VLOOKUP(J108,'[1]Obs Tecnicas'!$D$2:$G$337,3,0),"Hexis")</f>
        <v>ER ANALITICA</v>
      </c>
      <c r="T108" s="13">
        <f>IFERROR(VLOOKUP(J108,'[1]Obs Tecnicas'!$D$2:$G$337,4,0),"")</f>
        <v>0</v>
      </c>
      <c r="U108" s="14" t="s">
        <v>291</v>
      </c>
      <c r="V108" s="14">
        <f t="shared" si="5"/>
        <v>5</v>
      </c>
      <c r="W108" s="20">
        <f>VLOOKUP(I108,Indicadores!$N$4:$Q$15,4,0)</f>
        <v>329.87</v>
      </c>
    </row>
    <row r="109" spans="1:23" hidden="1">
      <c r="A109" s="13" t="s">
        <v>899</v>
      </c>
      <c r="B109" s="13" t="s">
        <v>501</v>
      </c>
      <c r="C109" s="15" t="s">
        <v>495</v>
      </c>
      <c r="D109" s="13" t="s">
        <v>502</v>
      </c>
      <c r="E109" s="13" t="s">
        <v>399</v>
      </c>
      <c r="F109" s="15" t="s">
        <v>397</v>
      </c>
      <c r="G109" s="13" t="s">
        <v>374</v>
      </c>
      <c r="H109" s="13" t="s">
        <v>202</v>
      </c>
      <c r="I109" s="13" t="s">
        <v>9</v>
      </c>
      <c r="J109" s="28" t="s">
        <v>228</v>
      </c>
      <c r="K109" s="13" t="s">
        <v>21</v>
      </c>
      <c r="L109" s="13" t="s">
        <v>29</v>
      </c>
      <c r="M109" s="13" t="s">
        <v>219</v>
      </c>
      <c r="N109" s="13" t="s">
        <v>332</v>
      </c>
      <c r="O109" s="17">
        <v>43979</v>
      </c>
      <c r="P109" s="18">
        <f>IFERROR(VLOOKUP(J109,'[1]Obs Tecnicas'!$D$2:$I$313,5,0),O109)</f>
        <v>44333</v>
      </c>
      <c r="Q109" s="17" t="str">
        <f t="shared" ca="1" si="6"/>
        <v>Calibrado</v>
      </c>
      <c r="R109" s="19">
        <f>IFERROR(VLOOKUP(J109,'[1]Obs Tecnicas'!$D$2:$G$333,2,0),"")</f>
        <v>12330</v>
      </c>
      <c r="S109" s="13" t="str">
        <f>IFERROR(VLOOKUP(J109,'[1]Obs Tecnicas'!$D$2:$G$337,3,0),"Hexis")</f>
        <v>ER ANALITICA</v>
      </c>
      <c r="T109" s="13">
        <f>IFERROR(VLOOKUP(J109,'[1]Obs Tecnicas'!$D$2:$G$337,4,0),"")</f>
        <v>0</v>
      </c>
      <c r="U109" s="14" t="s">
        <v>291</v>
      </c>
      <c r="V109" s="14">
        <f t="shared" si="5"/>
        <v>5</v>
      </c>
      <c r="W109" s="20">
        <f>VLOOKUP(I109,Indicadores!$N$4:$Q$15,4,0)</f>
        <v>521.79999999999995</v>
      </c>
    </row>
    <row r="110" spans="1:23" s="23" customFormat="1" hidden="1">
      <c r="A110" s="13" t="s">
        <v>899</v>
      </c>
      <c r="B110" s="13" t="s">
        <v>501</v>
      </c>
      <c r="C110" s="15" t="s">
        <v>495</v>
      </c>
      <c r="D110" s="13" t="s">
        <v>502</v>
      </c>
      <c r="E110" s="13" t="s">
        <v>399</v>
      </c>
      <c r="F110" s="15" t="s">
        <v>397</v>
      </c>
      <c r="G110" s="13" t="s">
        <v>374</v>
      </c>
      <c r="H110" s="13" t="s">
        <v>202</v>
      </c>
      <c r="I110" s="13" t="s">
        <v>5</v>
      </c>
      <c r="J110" s="28" t="s">
        <v>504</v>
      </c>
      <c r="K110" s="13" t="s">
        <v>21</v>
      </c>
      <c r="L110" s="13" t="s">
        <v>34</v>
      </c>
      <c r="M110" s="13" t="s">
        <v>219</v>
      </c>
      <c r="N110" s="13" t="s">
        <v>332</v>
      </c>
      <c r="O110" s="17">
        <v>43980</v>
      </c>
      <c r="P110" s="18">
        <f>IFERROR(VLOOKUP(J110,'[1]Obs Tecnicas'!$D$2:$I$313,5,0),O110)</f>
        <v>44333</v>
      </c>
      <c r="Q110" s="17" t="str">
        <f t="shared" ca="1" si="6"/>
        <v>Calibrado</v>
      </c>
      <c r="R110" s="19">
        <f>IFERROR(VLOOKUP(J110,'[1]Obs Tecnicas'!$D$2:$G$333,2,0),"")</f>
        <v>12324</v>
      </c>
      <c r="S110" s="13" t="str">
        <f>IFERROR(VLOOKUP(J110,'[1]Obs Tecnicas'!$D$2:$G$337,3,0),"Hexis")</f>
        <v>ER ANALITICA</v>
      </c>
      <c r="T110" s="13" t="str">
        <f>IFERROR(VLOOKUP(J110,'[1]Obs Tecnicas'!$D$2:$G$337,4,0),"")</f>
        <v>Bateria de litio com baixa carga.</v>
      </c>
      <c r="U110" s="14" t="s">
        <v>291</v>
      </c>
      <c r="V110" s="14">
        <f t="shared" si="5"/>
        <v>5</v>
      </c>
      <c r="W110" s="20">
        <f>VLOOKUP(I110,Indicadores!$N$4:$Q$15,4,0)</f>
        <v>895.23</v>
      </c>
    </row>
    <row r="111" spans="1:23" s="27" customFormat="1" hidden="1">
      <c r="A111" s="13" t="s">
        <v>899</v>
      </c>
      <c r="B111" s="13" t="s">
        <v>505</v>
      </c>
      <c r="C111" s="15" t="s">
        <v>506</v>
      </c>
      <c r="D111" s="13" t="s">
        <v>349</v>
      </c>
      <c r="E111" s="13" t="s">
        <v>350</v>
      </c>
      <c r="F111" s="15" t="s">
        <v>351</v>
      </c>
      <c r="G111" s="13" t="s">
        <v>352</v>
      </c>
      <c r="H111" s="13" t="s">
        <v>202</v>
      </c>
      <c r="I111" s="13" t="s">
        <v>3</v>
      </c>
      <c r="J111" s="28" t="s">
        <v>246</v>
      </c>
      <c r="K111" s="13" t="s">
        <v>21</v>
      </c>
      <c r="L111" s="13" t="s">
        <v>22</v>
      </c>
      <c r="M111" s="13" t="s">
        <v>236</v>
      </c>
      <c r="N111" s="13" t="s">
        <v>507</v>
      </c>
      <c r="O111" s="17">
        <v>44068</v>
      </c>
      <c r="P111" s="18">
        <f>IFERROR(VLOOKUP(J111,'[1]Obs Tecnicas'!$D$2:$I$313,5,0),O111)</f>
        <v>44370</v>
      </c>
      <c r="Q111" s="17" t="str">
        <f t="shared" ca="1" si="6"/>
        <v>Calibrado</v>
      </c>
      <c r="R111" s="19">
        <f>IFERROR(VLOOKUP(J111,'[1]Obs Tecnicas'!$D$2:$G$333,2,0),"")</f>
        <v>12668</v>
      </c>
      <c r="S111" s="13" t="str">
        <f>IFERROR(VLOOKUP(J111,'[1]Obs Tecnicas'!$D$2:$G$337,3,0),"Hexis")</f>
        <v>ER ANALITICA</v>
      </c>
      <c r="T111" s="13" t="str">
        <f>IFERROR(VLOOKUP(J111,'[1]Obs Tecnicas'!$D$2:$G$337,4,0),"")</f>
        <v>Necessário a troca de todos filtros opticos para ajustar os valores de leitura.</v>
      </c>
      <c r="U111" s="14" t="s">
        <v>291</v>
      </c>
      <c r="V111" s="14">
        <f t="shared" si="5"/>
        <v>6</v>
      </c>
      <c r="W111" s="20">
        <f>VLOOKUP(I111,Indicadores!$N$4:$Q$15,4,0)</f>
        <v>552.64</v>
      </c>
    </row>
    <row r="112" spans="1:23" s="27" customFormat="1" hidden="1">
      <c r="A112" s="13" t="s">
        <v>899</v>
      </c>
      <c r="B112" s="13" t="s">
        <v>505</v>
      </c>
      <c r="C112" s="15" t="s">
        <v>506</v>
      </c>
      <c r="D112" s="13" t="s">
        <v>349</v>
      </c>
      <c r="E112" s="13" t="s">
        <v>350</v>
      </c>
      <c r="F112" s="15" t="s">
        <v>351</v>
      </c>
      <c r="G112" s="13" t="s">
        <v>352</v>
      </c>
      <c r="H112" s="13" t="s">
        <v>202</v>
      </c>
      <c r="I112" s="13" t="s">
        <v>4</v>
      </c>
      <c r="J112" s="28" t="s">
        <v>508</v>
      </c>
      <c r="K112" s="13" t="s">
        <v>31</v>
      </c>
      <c r="L112" s="13" t="s">
        <v>53</v>
      </c>
      <c r="M112" s="13" t="s">
        <v>236</v>
      </c>
      <c r="N112" s="13" t="s">
        <v>507</v>
      </c>
      <c r="O112" s="17">
        <v>44068</v>
      </c>
      <c r="P112" s="18">
        <f>IFERROR(VLOOKUP(J112,'[1]Obs Tecnicas'!$D$2:$I$313,5,0),O112)</f>
        <v>44370</v>
      </c>
      <c r="Q112" s="17" t="str">
        <f t="shared" ca="1" si="6"/>
        <v>Calibrado</v>
      </c>
      <c r="R112" s="19">
        <f>IFERROR(VLOOKUP(J112,'[1]Obs Tecnicas'!$D$2:$G$333,2,0),"")</f>
        <v>12671</v>
      </c>
      <c r="S112" s="13" t="str">
        <f>IFERROR(VLOOKUP(J112,'[1]Obs Tecnicas'!$D$2:$G$337,3,0),"Hexis")</f>
        <v>ER ANALITICA</v>
      </c>
      <c r="T112" s="13">
        <f>IFERROR(VLOOKUP(J112,'[1]Obs Tecnicas'!$D$2:$G$337,4,0),"")</f>
        <v>0</v>
      </c>
      <c r="U112" s="14" t="s">
        <v>291</v>
      </c>
      <c r="V112" s="14">
        <f t="shared" si="5"/>
        <v>6</v>
      </c>
      <c r="W112" s="20">
        <f>VLOOKUP(I112,Indicadores!$N$4:$Q$15,4,0)</f>
        <v>329.87</v>
      </c>
    </row>
    <row r="113" spans="1:23" s="23" customFormat="1" hidden="1">
      <c r="A113" s="13" t="s">
        <v>899</v>
      </c>
      <c r="B113" s="13" t="s">
        <v>505</v>
      </c>
      <c r="C113" s="15" t="s">
        <v>506</v>
      </c>
      <c r="D113" s="13" t="s">
        <v>349</v>
      </c>
      <c r="E113" s="13" t="s">
        <v>350</v>
      </c>
      <c r="F113" s="15" t="s">
        <v>351</v>
      </c>
      <c r="G113" s="13" t="s">
        <v>352</v>
      </c>
      <c r="H113" s="13" t="s">
        <v>202</v>
      </c>
      <c r="I113" s="13" t="s">
        <v>4</v>
      </c>
      <c r="J113" s="28" t="s">
        <v>509</v>
      </c>
      <c r="K113" s="13" t="s">
        <v>31</v>
      </c>
      <c r="L113" s="13" t="s">
        <v>242</v>
      </c>
      <c r="M113" s="13" t="s">
        <v>236</v>
      </c>
      <c r="N113" s="13" t="s">
        <v>507</v>
      </c>
      <c r="O113" s="17">
        <v>44068</v>
      </c>
      <c r="P113" s="18">
        <f>IFERROR(VLOOKUP(J113,'[1]Obs Tecnicas'!$D$2:$I$313,5,0),O113)</f>
        <v>44370</v>
      </c>
      <c r="Q113" s="17" t="str">
        <f t="shared" ca="1" si="6"/>
        <v>Calibrado</v>
      </c>
      <c r="R113" s="19">
        <f>IFERROR(VLOOKUP(J113,'[1]Obs Tecnicas'!$D$2:$G$333,2,0),"")</f>
        <v>12669</v>
      </c>
      <c r="S113" s="13" t="str">
        <f>IFERROR(VLOOKUP(J113,'[1]Obs Tecnicas'!$D$2:$G$337,3,0),"Hexis")</f>
        <v>ER ANALITICA</v>
      </c>
      <c r="T113" s="13">
        <f>IFERROR(VLOOKUP(J113,'[1]Obs Tecnicas'!$D$2:$G$337,4,0),"")</f>
        <v>0</v>
      </c>
      <c r="U113" s="14" t="s">
        <v>291</v>
      </c>
      <c r="V113" s="14">
        <f t="shared" si="5"/>
        <v>6</v>
      </c>
      <c r="W113" s="20">
        <f>VLOOKUP(I113,Indicadores!$N$4:$Q$15,4,0)</f>
        <v>329.87</v>
      </c>
    </row>
    <row r="114" spans="1:23" hidden="1">
      <c r="A114" s="13" t="s">
        <v>899</v>
      </c>
      <c r="B114" s="13" t="s">
        <v>505</v>
      </c>
      <c r="C114" s="15" t="s">
        <v>506</v>
      </c>
      <c r="D114" s="13" t="s">
        <v>349</v>
      </c>
      <c r="E114" s="13" t="s">
        <v>350</v>
      </c>
      <c r="F114" s="15" t="s">
        <v>351</v>
      </c>
      <c r="G114" s="13" t="s">
        <v>352</v>
      </c>
      <c r="H114" s="13" t="s">
        <v>202</v>
      </c>
      <c r="I114" s="13" t="s">
        <v>4</v>
      </c>
      <c r="J114" s="28" t="s">
        <v>510</v>
      </c>
      <c r="K114" s="13" t="s">
        <v>244</v>
      </c>
      <c r="L114" s="13" t="s">
        <v>245</v>
      </c>
      <c r="M114" s="13" t="s">
        <v>236</v>
      </c>
      <c r="N114" s="13" t="s">
        <v>507</v>
      </c>
      <c r="O114" s="17">
        <v>44068</v>
      </c>
      <c r="P114" s="18">
        <f>IFERROR(VLOOKUP(J114,'[1]Obs Tecnicas'!$D$2:$I$313,5,0),O114)</f>
        <v>44370</v>
      </c>
      <c r="Q114" s="17" t="str">
        <f t="shared" ca="1" si="6"/>
        <v>Calibrado</v>
      </c>
      <c r="R114" s="19">
        <f>IFERROR(VLOOKUP(J114,'[1]Obs Tecnicas'!$D$2:$G$333,2,0),"")</f>
        <v>12666</v>
      </c>
      <c r="S114" s="13" t="str">
        <f>IFERROR(VLOOKUP(J114,'[1]Obs Tecnicas'!$D$2:$G$337,3,0),"Hexis")</f>
        <v>ER ANALITICA</v>
      </c>
      <c r="T114" s="13">
        <f>IFERROR(VLOOKUP(J114,'[1]Obs Tecnicas'!$D$2:$G$337,4,0),"")</f>
        <v>0</v>
      </c>
      <c r="U114" s="14" t="s">
        <v>291</v>
      </c>
      <c r="V114" s="14">
        <f t="shared" si="5"/>
        <v>6</v>
      </c>
      <c r="W114" s="20">
        <f>VLOOKUP(I114,Indicadores!$N$4:$Q$15,4,0)</f>
        <v>329.87</v>
      </c>
    </row>
    <row r="115" spans="1:23" hidden="1">
      <c r="A115" s="13" t="s">
        <v>899</v>
      </c>
      <c r="B115" s="13" t="s">
        <v>505</v>
      </c>
      <c r="C115" s="15" t="s">
        <v>506</v>
      </c>
      <c r="D115" s="13" t="s">
        <v>349</v>
      </c>
      <c r="E115" s="13" t="s">
        <v>350</v>
      </c>
      <c r="F115" s="15" t="s">
        <v>351</v>
      </c>
      <c r="G115" s="13" t="s">
        <v>352</v>
      </c>
      <c r="H115" s="13" t="s">
        <v>202</v>
      </c>
      <c r="I115" s="13" t="s">
        <v>5</v>
      </c>
      <c r="J115" s="28" t="s">
        <v>511</v>
      </c>
      <c r="K115" s="13" t="s">
        <v>21</v>
      </c>
      <c r="L115" s="13" t="s">
        <v>80</v>
      </c>
      <c r="M115" s="13" t="s">
        <v>236</v>
      </c>
      <c r="N115" s="13" t="s">
        <v>507</v>
      </c>
      <c r="O115" s="17">
        <v>44068</v>
      </c>
      <c r="P115" s="18">
        <f>IFERROR(VLOOKUP(J115,'[1]Obs Tecnicas'!$D$2:$I$313,5,0),O115)</f>
        <v>44370</v>
      </c>
      <c r="Q115" s="17" t="str">
        <f t="shared" ca="1" si="6"/>
        <v>Calibrado</v>
      </c>
      <c r="R115" s="19">
        <f>IFERROR(VLOOKUP(J115,'[1]Obs Tecnicas'!$D$2:$G$333,2,0),"")</f>
        <v>12672</v>
      </c>
      <c r="S115" s="13" t="str">
        <f>IFERROR(VLOOKUP(J115,'[1]Obs Tecnicas'!$D$2:$G$337,3,0),"Hexis")</f>
        <v>ER ANALITICA</v>
      </c>
      <c r="T115" s="13" t="str">
        <f>IFERROR(VLOOKUP(J115,'[1]Obs Tecnicas'!$D$2:$G$337,4,0),"")</f>
        <v>Carcaça do instrumento avariada na tecla "ler/confirma"</v>
      </c>
      <c r="U115" s="14" t="s">
        <v>291</v>
      </c>
      <c r="V115" s="14">
        <f t="shared" si="5"/>
        <v>6</v>
      </c>
      <c r="W115" s="20">
        <f>VLOOKUP(I115,Indicadores!$N$4:$Q$15,4,0)</f>
        <v>895.23</v>
      </c>
    </row>
    <row r="116" spans="1:23" hidden="1">
      <c r="A116" s="13" t="s">
        <v>899</v>
      </c>
      <c r="B116" s="13" t="s">
        <v>505</v>
      </c>
      <c r="C116" s="15" t="s">
        <v>506</v>
      </c>
      <c r="D116" s="13" t="s">
        <v>349</v>
      </c>
      <c r="E116" s="13" t="s">
        <v>350</v>
      </c>
      <c r="F116" s="15" t="s">
        <v>351</v>
      </c>
      <c r="G116" s="13" t="s">
        <v>352</v>
      </c>
      <c r="H116" s="13" t="s">
        <v>202</v>
      </c>
      <c r="I116" s="13" t="s">
        <v>7</v>
      </c>
      <c r="J116" s="28" t="s">
        <v>512</v>
      </c>
      <c r="K116" s="13" t="s">
        <v>21</v>
      </c>
      <c r="L116" s="13" t="s">
        <v>168</v>
      </c>
      <c r="M116" s="13" t="s">
        <v>236</v>
      </c>
      <c r="N116" s="13" t="s">
        <v>507</v>
      </c>
      <c r="O116" s="17">
        <v>44068</v>
      </c>
      <c r="P116" s="18">
        <f>IFERROR(VLOOKUP(J116,'[1]Obs Tecnicas'!$D$2:$I$313,5,0),O116)</f>
        <v>44370</v>
      </c>
      <c r="Q116" s="17" t="str">
        <f t="shared" ca="1" si="6"/>
        <v>Calibrado</v>
      </c>
      <c r="R116" s="19">
        <f>IFERROR(VLOOKUP(J116,'[1]Obs Tecnicas'!$D$2:$G$333,2,0),"")</f>
        <v>12661</v>
      </c>
      <c r="S116" s="13" t="str">
        <f>IFERROR(VLOOKUP(J116,'[1]Obs Tecnicas'!$D$2:$G$337,3,0),"Hexis")</f>
        <v>ER ANALITICA</v>
      </c>
      <c r="T116" s="13">
        <f>IFERROR(VLOOKUP(J116,'[1]Obs Tecnicas'!$D$2:$G$337,4,0),"")</f>
        <v>0</v>
      </c>
      <c r="U116" s="14" t="s">
        <v>291</v>
      </c>
      <c r="V116" s="14">
        <f t="shared" si="5"/>
        <v>6</v>
      </c>
      <c r="W116" s="20">
        <f>VLOOKUP(I116,Indicadores!$N$4:$Q$15,4,0)</f>
        <v>329.87</v>
      </c>
    </row>
    <row r="117" spans="1:23" hidden="1">
      <c r="A117" s="13" t="s">
        <v>899</v>
      </c>
      <c r="B117" s="13" t="s">
        <v>505</v>
      </c>
      <c r="C117" s="15" t="s">
        <v>506</v>
      </c>
      <c r="D117" s="13" t="s">
        <v>349</v>
      </c>
      <c r="E117" s="13" t="s">
        <v>350</v>
      </c>
      <c r="F117" s="15" t="s">
        <v>351</v>
      </c>
      <c r="G117" s="13" t="s">
        <v>352</v>
      </c>
      <c r="H117" s="13" t="s">
        <v>202</v>
      </c>
      <c r="I117" s="13" t="s">
        <v>8</v>
      </c>
      <c r="J117" s="28" t="s">
        <v>243</v>
      </c>
      <c r="K117" s="13" t="s">
        <v>21</v>
      </c>
      <c r="L117" s="13" t="s">
        <v>44</v>
      </c>
      <c r="M117" s="13" t="s">
        <v>236</v>
      </c>
      <c r="N117" s="13" t="s">
        <v>507</v>
      </c>
      <c r="O117" s="17">
        <v>44068</v>
      </c>
      <c r="P117" s="18">
        <f>IFERROR(VLOOKUP(J117,'[1]Obs Tecnicas'!$D$2:$I$313,5,0),O117)</f>
        <v>44370</v>
      </c>
      <c r="Q117" s="17" t="str">
        <f t="shared" ca="1" si="6"/>
        <v>Calibrado</v>
      </c>
      <c r="R117" s="19">
        <f>IFERROR(VLOOKUP(J117,'[1]Obs Tecnicas'!$D$2:$G$333,2,0),"")</f>
        <v>12663</v>
      </c>
      <c r="S117" s="13" t="str">
        <f>IFERROR(VLOOKUP(J117,'[1]Obs Tecnicas'!$D$2:$G$337,3,0),"Hexis")</f>
        <v>ER ANALITICA</v>
      </c>
      <c r="T117" s="13">
        <f>IFERROR(VLOOKUP(J117,'[1]Obs Tecnicas'!$D$2:$G$337,4,0),"")</f>
        <v>0</v>
      </c>
      <c r="U117" s="14" t="s">
        <v>291</v>
      </c>
      <c r="V117" s="14">
        <f t="shared" si="5"/>
        <v>6</v>
      </c>
      <c r="W117" s="20">
        <f>VLOOKUP(I117,Indicadores!$N$4:$Q$15,4,0)</f>
        <v>462.11</v>
      </c>
    </row>
    <row r="118" spans="1:23" hidden="1">
      <c r="A118" s="13" t="s">
        <v>899</v>
      </c>
      <c r="B118" s="13" t="s">
        <v>513</v>
      </c>
      <c r="C118" s="177" t="s">
        <v>514</v>
      </c>
      <c r="D118" s="13" t="s">
        <v>515</v>
      </c>
      <c r="E118" s="13" t="s">
        <v>372</v>
      </c>
      <c r="F118" s="15" t="s">
        <v>373</v>
      </c>
      <c r="G118" s="24" t="s">
        <v>374</v>
      </c>
      <c r="H118" s="13" t="s">
        <v>202</v>
      </c>
      <c r="I118" s="13" t="s">
        <v>5</v>
      </c>
      <c r="J118" s="28" t="s">
        <v>516</v>
      </c>
      <c r="K118" s="13" t="s">
        <v>21</v>
      </c>
      <c r="L118" s="13" t="s">
        <v>34</v>
      </c>
      <c r="M118" s="13" t="s">
        <v>219</v>
      </c>
      <c r="N118" s="13" t="s">
        <v>332</v>
      </c>
      <c r="O118" s="17">
        <v>43978</v>
      </c>
      <c r="P118" s="18">
        <f>IFERROR(VLOOKUP(J118,'[1]Obs Tecnicas'!$D$2:$I$313,5,0),O118)</f>
        <v>44333</v>
      </c>
      <c r="Q118" s="17" t="str">
        <f t="shared" ca="1" si="6"/>
        <v>Calibrado</v>
      </c>
      <c r="R118" s="19">
        <f>IFERROR(VLOOKUP(J118,'[1]Obs Tecnicas'!$D$2:$G$333,2,0),"")</f>
        <v>12331</v>
      </c>
      <c r="S118" s="13" t="str">
        <f>IFERROR(VLOOKUP(J118,'[1]Obs Tecnicas'!$D$2:$G$337,3,0),"Hexis")</f>
        <v>ER ANALITICA</v>
      </c>
      <c r="T118" s="13" t="str">
        <f>IFERROR(VLOOKUP(J118,'[1]Obs Tecnicas'!$D$2:$G$337,4,0),"")</f>
        <v>Bateria de lítio com baixa carga e lazer de cod. De barras inoperante.</v>
      </c>
      <c r="U118" s="14" t="s">
        <v>291</v>
      </c>
      <c r="V118" s="14">
        <f t="shared" si="5"/>
        <v>5</v>
      </c>
      <c r="W118" s="20">
        <f>VLOOKUP(I118,Indicadores!$N$4:$Q$15,4,0)</f>
        <v>895.23</v>
      </c>
    </row>
    <row r="119" spans="1:23" hidden="1">
      <c r="A119" s="13" t="s">
        <v>899</v>
      </c>
      <c r="B119" s="13" t="s">
        <v>513</v>
      </c>
      <c r="C119" s="177" t="s">
        <v>514</v>
      </c>
      <c r="D119" s="13" t="s">
        <v>515</v>
      </c>
      <c r="E119" s="13" t="s">
        <v>372</v>
      </c>
      <c r="F119" s="15" t="s">
        <v>373</v>
      </c>
      <c r="G119" s="13" t="s">
        <v>374</v>
      </c>
      <c r="H119" s="13" t="s">
        <v>202</v>
      </c>
      <c r="I119" s="13" t="s">
        <v>8</v>
      </c>
      <c r="J119" s="28" t="s">
        <v>517</v>
      </c>
      <c r="K119" s="13" t="s">
        <v>21</v>
      </c>
      <c r="L119" s="13" t="s">
        <v>44</v>
      </c>
      <c r="M119" s="13" t="s">
        <v>219</v>
      </c>
      <c r="N119" s="13" t="s">
        <v>332</v>
      </c>
      <c r="O119" s="17">
        <v>43978</v>
      </c>
      <c r="P119" s="18">
        <f>IFERROR(VLOOKUP(J119,'[1]Obs Tecnicas'!$D$2:$I$313,5,0),O119)</f>
        <v>44333</v>
      </c>
      <c r="Q119" s="17" t="str">
        <f t="shared" ca="1" si="6"/>
        <v>Calibrado</v>
      </c>
      <c r="R119" s="19">
        <f>IFERROR(VLOOKUP(J119,'[1]Obs Tecnicas'!$D$2:$G$333,2,0),"")</f>
        <v>12335</v>
      </c>
      <c r="S119" s="13" t="str">
        <f>IFERROR(VLOOKUP(J119,'[1]Obs Tecnicas'!$D$2:$G$337,3,0),"Hexis")</f>
        <v>ER ANALITICA</v>
      </c>
      <c r="T119" s="13">
        <f>IFERROR(VLOOKUP(J119,'[1]Obs Tecnicas'!$D$2:$G$337,4,0),"")</f>
        <v>0</v>
      </c>
      <c r="U119" s="14" t="s">
        <v>291</v>
      </c>
      <c r="V119" s="14">
        <f t="shared" si="5"/>
        <v>5</v>
      </c>
      <c r="W119" s="20">
        <f>VLOOKUP(I119,Indicadores!$N$4:$Q$15,4,0)</f>
        <v>462.11</v>
      </c>
    </row>
    <row r="120" spans="1:23" s="23" customFormat="1" hidden="1">
      <c r="A120" s="13" t="s">
        <v>899</v>
      </c>
      <c r="B120" s="13" t="s">
        <v>513</v>
      </c>
      <c r="C120" s="177" t="s">
        <v>514</v>
      </c>
      <c r="D120" s="13" t="s">
        <v>515</v>
      </c>
      <c r="E120" s="13" t="s">
        <v>372</v>
      </c>
      <c r="F120" s="15" t="s">
        <v>373</v>
      </c>
      <c r="G120" s="13" t="s">
        <v>374</v>
      </c>
      <c r="H120" s="13" t="s">
        <v>202</v>
      </c>
      <c r="I120" s="13" t="s">
        <v>9</v>
      </c>
      <c r="J120" s="28" t="s">
        <v>224</v>
      </c>
      <c r="K120" s="13" t="s">
        <v>21</v>
      </c>
      <c r="L120" s="13" t="s">
        <v>29</v>
      </c>
      <c r="M120" s="13" t="s">
        <v>219</v>
      </c>
      <c r="N120" s="13" t="s">
        <v>332</v>
      </c>
      <c r="O120" s="17">
        <v>43978</v>
      </c>
      <c r="P120" s="18">
        <f>IFERROR(VLOOKUP(J120,'[1]Obs Tecnicas'!$D$2:$I$313,5,0),O120)</f>
        <v>44333</v>
      </c>
      <c r="Q120" s="17" t="str">
        <f t="shared" ca="1" si="6"/>
        <v>Calibrado</v>
      </c>
      <c r="R120" s="19">
        <f>IFERROR(VLOOKUP(J120,'[1]Obs Tecnicas'!$D$2:$G$333,2,0),"")</f>
        <v>12319</v>
      </c>
      <c r="S120" s="13" t="str">
        <f>IFERROR(VLOOKUP(J120,'[1]Obs Tecnicas'!$D$2:$G$337,3,0),"Hexis")</f>
        <v>ER ANALITICA</v>
      </c>
      <c r="T120" s="13" t="str">
        <f>IFERROR(VLOOKUP(J120,'[1]Obs Tecnicas'!$D$2:$G$337,4,0),"")</f>
        <v>Lingueta de fixação da cubeta (tampa superior do conj. Optico) danificada.</v>
      </c>
      <c r="U120" s="14" t="s">
        <v>291</v>
      </c>
      <c r="V120" s="14">
        <f t="shared" si="5"/>
        <v>5</v>
      </c>
      <c r="W120" s="20">
        <f>VLOOKUP(I120,Indicadores!$N$4:$Q$15,4,0)</f>
        <v>521.79999999999995</v>
      </c>
    </row>
    <row r="121" spans="1:23" s="23" customFormat="1" hidden="1">
      <c r="A121" s="13" t="s">
        <v>899</v>
      </c>
      <c r="B121" s="13" t="s">
        <v>513</v>
      </c>
      <c r="C121" s="15" t="s">
        <v>514</v>
      </c>
      <c r="D121" s="13" t="s">
        <v>515</v>
      </c>
      <c r="E121" s="13" t="s">
        <v>372</v>
      </c>
      <c r="F121" s="15" t="s">
        <v>373</v>
      </c>
      <c r="G121" s="13" t="s">
        <v>518</v>
      </c>
      <c r="H121" s="13" t="s">
        <v>202</v>
      </c>
      <c r="I121" s="13" t="s">
        <v>519</v>
      </c>
      <c r="J121" s="28" t="s">
        <v>520</v>
      </c>
      <c r="K121" s="13" t="s">
        <v>521</v>
      </c>
      <c r="L121" s="13"/>
      <c r="M121" s="13" t="s">
        <v>219</v>
      </c>
      <c r="N121" s="13" t="s">
        <v>332</v>
      </c>
      <c r="O121" s="17"/>
      <c r="P121" s="18">
        <f>IFERROR(VLOOKUP(J121,'[1]Obs Tecnicas'!$D$2:$I$313,5,0),O121)</f>
        <v>44333</v>
      </c>
      <c r="Q121" s="17" t="str">
        <f t="shared" ca="1" si="6"/>
        <v>Calibrado</v>
      </c>
      <c r="R121" s="19">
        <f>IFERROR(VLOOKUP(J121,'[1]Obs Tecnicas'!$D$2:$G$333,2,0),"")</f>
        <v>12343</v>
      </c>
      <c r="S121" s="13" t="str">
        <f>IFERROR(VLOOKUP(J121,'[1]Obs Tecnicas'!$D$2:$G$337,3,0),"Hexis")</f>
        <v>ER ANALITICA</v>
      </c>
      <c r="T121" s="13">
        <f>IFERROR(VLOOKUP(J121,'[1]Obs Tecnicas'!$D$2:$G$337,4,0),"")</f>
        <v>0</v>
      </c>
      <c r="U121" s="14" t="s">
        <v>291</v>
      </c>
      <c r="V121" s="14">
        <f t="shared" si="5"/>
        <v>5</v>
      </c>
      <c r="W121" s="20">
        <f>VLOOKUP(I121,Indicadores!$N$4:$Q$15,4,0)</f>
        <v>0</v>
      </c>
    </row>
    <row r="122" spans="1:23" s="23" customFormat="1" hidden="1">
      <c r="A122" s="13" t="s">
        <v>899</v>
      </c>
      <c r="B122" s="13" t="s">
        <v>513</v>
      </c>
      <c r="C122" s="15" t="s">
        <v>514</v>
      </c>
      <c r="D122" s="13" t="s">
        <v>515</v>
      </c>
      <c r="E122" s="13" t="s">
        <v>372</v>
      </c>
      <c r="F122" s="15" t="s">
        <v>373</v>
      </c>
      <c r="G122" s="13" t="s">
        <v>518</v>
      </c>
      <c r="H122" s="13" t="s">
        <v>202</v>
      </c>
      <c r="I122" s="13" t="s">
        <v>2</v>
      </c>
      <c r="J122" s="28" t="s">
        <v>522</v>
      </c>
      <c r="K122" s="13" t="s">
        <v>173</v>
      </c>
      <c r="L122" s="13"/>
      <c r="M122" s="13" t="s">
        <v>219</v>
      </c>
      <c r="N122" s="13"/>
      <c r="O122" s="17"/>
      <c r="P122" s="18">
        <f>IFERROR(VLOOKUP(J122,'[1]Obs Tecnicas'!$D$2:$I$313,5,0),O122)</f>
        <v>44333</v>
      </c>
      <c r="Q122" s="17" t="str">
        <f t="shared" ca="1" si="6"/>
        <v>Calibrado</v>
      </c>
      <c r="R122" s="19">
        <f>IFERROR(VLOOKUP(J122,'[1]Obs Tecnicas'!$D$2:$G$333,2,0),"")</f>
        <v>12356</v>
      </c>
      <c r="S122" s="13" t="str">
        <f>IFERROR(VLOOKUP(J122,'[1]Obs Tecnicas'!$D$2:$G$337,3,0),"Hexis")</f>
        <v>ER ANALITICA</v>
      </c>
      <c r="T122" s="13">
        <f>IFERROR(VLOOKUP(J122,'[1]Obs Tecnicas'!$D$2:$G$337,4,0),"")</f>
        <v>0</v>
      </c>
      <c r="U122" s="14" t="s">
        <v>291</v>
      </c>
      <c r="V122" s="14">
        <f t="shared" si="5"/>
        <v>5</v>
      </c>
      <c r="W122" s="20">
        <f>VLOOKUP(I122,Indicadores!$N$4:$Q$15,4,0)</f>
        <v>456.77</v>
      </c>
    </row>
    <row r="123" spans="1:23" hidden="1">
      <c r="A123" s="13" t="s">
        <v>899</v>
      </c>
      <c r="B123" s="13" t="s">
        <v>513</v>
      </c>
      <c r="C123" s="15" t="s">
        <v>514</v>
      </c>
      <c r="D123" s="13" t="s">
        <v>515</v>
      </c>
      <c r="E123" s="13" t="s">
        <v>372</v>
      </c>
      <c r="F123" s="15" t="s">
        <v>373</v>
      </c>
      <c r="G123" s="13" t="s">
        <v>523</v>
      </c>
      <c r="H123" s="13" t="s">
        <v>202</v>
      </c>
      <c r="I123" s="13" t="s">
        <v>2</v>
      </c>
      <c r="J123" s="28" t="s">
        <v>524</v>
      </c>
      <c r="K123" s="13" t="s">
        <v>232</v>
      </c>
      <c r="M123" s="13" t="s">
        <v>219</v>
      </c>
      <c r="O123" s="17"/>
      <c r="P123" s="18">
        <f>IFERROR(VLOOKUP(J123,'[1]Obs Tecnicas'!$D$2:$I$313,5,0),O123)</f>
        <v>44333</v>
      </c>
      <c r="Q123" s="17" t="str">
        <f t="shared" ca="1" si="6"/>
        <v>Calibrado</v>
      </c>
      <c r="R123" s="19">
        <f>IFERROR(VLOOKUP(J123,'[1]Obs Tecnicas'!$D$2:$G$333,2,0),"")</f>
        <v>12354</v>
      </c>
      <c r="S123" s="13" t="str">
        <f>IFERROR(VLOOKUP(J123,'[1]Obs Tecnicas'!$D$2:$G$337,3,0),"Hexis")</f>
        <v>ER ANALITICA</v>
      </c>
      <c r="T123" s="13">
        <f>IFERROR(VLOOKUP(J123,'[1]Obs Tecnicas'!$D$2:$G$337,4,0),"")</f>
        <v>0</v>
      </c>
      <c r="U123" s="14" t="s">
        <v>291</v>
      </c>
      <c r="V123" s="14">
        <f t="shared" si="5"/>
        <v>5</v>
      </c>
      <c r="W123" s="20">
        <f>VLOOKUP(I123,Indicadores!$N$4:$Q$15,4,0)</f>
        <v>456.77</v>
      </c>
    </row>
    <row r="124" spans="1:23" hidden="1">
      <c r="A124" s="13" t="s">
        <v>899</v>
      </c>
      <c r="B124" s="13" t="s">
        <v>513</v>
      </c>
      <c r="C124" s="15" t="s">
        <v>514</v>
      </c>
      <c r="D124" s="13" t="s">
        <v>515</v>
      </c>
      <c r="E124" s="13" t="s">
        <v>372</v>
      </c>
      <c r="F124" s="15" t="s">
        <v>373</v>
      </c>
      <c r="G124" s="13" t="s">
        <v>523</v>
      </c>
      <c r="H124" s="13" t="s">
        <v>202</v>
      </c>
      <c r="I124" s="13" t="s">
        <v>2</v>
      </c>
      <c r="J124" s="28" t="s">
        <v>525</v>
      </c>
      <c r="K124" s="13" t="s">
        <v>499</v>
      </c>
      <c r="M124" s="169" t="s">
        <v>219</v>
      </c>
      <c r="O124" s="17"/>
      <c r="P124" s="18">
        <f>IFERROR(VLOOKUP(J124,'[1]Obs Tecnicas'!$D$2:$I$313,5,0),O124)</f>
        <v>44333</v>
      </c>
      <c r="Q124" s="17" t="str">
        <f t="shared" ca="1" si="6"/>
        <v>Calibrado</v>
      </c>
      <c r="R124" s="19">
        <f>IFERROR(VLOOKUP(J124,'[1]Obs Tecnicas'!$D$2:$G$333,2,0),"")</f>
        <v>12353</v>
      </c>
      <c r="S124" s="13" t="str">
        <f>IFERROR(VLOOKUP(J124,'[1]Obs Tecnicas'!$D$2:$G$337,3,0),"Hexis")</f>
        <v>ER ANALITICA</v>
      </c>
      <c r="T124" s="13">
        <f>IFERROR(VLOOKUP(J124,'[1]Obs Tecnicas'!$D$2:$G$337,4,0),"")</f>
        <v>0</v>
      </c>
      <c r="U124" s="14" t="s">
        <v>291</v>
      </c>
      <c r="V124" s="14">
        <f t="shared" si="5"/>
        <v>5</v>
      </c>
      <c r="W124" s="20">
        <f>VLOOKUP(I124,Indicadores!$N$4:$Q$15,4,0)</f>
        <v>456.77</v>
      </c>
    </row>
    <row r="125" spans="1:23" hidden="1">
      <c r="A125" s="13" t="s">
        <v>899</v>
      </c>
      <c r="B125" s="13" t="s">
        <v>513</v>
      </c>
      <c r="C125" s="15" t="s">
        <v>514</v>
      </c>
      <c r="D125" s="13" t="s">
        <v>515</v>
      </c>
      <c r="E125" s="13" t="s">
        <v>372</v>
      </c>
      <c r="F125" s="15" t="s">
        <v>373</v>
      </c>
      <c r="G125" s="13" t="s">
        <v>518</v>
      </c>
      <c r="H125" s="13" t="s">
        <v>202</v>
      </c>
      <c r="I125" s="13" t="s">
        <v>7</v>
      </c>
      <c r="J125" s="28" t="s">
        <v>526</v>
      </c>
      <c r="K125" s="176" t="s">
        <v>527</v>
      </c>
      <c r="M125" s="169" t="s">
        <v>219</v>
      </c>
      <c r="N125" s="13" t="s">
        <v>332</v>
      </c>
      <c r="O125" s="17"/>
      <c r="P125" s="18">
        <f>IFERROR(VLOOKUP(J125,'[1]Obs Tecnicas'!$D$2:$I$313,5,0),O125)</f>
        <v>44333</v>
      </c>
      <c r="Q125" s="17" t="str">
        <f t="shared" ca="1" si="6"/>
        <v>Calibrado</v>
      </c>
      <c r="R125" s="19">
        <f>IFERROR(VLOOKUP(J125,'[1]Obs Tecnicas'!$D$2:$G$333,2,0),"")</f>
        <v>12347</v>
      </c>
      <c r="S125" s="13" t="str">
        <f>IFERROR(VLOOKUP(J125,'[1]Obs Tecnicas'!$D$2:$G$337,3,0),"Hexis")</f>
        <v>ER ANALITICA</v>
      </c>
      <c r="T125" s="13">
        <f>IFERROR(VLOOKUP(J125,'[1]Obs Tecnicas'!$D$2:$G$337,4,0),"")</f>
        <v>0</v>
      </c>
      <c r="U125" s="14" t="s">
        <v>291</v>
      </c>
      <c r="V125" s="14">
        <f t="shared" si="5"/>
        <v>5</v>
      </c>
      <c r="W125" s="20">
        <f>VLOOKUP(I125,Indicadores!$N$4:$Q$15,4,0)</f>
        <v>329.87</v>
      </c>
    </row>
    <row r="126" spans="1:23" hidden="1">
      <c r="A126" s="13" t="s">
        <v>899</v>
      </c>
      <c r="B126" s="13" t="s">
        <v>513</v>
      </c>
      <c r="C126" s="15" t="s">
        <v>514</v>
      </c>
      <c r="D126" s="13" t="s">
        <v>515</v>
      </c>
      <c r="E126" s="13" t="s">
        <v>372</v>
      </c>
      <c r="F126" s="15" t="s">
        <v>373</v>
      </c>
      <c r="G126" s="13" t="s">
        <v>518</v>
      </c>
      <c r="H126" s="13" t="s">
        <v>202</v>
      </c>
      <c r="I126" s="13" t="s">
        <v>519</v>
      </c>
      <c r="J126" s="28" t="s">
        <v>528</v>
      </c>
      <c r="K126" s="176" t="s">
        <v>529</v>
      </c>
      <c r="M126" s="169" t="s">
        <v>219</v>
      </c>
      <c r="N126" s="13" t="s">
        <v>332</v>
      </c>
      <c r="O126" s="17"/>
      <c r="P126" s="18">
        <f>IFERROR(VLOOKUP(J126,'[1]Obs Tecnicas'!$D$2:$I$313,5,0),O126)</f>
        <v>44333</v>
      </c>
      <c r="Q126" s="17" t="str">
        <f t="shared" ca="1" si="6"/>
        <v>Calibrado</v>
      </c>
      <c r="R126" s="19">
        <f>IFERROR(VLOOKUP(J126,'[1]Obs Tecnicas'!$D$2:$G$333,2,0),"")</f>
        <v>12376</v>
      </c>
      <c r="S126" s="13" t="str">
        <f>IFERROR(VLOOKUP(J126,'[1]Obs Tecnicas'!$D$2:$G$337,3,0),"Hexis")</f>
        <v>ER ANALITICA</v>
      </c>
      <c r="T126" s="13">
        <f>IFERROR(VLOOKUP(J126,'[1]Obs Tecnicas'!$D$2:$G$337,4,0),"")</f>
        <v>0</v>
      </c>
      <c r="U126" s="14" t="s">
        <v>291</v>
      </c>
      <c r="V126" s="14">
        <f t="shared" si="5"/>
        <v>5</v>
      </c>
      <c r="W126" s="20">
        <f>VLOOKUP(I126,Indicadores!$N$4:$Q$15,4,0)</f>
        <v>0</v>
      </c>
    </row>
    <row r="127" spans="1:23" hidden="1">
      <c r="A127" s="13" t="s">
        <v>899</v>
      </c>
      <c r="B127" s="13" t="s">
        <v>513</v>
      </c>
      <c r="C127" s="15" t="s">
        <v>514</v>
      </c>
      <c r="D127" s="13" t="s">
        <v>515</v>
      </c>
      <c r="E127" s="13" t="s">
        <v>372</v>
      </c>
      <c r="F127" s="15" t="s">
        <v>373</v>
      </c>
      <c r="G127" s="13" t="s">
        <v>518</v>
      </c>
      <c r="H127" s="13" t="s">
        <v>202</v>
      </c>
      <c r="I127" s="13" t="s">
        <v>519</v>
      </c>
      <c r="J127" s="28" t="s">
        <v>530</v>
      </c>
      <c r="K127" s="176" t="s">
        <v>529</v>
      </c>
      <c r="M127" s="169" t="s">
        <v>219</v>
      </c>
      <c r="N127" s="13" t="s">
        <v>332</v>
      </c>
      <c r="O127" s="17"/>
      <c r="P127" s="18">
        <f>IFERROR(VLOOKUP(J127,'[1]Obs Tecnicas'!$D$2:$I$313,5,0),O127)</f>
        <v>44333</v>
      </c>
      <c r="Q127" s="17" t="str">
        <f t="shared" ca="1" si="6"/>
        <v>Calibrado</v>
      </c>
      <c r="R127" s="19">
        <f>IFERROR(VLOOKUP(J127,'[1]Obs Tecnicas'!$D$2:$G$333,2,0),"")</f>
        <v>12377</v>
      </c>
      <c r="S127" s="13" t="str">
        <f>IFERROR(VLOOKUP(J127,'[1]Obs Tecnicas'!$D$2:$G$337,3,0),"Hexis")</f>
        <v>ER ANALITICA</v>
      </c>
      <c r="T127" s="13">
        <f>IFERROR(VLOOKUP(J127,'[1]Obs Tecnicas'!$D$2:$G$337,4,0),"")</f>
        <v>0</v>
      </c>
      <c r="U127" s="14" t="s">
        <v>291</v>
      </c>
      <c r="V127" s="14">
        <f t="shared" si="5"/>
        <v>5</v>
      </c>
      <c r="W127" s="20">
        <f>VLOOKUP(I127,Indicadores!$N$4:$Q$15,4,0)</f>
        <v>0</v>
      </c>
    </row>
    <row r="128" spans="1:23" hidden="1">
      <c r="A128" s="13" t="s">
        <v>899</v>
      </c>
      <c r="B128" s="13" t="s">
        <v>513</v>
      </c>
      <c r="C128" s="15" t="s">
        <v>514</v>
      </c>
      <c r="D128" s="13" t="s">
        <v>515</v>
      </c>
      <c r="E128" s="13" t="s">
        <v>372</v>
      </c>
      <c r="F128" s="15" t="s">
        <v>373</v>
      </c>
      <c r="G128" s="13" t="s">
        <v>518</v>
      </c>
      <c r="H128" s="13" t="s">
        <v>202</v>
      </c>
      <c r="I128" s="13" t="s">
        <v>519</v>
      </c>
      <c r="J128" s="28" t="s">
        <v>531</v>
      </c>
      <c r="K128" s="176" t="s">
        <v>13</v>
      </c>
      <c r="M128" s="169" t="s">
        <v>219</v>
      </c>
      <c r="N128" s="13" t="s">
        <v>332</v>
      </c>
      <c r="O128" s="17"/>
      <c r="P128" s="18">
        <f>IFERROR(VLOOKUP(J128,'[1]Obs Tecnicas'!$D$2:$I$313,5,0),O128)</f>
        <v>44333</v>
      </c>
      <c r="Q128" s="17" t="str">
        <f t="shared" ca="1" si="6"/>
        <v>Calibrado</v>
      </c>
      <c r="R128" s="19">
        <f>IFERROR(VLOOKUP(J128,'[1]Obs Tecnicas'!$D$2:$G$333,2,0),"")</f>
        <v>12378</v>
      </c>
      <c r="S128" s="13" t="str">
        <f>IFERROR(VLOOKUP(J128,'[1]Obs Tecnicas'!$D$2:$G$337,3,0),"Hexis")</f>
        <v>ER ANALITICA</v>
      </c>
      <c r="T128" s="13">
        <f>IFERROR(VLOOKUP(J128,'[1]Obs Tecnicas'!$D$2:$G$337,4,0),"")</f>
        <v>0</v>
      </c>
      <c r="U128" s="14" t="s">
        <v>291</v>
      </c>
      <c r="V128" s="14">
        <f t="shared" ref="V128:V191" si="7">IF(P128&lt;&gt;"",MONTH(P128),"")</f>
        <v>5</v>
      </c>
      <c r="W128" s="20">
        <f>VLOOKUP(I128,Indicadores!$N$4:$Q$15,4,0)</f>
        <v>0</v>
      </c>
    </row>
    <row r="129" spans="1:23" hidden="1">
      <c r="A129" s="13" t="s">
        <v>899</v>
      </c>
      <c r="B129" s="13" t="s">
        <v>513</v>
      </c>
      <c r="C129" s="15" t="s">
        <v>514</v>
      </c>
      <c r="D129" s="13" t="s">
        <v>515</v>
      </c>
      <c r="E129" s="13" t="s">
        <v>372</v>
      </c>
      <c r="F129" s="15" t="s">
        <v>373</v>
      </c>
      <c r="G129" s="13" t="s">
        <v>518</v>
      </c>
      <c r="H129" s="13" t="s">
        <v>202</v>
      </c>
      <c r="I129" s="13" t="s">
        <v>519</v>
      </c>
      <c r="J129" s="28" t="s">
        <v>532</v>
      </c>
      <c r="K129" s="176" t="s">
        <v>13</v>
      </c>
      <c r="M129" s="169" t="s">
        <v>219</v>
      </c>
      <c r="N129" s="13" t="s">
        <v>332</v>
      </c>
      <c r="O129" s="17"/>
      <c r="P129" s="18">
        <f>IFERROR(VLOOKUP(J129,'[1]Obs Tecnicas'!$D$2:$I$313,5,0),O129)</f>
        <v>44333</v>
      </c>
      <c r="Q129" s="17" t="str">
        <f t="shared" ca="1" si="6"/>
        <v>Calibrado</v>
      </c>
      <c r="R129" s="19">
        <f>IFERROR(VLOOKUP(J129,'[1]Obs Tecnicas'!$D$2:$G$333,2,0),"")</f>
        <v>12379</v>
      </c>
      <c r="S129" s="13" t="str">
        <f>IFERROR(VLOOKUP(J129,'[1]Obs Tecnicas'!$D$2:$G$337,3,0),"Hexis")</f>
        <v>ER ANALITICA</v>
      </c>
      <c r="T129" s="13">
        <f>IFERROR(VLOOKUP(J129,'[1]Obs Tecnicas'!$D$2:$G$337,4,0),"")</f>
        <v>0</v>
      </c>
      <c r="U129" s="14" t="s">
        <v>291</v>
      </c>
      <c r="V129" s="14">
        <f t="shared" si="7"/>
        <v>5</v>
      </c>
      <c r="W129" s="20">
        <f>VLOOKUP(I129,Indicadores!$N$4:$Q$15,4,0)</f>
        <v>0</v>
      </c>
    </row>
    <row r="130" spans="1:23" hidden="1">
      <c r="A130" s="13" t="s">
        <v>899</v>
      </c>
      <c r="B130" s="13" t="s">
        <v>513</v>
      </c>
      <c r="C130" s="15" t="s">
        <v>514</v>
      </c>
      <c r="D130" s="13" t="s">
        <v>515</v>
      </c>
      <c r="E130" s="13" t="s">
        <v>372</v>
      </c>
      <c r="F130" s="15" t="s">
        <v>373</v>
      </c>
      <c r="G130" s="13" t="s">
        <v>518</v>
      </c>
      <c r="H130" s="13" t="s">
        <v>202</v>
      </c>
      <c r="I130" s="13" t="s">
        <v>519</v>
      </c>
      <c r="J130" s="28" t="s">
        <v>533</v>
      </c>
      <c r="K130" s="176" t="s">
        <v>521</v>
      </c>
      <c r="M130" s="169" t="s">
        <v>219</v>
      </c>
      <c r="N130" s="13" t="s">
        <v>332</v>
      </c>
      <c r="O130" s="17"/>
      <c r="P130" s="18">
        <f>IFERROR(VLOOKUP(J130,'[1]Obs Tecnicas'!$D$2:$I$313,5,0),O130)</f>
        <v>44333</v>
      </c>
      <c r="Q130" s="17" t="str">
        <f t="shared" ca="1" si="6"/>
        <v>Calibrado</v>
      </c>
      <c r="R130" s="19">
        <f>IFERROR(VLOOKUP(J130,'[1]Obs Tecnicas'!$D$2:$G$333,2,0),"")</f>
        <v>12381</v>
      </c>
      <c r="S130" s="13" t="str">
        <f>IFERROR(VLOOKUP(J130,'[1]Obs Tecnicas'!$D$2:$G$337,3,0),"Hexis")</f>
        <v>ER ANALITICA</v>
      </c>
      <c r="T130" s="13">
        <f>IFERROR(VLOOKUP(J130,'[1]Obs Tecnicas'!$D$2:$G$337,4,0),"")</f>
        <v>0</v>
      </c>
      <c r="U130" s="14" t="s">
        <v>291</v>
      </c>
      <c r="V130" s="14">
        <f t="shared" si="7"/>
        <v>5</v>
      </c>
      <c r="W130" s="20">
        <f>VLOOKUP(I130,Indicadores!$N$4:$Q$15,4,0)</f>
        <v>0</v>
      </c>
    </row>
    <row r="131" spans="1:23" hidden="1">
      <c r="A131" s="13" t="s">
        <v>899</v>
      </c>
      <c r="B131" s="13" t="s">
        <v>534</v>
      </c>
      <c r="C131" s="15" t="s">
        <v>535</v>
      </c>
      <c r="D131" s="13" t="s">
        <v>536</v>
      </c>
      <c r="E131" s="13" t="s">
        <v>452</v>
      </c>
      <c r="F131" s="15" t="s">
        <v>453</v>
      </c>
      <c r="G131" s="13" t="s">
        <v>289</v>
      </c>
      <c r="H131" s="13" t="s">
        <v>98</v>
      </c>
      <c r="I131" s="13" t="s">
        <v>9</v>
      </c>
      <c r="J131" s="28" t="s">
        <v>115</v>
      </c>
      <c r="K131" s="13" t="s">
        <v>21</v>
      </c>
      <c r="L131" s="13" t="s">
        <v>29</v>
      </c>
      <c r="M131" s="13" t="s">
        <v>114</v>
      </c>
      <c r="N131" s="13" t="s">
        <v>426</v>
      </c>
      <c r="O131" s="17">
        <v>44033</v>
      </c>
      <c r="P131" s="18">
        <f>IFERROR(VLOOKUP(J131,'[1]Obs Tecnicas'!$D$2:$I$313,5,0),O131)</f>
        <v>44433</v>
      </c>
      <c r="Q131" s="17" t="str">
        <f t="shared" ca="1" si="6"/>
        <v>Calibrado</v>
      </c>
      <c r="R131" s="19">
        <f>IFERROR(VLOOKUP(J131,'[1]Obs Tecnicas'!$D$2:$G$333,2,0),"")</f>
        <v>13660</v>
      </c>
      <c r="S131" s="13" t="str">
        <f>IFERROR(VLOOKUP(J131,'[1]Obs Tecnicas'!$D$2:$G$337,3,0),"Hexis")</f>
        <v>ER ANALITICA</v>
      </c>
      <c r="T131" s="13">
        <f>IFERROR(VLOOKUP(J131,'[1]Obs Tecnicas'!$D$2:$G$337,4,0),"")</f>
        <v>0</v>
      </c>
      <c r="U131" s="14" t="s">
        <v>291</v>
      </c>
      <c r="V131" s="14">
        <f t="shared" si="7"/>
        <v>8</v>
      </c>
      <c r="W131" s="20">
        <f>VLOOKUP(I131,Indicadores!$N$4:$Q$15,4,0)</f>
        <v>521.79999999999995</v>
      </c>
    </row>
    <row r="132" spans="1:23" hidden="1">
      <c r="A132" s="13" t="s">
        <v>899</v>
      </c>
      <c r="B132" s="13" t="s">
        <v>534</v>
      </c>
      <c r="C132" s="15" t="s">
        <v>535</v>
      </c>
      <c r="D132" s="13" t="s">
        <v>536</v>
      </c>
      <c r="E132" s="13" t="s">
        <v>452</v>
      </c>
      <c r="F132" s="15" t="s">
        <v>453</v>
      </c>
      <c r="G132" s="13" t="s">
        <v>289</v>
      </c>
      <c r="H132" s="13" t="s">
        <v>98</v>
      </c>
      <c r="I132" s="13" t="s">
        <v>3</v>
      </c>
      <c r="J132" s="28" t="s">
        <v>537</v>
      </c>
      <c r="K132" s="13" t="s">
        <v>21</v>
      </c>
      <c r="L132" s="13" t="s">
        <v>96</v>
      </c>
      <c r="M132" s="13" t="s">
        <v>114</v>
      </c>
      <c r="N132" s="13" t="s">
        <v>426</v>
      </c>
      <c r="O132" s="17">
        <v>44035</v>
      </c>
      <c r="P132" s="18">
        <f>IFERROR(VLOOKUP(J132,'[1]Obs Tecnicas'!$D$2:$I$313,5,0),O132)</f>
        <v>44433</v>
      </c>
      <c r="Q132" s="17" t="str">
        <f t="shared" ca="1" si="6"/>
        <v>Calibrado</v>
      </c>
      <c r="R132" s="19">
        <f>IFERROR(VLOOKUP(J132,'[1]Obs Tecnicas'!$D$2:$G$333,2,0),"")</f>
        <v>13651</v>
      </c>
      <c r="S132" s="13" t="str">
        <f>IFERROR(VLOOKUP(J132,'[1]Obs Tecnicas'!$D$2:$G$337,3,0),"Hexis")</f>
        <v>ER ANALITICA</v>
      </c>
      <c r="T132" s="13">
        <f>IFERROR(VLOOKUP(J132,'[1]Obs Tecnicas'!$D$2:$G$337,4,0),"")</f>
        <v>0</v>
      </c>
      <c r="U132" s="14" t="s">
        <v>291</v>
      </c>
      <c r="V132" s="14">
        <f t="shared" si="7"/>
        <v>8</v>
      </c>
      <c r="W132" s="20">
        <f>VLOOKUP(I132,Indicadores!$N$4:$Q$15,4,0)</f>
        <v>552.64</v>
      </c>
    </row>
    <row r="133" spans="1:23" s="23" customFormat="1" hidden="1">
      <c r="A133" s="24" t="s">
        <v>899</v>
      </c>
      <c r="B133" s="24" t="s">
        <v>538</v>
      </c>
      <c r="C133" s="15" t="s">
        <v>539</v>
      </c>
      <c r="D133" s="13" t="s">
        <v>540</v>
      </c>
      <c r="E133" s="13" t="s">
        <v>452</v>
      </c>
      <c r="F133" s="15" t="s">
        <v>453</v>
      </c>
      <c r="G133" s="13" t="s">
        <v>289</v>
      </c>
      <c r="H133" s="24" t="s">
        <v>98</v>
      </c>
      <c r="I133" s="13" t="s">
        <v>7</v>
      </c>
      <c r="J133" s="28" t="s">
        <v>541</v>
      </c>
      <c r="K133" s="178" t="s">
        <v>105</v>
      </c>
      <c r="L133" s="196" t="s">
        <v>168</v>
      </c>
      <c r="M133" s="196" t="s">
        <v>542</v>
      </c>
      <c r="N133" s="13" t="s">
        <v>543</v>
      </c>
      <c r="O133" s="17">
        <v>44035</v>
      </c>
      <c r="P133" s="18">
        <f>IFERROR(VLOOKUP(J133,'[1]Obs Tecnicas'!$D$2:$I$313,5,0),O133)</f>
        <v>44432</v>
      </c>
      <c r="Q133" s="17" t="str">
        <f t="shared" ca="1" si="6"/>
        <v>Calibrado</v>
      </c>
      <c r="R133" s="19">
        <f>IFERROR(VLOOKUP(J133,'[1]Obs Tecnicas'!$D$2:$G$333,2,0),"")</f>
        <v>13507</v>
      </c>
      <c r="S133" s="13" t="str">
        <f>IFERROR(VLOOKUP(J133,'[1]Obs Tecnicas'!$D$2:$G$337,3,0),"Hexis")</f>
        <v>ER ANALITICA</v>
      </c>
      <c r="T133" s="13">
        <f>IFERROR(VLOOKUP(J133,'[1]Obs Tecnicas'!$D$2:$G$337,4,0),"")</f>
        <v>0</v>
      </c>
      <c r="U133" s="14" t="s">
        <v>291</v>
      </c>
      <c r="V133" s="14">
        <f t="shared" si="7"/>
        <v>8</v>
      </c>
      <c r="W133" s="20">
        <f>VLOOKUP(I133,Indicadores!$N$4:$Q$15,4,0)</f>
        <v>329.87</v>
      </c>
    </row>
    <row r="134" spans="1:23" hidden="1">
      <c r="A134" s="13" t="s">
        <v>899</v>
      </c>
      <c r="B134" s="13" t="s">
        <v>544</v>
      </c>
      <c r="C134" s="15" t="s">
        <v>545</v>
      </c>
      <c r="D134" s="13" t="s">
        <v>546</v>
      </c>
      <c r="E134" s="13" t="s">
        <v>452</v>
      </c>
      <c r="F134" s="15" t="s">
        <v>453</v>
      </c>
      <c r="G134" s="13" t="s">
        <v>289</v>
      </c>
      <c r="H134" s="13" t="s">
        <v>98</v>
      </c>
      <c r="I134" s="13" t="s">
        <v>7</v>
      </c>
      <c r="J134" s="28" t="s">
        <v>541</v>
      </c>
      <c r="K134" s="178" t="s">
        <v>105</v>
      </c>
      <c r="L134" s="196" t="s">
        <v>168</v>
      </c>
      <c r="M134" s="196" t="s">
        <v>542</v>
      </c>
      <c r="N134" s="13" t="s">
        <v>543</v>
      </c>
      <c r="O134" s="17">
        <v>44229</v>
      </c>
      <c r="P134" s="18">
        <f>IFERROR(VLOOKUP(J134,'[1]Obs Tecnicas'!$D$2:$I$313,5,0),O134)</f>
        <v>44432</v>
      </c>
      <c r="Q134" s="17" t="str">
        <f t="shared" ca="1" si="6"/>
        <v>Calibrado</v>
      </c>
      <c r="R134" s="19">
        <f>IFERROR(VLOOKUP(J134,'[1]Obs Tecnicas'!$D$2:$G$333,2,0),"")</f>
        <v>13507</v>
      </c>
      <c r="S134" s="13" t="str">
        <f>IFERROR(VLOOKUP(J134,'[1]Obs Tecnicas'!$D$2:$G$337,3,0),"Hexis")</f>
        <v>ER ANALITICA</v>
      </c>
      <c r="T134" s="13">
        <f>IFERROR(VLOOKUP(J134,'[1]Obs Tecnicas'!$D$2:$G$337,4,0),"")</f>
        <v>0</v>
      </c>
      <c r="U134" s="14" t="s">
        <v>291</v>
      </c>
      <c r="V134" s="14">
        <f t="shared" si="7"/>
        <v>8</v>
      </c>
      <c r="W134" s="20">
        <f>VLOOKUP(I134,Indicadores!$N$4:$Q$15,4,0)</f>
        <v>329.87</v>
      </c>
    </row>
    <row r="135" spans="1:23" hidden="1">
      <c r="A135" s="13" t="s">
        <v>899</v>
      </c>
      <c r="B135" s="13" t="s">
        <v>544</v>
      </c>
      <c r="C135" s="15" t="s">
        <v>545</v>
      </c>
      <c r="D135" s="13" t="s">
        <v>546</v>
      </c>
      <c r="E135" s="13" t="s">
        <v>452</v>
      </c>
      <c r="F135" s="15" t="s">
        <v>453</v>
      </c>
      <c r="G135" s="13" t="s">
        <v>289</v>
      </c>
      <c r="H135" s="13" t="s">
        <v>98</v>
      </c>
      <c r="I135" s="13" t="s">
        <v>7</v>
      </c>
      <c r="J135" s="28" t="s">
        <v>547</v>
      </c>
      <c r="K135" s="178" t="s">
        <v>548</v>
      </c>
      <c r="L135" s="196" t="s">
        <v>549</v>
      </c>
      <c r="M135" s="196" t="s">
        <v>542</v>
      </c>
      <c r="N135" s="196" t="s">
        <v>550</v>
      </c>
      <c r="O135" s="17">
        <v>44279</v>
      </c>
      <c r="P135" s="18">
        <f>IFERROR(VLOOKUP(J135,'[1]Obs Tecnicas'!$D$2:$I$313,5,0),O135)</f>
        <v>44432</v>
      </c>
      <c r="Q135" s="17" t="str">
        <f t="shared" ca="1" si="6"/>
        <v>Calibrado</v>
      </c>
      <c r="R135" s="19">
        <f>IFERROR(VLOOKUP(J135,'[1]Obs Tecnicas'!$D$2:$G$333,2,0),"")</f>
        <v>13511</v>
      </c>
      <c r="S135" s="13" t="str">
        <f>IFERROR(VLOOKUP(J135,'[1]Obs Tecnicas'!$D$2:$G$337,3,0),"Hexis")</f>
        <v>ER ANALITICA</v>
      </c>
      <c r="T135" s="13" t="str">
        <f>IFERROR(VLOOKUP(J135,'[1]Obs Tecnicas'!$D$2:$G$337,4,0),"")</f>
        <v>Equipamento apresenta-se inoperante, calibração abortada.</v>
      </c>
      <c r="U135" s="14" t="s">
        <v>291</v>
      </c>
      <c r="V135" s="14">
        <f t="shared" si="7"/>
        <v>8</v>
      </c>
      <c r="W135" s="20">
        <f>VLOOKUP(I135,Indicadores!$N$4:$Q$15,4,0)</f>
        <v>329.87</v>
      </c>
    </row>
    <row r="136" spans="1:23" hidden="1">
      <c r="A136" s="13" t="s">
        <v>899</v>
      </c>
      <c r="B136" s="13" t="s">
        <v>544</v>
      </c>
      <c r="C136" s="15" t="s">
        <v>545</v>
      </c>
      <c r="D136" s="13" t="s">
        <v>546</v>
      </c>
      <c r="E136" s="13" t="s">
        <v>555</v>
      </c>
      <c r="F136" s="15" t="s">
        <v>556</v>
      </c>
      <c r="G136" s="13" t="s">
        <v>289</v>
      </c>
      <c r="H136" s="13" t="s">
        <v>164</v>
      </c>
      <c r="I136" s="13" t="s">
        <v>4</v>
      </c>
      <c r="J136" s="28" t="s">
        <v>551</v>
      </c>
      <c r="K136" s="13" t="s">
        <v>26</v>
      </c>
      <c r="L136" s="24" t="s">
        <v>27</v>
      </c>
      <c r="M136" s="13" t="s">
        <v>172</v>
      </c>
      <c r="N136" s="13" t="s">
        <v>552</v>
      </c>
      <c r="O136" s="17">
        <v>44279</v>
      </c>
      <c r="P136" s="18">
        <f>IFERROR(VLOOKUP(J136,'[1]Obs Tecnicas'!$D$2:$I$313,5,0),O136)</f>
        <v>44643</v>
      </c>
      <c r="Q136" s="17" t="str">
        <f t="shared" ca="1" si="6"/>
        <v>Calibrado</v>
      </c>
      <c r="R136" s="19">
        <f>IFERROR(VLOOKUP(J136,'[1]Obs Tecnicas'!$D$2:$G$333,2,0),"")</f>
        <v>15876</v>
      </c>
      <c r="S136" s="13" t="str">
        <f>IFERROR(VLOOKUP(J136,'[1]Obs Tecnicas'!$D$2:$G$337,3,0),"Hexis")</f>
        <v>ER ANALITICA</v>
      </c>
      <c r="T136" s="13">
        <f>IFERROR(VLOOKUP(J136,'[1]Obs Tecnicas'!$D$2:$G$337,4,0),"")</f>
        <v>0</v>
      </c>
      <c r="U136" s="14" t="s">
        <v>291</v>
      </c>
      <c r="V136" s="14">
        <f t="shared" si="7"/>
        <v>3</v>
      </c>
      <c r="W136" s="20">
        <f>VLOOKUP(I136,Indicadores!$N$4:$Q$15,4,0)</f>
        <v>329.87</v>
      </c>
    </row>
    <row r="137" spans="1:23" hidden="1">
      <c r="A137" s="13" t="s">
        <v>899</v>
      </c>
      <c r="B137" s="13" t="s">
        <v>544</v>
      </c>
      <c r="C137" s="15" t="s">
        <v>545</v>
      </c>
      <c r="D137" s="13" t="s">
        <v>546</v>
      </c>
      <c r="E137" s="13" t="s">
        <v>555</v>
      </c>
      <c r="F137" s="15" t="s">
        <v>556</v>
      </c>
      <c r="G137" s="13" t="s">
        <v>289</v>
      </c>
      <c r="H137" s="13" t="s">
        <v>164</v>
      </c>
      <c r="I137" s="13" t="s">
        <v>4</v>
      </c>
      <c r="J137" s="28" t="s">
        <v>553</v>
      </c>
      <c r="K137" s="13" t="s">
        <v>26</v>
      </c>
      <c r="L137" s="24" t="s">
        <v>27</v>
      </c>
      <c r="M137" s="13" t="s">
        <v>172</v>
      </c>
      <c r="N137" s="13" t="s">
        <v>552</v>
      </c>
      <c r="O137" s="17">
        <v>44279</v>
      </c>
      <c r="P137" s="18">
        <f>IFERROR(VLOOKUP(J137,'[1]Obs Tecnicas'!$D$2:$I$313,5,0),O137)</f>
        <v>44643</v>
      </c>
      <c r="Q137" s="17" t="str">
        <f t="shared" ca="1" si="6"/>
        <v>Calibrado</v>
      </c>
      <c r="R137" s="19">
        <f>IFERROR(VLOOKUP(J137,'[1]Obs Tecnicas'!$D$2:$G$333,2,0),"")</f>
        <v>15871</v>
      </c>
      <c r="S137" s="13" t="str">
        <f>IFERROR(VLOOKUP(J137,'[1]Obs Tecnicas'!$D$2:$G$337,3,0),"Hexis")</f>
        <v>ER ANALITICA</v>
      </c>
      <c r="T137" s="13">
        <f>IFERROR(VLOOKUP(J137,'[1]Obs Tecnicas'!$D$2:$G$337,4,0),"")</f>
        <v>0</v>
      </c>
      <c r="U137" s="14" t="s">
        <v>291</v>
      </c>
      <c r="V137" s="14">
        <f t="shared" si="7"/>
        <v>3</v>
      </c>
      <c r="W137" s="20">
        <f>VLOOKUP(I137,Indicadores!$N$4:$Q$15,4,0)</f>
        <v>329.87</v>
      </c>
    </row>
    <row r="138" spans="1:23" hidden="1">
      <c r="A138" s="13" t="s">
        <v>899</v>
      </c>
      <c r="B138" s="13" t="s">
        <v>544</v>
      </c>
      <c r="C138" s="15" t="s">
        <v>545</v>
      </c>
      <c r="D138" s="13" t="s">
        <v>546</v>
      </c>
      <c r="E138" s="13" t="s">
        <v>555</v>
      </c>
      <c r="F138" s="15" t="s">
        <v>556</v>
      </c>
      <c r="G138" s="13" t="s">
        <v>289</v>
      </c>
      <c r="H138" s="13" t="s">
        <v>164</v>
      </c>
      <c r="I138" s="13" t="s">
        <v>7</v>
      </c>
      <c r="J138" s="28" t="s">
        <v>554</v>
      </c>
      <c r="K138" s="13" t="s">
        <v>56</v>
      </c>
      <c r="L138" s="13" t="s">
        <v>57</v>
      </c>
      <c r="M138" s="13" t="s">
        <v>172</v>
      </c>
      <c r="N138" s="13" t="s">
        <v>552</v>
      </c>
      <c r="O138" s="17">
        <v>44279</v>
      </c>
      <c r="P138" s="18">
        <f>IFERROR(VLOOKUP(J138,'[1]Obs Tecnicas'!$D$2:$I$313,5,0),O138)</f>
        <v>44643</v>
      </c>
      <c r="Q138" s="17" t="str">
        <f t="shared" ca="1" si="6"/>
        <v>Calibrado</v>
      </c>
      <c r="R138" s="19">
        <f>IFERROR(VLOOKUP(J138,'[1]Obs Tecnicas'!$D$2:$G$333,2,0),"")</f>
        <v>15873</v>
      </c>
      <c r="S138" s="13" t="str">
        <f>IFERROR(VLOOKUP(J138,'[1]Obs Tecnicas'!$D$2:$G$337,3,0),"Hexis")</f>
        <v>ER ANALITICA</v>
      </c>
      <c r="T138" s="13">
        <f>IFERROR(VLOOKUP(J138,'[1]Obs Tecnicas'!$D$2:$G$337,4,0),"")</f>
        <v>0</v>
      </c>
      <c r="U138" s="14" t="s">
        <v>291</v>
      </c>
      <c r="V138" s="14">
        <f t="shared" si="7"/>
        <v>3</v>
      </c>
      <c r="W138" s="20">
        <f>VLOOKUP(I138,Indicadores!$N$4:$Q$15,4,0)</f>
        <v>329.87</v>
      </c>
    </row>
    <row r="139" spans="1:23" hidden="1">
      <c r="A139" s="13" t="s">
        <v>899</v>
      </c>
      <c r="B139" s="13" t="s">
        <v>544</v>
      </c>
      <c r="C139" s="15" t="s">
        <v>545</v>
      </c>
      <c r="D139" s="13" t="s">
        <v>546</v>
      </c>
      <c r="E139" s="13" t="s">
        <v>555</v>
      </c>
      <c r="F139" s="15" t="s">
        <v>556</v>
      </c>
      <c r="G139" s="13" t="s">
        <v>289</v>
      </c>
      <c r="H139" s="13" t="s">
        <v>164</v>
      </c>
      <c r="I139" s="13" t="s">
        <v>3</v>
      </c>
      <c r="J139" s="28" t="s">
        <v>557</v>
      </c>
      <c r="K139" s="13" t="s">
        <v>21</v>
      </c>
      <c r="L139" s="13" t="s">
        <v>96</v>
      </c>
      <c r="M139" s="13" t="s">
        <v>172</v>
      </c>
      <c r="N139" s="13" t="s">
        <v>552</v>
      </c>
      <c r="O139" s="17">
        <v>44284</v>
      </c>
      <c r="P139" s="18">
        <f>IFERROR(VLOOKUP(J139,'[1]Obs Tecnicas'!$D$2:$I$313,5,0),O139)</f>
        <v>44643</v>
      </c>
      <c r="Q139" s="17" t="str">
        <f t="shared" ca="1" si="6"/>
        <v>Calibrado</v>
      </c>
      <c r="R139" s="19">
        <f>IFERROR(VLOOKUP(J139,'[1]Obs Tecnicas'!$D$2:$G$333,2,0),"")</f>
        <v>15875</v>
      </c>
      <c r="S139" s="13" t="str">
        <f>IFERROR(VLOOKUP(J139,'[1]Obs Tecnicas'!$D$2:$G$337,3,0),"Hexis")</f>
        <v>ER ANALITICA</v>
      </c>
      <c r="T139" s="13">
        <f>IFERROR(VLOOKUP(J139,'[1]Obs Tecnicas'!$D$2:$G$337,4,0),"")</f>
        <v>0</v>
      </c>
      <c r="U139" s="14" t="s">
        <v>291</v>
      </c>
      <c r="V139" s="14">
        <f t="shared" si="7"/>
        <v>3</v>
      </c>
      <c r="W139" s="20">
        <f>VLOOKUP(I139,Indicadores!$N$4:$Q$15,4,0)</f>
        <v>552.64</v>
      </c>
    </row>
    <row r="140" spans="1:23">
      <c r="A140" s="13" t="s">
        <v>899</v>
      </c>
      <c r="B140" s="13" t="s">
        <v>558</v>
      </c>
      <c r="C140" s="15" t="s">
        <v>559</v>
      </c>
      <c r="D140" s="13" t="s">
        <v>560</v>
      </c>
      <c r="E140" s="13" t="s">
        <v>322</v>
      </c>
      <c r="F140" s="15" t="s">
        <v>323</v>
      </c>
      <c r="G140" s="13" t="s">
        <v>289</v>
      </c>
      <c r="H140" s="13" t="s">
        <v>151</v>
      </c>
      <c r="I140" s="13" t="s">
        <v>3</v>
      </c>
      <c r="J140" s="28" t="s">
        <v>561</v>
      </c>
      <c r="K140" s="13" t="s">
        <v>21</v>
      </c>
      <c r="L140" s="24" t="s">
        <v>22</v>
      </c>
      <c r="M140" s="13" t="s">
        <v>152</v>
      </c>
      <c r="O140" s="17">
        <v>44371</v>
      </c>
      <c r="P140" s="18">
        <f>IFERROR(VLOOKUP(J140,'[1]Obs Tecnicas'!$D$2:$I$313,5,0),O140)</f>
        <v>44371</v>
      </c>
      <c r="Q140" s="17" t="str">
        <f t="shared" ca="1" si="6"/>
        <v>Calibrado</v>
      </c>
      <c r="R140" s="179">
        <v>4192142</v>
      </c>
      <c r="S140" s="13" t="str">
        <f>IFERROR(VLOOKUP(J140,'[1]Obs Tecnicas'!$D$2:$G$337,3,0),"Hexis")</f>
        <v>Hexis</v>
      </c>
      <c r="T140" s="13" t="str">
        <f>IFERROR(VLOOKUP(J140,'[1]Obs Tecnicas'!$D$2:$G$337,4,0),"")</f>
        <v/>
      </c>
      <c r="V140" s="14">
        <f t="shared" si="7"/>
        <v>6</v>
      </c>
      <c r="W140" s="20">
        <f>VLOOKUP(I140,Indicadores!$N$4:$Q$15,4,0)</f>
        <v>552.64</v>
      </c>
    </row>
    <row r="141" spans="1:23">
      <c r="A141" s="13" t="s">
        <v>899</v>
      </c>
      <c r="B141" s="13" t="s">
        <v>558</v>
      </c>
      <c r="C141" s="15" t="s">
        <v>559</v>
      </c>
      <c r="D141" s="13" t="s">
        <v>560</v>
      </c>
      <c r="E141" s="13" t="s">
        <v>322</v>
      </c>
      <c r="F141" s="15" t="s">
        <v>323</v>
      </c>
      <c r="G141" s="13" t="s">
        <v>289</v>
      </c>
      <c r="H141" s="13" t="s">
        <v>151</v>
      </c>
      <c r="I141" s="13" t="s">
        <v>4</v>
      </c>
      <c r="J141" s="28" t="s">
        <v>562</v>
      </c>
      <c r="K141" s="13" t="s">
        <v>26</v>
      </c>
      <c r="L141" s="24" t="s">
        <v>27</v>
      </c>
      <c r="M141" s="13" t="s">
        <v>152</v>
      </c>
      <c r="O141" s="17">
        <v>44371</v>
      </c>
      <c r="P141" s="18">
        <f>IFERROR(VLOOKUP(J141,'[1]Obs Tecnicas'!$D$2:$I$313,5,0),O141)</f>
        <v>44371</v>
      </c>
      <c r="Q141" s="17" t="str">
        <f t="shared" ca="1" si="6"/>
        <v>Calibrado</v>
      </c>
      <c r="R141" s="179">
        <v>4192142</v>
      </c>
      <c r="S141" s="13" t="str">
        <f>IFERROR(VLOOKUP(J141,'[1]Obs Tecnicas'!$D$2:$G$337,3,0),"Hexis")</f>
        <v>Hexis</v>
      </c>
      <c r="T141" s="13" t="str">
        <f>IFERROR(VLOOKUP(J141,'[1]Obs Tecnicas'!$D$2:$G$337,4,0),"")</f>
        <v/>
      </c>
      <c r="V141" s="14">
        <f t="shared" si="7"/>
        <v>6</v>
      </c>
      <c r="W141" s="20">
        <f>VLOOKUP(I141,Indicadores!$N$4:$Q$15,4,0)</f>
        <v>329.87</v>
      </c>
    </row>
    <row r="142" spans="1:23">
      <c r="A142" s="13" t="s">
        <v>899</v>
      </c>
      <c r="B142" s="13" t="s">
        <v>558</v>
      </c>
      <c r="C142" s="15" t="s">
        <v>559</v>
      </c>
      <c r="D142" s="13" t="s">
        <v>560</v>
      </c>
      <c r="E142" s="13" t="s">
        <v>322</v>
      </c>
      <c r="F142" s="15" t="s">
        <v>323</v>
      </c>
      <c r="G142" s="13" t="s">
        <v>289</v>
      </c>
      <c r="H142" s="13" t="s">
        <v>151</v>
      </c>
      <c r="I142" s="13" t="s">
        <v>4</v>
      </c>
      <c r="J142" s="28" t="s">
        <v>563</v>
      </c>
      <c r="K142" s="13" t="s">
        <v>26</v>
      </c>
      <c r="L142" s="24" t="s">
        <v>27</v>
      </c>
      <c r="M142" s="13" t="s">
        <v>152</v>
      </c>
      <c r="O142" s="17">
        <v>44371</v>
      </c>
      <c r="P142" s="18">
        <f>IFERROR(VLOOKUP(J142,'[1]Obs Tecnicas'!$D$2:$I$313,5,0),O142)</f>
        <v>44371</v>
      </c>
      <c r="Q142" s="17" t="str">
        <f t="shared" ca="1" si="6"/>
        <v>Calibrado</v>
      </c>
      <c r="R142" s="179">
        <v>4192142</v>
      </c>
      <c r="S142" s="13" t="str">
        <f>IFERROR(VLOOKUP(J142,'[1]Obs Tecnicas'!$D$2:$G$337,3,0),"Hexis")</f>
        <v>Hexis</v>
      </c>
      <c r="T142" s="13" t="str">
        <f>IFERROR(VLOOKUP(J142,'[1]Obs Tecnicas'!$D$2:$G$337,4,0),"")</f>
        <v/>
      </c>
      <c r="V142" s="14">
        <f t="shared" si="7"/>
        <v>6</v>
      </c>
      <c r="W142" s="20">
        <f>VLOOKUP(I142,Indicadores!$N$4:$Q$15,4,0)</f>
        <v>329.87</v>
      </c>
    </row>
    <row r="143" spans="1:23">
      <c r="A143" s="13" t="s">
        <v>899</v>
      </c>
      <c r="B143" s="13" t="s">
        <v>558</v>
      </c>
      <c r="C143" s="15" t="s">
        <v>559</v>
      </c>
      <c r="D143" s="13" t="s">
        <v>560</v>
      </c>
      <c r="E143" s="13" t="s">
        <v>322</v>
      </c>
      <c r="F143" s="15" t="s">
        <v>323</v>
      </c>
      <c r="G143" s="13" t="s">
        <v>289</v>
      </c>
      <c r="H143" s="13" t="s">
        <v>151</v>
      </c>
      <c r="I143" s="13" t="s">
        <v>5</v>
      </c>
      <c r="J143" s="28" t="s">
        <v>564</v>
      </c>
      <c r="K143" s="13" t="s">
        <v>21</v>
      </c>
      <c r="L143" s="13" t="s">
        <v>80</v>
      </c>
      <c r="M143" s="13" t="s">
        <v>152</v>
      </c>
      <c r="O143" s="17">
        <v>44371</v>
      </c>
      <c r="P143" s="18">
        <f>IFERROR(VLOOKUP(J143,'[1]Obs Tecnicas'!$D$2:$I$313,5,0),O143)</f>
        <v>44371</v>
      </c>
      <c r="Q143" s="17" t="str">
        <f t="shared" ca="1" si="6"/>
        <v>Calibrado</v>
      </c>
      <c r="R143" s="179">
        <v>4192142</v>
      </c>
      <c r="S143" s="13" t="str">
        <f>IFERROR(VLOOKUP(J143,'[1]Obs Tecnicas'!$D$2:$G$337,3,0),"Hexis")</f>
        <v>Hexis</v>
      </c>
      <c r="T143" s="13" t="str">
        <f>IFERROR(VLOOKUP(J143,'[1]Obs Tecnicas'!$D$2:$G$337,4,0),"")</f>
        <v/>
      </c>
      <c r="V143" s="14">
        <f t="shared" si="7"/>
        <v>6</v>
      </c>
      <c r="W143" s="20">
        <f>VLOOKUP(I143,Indicadores!$N$4:$Q$15,4,0)</f>
        <v>895.23</v>
      </c>
    </row>
    <row r="144" spans="1:23">
      <c r="A144" s="13" t="s">
        <v>899</v>
      </c>
      <c r="B144" s="13" t="s">
        <v>558</v>
      </c>
      <c r="C144" s="15" t="s">
        <v>559</v>
      </c>
      <c r="D144" s="13" t="s">
        <v>560</v>
      </c>
      <c r="E144" s="13" t="s">
        <v>322</v>
      </c>
      <c r="F144" s="15" t="s">
        <v>323</v>
      </c>
      <c r="G144" s="13" t="s">
        <v>289</v>
      </c>
      <c r="H144" s="13" t="s">
        <v>151</v>
      </c>
      <c r="I144" s="13" t="s">
        <v>7</v>
      </c>
      <c r="J144" s="28" t="s">
        <v>565</v>
      </c>
      <c r="K144" s="13" t="s">
        <v>56</v>
      </c>
      <c r="L144" s="13" t="s">
        <v>57</v>
      </c>
      <c r="M144" s="13" t="s">
        <v>152</v>
      </c>
      <c r="O144" s="17">
        <v>44371</v>
      </c>
      <c r="P144" s="18">
        <f>IFERROR(VLOOKUP(J144,'[1]Obs Tecnicas'!$D$2:$I$313,5,0),O144)</f>
        <v>44371</v>
      </c>
      <c r="Q144" s="17" t="str">
        <f t="shared" ref="Q144:Q207" ca="1" si="8">IF(P144&lt;&gt;"",IF(P144+365&gt;TODAY(),"Calibrado","Vencido"),"")</f>
        <v>Calibrado</v>
      </c>
      <c r="R144" s="179">
        <v>4192142</v>
      </c>
      <c r="S144" s="13" t="str">
        <f>IFERROR(VLOOKUP(J144,'[1]Obs Tecnicas'!$D$2:$G$337,3,0),"Hexis")</f>
        <v>Hexis</v>
      </c>
      <c r="T144" s="13" t="str">
        <f>IFERROR(VLOOKUP(J144,'[1]Obs Tecnicas'!$D$2:$G$337,4,0),"")</f>
        <v/>
      </c>
      <c r="V144" s="14">
        <f t="shared" si="7"/>
        <v>6</v>
      </c>
      <c r="W144" s="20">
        <f>VLOOKUP(I144,Indicadores!$N$4:$Q$15,4,0)</f>
        <v>329.87</v>
      </c>
    </row>
    <row r="145" spans="1:23">
      <c r="A145" s="13" t="s">
        <v>899</v>
      </c>
      <c r="B145" s="13" t="s">
        <v>558</v>
      </c>
      <c r="C145" s="15" t="s">
        <v>559</v>
      </c>
      <c r="D145" s="13" t="s">
        <v>560</v>
      </c>
      <c r="E145" s="13" t="s">
        <v>322</v>
      </c>
      <c r="F145" s="15" t="s">
        <v>323</v>
      </c>
      <c r="G145" s="13" t="s">
        <v>289</v>
      </c>
      <c r="H145" s="13" t="s">
        <v>151</v>
      </c>
      <c r="I145" s="13" t="s">
        <v>7</v>
      </c>
      <c r="J145" s="28" t="s">
        <v>566</v>
      </c>
      <c r="K145" s="13" t="s">
        <v>56</v>
      </c>
      <c r="L145" s="13" t="s">
        <v>57</v>
      </c>
      <c r="M145" s="13" t="s">
        <v>152</v>
      </c>
      <c r="N145" s="180"/>
      <c r="O145" s="17">
        <v>44371</v>
      </c>
      <c r="P145" s="18">
        <f>IFERROR(VLOOKUP(J145,'[1]Obs Tecnicas'!$D$2:$I$313,5,0),O145)</f>
        <v>44371</v>
      </c>
      <c r="Q145" s="17" t="str">
        <f t="shared" ca="1" si="8"/>
        <v>Calibrado</v>
      </c>
      <c r="R145" s="179">
        <v>4192142</v>
      </c>
      <c r="S145" s="13" t="str">
        <f>IFERROR(VLOOKUP(J145,'[1]Obs Tecnicas'!$D$2:$G$337,3,0),"Hexis")</f>
        <v>Hexis</v>
      </c>
      <c r="T145" s="13" t="str">
        <f>IFERROR(VLOOKUP(J145,'[1]Obs Tecnicas'!$D$2:$G$337,4,0),"")</f>
        <v/>
      </c>
      <c r="V145" s="14">
        <f t="shared" si="7"/>
        <v>6</v>
      </c>
      <c r="W145" s="20">
        <f>VLOOKUP(I145,Indicadores!$N$4:$Q$15,4,0)</f>
        <v>329.87</v>
      </c>
    </row>
    <row r="146" spans="1:23">
      <c r="A146" s="13" t="s">
        <v>899</v>
      </c>
      <c r="B146" s="13" t="s">
        <v>558</v>
      </c>
      <c r="C146" s="15" t="s">
        <v>559</v>
      </c>
      <c r="D146" s="13" t="s">
        <v>560</v>
      </c>
      <c r="E146" s="13" t="s">
        <v>322</v>
      </c>
      <c r="F146" s="15" t="s">
        <v>323</v>
      </c>
      <c r="G146" s="13" t="s">
        <v>289</v>
      </c>
      <c r="H146" s="13" t="s">
        <v>151</v>
      </c>
      <c r="I146" s="13" t="s">
        <v>9</v>
      </c>
      <c r="J146" s="28" t="s">
        <v>154</v>
      </c>
      <c r="K146" s="13" t="s">
        <v>21</v>
      </c>
      <c r="L146" s="13" t="s">
        <v>155</v>
      </c>
      <c r="M146" s="13" t="s">
        <v>152</v>
      </c>
      <c r="O146" s="17">
        <v>44371</v>
      </c>
      <c r="P146" s="18">
        <f>IFERROR(VLOOKUP(J146,'[1]Obs Tecnicas'!$D$2:$I$313,5,0),O146)</f>
        <v>44371</v>
      </c>
      <c r="Q146" s="17" t="str">
        <f t="shared" ca="1" si="8"/>
        <v>Calibrado</v>
      </c>
      <c r="R146" s="19">
        <v>4192142</v>
      </c>
      <c r="S146" s="13" t="str">
        <f>IFERROR(VLOOKUP(J146,'[1]Obs Tecnicas'!$D$2:$G$337,3,0),"Hexis")</f>
        <v>Hexis</v>
      </c>
      <c r="T146" s="13" t="str">
        <f>IFERROR(VLOOKUP(J146,'[1]Obs Tecnicas'!$D$2:$G$337,4,0),"")</f>
        <v/>
      </c>
      <c r="V146" s="14">
        <f t="shared" si="7"/>
        <v>6</v>
      </c>
      <c r="W146" s="20">
        <f>VLOOKUP(I146,Indicadores!$N$4:$Q$15,4,0)</f>
        <v>521.79999999999995</v>
      </c>
    </row>
    <row r="147" spans="1:23" hidden="1">
      <c r="A147" s="13" t="s">
        <v>899</v>
      </c>
      <c r="B147" s="13" t="s">
        <v>567</v>
      </c>
      <c r="C147" s="15" t="s">
        <v>568</v>
      </c>
      <c r="D147" s="13" t="s">
        <v>569</v>
      </c>
      <c r="E147" s="13" t="s">
        <v>452</v>
      </c>
      <c r="F147" s="15" t="s">
        <v>453</v>
      </c>
      <c r="G147" s="13" t="s">
        <v>289</v>
      </c>
      <c r="H147" s="13" t="s">
        <v>98</v>
      </c>
      <c r="I147" s="13" t="s">
        <v>3</v>
      </c>
      <c r="J147" s="28" t="s">
        <v>117</v>
      </c>
      <c r="K147" s="13" t="s">
        <v>21</v>
      </c>
      <c r="L147" s="13" t="s">
        <v>22</v>
      </c>
      <c r="M147" s="13" t="s">
        <v>118</v>
      </c>
      <c r="N147" s="13" t="s">
        <v>570</v>
      </c>
      <c r="O147" s="17">
        <v>44034</v>
      </c>
      <c r="P147" s="18">
        <f>IFERROR(VLOOKUP(J147,'[1]Obs Tecnicas'!$D$2:$I$313,5,0),O147)</f>
        <v>44432</v>
      </c>
      <c r="Q147" s="17" t="str">
        <f t="shared" ca="1" si="8"/>
        <v>Calibrado</v>
      </c>
      <c r="R147" s="19">
        <f>IFERROR(VLOOKUP(J147,'[1]Obs Tecnicas'!$D$2:$G$333,2,0),"")</f>
        <v>13504</v>
      </c>
      <c r="S147" s="13" t="str">
        <f>IFERROR(VLOOKUP(J147,'[1]Obs Tecnicas'!$D$2:$G$337,3,0),"Hexis")</f>
        <v>ER ANALITICA</v>
      </c>
      <c r="T147" s="13" t="str">
        <f>IFERROR(VLOOKUP(J147,'[1]Obs Tecnicas'!$D$2:$G$337,4,0),"")</f>
        <v xml:space="preserve"> Recomendada troca do filtro óptico de 420nm devido inicio de desgaste.</v>
      </c>
      <c r="U147" s="14" t="s">
        <v>291</v>
      </c>
      <c r="V147" s="14">
        <f t="shared" si="7"/>
        <v>8</v>
      </c>
      <c r="W147" s="20">
        <f>VLOOKUP(I147,Indicadores!$N$4:$Q$15,4,0)</f>
        <v>552.64</v>
      </c>
    </row>
    <row r="148" spans="1:23" hidden="1">
      <c r="A148" s="13" t="s">
        <v>899</v>
      </c>
      <c r="B148" s="13" t="s">
        <v>567</v>
      </c>
      <c r="C148" s="15" t="s">
        <v>568</v>
      </c>
      <c r="D148" s="13" t="s">
        <v>569</v>
      </c>
      <c r="E148" s="13" t="s">
        <v>452</v>
      </c>
      <c r="F148" s="15" t="s">
        <v>453</v>
      </c>
      <c r="G148" s="13" t="s">
        <v>289</v>
      </c>
      <c r="H148" s="13" t="s">
        <v>98</v>
      </c>
      <c r="I148" s="13" t="s">
        <v>4</v>
      </c>
      <c r="J148" s="28" t="s">
        <v>571</v>
      </c>
      <c r="K148" s="13" t="s">
        <v>26</v>
      </c>
      <c r="L148" s="24" t="s">
        <v>27</v>
      </c>
      <c r="M148" s="13" t="s">
        <v>118</v>
      </c>
      <c r="N148" s="13" t="s">
        <v>570</v>
      </c>
      <c r="O148" s="17">
        <v>44034</v>
      </c>
      <c r="P148" s="18">
        <f>IFERROR(VLOOKUP(J148,'[1]Obs Tecnicas'!$D$2:$I$313,5,0),O148)</f>
        <v>44432</v>
      </c>
      <c r="Q148" s="17" t="str">
        <f t="shared" ca="1" si="8"/>
        <v>Calibrado</v>
      </c>
      <c r="R148" s="19">
        <f>IFERROR(VLOOKUP(J148,'[1]Obs Tecnicas'!$D$2:$G$333,2,0),"")</f>
        <v>13510</v>
      </c>
      <c r="S148" s="13" t="str">
        <f>IFERROR(VLOOKUP(J148,'[1]Obs Tecnicas'!$D$2:$G$337,3,0),"Hexis")</f>
        <v>ER ANALITICA</v>
      </c>
      <c r="T148" s="13">
        <f>IFERROR(VLOOKUP(J148,'[1]Obs Tecnicas'!$D$2:$G$337,4,0),"")</f>
        <v>0</v>
      </c>
      <c r="U148" s="14" t="s">
        <v>291</v>
      </c>
      <c r="V148" s="14">
        <f t="shared" si="7"/>
        <v>8</v>
      </c>
      <c r="W148" s="20">
        <f>VLOOKUP(I148,Indicadores!$N$4:$Q$15,4,0)</f>
        <v>329.87</v>
      </c>
    </row>
    <row r="149" spans="1:23" hidden="1">
      <c r="A149" s="13" t="s">
        <v>899</v>
      </c>
      <c r="B149" s="13" t="s">
        <v>567</v>
      </c>
      <c r="C149" s="15" t="s">
        <v>568</v>
      </c>
      <c r="D149" s="13" t="s">
        <v>569</v>
      </c>
      <c r="E149" s="13" t="s">
        <v>452</v>
      </c>
      <c r="F149" s="15" t="s">
        <v>453</v>
      </c>
      <c r="G149" s="13" t="s">
        <v>289</v>
      </c>
      <c r="H149" s="13" t="s">
        <v>98</v>
      </c>
      <c r="I149" s="13" t="s">
        <v>9</v>
      </c>
      <c r="J149" s="28" t="s">
        <v>572</v>
      </c>
      <c r="K149" s="13" t="s">
        <v>54</v>
      </c>
      <c r="L149" s="13" t="s">
        <v>87</v>
      </c>
      <c r="M149" s="13" t="s">
        <v>118</v>
      </c>
      <c r="N149" s="13" t="s">
        <v>570</v>
      </c>
      <c r="O149" s="17">
        <v>44034</v>
      </c>
      <c r="P149" s="18">
        <f>IFERROR(VLOOKUP(J149,'[1]Obs Tecnicas'!$D$2:$I$313,5,0),O149)</f>
        <v>44432</v>
      </c>
      <c r="Q149" s="17" t="str">
        <f t="shared" ca="1" si="8"/>
        <v>Calibrado</v>
      </c>
      <c r="R149" s="19">
        <f>IFERROR(VLOOKUP(J149,'[1]Obs Tecnicas'!$D$2:$G$333,2,0),"")</f>
        <v>13508</v>
      </c>
      <c r="S149" s="13" t="str">
        <f>IFERROR(VLOOKUP(J149,'[1]Obs Tecnicas'!$D$2:$G$337,3,0),"Hexis")</f>
        <v>ER ANALITICA</v>
      </c>
      <c r="T149" s="13">
        <f>IFERROR(VLOOKUP(J149,'[1]Obs Tecnicas'!$D$2:$G$337,4,0),"")</f>
        <v>0</v>
      </c>
      <c r="U149" s="14" t="s">
        <v>291</v>
      </c>
      <c r="V149" s="14">
        <f t="shared" si="7"/>
        <v>8</v>
      </c>
      <c r="W149" s="20">
        <f>VLOOKUP(I149,Indicadores!$N$4:$Q$15,4,0)</f>
        <v>521.79999999999995</v>
      </c>
    </row>
    <row r="150" spans="1:23" hidden="1">
      <c r="A150" s="13" t="s">
        <v>899</v>
      </c>
      <c r="B150" s="13" t="s">
        <v>573</v>
      </c>
      <c r="C150" s="15" t="s">
        <v>574</v>
      </c>
      <c r="D150" s="13" t="s">
        <v>575</v>
      </c>
      <c r="E150" s="13" t="s">
        <v>576</v>
      </c>
      <c r="F150" s="15" t="s">
        <v>577</v>
      </c>
      <c r="G150" s="13" t="s">
        <v>298</v>
      </c>
      <c r="H150" s="13" t="s">
        <v>202</v>
      </c>
      <c r="I150" s="13" t="s">
        <v>3</v>
      </c>
      <c r="J150" s="28" t="s">
        <v>213</v>
      </c>
      <c r="K150" s="13" t="s">
        <v>21</v>
      </c>
      <c r="L150" s="13" t="s">
        <v>96</v>
      </c>
      <c r="M150" s="13" t="s">
        <v>214</v>
      </c>
      <c r="N150" s="13" t="s">
        <v>305</v>
      </c>
      <c r="O150" s="17">
        <v>44263</v>
      </c>
      <c r="P150" s="18">
        <f>IFERROR(VLOOKUP(J150,'[1]Obs Tecnicas'!$D$2:$I$313,5,0),O150)</f>
        <v>44657</v>
      </c>
      <c r="Q150" s="181" t="str">
        <f t="shared" ca="1" si="8"/>
        <v>Calibrado</v>
      </c>
      <c r="R150" s="19">
        <f>IFERROR(VLOOKUP(J150,'[1]Obs Tecnicas'!$D$2:$G$333,2,0),"")</f>
        <v>16104</v>
      </c>
      <c r="S150" s="13" t="str">
        <f>IFERROR(VLOOKUP(J150,'[1]Obs Tecnicas'!$D$2:$G$337,3,0),"Hexis")</f>
        <v>ER ANALITICA</v>
      </c>
      <c r="T150" s="13">
        <f>IFERROR(VLOOKUP(J150,'[1]Obs Tecnicas'!$D$2:$G$337,4,0),"")</f>
        <v>0</v>
      </c>
      <c r="U150" s="14" t="s">
        <v>291</v>
      </c>
      <c r="V150" s="14">
        <f t="shared" si="7"/>
        <v>4</v>
      </c>
      <c r="W150" s="20">
        <f>VLOOKUP(I150,Indicadores!$N$4:$Q$15,4,0)</f>
        <v>552.64</v>
      </c>
    </row>
    <row r="151" spans="1:23" hidden="1">
      <c r="A151" s="13" t="s">
        <v>899</v>
      </c>
      <c r="B151" s="13" t="s">
        <v>578</v>
      </c>
      <c r="C151" s="15" t="s">
        <v>579</v>
      </c>
      <c r="D151" s="13" t="s">
        <v>580</v>
      </c>
      <c r="E151" s="13" t="s">
        <v>581</v>
      </c>
      <c r="F151" s="15" t="s">
        <v>582</v>
      </c>
      <c r="G151" s="13" t="s">
        <v>352</v>
      </c>
      <c r="H151" s="13" t="s">
        <v>202</v>
      </c>
      <c r="I151" s="13" t="s">
        <v>3</v>
      </c>
      <c r="J151" s="28" t="s">
        <v>272</v>
      </c>
      <c r="K151" s="13" t="s">
        <v>21</v>
      </c>
      <c r="L151" s="13" t="s">
        <v>22</v>
      </c>
      <c r="M151" s="24" t="s">
        <v>273</v>
      </c>
      <c r="N151" s="24" t="s">
        <v>583</v>
      </c>
      <c r="O151" s="17">
        <v>44067</v>
      </c>
      <c r="P151" s="18">
        <f>IFERROR(VLOOKUP(J151,'[1]Obs Tecnicas'!$D$2:$I$313,5,0),O151)</f>
        <v>44421</v>
      </c>
      <c r="Q151" s="17" t="str">
        <f t="shared" ca="1" si="8"/>
        <v>Calibrado</v>
      </c>
      <c r="R151" s="19">
        <f>IFERROR(VLOOKUP(J151,'[1]Obs Tecnicas'!$D$2:$G$333,2,0),"")</f>
        <v>13345</v>
      </c>
      <c r="S151" s="13" t="str">
        <f>IFERROR(VLOOKUP(J151,'[1]Obs Tecnicas'!$D$2:$G$337,3,0),"Hexis")</f>
        <v>ER ANALITICA</v>
      </c>
      <c r="T151" s="13" t="str">
        <f>IFERROR(VLOOKUP(J151,'[1]Obs Tecnicas'!$D$2:$G$337,4,0),"")</f>
        <v>Todos filtros oxidados (420, 520, 560 e 610nm) e teclado de borracha descolado.</v>
      </c>
      <c r="U151" s="14" t="s">
        <v>291</v>
      </c>
      <c r="V151" s="14">
        <f t="shared" si="7"/>
        <v>8</v>
      </c>
      <c r="W151" s="20">
        <f>VLOOKUP(I151,Indicadores!$N$4:$Q$15,4,0)</f>
        <v>552.64</v>
      </c>
    </row>
    <row r="152" spans="1:23" hidden="1">
      <c r="A152" s="24" t="s">
        <v>899</v>
      </c>
      <c r="B152" s="13" t="s">
        <v>578</v>
      </c>
      <c r="C152" s="15" t="s">
        <v>579</v>
      </c>
      <c r="D152" s="13" t="s">
        <v>580</v>
      </c>
      <c r="E152" s="13" t="s">
        <v>581</v>
      </c>
      <c r="F152" s="15" t="s">
        <v>582</v>
      </c>
      <c r="G152" s="13" t="s">
        <v>352</v>
      </c>
      <c r="H152" s="13" t="s">
        <v>202</v>
      </c>
      <c r="I152" s="13" t="s">
        <v>4</v>
      </c>
      <c r="J152" s="28" t="s">
        <v>584</v>
      </c>
      <c r="K152" s="13" t="s">
        <v>26</v>
      </c>
      <c r="L152" s="24" t="s">
        <v>27</v>
      </c>
      <c r="M152" s="24" t="s">
        <v>273</v>
      </c>
      <c r="N152" s="24" t="s">
        <v>583</v>
      </c>
      <c r="O152" s="17">
        <v>44067</v>
      </c>
      <c r="P152" s="18">
        <f>IFERROR(VLOOKUP(J152,'[1]Obs Tecnicas'!$D$2:$I$313,5,0),O152)</f>
        <v>44421</v>
      </c>
      <c r="Q152" s="17" t="str">
        <f t="shared" ca="1" si="8"/>
        <v>Calibrado</v>
      </c>
      <c r="R152" s="19">
        <f>IFERROR(VLOOKUP(J152,'[1]Obs Tecnicas'!$D$2:$G$333,2,0),"")</f>
        <v>13346</v>
      </c>
      <c r="S152" s="13" t="str">
        <f>IFERROR(VLOOKUP(J152,'[1]Obs Tecnicas'!$D$2:$G$337,3,0),"Hexis")</f>
        <v>ER ANALITICA</v>
      </c>
      <c r="T152" s="13">
        <f>IFERROR(VLOOKUP(J152,'[1]Obs Tecnicas'!$D$2:$G$337,4,0),"")</f>
        <v>0</v>
      </c>
      <c r="U152" s="14" t="s">
        <v>291</v>
      </c>
      <c r="V152" s="14">
        <f t="shared" si="7"/>
        <v>8</v>
      </c>
      <c r="W152" s="20">
        <f>VLOOKUP(I152,Indicadores!$N$4:$Q$15,4,0)</f>
        <v>329.87</v>
      </c>
    </row>
    <row r="153" spans="1:23" hidden="1">
      <c r="A153" s="24" t="s">
        <v>899</v>
      </c>
      <c r="B153" s="13" t="s">
        <v>578</v>
      </c>
      <c r="C153" s="15" t="s">
        <v>579</v>
      </c>
      <c r="D153" s="13" t="s">
        <v>580</v>
      </c>
      <c r="E153" s="13" t="s">
        <v>581</v>
      </c>
      <c r="F153" s="15" t="s">
        <v>582</v>
      </c>
      <c r="G153" s="13" t="s">
        <v>352</v>
      </c>
      <c r="H153" s="13" t="s">
        <v>202</v>
      </c>
      <c r="I153" s="13" t="s">
        <v>5</v>
      </c>
      <c r="J153" s="28" t="s">
        <v>585</v>
      </c>
      <c r="K153" s="13" t="s">
        <v>21</v>
      </c>
      <c r="L153" s="13" t="s">
        <v>34</v>
      </c>
      <c r="M153" s="24" t="s">
        <v>273</v>
      </c>
      <c r="N153" s="24" t="s">
        <v>583</v>
      </c>
      <c r="O153" s="17">
        <v>44067</v>
      </c>
      <c r="P153" s="18">
        <f>IFERROR(VLOOKUP(J153,'[1]Obs Tecnicas'!$D$2:$I$313,5,0),O153)</f>
        <v>44421</v>
      </c>
      <c r="Q153" s="17" t="str">
        <f t="shared" ca="1" si="8"/>
        <v>Calibrado</v>
      </c>
      <c r="R153" s="19">
        <f>IFERROR(VLOOKUP(J153,'[1]Obs Tecnicas'!$D$2:$G$333,2,0),"")</f>
        <v>13348</v>
      </c>
      <c r="S153" s="13" t="str">
        <f>IFERROR(VLOOKUP(J153,'[1]Obs Tecnicas'!$D$2:$G$337,3,0),"Hexis")</f>
        <v>ER ANALITICA</v>
      </c>
      <c r="T153" s="13" t="str">
        <f>IFERROR(VLOOKUP(J153,'[1]Obs Tecnicas'!$D$2:$G$337,4,0),"")</f>
        <v>Bateria de litio com baixa carga.</v>
      </c>
      <c r="U153" s="14" t="s">
        <v>291</v>
      </c>
      <c r="V153" s="14">
        <f t="shared" si="7"/>
        <v>8</v>
      </c>
      <c r="W153" s="20">
        <f>VLOOKUP(I153,Indicadores!$N$4:$Q$15,4,0)</f>
        <v>895.23</v>
      </c>
    </row>
    <row r="154" spans="1:23" hidden="1">
      <c r="A154" s="13" t="s">
        <v>899</v>
      </c>
      <c r="B154" s="13" t="s">
        <v>578</v>
      </c>
      <c r="C154" s="15" t="s">
        <v>579</v>
      </c>
      <c r="D154" s="13" t="s">
        <v>580</v>
      </c>
      <c r="E154" s="13" t="s">
        <v>581</v>
      </c>
      <c r="F154" s="15" t="s">
        <v>582</v>
      </c>
      <c r="G154" s="13" t="s">
        <v>352</v>
      </c>
      <c r="H154" s="13" t="s">
        <v>202</v>
      </c>
      <c r="I154" s="13" t="s">
        <v>5</v>
      </c>
      <c r="J154" s="28" t="s">
        <v>586</v>
      </c>
      <c r="K154" s="13" t="s">
        <v>21</v>
      </c>
      <c r="L154" s="13" t="s">
        <v>34</v>
      </c>
      <c r="M154" s="24" t="s">
        <v>273</v>
      </c>
      <c r="N154" s="24" t="s">
        <v>583</v>
      </c>
      <c r="O154" s="17">
        <v>44067</v>
      </c>
      <c r="P154" s="18">
        <f>IFERROR(VLOOKUP(J154,'[1]Obs Tecnicas'!$D$2:$I$313,5,0),O154)</f>
        <v>44421</v>
      </c>
      <c r="Q154" s="17" t="str">
        <f t="shared" ca="1" si="8"/>
        <v>Calibrado</v>
      </c>
      <c r="R154" s="19">
        <f>IFERROR(VLOOKUP(J154,'[1]Obs Tecnicas'!$D$2:$G$333,2,0),"")</f>
        <v>13347</v>
      </c>
      <c r="S154" s="13" t="str">
        <f>IFERROR(VLOOKUP(J154,'[1]Obs Tecnicas'!$D$2:$G$337,3,0),"Hexis")</f>
        <v>ER ANALITICA</v>
      </c>
      <c r="T154" s="13" t="str">
        <f>IFERROR(VLOOKUP(J154,'[1]Obs Tecnicas'!$D$2:$G$337,4,0),"")</f>
        <v xml:space="preserve"> Bateria de litio com baixa carga.</v>
      </c>
      <c r="U154" s="14" t="s">
        <v>291</v>
      </c>
      <c r="V154" s="14">
        <f t="shared" si="7"/>
        <v>8</v>
      </c>
      <c r="W154" s="20">
        <f>VLOOKUP(I154,Indicadores!$N$4:$Q$15,4,0)</f>
        <v>895.23</v>
      </c>
    </row>
    <row r="155" spans="1:23" hidden="1">
      <c r="A155" s="24" t="s">
        <v>899</v>
      </c>
      <c r="B155" s="13" t="s">
        <v>578</v>
      </c>
      <c r="C155" s="15" t="s">
        <v>579</v>
      </c>
      <c r="D155" s="13" t="s">
        <v>580</v>
      </c>
      <c r="E155" s="13" t="s">
        <v>581</v>
      </c>
      <c r="F155" s="15" t="s">
        <v>582</v>
      </c>
      <c r="G155" s="13" t="s">
        <v>352</v>
      </c>
      <c r="H155" s="13" t="s">
        <v>202</v>
      </c>
      <c r="I155" s="13" t="s">
        <v>7</v>
      </c>
      <c r="J155" s="28" t="s">
        <v>587</v>
      </c>
      <c r="K155" s="13" t="s">
        <v>56</v>
      </c>
      <c r="L155" s="13" t="s">
        <v>57</v>
      </c>
      <c r="M155" s="24" t="s">
        <v>273</v>
      </c>
      <c r="N155" s="24" t="s">
        <v>583</v>
      </c>
      <c r="O155" s="17">
        <v>44067</v>
      </c>
      <c r="P155" s="18">
        <f>IFERROR(VLOOKUP(J155,'[1]Obs Tecnicas'!$D$2:$I$313,5,0),O155)</f>
        <v>44421</v>
      </c>
      <c r="Q155" s="17" t="str">
        <f t="shared" ca="1" si="8"/>
        <v>Calibrado</v>
      </c>
      <c r="R155" s="19">
        <f>IFERROR(VLOOKUP(J155,'[1]Obs Tecnicas'!$D$2:$G$333,2,0),"")</f>
        <v>13349</v>
      </c>
      <c r="S155" s="13" t="str">
        <f>IFERROR(VLOOKUP(J155,'[1]Obs Tecnicas'!$D$2:$G$337,3,0),"Hexis")</f>
        <v>ER ANALITICA</v>
      </c>
      <c r="T155" s="13">
        <f>IFERROR(VLOOKUP(J155,'[1]Obs Tecnicas'!$D$2:$G$337,4,0),"")</f>
        <v>0</v>
      </c>
      <c r="U155" s="14" t="s">
        <v>291</v>
      </c>
      <c r="V155" s="14">
        <f t="shared" si="7"/>
        <v>8</v>
      </c>
      <c r="W155" s="20">
        <f>VLOOKUP(I155,Indicadores!$N$4:$Q$15,4,0)</f>
        <v>329.87</v>
      </c>
    </row>
    <row r="156" spans="1:23" hidden="1">
      <c r="A156" s="13" t="s">
        <v>899</v>
      </c>
      <c r="B156" s="13" t="s">
        <v>588</v>
      </c>
      <c r="C156" s="15" t="s">
        <v>589</v>
      </c>
      <c r="D156" s="13" t="s">
        <v>590</v>
      </c>
      <c r="E156" s="13" t="s">
        <v>591</v>
      </c>
      <c r="F156" s="15" t="s">
        <v>592</v>
      </c>
      <c r="G156" s="13" t="s">
        <v>298</v>
      </c>
      <c r="H156" s="13" t="s">
        <v>73</v>
      </c>
      <c r="I156" s="13" t="s">
        <v>3</v>
      </c>
      <c r="J156" s="28" t="s">
        <v>593</v>
      </c>
      <c r="K156" s="13" t="s">
        <v>21</v>
      </c>
      <c r="L156" s="13" t="s">
        <v>22</v>
      </c>
      <c r="M156" s="13" t="s">
        <v>75</v>
      </c>
      <c r="N156" s="13" t="s">
        <v>594</v>
      </c>
      <c r="O156" s="17">
        <v>44049</v>
      </c>
      <c r="P156" s="18">
        <f>IFERROR(VLOOKUP(J156,'[1]Obs Tecnicas'!$D$2:$I$313,5,0),O156)</f>
        <v>44425</v>
      </c>
      <c r="Q156" s="17" t="str">
        <f t="shared" ca="1" si="8"/>
        <v>Calibrado</v>
      </c>
      <c r="R156" s="19">
        <f>IFERROR(VLOOKUP(J156,'[1]Obs Tecnicas'!$D$2:$G$333,2,0),"")</f>
        <v>13480</v>
      </c>
      <c r="S156" s="13" t="str">
        <f>IFERROR(VLOOKUP(J156,'[1]Obs Tecnicas'!$D$2:$G$337,3,0),"Hexis")</f>
        <v>ER ANALITICA</v>
      </c>
      <c r="T156" s="13">
        <f>IFERROR(VLOOKUP(J156,'[1]Obs Tecnicas'!$D$2:$G$337,4,0),"")</f>
        <v>0</v>
      </c>
      <c r="U156" s="14" t="s">
        <v>291</v>
      </c>
      <c r="V156" s="14">
        <f t="shared" si="7"/>
        <v>8</v>
      </c>
      <c r="W156" s="20">
        <f>VLOOKUP(I156,Indicadores!$N$4:$Q$15,4,0)</f>
        <v>552.64</v>
      </c>
    </row>
    <row r="157" spans="1:23" hidden="1">
      <c r="A157" s="13" t="s">
        <v>899</v>
      </c>
      <c r="B157" s="13" t="s">
        <v>588</v>
      </c>
      <c r="C157" s="15" t="s">
        <v>589</v>
      </c>
      <c r="D157" s="13" t="s">
        <v>590</v>
      </c>
      <c r="E157" s="13" t="s">
        <v>591</v>
      </c>
      <c r="F157" s="15" t="s">
        <v>592</v>
      </c>
      <c r="G157" s="13" t="s">
        <v>298</v>
      </c>
      <c r="H157" s="13" t="s">
        <v>73</v>
      </c>
      <c r="I157" s="13" t="s">
        <v>4</v>
      </c>
      <c r="J157" s="28" t="s">
        <v>595</v>
      </c>
      <c r="K157" s="13" t="s">
        <v>31</v>
      </c>
      <c r="L157" s="13" t="s">
        <v>74</v>
      </c>
      <c r="M157" s="13" t="s">
        <v>75</v>
      </c>
      <c r="N157" s="13" t="s">
        <v>594</v>
      </c>
      <c r="O157" s="17">
        <v>44049</v>
      </c>
      <c r="P157" s="18">
        <f>IFERROR(VLOOKUP(J157,'[1]Obs Tecnicas'!$D$2:$I$313,5,0),O157)</f>
        <v>44425</v>
      </c>
      <c r="Q157" s="17" t="str">
        <f t="shared" ca="1" si="8"/>
        <v>Calibrado</v>
      </c>
      <c r="R157" s="19">
        <f>IFERROR(VLOOKUP(J157,'[1]Obs Tecnicas'!$D$2:$G$333,2,0),"")</f>
        <v>13481</v>
      </c>
      <c r="S157" s="13" t="str">
        <f>IFERROR(VLOOKUP(J157,'[1]Obs Tecnicas'!$D$2:$G$337,3,0),"Hexis")</f>
        <v>ER ANALITICA</v>
      </c>
      <c r="T157" s="13" t="str">
        <f>IFERROR(VLOOKUP(J157,'[1]Obs Tecnicas'!$D$2:$G$337,4,0),"")</f>
        <v>Sonda de condutividade apresenta vida útil avançada.</v>
      </c>
      <c r="U157" s="14" t="s">
        <v>291</v>
      </c>
      <c r="V157" s="14">
        <f t="shared" si="7"/>
        <v>8</v>
      </c>
      <c r="W157" s="20">
        <f>VLOOKUP(I157,Indicadores!$N$4:$Q$15,4,0)</f>
        <v>329.87</v>
      </c>
    </row>
    <row r="158" spans="1:23" hidden="1">
      <c r="A158" s="13" t="s">
        <v>899</v>
      </c>
      <c r="B158" s="13" t="s">
        <v>588</v>
      </c>
      <c r="C158" s="15" t="s">
        <v>589</v>
      </c>
      <c r="D158" s="13" t="s">
        <v>590</v>
      </c>
      <c r="E158" s="13" t="s">
        <v>591</v>
      </c>
      <c r="F158" s="15" t="s">
        <v>592</v>
      </c>
      <c r="G158" s="13" t="s">
        <v>298</v>
      </c>
      <c r="H158" s="13" t="s">
        <v>73</v>
      </c>
      <c r="I158" s="13" t="s">
        <v>7</v>
      </c>
      <c r="J158" s="28" t="s">
        <v>596</v>
      </c>
      <c r="K158" s="13" t="s">
        <v>31</v>
      </c>
      <c r="L158" s="13" t="s">
        <v>53</v>
      </c>
      <c r="M158" s="13" t="s">
        <v>75</v>
      </c>
      <c r="N158" s="13" t="s">
        <v>594</v>
      </c>
      <c r="O158" s="17">
        <v>44049</v>
      </c>
      <c r="P158" s="18">
        <f>IFERROR(VLOOKUP(J158,'[1]Obs Tecnicas'!$D$2:$I$313,5,0),O158)</f>
        <v>44425</v>
      </c>
      <c r="Q158" s="17" t="str">
        <f t="shared" ca="1" si="8"/>
        <v>Calibrado</v>
      </c>
      <c r="R158" s="19">
        <f>IFERROR(VLOOKUP(J158,'[1]Obs Tecnicas'!$D$2:$G$333,2,0),"")</f>
        <v>13482</v>
      </c>
      <c r="S158" s="13" t="str">
        <f>IFERROR(VLOOKUP(J158,'[1]Obs Tecnicas'!$D$2:$G$337,3,0),"Hexis")</f>
        <v>ER ANALITICA</v>
      </c>
      <c r="T158" s="13">
        <f>IFERROR(VLOOKUP(J158,'[1]Obs Tecnicas'!$D$2:$G$337,4,0),"")</f>
        <v>0</v>
      </c>
      <c r="U158" s="14" t="s">
        <v>291</v>
      </c>
      <c r="V158" s="14">
        <f t="shared" si="7"/>
        <v>8</v>
      </c>
      <c r="W158" s="20">
        <f>VLOOKUP(I158,Indicadores!$N$4:$Q$15,4,0)</f>
        <v>329.87</v>
      </c>
    </row>
    <row r="159" spans="1:23" hidden="1">
      <c r="A159" s="13" t="s">
        <v>899</v>
      </c>
      <c r="B159" s="13" t="s">
        <v>597</v>
      </c>
      <c r="C159" s="15" t="s">
        <v>598</v>
      </c>
      <c r="D159" s="196" t="s">
        <v>599</v>
      </c>
      <c r="E159" s="13" t="s">
        <v>600</v>
      </c>
      <c r="F159" s="15" t="s">
        <v>601</v>
      </c>
      <c r="G159" s="13" t="s">
        <v>318</v>
      </c>
      <c r="H159" s="13" t="s">
        <v>156</v>
      </c>
      <c r="I159" s="13" t="s">
        <v>3</v>
      </c>
      <c r="J159" s="28" t="s">
        <v>162</v>
      </c>
      <c r="K159" s="13" t="s">
        <v>21</v>
      </c>
      <c r="L159" s="13" t="s">
        <v>96</v>
      </c>
      <c r="M159" s="13" t="s">
        <v>159</v>
      </c>
      <c r="N159" s="13" t="s">
        <v>468</v>
      </c>
      <c r="O159" s="17">
        <v>44022</v>
      </c>
      <c r="P159" s="18">
        <f>IFERROR(VLOOKUP(J159,'[1]Obs Tecnicas'!$D$2:$I$313,5,0),O159)</f>
        <v>44371</v>
      </c>
      <c r="Q159" s="17" t="str">
        <f t="shared" ca="1" si="8"/>
        <v>Calibrado</v>
      </c>
      <c r="R159" s="19">
        <f>IFERROR(VLOOKUP(J159,'[1]Obs Tecnicas'!$D$2:$G$333,2,0),"")</f>
        <v>12677</v>
      </c>
      <c r="S159" s="13" t="str">
        <f>IFERROR(VLOOKUP(J159,'[1]Obs Tecnicas'!$D$2:$G$337,3,0),"Hexis")</f>
        <v>ER ANALITICA</v>
      </c>
      <c r="T159" s="13">
        <f>IFERROR(VLOOKUP(J159,'[1]Obs Tecnicas'!$D$2:$G$337,4,0),"")</f>
        <v>0</v>
      </c>
      <c r="U159" s="14" t="s">
        <v>291</v>
      </c>
      <c r="V159" s="14">
        <f t="shared" si="7"/>
        <v>6</v>
      </c>
      <c r="W159" s="20">
        <f>VLOOKUP(I159,Indicadores!$N$4:$Q$15,4,0)</f>
        <v>552.64</v>
      </c>
    </row>
    <row r="160" spans="1:23" hidden="1">
      <c r="A160" s="13" t="s">
        <v>899</v>
      </c>
      <c r="B160" s="13" t="s">
        <v>597</v>
      </c>
      <c r="C160" s="15" t="s">
        <v>598</v>
      </c>
      <c r="D160" s="196" t="s">
        <v>599</v>
      </c>
      <c r="E160" s="13" t="s">
        <v>600</v>
      </c>
      <c r="F160" s="15" t="s">
        <v>601</v>
      </c>
      <c r="G160" s="13" t="s">
        <v>318</v>
      </c>
      <c r="H160" s="13" t="s">
        <v>156</v>
      </c>
      <c r="I160" s="13" t="s">
        <v>4</v>
      </c>
      <c r="J160" s="28" t="s">
        <v>160</v>
      </c>
      <c r="K160" s="13" t="s">
        <v>100</v>
      </c>
      <c r="L160" s="13" t="s">
        <v>104</v>
      </c>
      <c r="M160" s="13" t="s">
        <v>159</v>
      </c>
      <c r="N160" s="13" t="s">
        <v>468</v>
      </c>
      <c r="O160" s="17">
        <v>44022</v>
      </c>
      <c r="P160" s="18">
        <f>IFERROR(VLOOKUP(J160,'[1]Obs Tecnicas'!$D$2:$I$313,5,0),O160)</f>
        <v>44371</v>
      </c>
      <c r="Q160" s="17" t="str">
        <f t="shared" ca="1" si="8"/>
        <v>Calibrado</v>
      </c>
      <c r="R160" s="19">
        <f>IFERROR(VLOOKUP(J160,'[1]Obs Tecnicas'!$D$2:$G$333,2,0),"")</f>
        <v>12679</v>
      </c>
      <c r="S160" s="13" t="str">
        <f>IFERROR(VLOOKUP(J160,'[1]Obs Tecnicas'!$D$2:$G$337,3,0),"Hexis")</f>
        <v>ER ANALITICA</v>
      </c>
      <c r="T160" s="13" t="str">
        <f>IFERROR(VLOOKUP(J160,'[1]Obs Tecnicas'!$D$2:$G$337,4,0),"")</f>
        <v>Sonda com a ponta quebrada.</v>
      </c>
      <c r="U160" s="14" t="s">
        <v>291</v>
      </c>
      <c r="V160" s="14">
        <f t="shared" si="7"/>
        <v>6</v>
      </c>
      <c r="W160" s="20">
        <f>VLOOKUP(I160,Indicadores!$N$4:$Q$15,4,0)</f>
        <v>329.87</v>
      </c>
    </row>
    <row r="161" spans="1:23" hidden="1">
      <c r="A161" s="13" t="s">
        <v>899</v>
      </c>
      <c r="B161" s="13" t="s">
        <v>597</v>
      </c>
      <c r="C161" s="15" t="s">
        <v>598</v>
      </c>
      <c r="D161" s="196" t="s">
        <v>599</v>
      </c>
      <c r="E161" s="13" t="s">
        <v>600</v>
      </c>
      <c r="F161" s="15" t="s">
        <v>601</v>
      </c>
      <c r="G161" s="13" t="s">
        <v>318</v>
      </c>
      <c r="H161" s="13" t="s">
        <v>156</v>
      </c>
      <c r="I161" s="13" t="s">
        <v>835</v>
      </c>
      <c r="J161" s="28" t="s">
        <v>602</v>
      </c>
      <c r="K161" s="13" t="s">
        <v>26</v>
      </c>
      <c r="L161" s="13" t="s">
        <v>84</v>
      </c>
      <c r="M161" s="13" t="s">
        <v>159</v>
      </c>
      <c r="N161" s="13" t="s">
        <v>468</v>
      </c>
      <c r="O161" s="17">
        <v>44022</v>
      </c>
      <c r="P161" s="18">
        <f>IFERROR(VLOOKUP(J161,'[1]Obs Tecnicas'!$D$2:$I$313,5,0),O161)</f>
        <v>44371</v>
      </c>
      <c r="Q161" s="17" t="str">
        <f t="shared" ca="1" si="8"/>
        <v>Calibrado</v>
      </c>
      <c r="R161" s="19">
        <f>IFERROR(VLOOKUP(J161,'[1]Obs Tecnicas'!$D$2:$G$333,2,0),"")</f>
        <v>12710</v>
      </c>
      <c r="S161" s="13" t="str">
        <f>IFERROR(VLOOKUP(J161,'[1]Obs Tecnicas'!$D$2:$G$337,3,0),"Hexis")</f>
        <v>ER ANALITICA</v>
      </c>
      <c r="T161" s="13">
        <f>IFERROR(VLOOKUP(J161,'[1]Obs Tecnicas'!$D$2:$G$337,4,0),"")</f>
        <v>0</v>
      </c>
      <c r="U161" s="14" t="s">
        <v>291</v>
      </c>
      <c r="V161" s="14">
        <f t="shared" si="7"/>
        <v>6</v>
      </c>
      <c r="W161" s="20">
        <f>VLOOKUP(I161,Indicadores!$N$4:$Q$15,4,0)</f>
        <v>546.79</v>
      </c>
    </row>
    <row r="162" spans="1:23" hidden="1">
      <c r="A162" s="13" t="s">
        <v>899</v>
      </c>
      <c r="B162" s="13" t="s">
        <v>597</v>
      </c>
      <c r="C162" s="15" t="s">
        <v>598</v>
      </c>
      <c r="D162" s="196" t="s">
        <v>599</v>
      </c>
      <c r="E162" s="13" t="s">
        <v>600</v>
      </c>
      <c r="F162" s="15" t="s">
        <v>601</v>
      </c>
      <c r="G162" s="13" t="s">
        <v>318</v>
      </c>
      <c r="H162" s="13" t="s">
        <v>156</v>
      </c>
      <c r="I162" s="13" t="s">
        <v>835</v>
      </c>
      <c r="J162" s="28" t="s">
        <v>161</v>
      </c>
      <c r="K162" s="13" t="s">
        <v>100</v>
      </c>
      <c r="L162" s="13" t="s">
        <v>101</v>
      </c>
      <c r="M162" s="13" t="s">
        <v>159</v>
      </c>
      <c r="N162" s="13" t="s">
        <v>468</v>
      </c>
      <c r="O162" s="17">
        <v>44022</v>
      </c>
      <c r="P162" s="18">
        <f>IFERROR(VLOOKUP(J162,'[1]Obs Tecnicas'!$D$2:$I$313,5,0),O162)</f>
        <v>44371</v>
      </c>
      <c r="Q162" s="17" t="str">
        <f t="shared" ca="1" si="8"/>
        <v>Calibrado</v>
      </c>
      <c r="R162" s="19">
        <f>IFERROR(VLOOKUP(J162,'[1]Obs Tecnicas'!$D$2:$G$333,2,0),"")</f>
        <v>12678</v>
      </c>
      <c r="S162" s="13" t="str">
        <f>IFERROR(VLOOKUP(J162,'[1]Obs Tecnicas'!$D$2:$G$337,3,0),"Hexis")</f>
        <v>ER ANALITICA</v>
      </c>
      <c r="T162" s="13" t="str">
        <f>IFERROR(VLOOKUP(J162,'[1]Obs Tecnicas'!$D$2:$G$337,4,0),"")</f>
        <v>Eletrodo com Slope abaixo do recomendado pelo fabricante (85%).</v>
      </c>
      <c r="U162" s="14" t="s">
        <v>291</v>
      </c>
      <c r="V162" s="14">
        <f t="shared" si="7"/>
        <v>6</v>
      </c>
      <c r="W162" s="20">
        <f>VLOOKUP(I162,Indicadores!$N$4:$Q$15,4,0)</f>
        <v>546.79</v>
      </c>
    </row>
    <row r="163" spans="1:23" hidden="1">
      <c r="A163" s="13" t="s">
        <v>899</v>
      </c>
      <c r="B163" s="13" t="s">
        <v>603</v>
      </c>
      <c r="C163" s="15" t="s">
        <v>604</v>
      </c>
      <c r="D163" s="13" t="s">
        <v>605</v>
      </c>
      <c r="E163" s="13" t="s">
        <v>606</v>
      </c>
      <c r="F163" s="15" t="s">
        <v>607</v>
      </c>
      <c r="G163" s="13" t="s">
        <v>608</v>
      </c>
      <c r="H163" s="13" t="s">
        <v>202</v>
      </c>
      <c r="I163" s="13" t="s">
        <v>9</v>
      </c>
      <c r="J163" s="28" t="s">
        <v>609</v>
      </c>
      <c r="K163" s="13" t="s">
        <v>21</v>
      </c>
      <c r="L163" s="13" t="s">
        <v>29</v>
      </c>
      <c r="M163" s="13" t="s">
        <v>265</v>
      </c>
      <c r="N163" s="13" t="s">
        <v>332</v>
      </c>
      <c r="O163" s="17">
        <v>44007</v>
      </c>
      <c r="P163" s="18">
        <f>IFERROR(VLOOKUP(J163,'[1]Obs Tecnicas'!$D$2:$I$313,5,0),O163)</f>
        <v>44368</v>
      </c>
      <c r="Q163" s="17" t="str">
        <f t="shared" ca="1" si="8"/>
        <v>Calibrado</v>
      </c>
      <c r="R163" s="19">
        <f>IFERROR(VLOOKUP(J163,'[1]Obs Tecnicas'!$D$2:$G$333,2,0),"")</f>
        <v>12620</v>
      </c>
      <c r="S163" s="13" t="str">
        <f>IFERROR(VLOOKUP(J163,'[1]Obs Tecnicas'!$D$2:$G$337,3,0),"Hexis")</f>
        <v>ER ANALITICA</v>
      </c>
      <c r="T163" s="13">
        <f>IFERROR(VLOOKUP(J163,'[1]Obs Tecnicas'!$D$2:$G$337,4,0),"")</f>
        <v>0</v>
      </c>
      <c r="U163" s="14" t="s">
        <v>291</v>
      </c>
      <c r="V163" s="14">
        <f t="shared" si="7"/>
        <v>6</v>
      </c>
      <c r="W163" s="20">
        <f>VLOOKUP(I163,Indicadores!$N$4:$Q$15,4,0)</f>
        <v>521.79999999999995</v>
      </c>
    </row>
    <row r="164" spans="1:23" hidden="1">
      <c r="A164" s="13" t="s">
        <v>899</v>
      </c>
      <c r="B164" s="13" t="s">
        <v>603</v>
      </c>
      <c r="C164" s="15" t="s">
        <v>604</v>
      </c>
      <c r="D164" s="13" t="s">
        <v>605</v>
      </c>
      <c r="E164" s="13" t="s">
        <v>606</v>
      </c>
      <c r="F164" s="15" t="s">
        <v>607</v>
      </c>
      <c r="G164" s="13" t="s">
        <v>608</v>
      </c>
      <c r="H164" s="13" t="s">
        <v>202</v>
      </c>
      <c r="I164" s="13" t="s">
        <v>4</v>
      </c>
      <c r="J164" s="28" t="s">
        <v>271</v>
      </c>
      <c r="K164" s="13" t="s">
        <v>225</v>
      </c>
      <c r="L164" s="13">
        <v>912</v>
      </c>
      <c r="M164" s="13" t="s">
        <v>265</v>
      </c>
      <c r="N164" s="13" t="s">
        <v>332</v>
      </c>
      <c r="O164" s="17">
        <v>44007</v>
      </c>
      <c r="P164" s="18">
        <f>IFERROR(VLOOKUP(J164,'[1]Obs Tecnicas'!$D$2:$I$313,5,0),O164)</f>
        <v>44368</v>
      </c>
      <c r="Q164" s="17" t="str">
        <f t="shared" ca="1" si="8"/>
        <v>Calibrado</v>
      </c>
      <c r="R164" s="19">
        <f>IFERROR(VLOOKUP(J164,'[1]Obs Tecnicas'!$D$2:$G$333,2,0),"")</f>
        <v>12621</v>
      </c>
      <c r="S164" s="13" t="str">
        <f>IFERROR(VLOOKUP(J164,'[1]Obs Tecnicas'!$D$2:$G$337,3,0),"Hexis")</f>
        <v>ER ANALITICA</v>
      </c>
      <c r="T164" s="13">
        <f>IFERROR(VLOOKUP(J164,'[1]Obs Tecnicas'!$D$2:$G$337,4,0),"")</f>
        <v>0</v>
      </c>
      <c r="U164" s="14" t="s">
        <v>291</v>
      </c>
      <c r="V164" s="14">
        <f t="shared" si="7"/>
        <v>6</v>
      </c>
      <c r="W164" s="20">
        <f>VLOOKUP(I164,Indicadores!$N$4:$Q$15,4,0)</f>
        <v>329.87</v>
      </c>
    </row>
    <row r="165" spans="1:23" hidden="1">
      <c r="A165" s="13" t="s">
        <v>899</v>
      </c>
      <c r="B165" s="13" t="s">
        <v>603</v>
      </c>
      <c r="C165" s="15" t="s">
        <v>604</v>
      </c>
      <c r="D165" s="13" t="s">
        <v>605</v>
      </c>
      <c r="E165" s="13" t="s">
        <v>606</v>
      </c>
      <c r="F165" s="15" t="s">
        <v>607</v>
      </c>
      <c r="G165" s="13" t="s">
        <v>608</v>
      </c>
      <c r="H165" s="13" t="s">
        <v>202</v>
      </c>
      <c r="I165" s="13" t="s">
        <v>5</v>
      </c>
      <c r="J165" s="28" t="s">
        <v>263</v>
      </c>
      <c r="K165" s="13" t="s">
        <v>217</v>
      </c>
      <c r="L165" s="13" t="s">
        <v>264</v>
      </c>
      <c r="M165" s="13" t="s">
        <v>265</v>
      </c>
      <c r="N165" s="13" t="s">
        <v>332</v>
      </c>
      <c r="O165" s="17">
        <v>44007</v>
      </c>
      <c r="P165" s="18">
        <f>IFERROR(VLOOKUP(J165,'[1]Obs Tecnicas'!$D$2:$I$313,5,0),O165)</f>
        <v>44368</v>
      </c>
      <c r="Q165" s="17" t="str">
        <f t="shared" ca="1" si="8"/>
        <v>Calibrado</v>
      </c>
      <c r="R165" s="19">
        <f>IFERROR(VLOOKUP(J165,'[1]Obs Tecnicas'!$D$2:$G$333,2,0),"")</f>
        <v>12622</v>
      </c>
      <c r="S165" s="13" t="str">
        <f>IFERROR(VLOOKUP(J165,'[1]Obs Tecnicas'!$D$2:$G$337,3,0),"Hexis")</f>
        <v>ER ANALITICA</v>
      </c>
      <c r="T165" s="13">
        <f>IFERROR(VLOOKUP(J165,'[1]Obs Tecnicas'!$D$2:$G$337,4,0),"")</f>
        <v>0</v>
      </c>
      <c r="U165" s="14" t="s">
        <v>291</v>
      </c>
      <c r="V165" s="14">
        <f t="shared" si="7"/>
        <v>6</v>
      </c>
      <c r="W165" s="20">
        <f>VLOOKUP(I165,Indicadores!$N$4:$Q$15,4,0)</f>
        <v>895.23</v>
      </c>
    </row>
    <row r="166" spans="1:23" hidden="1">
      <c r="A166" s="13" t="s">
        <v>899</v>
      </c>
      <c r="B166" s="13" t="s">
        <v>603</v>
      </c>
      <c r="C166" s="15" t="s">
        <v>604</v>
      </c>
      <c r="D166" s="13" t="s">
        <v>605</v>
      </c>
      <c r="E166" s="13" t="s">
        <v>606</v>
      </c>
      <c r="F166" s="15" t="s">
        <v>607</v>
      </c>
      <c r="G166" s="13" t="s">
        <v>608</v>
      </c>
      <c r="H166" s="13" t="s">
        <v>202</v>
      </c>
      <c r="I166" s="13" t="s">
        <v>7</v>
      </c>
      <c r="J166" s="28" t="s">
        <v>269</v>
      </c>
      <c r="K166" s="13" t="s">
        <v>48</v>
      </c>
      <c r="L166" s="13" t="s">
        <v>270</v>
      </c>
      <c r="M166" s="13" t="s">
        <v>265</v>
      </c>
      <c r="N166" s="13" t="s">
        <v>332</v>
      </c>
      <c r="O166" s="17">
        <v>44007</v>
      </c>
      <c r="P166" s="18">
        <f>IFERROR(VLOOKUP(J166,'[1]Obs Tecnicas'!$D$2:$I$313,5,0),O166)</f>
        <v>44368</v>
      </c>
      <c r="Q166" s="17" t="str">
        <f t="shared" ca="1" si="8"/>
        <v>Calibrado</v>
      </c>
      <c r="R166" s="19">
        <f>IFERROR(VLOOKUP(J166,'[1]Obs Tecnicas'!$D$2:$G$333,2,0),"")</f>
        <v>12625</v>
      </c>
      <c r="S166" s="13" t="str">
        <f>IFERROR(VLOOKUP(J166,'[1]Obs Tecnicas'!$D$2:$G$337,3,0),"Hexis")</f>
        <v>ER ANALITICA</v>
      </c>
      <c r="T166" s="13">
        <f>IFERROR(VLOOKUP(J166,'[1]Obs Tecnicas'!$D$2:$G$337,4,0),"")</f>
        <v>0</v>
      </c>
      <c r="U166" s="14" t="s">
        <v>291</v>
      </c>
      <c r="V166" s="14">
        <f t="shared" si="7"/>
        <v>6</v>
      </c>
      <c r="W166" s="20">
        <f>VLOOKUP(I166,Indicadores!$N$4:$Q$15,4,0)</f>
        <v>329.87</v>
      </c>
    </row>
    <row r="167" spans="1:23" hidden="1">
      <c r="A167" s="13" t="s">
        <v>899</v>
      </c>
      <c r="B167" s="13" t="s">
        <v>603</v>
      </c>
      <c r="C167" s="15" t="s">
        <v>604</v>
      </c>
      <c r="D167" s="13" t="s">
        <v>605</v>
      </c>
      <c r="E167" s="13" t="s">
        <v>606</v>
      </c>
      <c r="F167" s="15" t="s">
        <v>607</v>
      </c>
      <c r="G167" s="13" t="s">
        <v>608</v>
      </c>
      <c r="H167" s="13" t="s">
        <v>202</v>
      </c>
      <c r="I167" s="13" t="s">
        <v>7</v>
      </c>
      <c r="J167" s="28" t="s">
        <v>610</v>
      </c>
      <c r="K167" s="13" t="s">
        <v>225</v>
      </c>
      <c r="L167" s="13" t="s">
        <v>226</v>
      </c>
      <c r="M167" s="13" t="s">
        <v>265</v>
      </c>
      <c r="N167" s="13" t="s">
        <v>332</v>
      </c>
      <c r="O167" s="17">
        <v>44007</v>
      </c>
      <c r="P167" s="18">
        <f>IFERROR(VLOOKUP(J167,'[1]Obs Tecnicas'!$D$2:$I$313,5,0),O167)</f>
        <v>44368</v>
      </c>
      <c r="Q167" s="17" t="str">
        <f t="shared" ca="1" si="8"/>
        <v>Calibrado</v>
      </c>
      <c r="R167" s="19">
        <f>IFERROR(VLOOKUP(J167,'[1]Obs Tecnicas'!$D$2:$G$333,2,0),"")</f>
        <v>12626</v>
      </c>
      <c r="S167" s="13" t="str">
        <f>IFERROR(VLOOKUP(J167,'[1]Obs Tecnicas'!$D$2:$G$337,3,0),"Hexis")</f>
        <v>ER ANALITICA</v>
      </c>
      <c r="T167" s="13">
        <f>IFERROR(VLOOKUP(J167,'[1]Obs Tecnicas'!$D$2:$G$337,4,0),"")</f>
        <v>0</v>
      </c>
      <c r="U167" s="14" t="s">
        <v>291</v>
      </c>
      <c r="V167" s="14">
        <f t="shared" si="7"/>
        <v>6</v>
      </c>
      <c r="W167" s="20">
        <f>VLOOKUP(I167,Indicadores!$N$4:$Q$15,4,0)</f>
        <v>329.87</v>
      </c>
    </row>
    <row r="168" spans="1:23" hidden="1">
      <c r="A168" s="13" t="s">
        <v>899</v>
      </c>
      <c r="B168" s="13" t="s">
        <v>603</v>
      </c>
      <c r="C168" s="15" t="s">
        <v>604</v>
      </c>
      <c r="D168" s="13" t="s">
        <v>605</v>
      </c>
      <c r="E168" s="13" t="s">
        <v>606</v>
      </c>
      <c r="F168" s="15" t="s">
        <v>607</v>
      </c>
      <c r="G168" s="13" t="s">
        <v>608</v>
      </c>
      <c r="H168" s="13" t="s">
        <v>202</v>
      </c>
      <c r="I168" s="13" t="s">
        <v>7</v>
      </c>
      <c r="J168" s="28" t="s">
        <v>611</v>
      </c>
      <c r="K168" s="13" t="s">
        <v>225</v>
      </c>
      <c r="L168" s="13" t="s">
        <v>226</v>
      </c>
      <c r="M168" s="13" t="s">
        <v>265</v>
      </c>
      <c r="N168" s="13" t="s">
        <v>332</v>
      </c>
      <c r="O168" s="17">
        <v>44007</v>
      </c>
      <c r="P168" s="18">
        <f>IFERROR(VLOOKUP(J168,'[1]Obs Tecnicas'!$D$2:$I$313,5,0),O168)</f>
        <v>44368</v>
      </c>
      <c r="Q168" s="17" t="str">
        <f t="shared" ca="1" si="8"/>
        <v>Calibrado</v>
      </c>
      <c r="R168" s="19">
        <f>IFERROR(VLOOKUP(J168,'[1]Obs Tecnicas'!$D$2:$G$333,2,0),"")</f>
        <v>12627</v>
      </c>
      <c r="S168" s="13" t="str">
        <f>IFERROR(VLOOKUP(J168,'[1]Obs Tecnicas'!$D$2:$G$337,3,0),"Hexis")</f>
        <v>ER ANALITICA</v>
      </c>
      <c r="T168" s="13">
        <f>IFERROR(VLOOKUP(J168,'[1]Obs Tecnicas'!$D$2:$G$337,4,0),"")</f>
        <v>0</v>
      </c>
      <c r="U168" s="14" t="s">
        <v>291</v>
      </c>
      <c r="V168" s="14">
        <f t="shared" si="7"/>
        <v>6</v>
      </c>
      <c r="W168" s="20">
        <f>VLOOKUP(I168,Indicadores!$N$4:$Q$15,4,0)</f>
        <v>329.87</v>
      </c>
    </row>
    <row r="169" spans="1:23" hidden="1">
      <c r="A169" s="13" t="s">
        <v>899</v>
      </c>
      <c r="B169" s="13" t="s">
        <v>301</v>
      </c>
      <c r="C169" s="15" t="s">
        <v>302</v>
      </c>
      <c r="D169" s="13" t="s">
        <v>303</v>
      </c>
      <c r="E169" s="13" t="s">
        <v>296</v>
      </c>
      <c r="F169" s="15" t="s">
        <v>297</v>
      </c>
      <c r="G169" s="13" t="s">
        <v>298</v>
      </c>
      <c r="H169" s="13" t="s">
        <v>98</v>
      </c>
      <c r="I169" s="13" t="s">
        <v>3</v>
      </c>
      <c r="J169" s="28" t="s">
        <v>612</v>
      </c>
      <c r="K169" s="13" t="s">
        <v>21</v>
      </c>
      <c r="L169" s="13" t="s">
        <v>96</v>
      </c>
      <c r="M169" s="13" t="s">
        <v>304</v>
      </c>
      <c r="N169" s="13" t="s">
        <v>305</v>
      </c>
      <c r="O169" s="17">
        <v>44306</v>
      </c>
      <c r="P169" s="18">
        <f>IFERROR(VLOOKUP(J169,'[1]Obs Tecnicas'!$D$2:$I$313,5,0),O169)</f>
        <v>44623</v>
      </c>
      <c r="Q169" s="17" t="str">
        <f t="shared" ca="1" si="8"/>
        <v>Calibrado</v>
      </c>
      <c r="R169" s="19">
        <f>IFERROR(VLOOKUP(J169,'[1]Obs Tecnicas'!$D$2:$G$333,2,0),"")</f>
        <v>15645</v>
      </c>
      <c r="S169" s="13" t="str">
        <f>IFERROR(VLOOKUP(J169,'[1]Obs Tecnicas'!$D$2:$G$337,3,0),"Hexis")</f>
        <v>ER ANALITICA</v>
      </c>
      <c r="T169" s="13">
        <f>IFERROR(VLOOKUP(J169,'[1]Obs Tecnicas'!$D$2:$G$337,4,0),"")</f>
        <v>0</v>
      </c>
      <c r="U169" s="14" t="s">
        <v>291</v>
      </c>
      <c r="V169" s="14">
        <f t="shared" si="7"/>
        <v>3</v>
      </c>
      <c r="W169" s="20">
        <f>VLOOKUP(I169,Indicadores!$N$4:$Q$15,4,0)</f>
        <v>552.64</v>
      </c>
    </row>
    <row r="170" spans="1:23">
      <c r="A170" s="13" t="s">
        <v>899</v>
      </c>
      <c r="B170" s="24" t="s">
        <v>613</v>
      </c>
      <c r="C170" s="15" t="s">
        <v>614</v>
      </c>
      <c r="D170" s="13" t="s">
        <v>615</v>
      </c>
      <c r="E170" s="13" t="s">
        <v>452</v>
      </c>
      <c r="F170" s="15" t="s">
        <v>453</v>
      </c>
      <c r="G170" s="13" t="s">
        <v>289</v>
      </c>
      <c r="H170" s="13" t="s">
        <v>98</v>
      </c>
      <c r="I170" s="13" t="s">
        <v>9</v>
      </c>
      <c r="J170" s="28" t="s">
        <v>128</v>
      </c>
      <c r="K170" s="13" t="s">
        <v>21</v>
      </c>
      <c r="L170" s="13" t="s">
        <v>29</v>
      </c>
      <c r="M170" s="13" t="s">
        <v>120</v>
      </c>
      <c r="O170" s="17">
        <v>43739</v>
      </c>
      <c r="P170" s="18">
        <f>IFERROR(VLOOKUP(J170,'[1]Obs Tecnicas'!$D$2:$I$313,5,0),O170)</f>
        <v>43739</v>
      </c>
      <c r="Q170" s="17" t="str">
        <f t="shared" ca="1" si="8"/>
        <v>Vencido</v>
      </c>
      <c r="R170" s="19" t="str">
        <f>IFERROR(VLOOKUP(J170,'[1]Obs Tecnicas'!$D$2:$G$333,2,0),"")</f>
        <v/>
      </c>
      <c r="S170" s="13" t="str">
        <f>IFERROR(VLOOKUP(J170,'[1]Obs Tecnicas'!$D$2:$G$337,3,0),"Hexis")</f>
        <v>Hexis</v>
      </c>
      <c r="T170" s="13" t="str">
        <f>IFERROR(VLOOKUP(J170,'[1]Obs Tecnicas'!$D$2:$G$337,4,0),"")</f>
        <v/>
      </c>
      <c r="V170" s="14">
        <f t="shared" si="7"/>
        <v>10</v>
      </c>
      <c r="W170" s="20">
        <f>VLOOKUP(I170,Indicadores!$N$4:$Q$15,4,0)</f>
        <v>521.79999999999995</v>
      </c>
    </row>
    <row r="171" spans="1:23" hidden="1">
      <c r="A171" s="13" t="s">
        <v>899</v>
      </c>
      <c r="B171" s="13" t="s">
        <v>613</v>
      </c>
      <c r="C171" s="15" t="s">
        <v>614</v>
      </c>
      <c r="D171" s="13" t="s">
        <v>615</v>
      </c>
      <c r="E171" s="13" t="s">
        <v>452</v>
      </c>
      <c r="F171" s="15" t="s">
        <v>453</v>
      </c>
      <c r="G171" s="13" t="s">
        <v>289</v>
      </c>
      <c r="H171" s="13" t="s">
        <v>98</v>
      </c>
      <c r="I171" s="13" t="s">
        <v>4</v>
      </c>
      <c r="J171" s="28" t="s">
        <v>616</v>
      </c>
      <c r="K171" s="13" t="s">
        <v>31</v>
      </c>
      <c r="L171" s="13" t="s">
        <v>119</v>
      </c>
      <c r="M171" s="13" t="s">
        <v>120</v>
      </c>
      <c r="N171" s="13" t="s">
        <v>426</v>
      </c>
      <c r="O171" s="17">
        <v>44034</v>
      </c>
      <c r="P171" s="18">
        <f>IFERROR(VLOOKUP(J171,'[1]Obs Tecnicas'!$D$2:$I$313,5,0),O171)</f>
        <v>44469</v>
      </c>
      <c r="Q171" s="17" t="str">
        <f t="shared" ca="1" si="8"/>
        <v>Calibrado</v>
      </c>
      <c r="R171" s="19">
        <f>IFERROR(VLOOKUP(J171,'[1]Obs Tecnicas'!$D$2:$G$333,2,0),"")</f>
        <v>13874</v>
      </c>
      <c r="S171" s="13" t="str">
        <f>IFERROR(VLOOKUP(J171,'[1]Obs Tecnicas'!$D$2:$G$337,3,0),"Hexis")</f>
        <v>ER ANALITICA</v>
      </c>
      <c r="T171" s="13">
        <f>IFERROR(VLOOKUP(J171,'[1]Obs Tecnicas'!$D$2:$G$337,4,0),"")</f>
        <v>0</v>
      </c>
      <c r="U171" s="14" t="s">
        <v>291</v>
      </c>
      <c r="V171" s="14">
        <f t="shared" si="7"/>
        <v>9</v>
      </c>
      <c r="W171" s="20">
        <f>VLOOKUP(I171,Indicadores!$N$4:$Q$15,4,0)</f>
        <v>329.87</v>
      </c>
    </row>
    <row r="172" spans="1:23" hidden="1">
      <c r="A172" s="13" t="s">
        <v>899</v>
      </c>
      <c r="B172" s="24" t="s">
        <v>613</v>
      </c>
      <c r="C172" s="15" t="s">
        <v>614</v>
      </c>
      <c r="D172" s="13" t="s">
        <v>615</v>
      </c>
      <c r="E172" s="13" t="s">
        <v>452</v>
      </c>
      <c r="F172" s="15" t="s">
        <v>453</v>
      </c>
      <c r="G172" s="13" t="s">
        <v>289</v>
      </c>
      <c r="H172" s="13" t="s">
        <v>98</v>
      </c>
      <c r="I172" s="13" t="s">
        <v>4</v>
      </c>
      <c r="J172" s="28" t="s">
        <v>617</v>
      </c>
      <c r="K172" s="13" t="s">
        <v>26</v>
      </c>
      <c r="L172" s="24" t="s">
        <v>27</v>
      </c>
      <c r="M172" s="13" t="s">
        <v>120</v>
      </c>
      <c r="N172" s="13" t="s">
        <v>426</v>
      </c>
      <c r="O172" s="17">
        <v>44034</v>
      </c>
      <c r="P172" s="18">
        <f>IFERROR(VLOOKUP(J172,'[1]Obs Tecnicas'!$D$2:$I$313,5,0),O172)</f>
        <v>44469</v>
      </c>
      <c r="Q172" s="17" t="str">
        <f t="shared" ca="1" si="8"/>
        <v>Calibrado</v>
      </c>
      <c r="R172" s="19">
        <f>IFERROR(VLOOKUP(J172,'[1]Obs Tecnicas'!$D$2:$G$333,2,0),"")</f>
        <v>13875</v>
      </c>
      <c r="S172" s="13" t="str">
        <f>IFERROR(VLOOKUP(J172,'[1]Obs Tecnicas'!$D$2:$G$337,3,0),"Hexis")</f>
        <v>ER ANALITICA</v>
      </c>
      <c r="T172" s="13">
        <f>IFERROR(VLOOKUP(J172,'[1]Obs Tecnicas'!$D$2:$G$337,4,0),"")</f>
        <v>0</v>
      </c>
      <c r="U172" s="14" t="s">
        <v>291</v>
      </c>
      <c r="V172" s="14">
        <f t="shared" si="7"/>
        <v>9</v>
      </c>
      <c r="W172" s="20">
        <f>VLOOKUP(I172,Indicadores!$N$4:$Q$15,4,0)</f>
        <v>329.87</v>
      </c>
    </row>
    <row r="173" spans="1:23" hidden="1">
      <c r="A173" s="13" t="s">
        <v>899</v>
      </c>
      <c r="B173" s="13" t="s">
        <v>613</v>
      </c>
      <c r="C173" s="15" t="s">
        <v>614</v>
      </c>
      <c r="D173" s="13" t="s">
        <v>615</v>
      </c>
      <c r="E173" s="13" t="s">
        <v>452</v>
      </c>
      <c r="F173" s="15" t="s">
        <v>453</v>
      </c>
      <c r="G173" s="13" t="s">
        <v>289</v>
      </c>
      <c r="H173" s="13" t="s">
        <v>98</v>
      </c>
      <c r="I173" s="13" t="s">
        <v>5</v>
      </c>
      <c r="J173" s="28" t="s">
        <v>1485</v>
      </c>
      <c r="K173" s="13" t="s">
        <v>21</v>
      </c>
      <c r="L173" s="13" t="s">
        <v>80</v>
      </c>
      <c r="M173" s="13" t="s">
        <v>120</v>
      </c>
      <c r="N173" s="13" t="s">
        <v>426</v>
      </c>
      <c r="O173" s="17">
        <v>44034</v>
      </c>
      <c r="P173" s="18">
        <f>IFERROR(VLOOKUP(J173,'[1]Obs Tecnicas'!$D$2:$I$313,5,0),O173)</f>
        <v>44469</v>
      </c>
      <c r="Q173" s="17" t="str">
        <f t="shared" ca="1" si="8"/>
        <v>Calibrado</v>
      </c>
      <c r="R173" s="19">
        <f>IFERROR(VLOOKUP(J173,'[1]Obs Tecnicas'!$D$2:$G$333,2,0),"")</f>
        <v>13878</v>
      </c>
      <c r="S173" s="13" t="str">
        <f>IFERROR(VLOOKUP(J173,'[1]Obs Tecnicas'!$D$2:$G$337,3,0),"Hexis")</f>
        <v>ER ANALITICA</v>
      </c>
      <c r="T173" s="13">
        <f>IFERROR(VLOOKUP(J173,'[1]Obs Tecnicas'!$D$2:$G$337,4,0),"")</f>
        <v>0</v>
      </c>
      <c r="U173" s="14" t="s">
        <v>291</v>
      </c>
      <c r="V173" s="14">
        <f t="shared" si="7"/>
        <v>9</v>
      </c>
      <c r="W173" s="20">
        <f>VLOOKUP(I173,Indicadores!$N$4:$Q$15,4,0)</f>
        <v>895.23</v>
      </c>
    </row>
    <row r="174" spans="1:23" hidden="1">
      <c r="A174" s="13" t="s">
        <v>899</v>
      </c>
      <c r="B174" s="24" t="s">
        <v>613</v>
      </c>
      <c r="C174" s="15" t="s">
        <v>614</v>
      </c>
      <c r="D174" s="13" t="s">
        <v>615</v>
      </c>
      <c r="E174" s="13" t="s">
        <v>452</v>
      </c>
      <c r="F174" s="15" t="s">
        <v>453</v>
      </c>
      <c r="G174" s="13" t="s">
        <v>289</v>
      </c>
      <c r="H174" s="13" t="s">
        <v>98</v>
      </c>
      <c r="I174" s="13" t="s">
        <v>835</v>
      </c>
      <c r="J174" s="28" t="s">
        <v>121</v>
      </c>
      <c r="K174" s="13" t="s">
        <v>21</v>
      </c>
      <c r="L174" s="13" t="s">
        <v>108</v>
      </c>
      <c r="M174" s="13" t="s">
        <v>120</v>
      </c>
      <c r="N174" s="13" t="s">
        <v>426</v>
      </c>
      <c r="O174" s="17">
        <v>44034</v>
      </c>
      <c r="P174" s="18">
        <f>IFERROR(VLOOKUP(J174,'[1]Obs Tecnicas'!$D$2:$I$313,5,0),O174)</f>
        <v>44469</v>
      </c>
      <c r="Q174" s="17" t="str">
        <f t="shared" ca="1" si="8"/>
        <v>Calibrado</v>
      </c>
      <c r="R174" s="19">
        <f>IFERROR(VLOOKUP(J174,'[1]Obs Tecnicas'!$D$2:$G$333,2,0),"")</f>
        <v>13879</v>
      </c>
      <c r="S174" s="13" t="str">
        <f>IFERROR(VLOOKUP(J174,'[1]Obs Tecnicas'!$D$2:$G$337,3,0),"Hexis")</f>
        <v>ER ANALITICA</v>
      </c>
      <c r="T174" s="13">
        <f>IFERROR(VLOOKUP(J174,'[1]Obs Tecnicas'!$D$2:$G$337,4,0),"")</f>
        <v>0</v>
      </c>
      <c r="U174" s="14" t="s">
        <v>291</v>
      </c>
      <c r="V174" s="14">
        <f t="shared" si="7"/>
        <v>9</v>
      </c>
      <c r="W174" s="20">
        <f>VLOOKUP(I174,Indicadores!$N$4:$Q$15,4,0)</f>
        <v>546.79</v>
      </c>
    </row>
    <row r="175" spans="1:23">
      <c r="A175" s="13" t="s">
        <v>899</v>
      </c>
      <c r="B175" s="13" t="s">
        <v>613</v>
      </c>
      <c r="C175" s="15" t="s">
        <v>614</v>
      </c>
      <c r="D175" s="13" t="s">
        <v>615</v>
      </c>
      <c r="E175" s="13" t="s">
        <v>452</v>
      </c>
      <c r="F175" s="15" t="s">
        <v>453</v>
      </c>
      <c r="G175" s="13" t="s">
        <v>289</v>
      </c>
      <c r="H175" s="13" t="s">
        <v>98</v>
      </c>
      <c r="I175" s="13" t="s">
        <v>7</v>
      </c>
      <c r="J175" s="28" t="s">
        <v>1486</v>
      </c>
      <c r="K175" s="13" t="s">
        <v>56</v>
      </c>
      <c r="L175" s="13" t="s">
        <v>57</v>
      </c>
      <c r="M175" s="13" t="s">
        <v>120</v>
      </c>
      <c r="N175" s="13" t="s">
        <v>426</v>
      </c>
      <c r="O175" s="17">
        <v>44034</v>
      </c>
      <c r="P175" s="18">
        <f>IFERROR(VLOOKUP(J175,'[1]Obs Tecnicas'!$D$2:$I$313,5,0),O175)</f>
        <v>44034</v>
      </c>
      <c r="Q175" s="17" t="str">
        <f t="shared" ca="1" si="8"/>
        <v>Vencido</v>
      </c>
      <c r="R175" s="19" t="str">
        <f>IFERROR(VLOOKUP(J175,'[1]Obs Tecnicas'!$D$2:$G$333,2,0),"")</f>
        <v/>
      </c>
      <c r="S175" s="13" t="str">
        <f>IFERROR(VLOOKUP(J175,'[1]Obs Tecnicas'!$D$2:$G$337,3,0),"Hexis")</f>
        <v>Hexis</v>
      </c>
      <c r="T175" s="13" t="str">
        <f>IFERROR(VLOOKUP(J175,'[1]Obs Tecnicas'!$D$2:$G$337,4,0),"")</f>
        <v/>
      </c>
      <c r="V175" s="14">
        <f t="shared" si="7"/>
        <v>7</v>
      </c>
      <c r="W175" s="20">
        <f>VLOOKUP(I175,Indicadores!$N$4:$Q$15,4,0)</f>
        <v>329.87</v>
      </c>
    </row>
    <row r="176" spans="1:23" hidden="1">
      <c r="A176" s="13" t="s">
        <v>899</v>
      </c>
      <c r="B176" s="13" t="s">
        <v>613</v>
      </c>
      <c r="C176" s="15" t="s">
        <v>614</v>
      </c>
      <c r="D176" s="13" t="s">
        <v>615</v>
      </c>
      <c r="E176" s="13" t="s">
        <v>452</v>
      </c>
      <c r="F176" s="15" t="s">
        <v>453</v>
      </c>
      <c r="G176" s="13" t="s">
        <v>289</v>
      </c>
      <c r="H176" s="13" t="s">
        <v>98</v>
      </c>
      <c r="I176" s="13" t="s">
        <v>2</v>
      </c>
      <c r="J176" s="28" t="s">
        <v>124</v>
      </c>
      <c r="K176" s="13" t="s">
        <v>125</v>
      </c>
      <c r="L176" s="13" t="s">
        <v>126</v>
      </c>
      <c r="M176" s="13" t="s">
        <v>120</v>
      </c>
      <c r="N176" s="13" t="s">
        <v>426</v>
      </c>
      <c r="O176" s="17">
        <v>44035</v>
      </c>
      <c r="P176" s="18">
        <f>IFERROR(VLOOKUP(J176,'[1]Obs Tecnicas'!$D$2:$I$313,5,0),O176)</f>
        <v>44497</v>
      </c>
      <c r="Q176" s="17" t="str">
        <f t="shared" ca="1" si="8"/>
        <v>Calibrado</v>
      </c>
      <c r="R176" s="19">
        <f>IFERROR(VLOOKUP(J176,'[1]Obs Tecnicas'!$D$2:$G$333,2,0),"")</f>
        <v>14169</v>
      </c>
      <c r="S176" s="13" t="str">
        <f>IFERROR(VLOOKUP(J176,'[1]Obs Tecnicas'!$D$2:$G$337,3,0),"Hexis")</f>
        <v>ER ANALITICA</v>
      </c>
      <c r="T176" s="13">
        <f>IFERROR(VLOOKUP(J176,'[1]Obs Tecnicas'!$D$2:$G$337,4,0),"")</f>
        <v>0</v>
      </c>
      <c r="U176" s="14" t="s">
        <v>291</v>
      </c>
      <c r="V176" s="14">
        <f t="shared" si="7"/>
        <v>10</v>
      </c>
      <c r="W176" s="20">
        <f>VLOOKUP(I176,Indicadores!$N$4:$Q$15,4,0)</f>
        <v>456.77</v>
      </c>
    </row>
    <row r="177" spans="1:23" hidden="1">
      <c r="A177" s="13" t="s">
        <v>899</v>
      </c>
      <c r="B177" s="13" t="s">
        <v>613</v>
      </c>
      <c r="C177" s="15" t="s">
        <v>614</v>
      </c>
      <c r="D177" s="13" t="s">
        <v>615</v>
      </c>
      <c r="E177" s="13" t="s">
        <v>452</v>
      </c>
      <c r="F177" s="15" t="s">
        <v>453</v>
      </c>
      <c r="G177" s="13" t="s">
        <v>289</v>
      </c>
      <c r="H177" s="13" t="s">
        <v>98</v>
      </c>
      <c r="I177" s="13" t="s">
        <v>9</v>
      </c>
      <c r="J177" s="28" t="s">
        <v>127</v>
      </c>
      <c r="K177" s="13" t="s">
        <v>21</v>
      </c>
      <c r="L177" s="13" t="s">
        <v>29</v>
      </c>
      <c r="M177" s="13" t="s">
        <v>120</v>
      </c>
      <c r="N177" s="13" t="s">
        <v>426</v>
      </c>
      <c r="O177" s="17">
        <v>44035</v>
      </c>
      <c r="P177" s="18">
        <f>IFERROR(VLOOKUP(J177,'[1]Obs Tecnicas'!$D$2:$I$313,5,0),O177)</f>
        <v>44497</v>
      </c>
      <c r="Q177" s="17" t="str">
        <f t="shared" ca="1" si="8"/>
        <v>Calibrado</v>
      </c>
      <c r="R177" s="19">
        <f>IFERROR(VLOOKUP(J177,'[1]Obs Tecnicas'!$D$2:$G$333,2,0),"")</f>
        <v>14171</v>
      </c>
      <c r="S177" s="13" t="str">
        <f>IFERROR(VLOOKUP(J177,'[1]Obs Tecnicas'!$D$2:$G$337,3,0),"Hexis")</f>
        <v>ER ANALITICA</v>
      </c>
      <c r="T177" s="13">
        <f>IFERROR(VLOOKUP(J177,'[1]Obs Tecnicas'!$D$2:$G$337,4,0),"")</f>
        <v>0</v>
      </c>
      <c r="U177" s="14" t="s">
        <v>291</v>
      </c>
      <c r="V177" s="14">
        <f t="shared" si="7"/>
        <v>10</v>
      </c>
      <c r="W177" s="20">
        <f>VLOOKUP(I177,Indicadores!$N$4:$Q$15,4,0)</f>
        <v>521.79999999999995</v>
      </c>
    </row>
    <row r="178" spans="1:23" hidden="1">
      <c r="A178" s="13" t="s">
        <v>899</v>
      </c>
      <c r="B178" s="13" t="s">
        <v>618</v>
      </c>
      <c r="C178" s="15" t="s">
        <v>619</v>
      </c>
      <c r="D178" s="13" t="s">
        <v>620</v>
      </c>
      <c r="E178" s="13" t="s">
        <v>399</v>
      </c>
      <c r="F178" s="15" t="s">
        <v>397</v>
      </c>
      <c r="G178" s="13" t="s">
        <v>621</v>
      </c>
      <c r="H178" s="13" t="s">
        <v>202</v>
      </c>
      <c r="I178" s="13" t="s">
        <v>2</v>
      </c>
      <c r="J178" s="28" t="s">
        <v>209</v>
      </c>
      <c r="K178" s="13" t="s">
        <v>48</v>
      </c>
      <c r="L178" s="13" t="s">
        <v>210</v>
      </c>
      <c r="M178" s="13" t="s">
        <v>211</v>
      </c>
      <c r="N178" s="13" t="s">
        <v>332</v>
      </c>
      <c r="O178" s="17">
        <v>44239</v>
      </c>
      <c r="P178" s="18">
        <f>IFERROR(VLOOKUP(J178,'[1]Obs Tecnicas'!$D$2:$I$313,5,0),O178)</f>
        <v>44678</v>
      </c>
      <c r="Q178" s="17" t="str">
        <f t="shared" ca="1" si="8"/>
        <v>Calibrado</v>
      </c>
      <c r="R178" s="19">
        <f>IFERROR(VLOOKUP(J178,'[1]Obs Tecnicas'!$D$2:$G$333,2,0),"")</f>
        <v>16221</v>
      </c>
      <c r="S178" s="13" t="str">
        <f>IFERROR(VLOOKUP(J178,'[1]Obs Tecnicas'!$D$2:$G$337,3,0),"Hexis")</f>
        <v>ER ANALITICA</v>
      </c>
      <c r="T178" s="13" t="str">
        <f>IFERROR(VLOOKUP(J178,'[1]Obs Tecnicas'!$D$2:$G$337,4,0),"")</f>
        <v>Equipamento não aceita ajuste na sua curva de calibração</v>
      </c>
      <c r="U178" s="14" t="s">
        <v>291</v>
      </c>
      <c r="V178" s="14">
        <f t="shared" si="7"/>
        <v>4</v>
      </c>
      <c r="W178" s="20">
        <f>VLOOKUP(I178,Indicadores!$N$4:$Q$15,4,0)</f>
        <v>456.77</v>
      </c>
    </row>
    <row r="179" spans="1:23" hidden="1">
      <c r="A179" s="13" t="s">
        <v>899</v>
      </c>
      <c r="B179" s="13" t="s">
        <v>618</v>
      </c>
      <c r="C179" s="15" t="s">
        <v>619</v>
      </c>
      <c r="D179" s="13" t="s">
        <v>620</v>
      </c>
      <c r="E179" s="13" t="s">
        <v>399</v>
      </c>
      <c r="F179" s="15" t="s">
        <v>397</v>
      </c>
      <c r="G179" s="13" t="s">
        <v>621</v>
      </c>
      <c r="H179" s="13" t="s">
        <v>202</v>
      </c>
      <c r="I179" s="13" t="s">
        <v>7</v>
      </c>
      <c r="J179" s="28" t="s">
        <v>1493</v>
      </c>
      <c r="K179" s="13" t="s">
        <v>56</v>
      </c>
      <c r="L179" s="13" t="s">
        <v>57</v>
      </c>
      <c r="M179" s="13" t="s">
        <v>211</v>
      </c>
      <c r="N179" s="13" t="s">
        <v>332</v>
      </c>
      <c r="O179" s="17">
        <v>44239</v>
      </c>
      <c r="P179" s="18">
        <f>IFERROR(VLOOKUP(J179,'[1]Obs Tecnicas'!$D$2:$I$313,5,0),O179)</f>
        <v>44678</v>
      </c>
      <c r="Q179" s="17" t="str">
        <f t="shared" ca="1" si="8"/>
        <v>Calibrado</v>
      </c>
      <c r="R179" s="19">
        <f>IFERROR(VLOOKUP(J179,'[1]Obs Tecnicas'!$D$2:$G$333,2,0),"")</f>
        <v>16222</v>
      </c>
      <c r="S179" s="13" t="str">
        <f>IFERROR(VLOOKUP(J179,'[1]Obs Tecnicas'!$D$2:$G$337,3,0),"Hexis")</f>
        <v>ER ANALITICA</v>
      </c>
      <c r="T179" s="13">
        <f>IFERROR(VLOOKUP(J179,'[1]Obs Tecnicas'!$D$2:$G$337,4,0),"")</f>
        <v>0</v>
      </c>
      <c r="U179" s="14" t="s">
        <v>291</v>
      </c>
      <c r="V179" s="14">
        <f t="shared" si="7"/>
        <v>4</v>
      </c>
      <c r="W179" s="20">
        <f>VLOOKUP(I179,Indicadores!$N$4:$Q$15,4,0)</f>
        <v>329.87</v>
      </c>
    </row>
    <row r="180" spans="1:23" hidden="1">
      <c r="A180" s="13" t="s">
        <v>899</v>
      </c>
      <c r="B180" s="13" t="s">
        <v>622</v>
      </c>
      <c r="C180" s="15" t="s">
        <v>623</v>
      </c>
      <c r="D180" s="13" t="s">
        <v>624</v>
      </c>
      <c r="E180" s="13" t="s">
        <v>622</v>
      </c>
      <c r="F180" s="15" t="s">
        <v>623</v>
      </c>
      <c r="G180" s="13" t="s">
        <v>625</v>
      </c>
      <c r="H180" s="13" t="s">
        <v>177</v>
      </c>
      <c r="I180" s="13" t="s">
        <v>4</v>
      </c>
      <c r="J180" s="28" t="s">
        <v>626</v>
      </c>
      <c r="K180" s="13" t="s">
        <v>26</v>
      </c>
      <c r="L180" s="24" t="s">
        <v>27</v>
      </c>
      <c r="M180" s="13" t="s">
        <v>182</v>
      </c>
      <c r="N180" s="13" t="s">
        <v>627</v>
      </c>
      <c r="O180" s="17">
        <v>44055</v>
      </c>
      <c r="P180" s="18">
        <f>IFERROR(VLOOKUP(J180,'[1]Obs Tecnicas'!$D$2:$I$313,5,0),O180)</f>
        <v>44424</v>
      </c>
      <c r="Q180" s="17" t="str">
        <f t="shared" ca="1" si="8"/>
        <v>Calibrado</v>
      </c>
      <c r="R180" s="19">
        <f>IFERROR(VLOOKUP(J180,'[1]Obs Tecnicas'!$D$2:$G$333,2,0),"")</f>
        <v>13447</v>
      </c>
      <c r="S180" s="13" t="str">
        <f>IFERROR(VLOOKUP(J180,'[1]Obs Tecnicas'!$D$2:$G$337,3,0),"Hexis")</f>
        <v>ER ANALITICA</v>
      </c>
      <c r="T180" s="13">
        <f>IFERROR(VLOOKUP(J180,'[1]Obs Tecnicas'!$D$2:$G$337,4,0),"")</f>
        <v>0</v>
      </c>
      <c r="U180" s="14" t="s">
        <v>291</v>
      </c>
      <c r="V180" s="14">
        <f t="shared" si="7"/>
        <v>8</v>
      </c>
      <c r="W180" s="20">
        <f>VLOOKUP(I180,Indicadores!$N$4:$Q$15,4,0)</f>
        <v>329.87</v>
      </c>
    </row>
    <row r="181" spans="1:23" hidden="1">
      <c r="A181" s="13" t="s">
        <v>899</v>
      </c>
      <c r="B181" s="13" t="s">
        <v>622</v>
      </c>
      <c r="C181" s="15" t="s">
        <v>623</v>
      </c>
      <c r="D181" s="13" t="s">
        <v>624</v>
      </c>
      <c r="E181" s="13" t="s">
        <v>622</v>
      </c>
      <c r="F181" s="15" t="s">
        <v>623</v>
      </c>
      <c r="G181" s="13" t="s">
        <v>625</v>
      </c>
      <c r="H181" s="13" t="s">
        <v>177</v>
      </c>
      <c r="I181" s="13" t="s">
        <v>2</v>
      </c>
      <c r="J181" s="28" t="s">
        <v>628</v>
      </c>
      <c r="K181" s="13" t="s">
        <v>48</v>
      </c>
      <c r="L181" s="13" t="s">
        <v>194</v>
      </c>
      <c r="M181" s="13" t="s">
        <v>182</v>
      </c>
      <c r="N181" s="13" t="s">
        <v>627</v>
      </c>
      <c r="O181" s="17">
        <v>44056</v>
      </c>
      <c r="P181" s="18">
        <f>IFERROR(VLOOKUP(J181,'[1]Obs Tecnicas'!$D$2:$I$313,5,0),O181)</f>
        <v>44426</v>
      </c>
      <c r="Q181" s="17" t="str">
        <f t="shared" ca="1" si="8"/>
        <v>Calibrado</v>
      </c>
      <c r="R181" s="19">
        <f>IFERROR(VLOOKUP(J181,'[1]Obs Tecnicas'!$D$2:$G$333,2,0),"")</f>
        <v>13443</v>
      </c>
      <c r="S181" s="13" t="str">
        <f>IFERROR(VLOOKUP(J181,'[1]Obs Tecnicas'!$D$2:$G$337,3,0),"Hexis")</f>
        <v>ER ANALITICA</v>
      </c>
      <c r="T181" s="13">
        <f>IFERROR(VLOOKUP(J181,'[1]Obs Tecnicas'!$D$2:$G$337,4,0),"")</f>
        <v>0</v>
      </c>
      <c r="U181" s="14" t="s">
        <v>291</v>
      </c>
      <c r="V181" s="14">
        <f t="shared" si="7"/>
        <v>8</v>
      </c>
      <c r="W181" s="20">
        <f>VLOOKUP(I181,Indicadores!$N$4:$Q$15,4,0)</f>
        <v>456.77</v>
      </c>
    </row>
    <row r="182" spans="1:23" hidden="1">
      <c r="A182" s="13" t="s">
        <v>899</v>
      </c>
      <c r="B182" s="13" t="s">
        <v>622</v>
      </c>
      <c r="C182" s="15" t="s">
        <v>623</v>
      </c>
      <c r="D182" s="13" t="s">
        <v>624</v>
      </c>
      <c r="E182" s="13" t="s">
        <v>622</v>
      </c>
      <c r="F182" s="15" t="s">
        <v>623</v>
      </c>
      <c r="G182" s="13" t="s">
        <v>625</v>
      </c>
      <c r="H182" s="13" t="s">
        <v>177</v>
      </c>
      <c r="I182" s="13" t="s">
        <v>3</v>
      </c>
      <c r="J182" s="28" t="s">
        <v>629</v>
      </c>
      <c r="K182" s="13" t="s">
        <v>21</v>
      </c>
      <c r="L182" s="13" t="s">
        <v>96</v>
      </c>
      <c r="M182" s="13" t="s">
        <v>182</v>
      </c>
      <c r="N182" s="13" t="s">
        <v>627</v>
      </c>
      <c r="O182" s="17">
        <v>44056</v>
      </c>
      <c r="P182" s="18">
        <f>IFERROR(VLOOKUP(J182,'[1]Obs Tecnicas'!$D$2:$I$313,5,0),O182)</f>
        <v>44424</v>
      </c>
      <c r="Q182" s="17" t="str">
        <f t="shared" ca="1" si="8"/>
        <v>Calibrado</v>
      </c>
      <c r="R182" s="19">
        <f>IFERROR(VLOOKUP(J182,'[1]Obs Tecnicas'!$D$2:$G$333,2,0),"")</f>
        <v>13445</v>
      </c>
      <c r="S182" s="13" t="str">
        <f>IFERROR(VLOOKUP(J182,'[1]Obs Tecnicas'!$D$2:$G$337,3,0),"Hexis")</f>
        <v>ER ANALITICA</v>
      </c>
      <c r="T182" s="13">
        <f>IFERROR(VLOOKUP(J182,'[1]Obs Tecnicas'!$D$2:$G$337,4,0),"")</f>
        <v>0</v>
      </c>
      <c r="U182" s="14" t="s">
        <v>291</v>
      </c>
      <c r="V182" s="14">
        <f t="shared" si="7"/>
        <v>8</v>
      </c>
      <c r="W182" s="20">
        <f>VLOOKUP(I182,Indicadores!$N$4:$Q$15,4,0)</f>
        <v>552.64</v>
      </c>
    </row>
    <row r="183" spans="1:23" hidden="1">
      <c r="A183" s="13" t="s">
        <v>899</v>
      </c>
      <c r="B183" s="13" t="s">
        <v>622</v>
      </c>
      <c r="C183" s="15" t="s">
        <v>623</v>
      </c>
      <c r="D183" s="13" t="s">
        <v>624</v>
      </c>
      <c r="E183" s="13" t="s">
        <v>622</v>
      </c>
      <c r="F183" s="15" t="s">
        <v>623</v>
      </c>
      <c r="G183" s="13" t="s">
        <v>625</v>
      </c>
      <c r="H183" s="13" t="s">
        <v>177</v>
      </c>
      <c r="I183" s="13" t="s">
        <v>3</v>
      </c>
      <c r="J183" s="28" t="s">
        <v>630</v>
      </c>
      <c r="K183" s="13" t="s">
        <v>21</v>
      </c>
      <c r="L183" s="13" t="s">
        <v>96</v>
      </c>
      <c r="M183" s="13" t="s">
        <v>182</v>
      </c>
      <c r="N183" s="13" t="s">
        <v>627</v>
      </c>
      <c r="O183" s="17">
        <v>44056</v>
      </c>
      <c r="P183" s="18">
        <f>IFERROR(VLOOKUP(J183,'[1]Obs Tecnicas'!$D$2:$I$313,5,0),O183)</f>
        <v>44424</v>
      </c>
      <c r="Q183" s="17" t="str">
        <f t="shared" ca="1" si="8"/>
        <v>Calibrado</v>
      </c>
      <c r="R183" s="19">
        <f>IFERROR(VLOOKUP(J183,'[1]Obs Tecnicas'!$D$2:$G$333,2,0),"")</f>
        <v>13444</v>
      </c>
      <c r="S183" s="13" t="str">
        <f>IFERROR(VLOOKUP(J183,'[1]Obs Tecnicas'!$D$2:$G$337,3,0),"Hexis")</f>
        <v>ER ANALITICA</v>
      </c>
      <c r="T183" s="13">
        <f>IFERROR(VLOOKUP(J183,'[1]Obs Tecnicas'!$D$2:$G$337,4,0),"")</f>
        <v>0</v>
      </c>
      <c r="U183" s="14" t="s">
        <v>291</v>
      </c>
      <c r="V183" s="14">
        <f t="shared" si="7"/>
        <v>8</v>
      </c>
      <c r="W183" s="20">
        <f>VLOOKUP(I183,Indicadores!$N$4:$Q$15,4,0)</f>
        <v>552.64</v>
      </c>
    </row>
    <row r="184" spans="1:23" hidden="1">
      <c r="A184" s="13" t="s">
        <v>899</v>
      </c>
      <c r="B184" s="13" t="s">
        <v>622</v>
      </c>
      <c r="C184" s="15" t="s">
        <v>623</v>
      </c>
      <c r="D184" s="13" t="s">
        <v>624</v>
      </c>
      <c r="E184" s="13" t="s">
        <v>622</v>
      </c>
      <c r="F184" s="15" t="s">
        <v>623</v>
      </c>
      <c r="G184" s="13" t="s">
        <v>625</v>
      </c>
      <c r="H184" s="13" t="s">
        <v>177</v>
      </c>
      <c r="I184" s="13" t="s">
        <v>4</v>
      </c>
      <c r="J184" s="28" t="s">
        <v>631</v>
      </c>
      <c r="K184" s="13" t="s">
        <v>26</v>
      </c>
      <c r="L184" s="24" t="s">
        <v>27</v>
      </c>
      <c r="M184" s="13" t="s">
        <v>182</v>
      </c>
      <c r="N184" s="13" t="s">
        <v>627</v>
      </c>
      <c r="O184" s="17">
        <v>44056</v>
      </c>
      <c r="P184" s="18">
        <f>IFERROR(VLOOKUP(J184,'[1]Obs Tecnicas'!$D$2:$I$313,5,0),O184)</f>
        <v>44424</v>
      </c>
      <c r="Q184" s="17" t="str">
        <f t="shared" ca="1" si="8"/>
        <v>Calibrado</v>
      </c>
      <c r="R184" s="19">
        <f>IFERROR(VLOOKUP(J184,'[1]Obs Tecnicas'!$D$2:$G$333,2,0),"")</f>
        <v>13446</v>
      </c>
      <c r="S184" s="13" t="str">
        <f>IFERROR(VLOOKUP(J184,'[1]Obs Tecnicas'!$D$2:$G$337,3,0),"Hexis")</f>
        <v>ER ANALITICA</v>
      </c>
      <c r="T184" s="13">
        <f>IFERROR(VLOOKUP(J184,'[1]Obs Tecnicas'!$D$2:$G$337,4,0),"")</f>
        <v>0</v>
      </c>
      <c r="U184" s="14" t="s">
        <v>291</v>
      </c>
      <c r="V184" s="14">
        <f t="shared" si="7"/>
        <v>8</v>
      </c>
      <c r="W184" s="20">
        <f>VLOOKUP(I184,Indicadores!$N$4:$Q$15,4,0)</f>
        <v>329.87</v>
      </c>
    </row>
    <row r="185" spans="1:23" hidden="1">
      <c r="A185" s="13" t="s">
        <v>899</v>
      </c>
      <c r="B185" s="13" t="s">
        <v>622</v>
      </c>
      <c r="C185" s="15" t="s">
        <v>623</v>
      </c>
      <c r="D185" s="13" t="s">
        <v>624</v>
      </c>
      <c r="E185" s="13" t="s">
        <v>622</v>
      </c>
      <c r="F185" s="15" t="s">
        <v>623</v>
      </c>
      <c r="G185" s="13" t="s">
        <v>625</v>
      </c>
      <c r="H185" s="13" t="s">
        <v>177</v>
      </c>
      <c r="I185" s="13" t="s">
        <v>5</v>
      </c>
      <c r="J185" s="28" t="s">
        <v>632</v>
      </c>
      <c r="K185" s="13" t="s">
        <v>21</v>
      </c>
      <c r="L185" s="13" t="s">
        <v>34</v>
      </c>
      <c r="M185" s="13" t="s">
        <v>182</v>
      </c>
      <c r="N185" s="13" t="s">
        <v>627</v>
      </c>
      <c r="O185" s="17">
        <v>44056</v>
      </c>
      <c r="P185" s="18">
        <f>IFERROR(VLOOKUP(J185,'[1]Obs Tecnicas'!$D$2:$I$313,5,0),O185)</f>
        <v>44426</v>
      </c>
      <c r="Q185" s="17" t="str">
        <f t="shared" ca="1" si="8"/>
        <v>Calibrado</v>
      </c>
      <c r="R185" s="19">
        <f>IFERROR(VLOOKUP(J185,'[1]Obs Tecnicas'!$D$2:$G$333,2,0),"")</f>
        <v>13442</v>
      </c>
      <c r="S185" s="13" t="str">
        <f>IFERROR(VLOOKUP(J185,'[1]Obs Tecnicas'!$D$2:$G$337,3,0),"Hexis")</f>
        <v>ER ANALITICA</v>
      </c>
      <c r="T185" s="13" t="str">
        <f>IFERROR(VLOOKUP(J185,'[1]Obs Tecnicas'!$D$2:$G$337,4,0),"")</f>
        <v>Filtro optico BG370 e compartimento de cubeta com avarias, além da bateria de litio estar com carga abaixo do recomendado pelo fabricante</v>
      </c>
      <c r="U185" s="14" t="s">
        <v>291</v>
      </c>
      <c r="V185" s="14">
        <f t="shared" si="7"/>
        <v>8</v>
      </c>
      <c r="W185" s="20">
        <f>VLOOKUP(I185,Indicadores!$N$4:$Q$15,4,0)</f>
        <v>895.23</v>
      </c>
    </row>
    <row r="186" spans="1:23" hidden="1">
      <c r="A186" s="13" t="s">
        <v>899</v>
      </c>
      <c r="B186" s="13" t="s">
        <v>622</v>
      </c>
      <c r="C186" s="15" t="s">
        <v>623</v>
      </c>
      <c r="D186" s="13" t="s">
        <v>624</v>
      </c>
      <c r="E186" s="13" t="s">
        <v>622</v>
      </c>
      <c r="F186" s="15" t="s">
        <v>623</v>
      </c>
      <c r="G186" s="13" t="s">
        <v>625</v>
      </c>
      <c r="H186" s="13" t="s">
        <v>177</v>
      </c>
      <c r="I186" s="13" t="s">
        <v>835</v>
      </c>
      <c r="J186" s="28" t="s">
        <v>633</v>
      </c>
      <c r="K186" s="13" t="s">
        <v>189</v>
      </c>
      <c r="L186" s="13" t="s">
        <v>190</v>
      </c>
      <c r="M186" s="13" t="s">
        <v>182</v>
      </c>
      <c r="N186" s="13" t="s">
        <v>627</v>
      </c>
      <c r="O186" s="17">
        <v>44056</v>
      </c>
      <c r="P186" s="18">
        <f>IFERROR(VLOOKUP(J186,'[1]Obs Tecnicas'!$D$2:$I$313,5,0),O186)</f>
        <v>44424</v>
      </c>
      <c r="Q186" s="17" t="str">
        <f t="shared" ca="1" si="8"/>
        <v>Calibrado</v>
      </c>
      <c r="R186" s="19">
        <f>IFERROR(VLOOKUP(J186,'[1]Obs Tecnicas'!$D$2:$G$333,2,0),"")</f>
        <v>13449</v>
      </c>
      <c r="S186" s="13" t="str">
        <f>IFERROR(VLOOKUP(J186,'[1]Obs Tecnicas'!$D$2:$G$337,3,0),"Hexis")</f>
        <v>ER ANALITICA</v>
      </c>
      <c r="T186" s="13">
        <f>IFERROR(VLOOKUP(J186,'[1]Obs Tecnicas'!$D$2:$G$337,4,0),"")</f>
        <v>0</v>
      </c>
      <c r="U186" s="14" t="s">
        <v>291</v>
      </c>
      <c r="V186" s="14">
        <f t="shared" si="7"/>
        <v>8</v>
      </c>
      <c r="W186" s="20">
        <f>VLOOKUP(I186,Indicadores!$N$4:$Q$15,4,0)</f>
        <v>546.79</v>
      </c>
    </row>
    <row r="187" spans="1:23" hidden="1">
      <c r="A187" s="13" t="s">
        <v>899</v>
      </c>
      <c r="B187" s="13" t="s">
        <v>622</v>
      </c>
      <c r="C187" s="15" t="s">
        <v>623</v>
      </c>
      <c r="D187" s="13" t="s">
        <v>624</v>
      </c>
      <c r="E187" s="13" t="s">
        <v>622</v>
      </c>
      <c r="F187" s="15" t="s">
        <v>623</v>
      </c>
      <c r="G187" s="13" t="s">
        <v>625</v>
      </c>
      <c r="H187" s="13" t="s">
        <v>177</v>
      </c>
      <c r="I187" s="13" t="s">
        <v>7</v>
      </c>
      <c r="J187" s="28" t="s">
        <v>634</v>
      </c>
      <c r="K187" s="13" t="s">
        <v>56</v>
      </c>
      <c r="L187" s="13" t="s">
        <v>57</v>
      </c>
      <c r="M187" s="13" t="s">
        <v>182</v>
      </c>
      <c r="N187" s="13" t="s">
        <v>627</v>
      </c>
      <c r="O187" s="17">
        <v>44056</v>
      </c>
      <c r="P187" s="18">
        <f>IFERROR(VLOOKUP(J187,'[1]Obs Tecnicas'!$D$2:$I$313,5,0),O187)</f>
        <v>44424</v>
      </c>
      <c r="Q187" s="17" t="str">
        <f t="shared" ca="1" si="8"/>
        <v>Calibrado</v>
      </c>
      <c r="R187" s="19">
        <f>IFERROR(VLOOKUP(J187,'[1]Obs Tecnicas'!$D$2:$G$333,2,0),"")</f>
        <v>13452</v>
      </c>
      <c r="S187" s="13" t="str">
        <f>IFERROR(VLOOKUP(J187,'[1]Obs Tecnicas'!$D$2:$G$337,3,0),"Hexis")</f>
        <v>ER ANALITICA</v>
      </c>
      <c r="T187" s="13" t="str">
        <f>IFERROR(VLOOKUP(J187,'[1]Obs Tecnicas'!$D$2:$G$337,4,0),"")</f>
        <v>Não liberado, devido avarias na curva e não aceita calibração. Necessário envio a ER</v>
      </c>
      <c r="U187" s="14" t="s">
        <v>291</v>
      </c>
      <c r="V187" s="14">
        <f t="shared" si="7"/>
        <v>8</v>
      </c>
      <c r="W187" s="20">
        <f>VLOOKUP(I187,Indicadores!$N$4:$Q$15,4,0)</f>
        <v>329.87</v>
      </c>
    </row>
    <row r="188" spans="1:23" hidden="1">
      <c r="A188" s="13" t="s">
        <v>899</v>
      </c>
      <c r="B188" s="13" t="s">
        <v>622</v>
      </c>
      <c r="C188" s="15" t="s">
        <v>623</v>
      </c>
      <c r="D188" s="13" t="s">
        <v>624</v>
      </c>
      <c r="E188" s="13" t="s">
        <v>622</v>
      </c>
      <c r="F188" s="15" t="s">
        <v>623</v>
      </c>
      <c r="G188" s="13" t="s">
        <v>625</v>
      </c>
      <c r="H188" s="13" t="s">
        <v>177</v>
      </c>
      <c r="I188" s="13" t="s">
        <v>7</v>
      </c>
      <c r="J188" s="28" t="s">
        <v>635</v>
      </c>
      <c r="K188" s="13" t="s">
        <v>56</v>
      </c>
      <c r="L188" s="13" t="s">
        <v>57</v>
      </c>
      <c r="M188" s="13" t="s">
        <v>182</v>
      </c>
      <c r="N188" s="13" t="s">
        <v>627</v>
      </c>
      <c r="O188" s="17">
        <v>44056</v>
      </c>
      <c r="P188" s="18">
        <f>IFERROR(VLOOKUP(J188,'[1]Obs Tecnicas'!$D$2:$I$313,5,0),O188)</f>
        <v>44424</v>
      </c>
      <c r="Q188" s="17" t="str">
        <f t="shared" ca="1" si="8"/>
        <v>Calibrado</v>
      </c>
      <c r="R188" s="19">
        <f>IFERROR(VLOOKUP(J188,'[1]Obs Tecnicas'!$D$2:$G$333,2,0),"")</f>
        <v>13456</v>
      </c>
      <c r="S188" s="13" t="str">
        <f>IFERROR(VLOOKUP(J188,'[1]Obs Tecnicas'!$D$2:$G$337,3,0),"Hexis")</f>
        <v>ER ANALITICA</v>
      </c>
      <c r="T188" s="13">
        <f>IFERROR(VLOOKUP(J188,'[1]Obs Tecnicas'!$D$2:$G$337,4,0),"")</f>
        <v>0</v>
      </c>
      <c r="U188" s="14" t="s">
        <v>291</v>
      </c>
      <c r="V188" s="14">
        <f t="shared" si="7"/>
        <v>8</v>
      </c>
      <c r="W188" s="20">
        <f>VLOOKUP(I188,Indicadores!$N$4:$Q$15,4,0)</f>
        <v>329.87</v>
      </c>
    </row>
    <row r="189" spans="1:23" hidden="1">
      <c r="A189" s="13" t="s">
        <v>899</v>
      </c>
      <c r="B189" s="13" t="s">
        <v>622</v>
      </c>
      <c r="C189" s="15" t="s">
        <v>623</v>
      </c>
      <c r="D189" s="13" t="s">
        <v>624</v>
      </c>
      <c r="E189" s="13" t="s">
        <v>622</v>
      </c>
      <c r="F189" s="15" t="s">
        <v>623</v>
      </c>
      <c r="G189" s="13" t="s">
        <v>625</v>
      </c>
      <c r="H189" s="13" t="s">
        <v>177</v>
      </c>
      <c r="I189" s="13" t="s">
        <v>7</v>
      </c>
      <c r="J189" s="28" t="s">
        <v>636</v>
      </c>
      <c r="K189" s="13" t="s">
        <v>56</v>
      </c>
      <c r="L189" s="13" t="s">
        <v>57</v>
      </c>
      <c r="M189" s="13" t="s">
        <v>182</v>
      </c>
      <c r="N189" s="13" t="s">
        <v>627</v>
      </c>
      <c r="O189" s="17">
        <v>44056</v>
      </c>
      <c r="P189" s="18">
        <f>IFERROR(VLOOKUP(J189,'[1]Obs Tecnicas'!$D$2:$I$313,5,0),O189)</f>
        <v>44424</v>
      </c>
      <c r="Q189" s="17" t="str">
        <f t="shared" ca="1" si="8"/>
        <v>Calibrado</v>
      </c>
      <c r="R189" s="19">
        <f>IFERROR(VLOOKUP(J189,'[1]Obs Tecnicas'!$D$2:$G$333,2,0),"")</f>
        <v>13458</v>
      </c>
      <c r="S189" s="13" t="str">
        <f>IFERROR(VLOOKUP(J189,'[1]Obs Tecnicas'!$D$2:$G$337,3,0),"Hexis")</f>
        <v>ER ANALITICA</v>
      </c>
      <c r="T189" s="13" t="str">
        <f>IFERROR(VLOOKUP(J189,'[1]Obs Tecnicas'!$D$2:$G$337,4,0),"")</f>
        <v>Equipamentos incluidos.</v>
      </c>
      <c r="U189" s="14" t="s">
        <v>291</v>
      </c>
      <c r="V189" s="14">
        <f t="shared" si="7"/>
        <v>8</v>
      </c>
      <c r="W189" s="20">
        <f>VLOOKUP(I189,Indicadores!$N$4:$Q$15,4,0)</f>
        <v>329.87</v>
      </c>
    </row>
    <row r="190" spans="1:23" hidden="1">
      <c r="A190" s="13" t="s">
        <v>899</v>
      </c>
      <c r="B190" s="13" t="s">
        <v>622</v>
      </c>
      <c r="C190" s="15" t="s">
        <v>623</v>
      </c>
      <c r="D190" s="13" t="s">
        <v>624</v>
      </c>
      <c r="E190" s="13" t="s">
        <v>622</v>
      </c>
      <c r="F190" s="15" t="s">
        <v>623</v>
      </c>
      <c r="G190" s="13" t="s">
        <v>625</v>
      </c>
      <c r="H190" s="13" t="s">
        <v>177</v>
      </c>
      <c r="I190" s="13" t="s">
        <v>7</v>
      </c>
      <c r="J190" s="28" t="s">
        <v>637</v>
      </c>
      <c r="K190" s="13" t="s">
        <v>56</v>
      </c>
      <c r="L190" s="13" t="s">
        <v>57</v>
      </c>
      <c r="M190" s="13" t="s">
        <v>182</v>
      </c>
      <c r="N190" s="13" t="s">
        <v>627</v>
      </c>
      <c r="O190" s="17">
        <v>44056</v>
      </c>
      <c r="P190" s="18">
        <f>IFERROR(VLOOKUP(J190,'[1]Obs Tecnicas'!$D$2:$I$313,5,0),O190)</f>
        <v>44424</v>
      </c>
      <c r="Q190" s="17" t="str">
        <f t="shared" ca="1" si="8"/>
        <v>Calibrado</v>
      </c>
      <c r="R190" s="19">
        <f>IFERROR(VLOOKUP(J190,'[1]Obs Tecnicas'!$D$2:$G$333,2,0),"")</f>
        <v>13438</v>
      </c>
      <c r="S190" s="13" t="str">
        <f>IFERROR(VLOOKUP(J190,'[1]Obs Tecnicas'!$D$2:$G$337,3,0),"Hexis")</f>
        <v>ER ANALITICA</v>
      </c>
      <c r="T190" s="13" t="str">
        <f>IFERROR(VLOOKUP(J190,'[1]Obs Tecnicas'!$D$2:$G$337,4,0),"")</f>
        <v>Mascara do teclado com avarias.</v>
      </c>
      <c r="U190" s="14" t="s">
        <v>291</v>
      </c>
      <c r="V190" s="14">
        <f t="shared" si="7"/>
        <v>8</v>
      </c>
      <c r="W190" s="20">
        <f>VLOOKUP(I190,Indicadores!$N$4:$Q$15,4,0)</f>
        <v>329.87</v>
      </c>
    </row>
    <row r="191" spans="1:23" hidden="1">
      <c r="A191" s="13" t="s">
        <v>899</v>
      </c>
      <c r="B191" s="13" t="s">
        <v>622</v>
      </c>
      <c r="C191" s="15" t="s">
        <v>623</v>
      </c>
      <c r="D191" s="13" t="s">
        <v>624</v>
      </c>
      <c r="E191" s="13" t="s">
        <v>622</v>
      </c>
      <c r="F191" s="15" t="s">
        <v>623</v>
      </c>
      <c r="G191" s="13" t="s">
        <v>625</v>
      </c>
      <c r="H191" s="13" t="s">
        <v>177</v>
      </c>
      <c r="I191" s="13" t="s">
        <v>8</v>
      </c>
      <c r="J191" s="28" t="s">
        <v>638</v>
      </c>
      <c r="K191" s="13" t="s">
        <v>21</v>
      </c>
      <c r="L191" s="13" t="s">
        <v>44</v>
      </c>
      <c r="M191" s="13" t="s">
        <v>182</v>
      </c>
      <c r="N191" s="13" t="s">
        <v>627</v>
      </c>
      <c r="O191" s="17">
        <v>44056</v>
      </c>
      <c r="P191" s="18">
        <f>IFERROR(VLOOKUP(J191,'[1]Obs Tecnicas'!$D$2:$I$313,5,0),O191)</f>
        <v>44426</v>
      </c>
      <c r="Q191" s="17" t="str">
        <f t="shared" ca="1" si="8"/>
        <v>Calibrado</v>
      </c>
      <c r="R191" s="19">
        <f>IFERROR(VLOOKUP(J191,'[1]Obs Tecnicas'!$D$2:$G$333,2,0),"")</f>
        <v>13455</v>
      </c>
      <c r="S191" s="13" t="str">
        <f>IFERROR(VLOOKUP(J191,'[1]Obs Tecnicas'!$D$2:$G$337,3,0),"Hexis")</f>
        <v>ER ANALITICA</v>
      </c>
      <c r="T191" s="13">
        <f>IFERROR(VLOOKUP(J191,'[1]Obs Tecnicas'!$D$2:$G$337,4,0),"")</f>
        <v>0</v>
      </c>
      <c r="U191" s="14" t="s">
        <v>291</v>
      </c>
      <c r="V191" s="14">
        <f t="shared" si="7"/>
        <v>8</v>
      </c>
      <c r="W191" s="20">
        <f>VLOOKUP(I191,Indicadores!$N$4:$Q$15,4,0)</f>
        <v>462.11</v>
      </c>
    </row>
    <row r="192" spans="1:23" hidden="1">
      <c r="A192" s="13" t="s">
        <v>899</v>
      </c>
      <c r="B192" s="13" t="s">
        <v>622</v>
      </c>
      <c r="C192" s="15" t="s">
        <v>623</v>
      </c>
      <c r="D192" s="13" t="s">
        <v>624</v>
      </c>
      <c r="E192" s="13" t="s">
        <v>622</v>
      </c>
      <c r="F192" s="15" t="s">
        <v>623</v>
      </c>
      <c r="G192" s="13" t="s">
        <v>625</v>
      </c>
      <c r="H192" s="13" t="s">
        <v>177</v>
      </c>
      <c r="I192" s="13" t="s">
        <v>7</v>
      </c>
      <c r="J192" s="28" t="s">
        <v>639</v>
      </c>
      <c r="K192" s="13" t="s">
        <v>56</v>
      </c>
      <c r="L192" s="13" t="s">
        <v>57</v>
      </c>
      <c r="M192" s="13" t="s">
        <v>182</v>
      </c>
      <c r="N192" s="13" t="s">
        <v>627</v>
      </c>
      <c r="O192" s="17">
        <v>44057</v>
      </c>
      <c r="P192" s="18">
        <f>IFERROR(VLOOKUP(J192,'[1]Obs Tecnicas'!$D$2:$I$313,5,0),O192)</f>
        <v>44424</v>
      </c>
      <c r="Q192" s="17" t="str">
        <f t="shared" ca="1" si="8"/>
        <v>Calibrado</v>
      </c>
      <c r="R192" s="19">
        <f>IFERROR(VLOOKUP(J192,'[1]Obs Tecnicas'!$D$2:$G$333,2,0),"")</f>
        <v>13451</v>
      </c>
      <c r="S192" s="13" t="str">
        <f>IFERROR(VLOOKUP(J192,'[1]Obs Tecnicas'!$D$2:$G$337,3,0),"Hexis")</f>
        <v>ER ANALITICA</v>
      </c>
      <c r="T192" s="13" t="str">
        <f>IFERROR(VLOOKUP(J192,'[1]Obs Tecnicas'!$D$2:$G$337,4,0),"")</f>
        <v>Mascara do teclado com avarias.</v>
      </c>
      <c r="U192" s="14" t="s">
        <v>291</v>
      </c>
      <c r="V192" s="14">
        <f t="shared" ref="V192:V256" si="9">IF(P192&lt;&gt;"",MONTH(P192),"")</f>
        <v>8</v>
      </c>
      <c r="W192" s="20">
        <f>VLOOKUP(I192,Indicadores!$N$4:$Q$15,4,0)</f>
        <v>329.87</v>
      </c>
    </row>
    <row r="193" spans="1:23" hidden="1">
      <c r="A193" s="13" t="s">
        <v>899</v>
      </c>
      <c r="B193" s="13" t="s">
        <v>640</v>
      </c>
      <c r="C193" s="15" t="s">
        <v>641</v>
      </c>
      <c r="D193" s="13" t="s">
        <v>642</v>
      </c>
      <c r="E193" s="13" t="s">
        <v>640</v>
      </c>
      <c r="F193" s="15" t="s">
        <v>641</v>
      </c>
      <c r="G193" s="13" t="s">
        <v>330</v>
      </c>
      <c r="H193" s="13" t="s">
        <v>98</v>
      </c>
      <c r="I193" s="13" t="s">
        <v>3</v>
      </c>
      <c r="J193" s="28" t="s">
        <v>111</v>
      </c>
      <c r="K193" s="13" t="s">
        <v>21</v>
      </c>
      <c r="L193" s="13" t="s">
        <v>22</v>
      </c>
      <c r="M193" s="13" t="s">
        <v>109</v>
      </c>
      <c r="N193" s="13" t="s">
        <v>643</v>
      </c>
      <c r="O193" s="17">
        <v>44040</v>
      </c>
      <c r="P193" s="18">
        <f>IFERROR(VLOOKUP(J193,'[1]Obs Tecnicas'!$D$2:$I$313,5,0),O193)</f>
        <v>44404</v>
      </c>
      <c r="Q193" s="17" t="str">
        <f t="shared" ca="1" si="8"/>
        <v>Calibrado</v>
      </c>
      <c r="R193" s="19">
        <f>IFERROR(VLOOKUP(J193,'[1]Obs Tecnicas'!$D$2:$G$333,2,0),"")</f>
        <v>13244</v>
      </c>
      <c r="S193" s="13" t="str">
        <f>IFERROR(VLOOKUP(J193,'[1]Obs Tecnicas'!$D$2:$G$337,3,0),"Hexis")</f>
        <v>ER ANALITICA</v>
      </c>
      <c r="T193" s="13" t="str">
        <f>IFERROR(VLOOKUP(J193,'[1]Obs Tecnicas'!$D$2:$G$337,4,0),"")</f>
        <v>Compartimento de pilhas oxidado, recomendado a troca na próxima manutenção.</v>
      </c>
      <c r="U193" s="14" t="s">
        <v>291</v>
      </c>
      <c r="V193" s="14">
        <f t="shared" si="9"/>
        <v>7</v>
      </c>
      <c r="W193" s="20">
        <f>VLOOKUP(I193,Indicadores!$N$4:$Q$15,4,0)</f>
        <v>552.64</v>
      </c>
    </row>
    <row r="194" spans="1:23" s="31" customFormat="1" hidden="1">
      <c r="A194" s="13" t="s">
        <v>899</v>
      </c>
      <c r="B194" s="13" t="s">
        <v>640</v>
      </c>
      <c r="C194" s="15" t="s">
        <v>641</v>
      </c>
      <c r="D194" s="13" t="s">
        <v>644</v>
      </c>
      <c r="E194" s="13" t="s">
        <v>640</v>
      </c>
      <c r="F194" s="15" t="s">
        <v>641</v>
      </c>
      <c r="G194" s="13" t="s">
        <v>330</v>
      </c>
      <c r="H194" s="13" t="s">
        <v>98</v>
      </c>
      <c r="I194" s="13" t="s">
        <v>5</v>
      </c>
      <c r="J194" s="28" t="s">
        <v>645</v>
      </c>
      <c r="K194" s="13" t="s">
        <v>646</v>
      </c>
      <c r="L194" s="13" t="s">
        <v>647</v>
      </c>
      <c r="M194" s="13" t="s">
        <v>109</v>
      </c>
      <c r="N194" s="13" t="s">
        <v>643</v>
      </c>
      <c r="O194" s="17">
        <v>44040</v>
      </c>
      <c r="P194" s="18">
        <f>IFERROR(VLOOKUP(J194,'[1]Obs Tecnicas'!$D$2:$I$313,5,0),O194)</f>
        <v>44404</v>
      </c>
      <c r="Q194" s="17" t="str">
        <f t="shared" ca="1" si="8"/>
        <v>Calibrado</v>
      </c>
      <c r="R194" s="19">
        <f>IFERROR(VLOOKUP(J194,'[1]Obs Tecnicas'!$D$2:$G$333,2,0),"")</f>
        <v>13247</v>
      </c>
      <c r="S194" s="13" t="str">
        <f>IFERROR(VLOOKUP(J194,'[1]Obs Tecnicas'!$D$2:$G$337,3,0),"Hexis")</f>
        <v>ER ANALITICA</v>
      </c>
      <c r="T194" s="13" t="str">
        <f>IFERROR(VLOOKUP(J194,'[1]Obs Tecnicas'!$D$2:$G$337,4,0),"")</f>
        <v>Bateria de lítio responsavel pelo armazenamento de dados e configurações de usuário enconra-se sem carga e o filtro óptico azul está oxidado.</v>
      </c>
      <c r="U194" s="14" t="s">
        <v>291</v>
      </c>
      <c r="V194" s="14">
        <f t="shared" si="9"/>
        <v>7</v>
      </c>
      <c r="W194" s="20">
        <f>VLOOKUP(I194,Indicadores!$N$4:$Q$15,4,0)</f>
        <v>895.23</v>
      </c>
    </row>
    <row r="195" spans="1:23" hidden="1">
      <c r="A195" s="13" t="s">
        <v>899</v>
      </c>
      <c r="B195" s="13" t="s">
        <v>648</v>
      </c>
      <c r="C195" s="15" t="s">
        <v>649</v>
      </c>
      <c r="D195" s="13" t="s">
        <v>642</v>
      </c>
      <c r="E195" s="13" t="s">
        <v>640</v>
      </c>
      <c r="F195" s="15" t="s">
        <v>641</v>
      </c>
      <c r="G195" s="13" t="s">
        <v>330</v>
      </c>
      <c r="H195" s="13" t="s">
        <v>98</v>
      </c>
      <c r="I195" s="13" t="s">
        <v>835</v>
      </c>
      <c r="J195" s="28" t="s">
        <v>650</v>
      </c>
      <c r="K195" s="13" t="s">
        <v>26</v>
      </c>
      <c r="L195" s="13" t="s">
        <v>84</v>
      </c>
      <c r="M195" s="13" t="s">
        <v>109</v>
      </c>
      <c r="N195" s="13" t="s">
        <v>643</v>
      </c>
      <c r="O195" s="17">
        <v>44040</v>
      </c>
      <c r="P195" s="18">
        <f>IFERROR(VLOOKUP(J195,'[1]Obs Tecnicas'!$D$2:$I$313,5,0),O195)</f>
        <v>44404</v>
      </c>
      <c r="Q195" s="17" t="str">
        <f t="shared" ca="1" si="8"/>
        <v>Calibrado</v>
      </c>
      <c r="R195" s="19">
        <f>IFERROR(VLOOKUP(J195,'[1]Obs Tecnicas'!$D$2:$G$333,2,0),"")</f>
        <v>13246</v>
      </c>
      <c r="S195" s="13" t="str">
        <f>IFERROR(VLOOKUP(J195,'[1]Obs Tecnicas'!$D$2:$G$337,3,0),"Hexis")</f>
        <v>ER ANALITICA</v>
      </c>
      <c r="T195" s="13">
        <f>IFERROR(VLOOKUP(J195,'[1]Obs Tecnicas'!$D$2:$G$337,4,0),"")</f>
        <v>0</v>
      </c>
      <c r="U195" s="14" t="s">
        <v>291</v>
      </c>
      <c r="V195" s="14">
        <f t="shared" si="9"/>
        <v>7</v>
      </c>
      <c r="W195" s="20">
        <f>VLOOKUP(I195,Indicadores!$N$4:$Q$15,4,0)</f>
        <v>546.79</v>
      </c>
    </row>
    <row r="196" spans="1:23" hidden="1">
      <c r="A196" s="13" t="s">
        <v>899</v>
      </c>
      <c r="B196" s="13" t="s">
        <v>640</v>
      </c>
      <c r="C196" s="15" t="s">
        <v>641</v>
      </c>
      <c r="D196" s="13" t="s">
        <v>642</v>
      </c>
      <c r="E196" s="13" t="s">
        <v>640</v>
      </c>
      <c r="F196" s="15" t="s">
        <v>641</v>
      </c>
      <c r="G196" s="13" t="s">
        <v>330</v>
      </c>
      <c r="H196" s="13" t="s">
        <v>98</v>
      </c>
      <c r="I196" s="13" t="s">
        <v>7</v>
      </c>
      <c r="J196" s="28" t="s">
        <v>107</v>
      </c>
      <c r="K196" s="13" t="s">
        <v>21</v>
      </c>
      <c r="L196" s="13" t="s">
        <v>108</v>
      </c>
      <c r="M196" s="13" t="s">
        <v>109</v>
      </c>
      <c r="N196" s="13" t="s">
        <v>643</v>
      </c>
      <c r="O196" s="17">
        <v>44040</v>
      </c>
      <c r="P196" s="18">
        <f>IFERROR(VLOOKUP(J196,'[1]Obs Tecnicas'!$D$2:$I$313,5,0),O196)</f>
        <v>44404</v>
      </c>
      <c r="Q196" s="17" t="str">
        <f t="shared" ca="1" si="8"/>
        <v>Calibrado</v>
      </c>
      <c r="R196" s="19">
        <f>IFERROR(VLOOKUP(J196,'[1]Obs Tecnicas'!$D$2:$G$333,2,0),"")</f>
        <v>13245</v>
      </c>
      <c r="S196" s="13" t="str">
        <f>IFERROR(VLOOKUP(J196,'[1]Obs Tecnicas'!$D$2:$G$337,3,0),"Hexis")</f>
        <v>ER ANALITICA</v>
      </c>
      <c r="T196" s="13">
        <f>IFERROR(VLOOKUP(J196,'[1]Obs Tecnicas'!$D$2:$G$337,4,0),"")</f>
        <v>0</v>
      </c>
      <c r="U196" s="14" t="s">
        <v>291</v>
      </c>
      <c r="V196" s="14">
        <f t="shared" si="9"/>
        <v>7</v>
      </c>
      <c r="W196" s="20">
        <f>VLOOKUP(I196,Indicadores!$N$4:$Q$15,4,0)</f>
        <v>329.87</v>
      </c>
    </row>
    <row r="197" spans="1:23" hidden="1">
      <c r="A197" s="13" t="s">
        <v>899</v>
      </c>
      <c r="B197" s="13" t="s">
        <v>651</v>
      </c>
      <c r="C197" s="15" t="s">
        <v>652</v>
      </c>
      <c r="D197" s="13" t="s">
        <v>653</v>
      </c>
      <c r="E197" s="13" t="s">
        <v>651</v>
      </c>
      <c r="F197" s="15" t="s">
        <v>654</v>
      </c>
      <c r="G197" s="13" t="s">
        <v>625</v>
      </c>
      <c r="H197" s="13" t="s">
        <v>202</v>
      </c>
      <c r="I197" s="13" t="s">
        <v>3</v>
      </c>
      <c r="J197" s="28" t="s">
        <v>655</v>
      </c>
      <c r="K197" s="13" t="s">
        <v>21</v>
      </c>
      <c r="L197" s="13" t="s">
        <v>22</v>
      </c>
      <c r="M197" s="13" t="s">
        <v>236</v>
      </c>
      <c r="N197" s="13" t="s">
        <v>627</v>
      </c>
      <c r="O197" s="17">
        <v>44147</v>
      </c>
      <c r="P197" s="18">
        <f>IFERROR(VLOOKUP(J197,'[1]Obs Tecnicas'!$D$2:$I$313,5,0),O197)</f>
        <v>44531</v>
      </c>
      <c r="Q197" s="17" t="str">
        <f t="shared" ca="1" si="8"/>
        <v>Calibrado</v>
      </c>
      <c r="R197" s="19">
        <f>IFERROR(VLOOKUP(J197,'[1]Obs Tecnicas'!$D$2:$G$333,2,0),"")</f>
        <v>14863</v>
      </c>
      <c r="S197" s="13" t="str">
        <f>IFERROR(VLOOKUP(J197,'[1]Obs Tecnicas'!$D$2:$G$337,3,0),"Hexis")</f>
        <v>ER ANALITICA</v>
      </c>
      <c r="T197" s="13">
        <f>IFERROR(VLOOKUP(J197,'[1]Obs Tecnicas'!$D$2:$G$337,4,0),"")</f>
        <v>0</v>
      </c>
      <c r="U197" s="14" t="s">
        <v>291</v>
      </c>
      <c r="V197" s="14">
        <f t="shared" si="9"/>
        <v>12</v>
      </c>
      <c r="W197" s="20">
        <f>VLOOKUP(I197,Indicadores!$N$4:$Q$15,4,0)</f>
        <v>552.64</v>
      </c>
    </row>
    <row r="198" spans="1:23" hidden="1">
      <c r="A198" s="13" t="s">
        <v>899</v>
      </c>
      <c r="B198" s="13" t="s">
        <v>656</v>
      </c>
      <c r="C198" s="15" t="s">
        <v>657</v>
      </c>
      <c r="D198" s="13" t="s">
        <v>658</v>
      </c>
      <c r="E198" s="13" t="s">
        <v>355</v>
      </c>
      <c r="F198" s="15" t="s">
        <v>356</v>
      </c>
      <c r="G198" s="13" t="s">
        <v>318</v>
      </c>
      <c r="H198" s="13" t="s">
        <v>202</v>
      </c>
      <c r="I198" s="13" t="s">
        <v>5</v>
      </c>
      <c r="J198" s="28" t="s">
        <v>659</v>
      </c>
      <c r="K198" s="13" t="s">
        <v>21</v>
      </c>
      <c r="L198" s="13" t="s">
        <v>80</v>
      </c>
      <c r="M198" s="24" t="s">
        <v>234</v>
      </c>
      <c r="N198" s="13" t="s">
        <v>660</v>
      </c>
      <c r="O198" s="17">
        <v>44406</v>
      </c>
      <c r="P198" s="18">
        <f>IFERROR(VLOOKUP(J198,'[1]Obs Tecnicas'!$D$2:$I$313,5,0),O198)</f>
        <v>44406</v>
      </c>
      <c r="Q198" s="17" t="str">
        <f t="shared" ca="1" si="8"/>
        <v>Calibrado</v>
      </c>
      <c r="R198" s="19">
        <f>IFERROR(VLOOKUP(J198,'[1]Obs Tecnicas'!$D$2:$G$333,2,0),"")</f>
        <v>13283</v>
      </c>
      <c r="S198" s="13" t="str">
        <f>IFERROR(VLOOKUP(J198,'[1]Obs Tecnicas'!$D$2:$G$337,3,0),"Hexis")</f>
        <v>ER ANALITICA</v>
      </c>
      <c r="T198" s="13">
        <f>IFERROR(VLOOKUP(J198,'[1]Obs Tecnicas'!$D$2:$G$337,4,0),"")</f>
        <v>0</v>
      </c>
      <c r="U198" s="14" t="s">
        <v>291</v>
      </c>
      <c r="V198" s="14">
        <f t="shared" si="9"/>
        <v>7</v>
      </c>
      <c r="W198" s="20">
        <f>VLOOKUP(I198,Indicadores!$N$4:$Q$15,4,0)</f>
        <v>895.23</v>
      </c>
    </row>
    <row r="199" spans="1:23" hidden="1">
      <c r="A199" s="13" t="s">
        <v>899</v>
      </c>
      <c r="B199" s="13" t="s">
        <v>656</v>
      </c>
      <c r="C199" s="15" t="s">
        <v>657</v>
      </c>
      <c r="D199" s="13" t="s">
        <v>658</v>
      </c>
      <c r="E199" s="13" t="s">
        <v>355</v>
      </c>
      <c r="F199" s="15" t="s">
        <v>356</v>
      </c>
      <c r="G199" s="13" t="s">
        <v>318</v>
      </c>
      <c r="H199" s="13" t="s">
        <v>202</v>
      </c>
      <c r="I199" s="13" t="s">
        <v>5</v>
      </c>
      <c r="J199" s="28" t="s">
        <v>661</v>
      </c>
      <c r="K199" s="13" t="s">
        <v>21</v>
      </c>
      <c r="L199" s="13" t="s">
        <v>123</v>
      </c>
      <c r="M199" s="24" t="s">
        <v>234</v>
      </c>
      <c r="N199" s="13" t="s">
        <v>660</v>
      </c>
      <c r="O199" s="17">
        <v>44406</v>
      </c>
      <c r="P199" s="18">
        <f>IFERROR(VLOOKUP(J199,'[1]Obs Tecnicas'!$D$2:$I$313,5,0),O199)</f>
        <v>44406</v>
      </c>
      <c r="Q199" s="17" t="str">
        <f t="shared" ca="1" si="8"/>
        <v>Calibrado</v>
      </c>
      <c r="R199" s="19">
        <f>IFERROR(VLOOKUP(J199,'[1]Obs Tecnicas'!$D$2:$G$333,2,0),"")</f>
        <v>13284</v>
      </c>
      <c r="S199" s="13" t="str">
        <f>IFERROR(VLOOKUP(J199,'[1]Obs Tecnicas'!$D$2:$G$337,3,0),"Hexis")</f>
        <v>ER ANALITICA</v>
      </c>
      <c r="T199" s="13" t="str">
        <f>IFERROR(VLOOKUP(J199,'[1]Obs Tecnicas'!$D$2:$G$337,4,0),"")</f>
        <v xml:space="preserve"> Carcaça com avarias</v>
      </c>
      <c r="U199" s="14" t="s">
        <v>291</v>
      </c>
      <c r="V199" s="14">
        <f t="shared" si="9"/>
        <v>7</v>
      </c>
      <c r="W199" s="20">
        <f>VLOOKUP(I199,Indicadores!$N$4:$Q$15,4,0)</f>
        <v>895.23</v>
      </c>
    </row>
    <row r="200" spans="1:23" hidden="1">
      <c r="A200" s="13" t="s">
        <v>899</v>
      </c>
      <c r="B200" s="13" t="s">
        <v>656</v>
      </c>
      <c r="C200" s="15" t="s">
        <v>657</v>
      </c>
      <c r="D200" s="13" t="s">
        <v>658</v>
      </c>
      <c r="E200" s="13" t="s">
        <v>355</v>
      </c>
      <c r="F200" s="15" t="s">
        <v>356</v>
      </c>
      <c r="G200" s="13" t="s">
        <v>318</v>
      </c>
      <c r="H200" s="13" t="s">
        <v>202</v>
      </c>
      <c r="I200" s="13" t="s">
        <v>835</v>
      </c>
      <c r="J200" s="28" t="s">
        <v>662</v>
      </c>
      <c r="K200" s="13" t="s">
        <v>26</v>
      </c>
      <c r="L200" s="13" t="s">
        <v>84</v>
      </c>
      <c r="M200" s="24" t="s">
        <v>234</v>
      </c>
      <c r="N200" s="13" t="s">
        <v>660</v>
      </c>
      <c r="O200" s="17">
        <v>44406</v>
      </c>
      <c r="P200" s="18">
        <f>IFERROR(VLOOKUP(J200,'[1]Obs Tecnicas'!$D$2:$I$313,5,0),O200)</f>
        <v>44406</v>
      </c>
      <c r="Q200" s="17" t="str">
        <f t="shared" ca="1" si="8"/>
        <v>Calibrado</v>
      </c>
      <c r="R200" s="19">
        <f>IFERROR(VLOOKUP(J200,'[1]Obs Tecnicas'!$D$2:$G$333,2,0),"")</f>
        <v>13285</v>
      </c>
      <c r="S200" s="13" t="str">
        <f>IFERROR(VLOOKUP(J200,'[1]Obs Tecnicas'!$D$2:$G$337,3,0),"Hexis")</f>
        <v>ER ANALITICA</v>
      </c>
      <c r="T200" s="13">
        <f>IFERROR(VLOOKUP(J200,'[1]Obs Tecnicas'!$D$2:$G$337,4,0),"")</f>
        <v>0</v>
      </c>
      <c r="U200" s="14" t="s">
        <v>291</v>
      </c>
      <c r="V200" s="14">
        <f t="shared" si="9"/>
        <v>7</v>
      </c>
      <c r="W200" s="20">
        <f>VLOOKUP(I200,Indicadores!$N$4:$Q$15,4,0)</f>
        <v>546.79</v>
      </c>
    </row>
    <row r="201" spans="1:23" hidden="1">
      <c r="A201" s="13" t="s">
        <v>899</v>
      </c>
      <c r="B201" s="13" t="s">
        <v>656</v>
      </c>
      <c r="C201" s="15" t="s">
        <v>657</v>
      </c>
      <c r="D201" s="13" t="s">
        <v>658</v>
      </c>
      <c r="E201" s="24" t="s">
        <v>355</v>
      </c>
      <c r="F201" s="15" t="s">
        <v>356</v>
      </c>
      <c r="G201" s="13" t="s">
        <v>318</v>
      </c>
      <c r="H201" s="13" t="s">
        <v>202</v>
      </c>
      <c r="I201" s="13" t="s">
        <v>7</v>
      </c>
      <c r="J201" s="28" t="s">
        <v>663</v>
      </c>
      <c r="K201" s="13" t="s">
        <v>31</v>
      </c>
      <c r="L201" s="13" t="s">
        <v>129</v>
      </c>
      <c r="M201" s="13" t="s">
        <v>234</v>
      </c>
      <c r="N201" s="13" t="s">
        <v>660</v>
      </c>
      <c r="O201" s="17">
        <v>44406</v>
      </c>
      <c r="P201" s="18">
        <f>IFERROR(VLOOKUP(J201,'[1]Obs Tecnicas'!$D$2:$I$313,5,0),O201)</f>
        <v>44406</v>
      </c>
      <c r="Q201" s="17" t="str">
        <f t="shared" ca="1" si="8"/>
        <v>Calibrado</v>
      </c>
      <c r="R201" s="19">
        <f>IFERROR(VLOOKUP(J201,'[1]Obs Tecnicas'!$D$2:$G$333,2,0),"")</f>
        <v>13286</v>
      </c>
      <c r="S201" s="13" t="str">
        <f>IFERROR(VLOOKUP(J201,'[1]Obs Tecnicas'!$D$2:$G$337,3,0),"Hexis")</f>
        <v>ER ANALITICA</v>
      </c>
      <c r="T201" s="13" t="str">
        <f>IFERROR(VLOOKUP(J201,'[1]Obs Tecnicas'!$D$2:$G$337,4,0),"")</f>
        <v>Equipamento será encaminhado a ER junto o técnico devido avarias nas teclas. Serão encaminhados dois medidores 6P Ultrameter II junto ao técnico para ER, para manutenção corretiva.</v>
      </c>
      <c r="U201" s="14" t="s">
        <v>291</v>
      </c>
      <c r="V201" s="14">
        <f t="shared" si="9"/>
        <v>7</v>
      </c>
      <c r="W201" s="20">
        <f>VLOOKUP(I201,Indicadores!$N$4:$Q$15,4,0)</f>
        <v>329.87</v>
      </c>
    </row>
    <row r="202" spans="1:23" hidden="1">
      <c r="A202" s="13" t="s">
        <v>899</v>
      </c>
      <c r="B202" s="13" t="s">
        <v>656</v>
      </c>
      <c r="C202" s="15" t="s">
        <v>657</v>
      </c>
      <c r="D202" s="13" t="s">
        <v>658</v>
      </c>
      <c r="E202" s="13" t="s">
        <v>355</v>
      </c>
      <c r="F202" s="15" t="s">
        <v>356</v>
      </c>
      <c r="G202" s="13" t="s">
        <v>318</v>
      </c>
      <c r="H202" s="13" t="s">
        <v>202</v>
      </c>
      <c r="I202" s="13" t="s">
        <v>9</v>
      </c>
      <c r="J202" s="28" t="s">
        <v>235</v>
      </c>
      <c r="K202" s="13" t="s">
        <v>21</v>
      </c>
      <c r="L202" s="13" t="s">
        <v>29</v>
      </c>
      <c r="M202" s="24" t="s">
        <v>234</v>
      </c>
      <c r="N202" s="13" t="s">
        <v>660</v>
      </c>
      <c r="O202" s="17">
        <v>44406</v>
      </c>
      <c r="P202" s="18">
        <f>IFERROR(VLOOKUP(J202,'[1]Obs Tecnicas'!$D$2:$I$313,5,0),O202)</f>
        <v>44406</v>
      </c>
      <c r="Q202" s="17" t="str">
        <f t="shared" ca="1" si="8"/>
        <v>Calibrado</v>
      </c>
      <c r="R202" s="19">
        <f>IFERROR(VLOOKUP(J202,'[1]Obs Tecnicas'!$D$2:$G$333,2,0),"")</f>
        <v>13287</v>
      </c>
      <c r="S202" s="13" t="str">
        <f>IFERROR(VLOOKUP(J202,'[1]Obs Tecnicas'!$D$2:$G$337,3,0),"Hexis")</f>
        <v>ER ANALITICA</v>
      </c>
      <c r="T202" s="13">
        <f>IFERROR(VLOOKUP(J202,'[1]Obs Tecnicas'!$D$2:$G$337,4,0),"")</f>
        <v>0</v>
      </c>
      <c r="U202" s="14" t="s">
        <v>291</v>
      </c>
      <c r="V202" s="14">
        <f t="shared" si="9"/>
        <v>7</v>
      </c>
      <c r="W202" s="20">
        <f>VLOOKUP(I202,Indicadores!$N$4:$Q$15,4,0)</f>
        <v>521.79999999999995</v>
      </c>
    </row>
    <row r="203" spans="1:23" s="31" customFormat="1" hidden="1">
      <c r="A203" s="13" t="s">
        <v>899</v>
      </c>
      <c r="B203" s="19" t="s">
        <v>664</v>
      </c>
      <c r="C203" s="15" t="s">
        <v>665</v>
      </c>
      <c r="D203" s="13" t="s">
        <v>666</v>
      </c>
      <c r="E203" s="13" t="s">
        <v>555</v>
      </c>
      <c r="F203" s="15" t="s">
        <v>556</v>
      </c>
      <c r="G203" s="13" t="s">
        <v>289</v>
      </c>
      <c r="H203" s="13" t="s">
        <v>164</v>
      </c>
      <c r="I203" s="13" t="s">
        <v>4</v>
      </c>
      <c r="J203" s="28" t="s">
        <v>165</v>
      </c>
      <c r="K203" s="13" t="s">
        <v>62</v>
      </c>
      <c r="L203" s="13" t="s">
        <v>63</v>
      </c>
      <c r="M203" s="13" t="s">
        <v>166</v>
      </c>
      <c r="N203" s="13" t="s">
        <v>426</v>
      </c>
      <c r="O203" s="17">
        <v>44229</v>
      </c>
      <c r="P203" s="18">
        <f>IFERROR(VLOOKUP(J203,'[1]Obs Tecnicas'!$D$2:$I$313,5,0),O203)</f>
        <v>44642</v>
      </c>
      <c r="Q203" s="17" t="str">
        <f t="shared" ca="1" si="8"/>
        <v>Calibrado</v>
      </c>
      <c r="R203" s="19">
        <f>IFERROR(VLOOKUP(J203,'[1]Obs Tecnicas'!$D$2:$G$333,2,0),"")</f>
        <v>15856</v>
      </c>
      <c r="S203" s="13" t="str">
        <f>IFERROR(VLOOKUP(J203,'[1]Obs Tecnicas'!$D$2:$G$337,3,0),"Hexis")</f>
        <v>ER ANALITICA</v>
      </c>
      <c r="T203" s="13">
        <f>IFERROR(VLOOKUP(J203,'[1]Obs Tecnicas'!$D$2:$G$337,4,0),"")</f>
        <v>0</v>
      </c>
      <c r="U203" s="14" t="s">
        <v>291</v>
      </c>
      <c r="V203" s="14">
        <f t="shared" si="9"/>
        <v>3</v>
      </c>
      <c r="W203" s="20">
        <f>VLOOKUP(I203,Indicadores!$N$4:$Q$15,4,0)</f>
        <v>329.87</v>
      </c>
    </row>
    <row r="204" spans="1:23" s="31" customFormat="1" hidden="1">
      <c r="A204" s="13" t="s">
        <v>899</v>
      </c>
      <c r="B204" s="19" t="s">
        <v>664</v>
      </c>
      <c r="C204" s="15" t="s">
        <v>665</v>
      </c>
      <c r="D204" s="13" t="s">
        <v>666</v>
      </c>
      <c r="E204" s="13" t="s">
        <v>555</v>
      </c>
      <c r="F204" s="15" t="s">
        <v>556</v>
      </c>
      <c r="G204" s="13" t="s">
        <v>289</v>
      </c>
      <c r="H204" s="13" t="s">
        <v>164</v>
      </c>
      <c r="I204" s="13" t="s">
        <v>5</v>
      </c>
      <c r="J204" s="28" t="s">
        <v>667</v>
      </c>
      <c r="K204" s="13" t="s">
        <v>21</v>
      </c>
      <c r="L204" s="13" t="s">
        <v>96</v>
      </c>
      <c r="M204" s="13" t="s">
        <v>166</v>
      </c>
      <c r="N204" s="13" t="s">
        <v>426</v>
      </c>
      <c r="O204" s="17">
        <v>44229</v>
      </c>
      <c r="P204" s="18">
        <f>IFERROR(VLOOKUP(J204,'[1]Obs Tecnicas'!$D$2:$I$313,5,0),O204)</f>
        <v>44642</v>
      </c>
      <c r="Q204" s="17" t="str">
        <f t="shared" ca="1" si="8"/>
        <v>Calibrado</v>
      </c>
      <c r="R204" s="19">
        <f>IFERROR(VLOOKUP(J204,'[1]Obs Tecnicas'!$D$2:$G$333,2,0),"")</f>
        <v>15863</v>
      </c>
      <c r="S204" s="13" t="str">
        <f>IFERROR(VLOOKUP(J204,'[1]Obs Tecnicas'!$D$2:$G$337,3,0),"Hexis")</f>
        <v>ER ANALITICA</v>
      </c>
      <c r="T204" s="13">
        <f>IFERROR(VLOOKUP(J204,'[1]Obs Tecnicas'!$D$2:$G$337,4,0),"")</f>
        <v>0</v>
      </c>
      <c r="U204" s="14" t="s">
        <v>291</v>
      </c>
      <c r="V204" s="14">
        <f t="shared" si="9"/>
        <v>3</v>
      </c>
      <c r="W204" s="20">
        <f>VLOOKUP(I204,Indicadores!$N$4:$Q$15,4,0)</f>
        <v>895.23</v>
      </c>
    </row>
    <row r="205" spans="1:23" s="31" customFormat="1" hidden="1">
      <c r="A205" s="13" t="s">
        <v>899</v>
      </c>
      <c r="B205" s="19" t="s">
        <v>664</v>
      </c>
      <c r="C205" s="15" t="s">
        <v>665</v>
      </c>
      <c r="D205" s="13" t="s">
        <v>666</v>
      </c>
      <c r="E205" s="13" t="s">
        <v>555</v>
      </c>
      <c r="F205" s="15" t="s">
        <v>556</v>
      </c>
      <c r="G205" s="13" t="s">
        <v>289</v>
      </c>
      <c r="H205" s="13" t="s">
        <v>164</v>
      </c>
      <c r="I205" s="13" t="s">
        <v>7</v>
      </c>
      <c r="J205" s="28" t="s">
        <v>668</v>
      </c>
      <c r="K205" s="13" t="s">
        <v>21</v>
      </c>
      <c r="L205" s="13" t="s">
        <v>168</v>
      </c>
      <c r="M205" s="13" t="s">
        <v>166</v>
      </c>
      <c r="N205" s="13" t="s">
        <v>426</v>
      </c>
      <c r="O205" s="17">
        <v>44229</v>
      </c>
      <c r="P205" s="18">
        <f>IFERROR(VLOOKUP(J205,'[1]Obs Tecnicas'!$D$2:$I$313,5,0),O205)</f>
        <v>44642</v>
      </c>
      <c r="Q205" s="17" t="str">
        <f t="shared" ca="1" si="8"/>
        <v>Calibrado</v>
      </c>
      <c r="R205" s="19">
        <f>IFERROR(VLOOKUP(J205,'[1]Obs Tecnicas'!$D$2:$G$333,2,0),"")</f>
        <v>15865</v>
      </c>
      <c r="S205" s="13" t="str">
        <f>IFERROR(VLOOKUP(J205,'[1]Obs Tecnicas'!$D$2:$G$337,3,0),"Hexis")</f>
        <v>ER ANALITICA</v>
      </c>
      <c r="T205" s="13" t="str">
        <f>IFERROR(VLOOKUP(J205,'[1]Obs Tecnicas'!$D$2:$G$337,4,0),"")</f>
        <v>Eletrodo apresenta lentidão e vida útil avançada</v>
      </c>
      <c r="U205" s="14" t="s">
        <v>291</v>
      </c>
      <c r="V205" s="14">
        <f t="shared" si="9"/>
        <v>3</v>
      </c>
      <c r="W205" s="20">
        <f>VLOOKUP(I205,Indicadores!$N$4:$Q$15,4,0)</f>
        <v>329.87</v>
      </c>
    </row>
    <row r="206" spans="1:23" hidden="1">
      <c r="A206" s="13" t="s">
        <v>899</v>
      </c>
      <c r="B206" s="19" t="s">
        <v>664</v>
      </c>
      <c r="C206" s="15" t="s">
        <v>665</v>
      </c>
      <c r="D206" s="13" t="s">
        <v>666</v>
      </c>
      <c r="E206" s="13" t="s">
        <v>555</v>
      </c>
      <c r="F206" s="15" t="s">
        <v>556</v>
      </c>
      <c r="G206" s="13" t="s">
        <v>289</v>
      </c>
      <c r="H206" s="13" t="s">
        <v>164</v>
      </c>
      <c r="I206" s="13" t="s">
        <v>9</v>
      </c>
      <c r="J206" s="28" t="s">
        <v>169</v>
      </c>
      <c r="K206" s="13" t="s">
        <v>21</v>
      </c>
      <c r="L206" s="13" t="s">
        <v>29</v>
      </c>
      <c r="M206" s="13" t="s">
        <v>166</v>
      </c>
      <c r="N206" s="13" t="s">
        <v>426</v>
      </c>
      <c r="O206" s="17">
        <v>44229</v>
      </c>
      <c r="P206" s="18">
        <f>IFERROR(VLOOKUP(J206,'[1]Obs Tecnicas'!$D$2:$I$313,5,0),O206)</f>
        <v>44642</v>
      </c>
      <c r="Q206" s="17" t="str">
        <f t="shared" ca="1" si="8"/>
        <v>Calibrado</v>
      </c>
      <c r="R206" s="19">
        <f>IFERROR(VLOOKUP(J206,'[1]Obs Tecnicas'!$D$2:$G$333,2,0),"")</f>
        <v>15860</v>
      </c>
      <c r="S206" s="13" t="str">
        <f>IFERROR(VLOOKUP(J206,'[1]Obs Tecnicas'!$D$2:$G$337,3,0),"Hexis")</f>
        <v>ER ANALITICA</v>
      </c>
      <c r="T206" s="13" t="str">
        <f>IFERROR(VLOOKUP(J206,'[1]Obs Tecnicas'!$D$2:$G$337,4,0),"")</f>
        <v>Contatos de pilhas oxidados e carcaça superior com vida útil avançada</v>
      </c>
      <c r="U206" s="14" t="s">
        <v>291</v>
      </c>
      <c r="V206" s="14">
        <f t="shared" si="9"/>
        <v>3</v>
      </c>
      <c r="W206" s="20">
        <f>VLOOKUP(I206,Indicadores!$N$4:$Q$15,4,0)</f>
        <v>521.79999999999995</v>
      </c>
    </row>
    <row r="207" spans="1:23" hidden="1">
      <c r="A207" s="13" t="s">
        <v>899</v>
      </c>
      <c r="B207" s="19" t="s">
        <v>664</v>
      </c>
      <c r="C207" s="15" t="s">
        <v>665</v>
      </c>
      <c r="D207" s="13" t="s">
        <v>666</v>
      </c>
      <c r="E207" s="13" t="s">
        <v>555</v>
      </c>
      <c r="F207" s="15" t="s">
        <v>556</v>
      </c>
      <c r="G207" s="13" t="s">
        <v>289</v>
      </c>
      <c r="H207" s="13" t="s">
        <v>164</v>
      </c>
      <c r="I207" s="13" t="s">
        <v>4</v>
      </c>
      <c r="J207" s="28" t="s">
        <v>669</v>
      </c>
      <c r="K207" s="13" t="s">
        <v>26</v>
      </c>
      <c r="L207" s="24" t="s">
        <v>27</v>
      </c>
      <c r="M207" s="13" t="s">
        <v>166</v>
      </c>
      <c r="N207" s="13" t="s">
        <v>426</v>
      </c>
      <c r="O207" s="17">
        <v>44229</v>
      </c>
      <c r="P207" s="18">
        <f>IFERROR(VLOOKUP(J207,'[1]Obs Tecnicas'!$D$2:$I$313,5,0),O207)</f>
        <v>44642</v>
      </c>
      <c r="Q207" s="17" t="str">
        <f t="shared" ca="1" si="8"/>
        <v>Calibrado</v>
      </c>
      <c r="R207" s="19">
        <f>IFERROR(VLOOKUP(J207,'[1]Obs Tecnicas'!$D$2:$G$333,2,0),"")</f>
        <v>15857</v>
      </c>
      <c r="S207" s="13" t="str">
        <f>IFERROR(VLOOKUP(J207,'[1]Obs Tecnicas'!$D$2:$G$337,3,0),"Hexis")</f>
        <v>ER ANALITICA</v>
      </c>
      <c r="T207" s="13">
        <f>IFERROR(VLOOKUP(J207,'[1]Obs Tecnicas'!$D$2:$G$337,4,0),"")</f>
        <v>0</v>
      </c>
      <c r="U207" s="14" t="s">
        <v>291</v>
      </c>
      <c r="V207" s="14">
        <f t="shared" si="9"/>
        <v>3</v>
      </c>
      <c r="W207" s="20">
        <f>VLOOKUP(I207,Indicadores!$N$4:$Q$15,4,0)</f>
        <v>329.87</v>
      </c>
    </row>
    <row r="208" spans="1:23" hidden="1">
      <c r="A208" s="13" t="s">
        <v>899</v>
      </c>
      <c r="B208" s="19" t="s">
        <v>664</v>
      </c>
      <c r="C208" s="15" t="s">
        <v>665</v>
      </c>
      <c r="D208" s="13" t="s">
        <v>666</v>
      </c>
      <c r="E208" s="13" t="s">
        <v>555</v>
      </c>
      <c r="F208" s="15" t="s">
        <v>556</v>
      </c>
      <c r="G208" s="13" t="s">
        <v>289</v>
      </c>
      <c r="H208" s="13" t="s">
        <v>164</v>
      </c>
      <c r="I208" s="13" t="s">
        <v>5</v>
      </c>
      <c r="J208" s="28" t="s">
        <v>670</v>
      </c>
      <c r="K208" s="13" t="s">
        <v>21</v>
      </c>
      <c r="L208" s="13" t="s">
        <v>78</v>
      </c>
      <c r="M208" s="13" t="s">
        <v>166</v>
      </c>
      <c r="N208" s="13" t="s">
        <v>426</v>
      </c>
      <c r="O208" s="17">
        <v>44229</v>
      </c>
      <c r="P208" s="18">
        <f>IFERROR(VLOOKUP(J208,'[1]Obs Tecnicas'!$D$2:$I$313,5,0),O208)</f>
        <v>44642</v>
      </c>
      <c r="Q208" s="17" t="str">
        <f t="shared" ref="Q208:Q272" ca="1" si="10">IF(P208&lt;&gt;"",IF(P208+365&gt;TODAY(),"Calibrado","Vencido"),"")</f>
        <v>Calibrado</v>
      </c>
      <c r="R208" s="19">
        <f>IFERROR(VLOOKUP(J208,'[1]Obs Tecnicas'!$D$2:$G$333,2,0),"")</f>
        <v>15862</v>
      </c>
      <c r="S208" s="13" t="str">
        <f>IFERROR(VLOOKUP(J208,'[1]Obs Tecnicas'!$D$2:$G$337,3,0),"Hexis")</f>
        <v>ER ANALITICA</v>
      </c>
      <c r="T208" s="13" t="str">
        <f>IFERROR(VLOOKUP(J208,'[1]Obs Tecnicas'!$D$2:$G$337,4,0),"")</f>
        <v>Filtro óptico azul manchado.</v>
      </c>
      <c r="U208" s="14" t="s">
        <v>291</v>
      </c>
      <c r="V208" s="14">
        <f t="shared" si="9"/>
        <v>3</v>
      </c>
      <c r="W208" s="20">
        <f>VLOOKUP(I208,Indicadores!$N$4:$Q$15,4,0)</f>
        <v>895.23</v>
      </c>
    </row>
    <row r="209" spans="1:23" hidden="1">
      <c r="A209" s="13" t="s">
        <v>899</v>
      </c>
      <c r="B209" s="19" t="s">
        <v>664</v>
      </c>
      <c r="C209" s="15" t="s">
        <v>665</v>
      </c>
      <c r="D209" s="13" t="s">
        <v>666</v>
      </c>
      <c r="E209" s="13" t="s">
        <v>555</v>
      </c>
      <c r="F209" s="15" t="s">
        <v>556</v>
      </c>
      <c r="G209" s="13" t="s">
        <v>289</v>
      </c>
      <c r="H209" s="13" t="s">
        <v>164</v>
      </c>
      <c r="I209" s="13" t="s">
        <v>835</v>
      </c>
      <c r="J209" s="28" t="s">
        <v>671</v>
      </c>
      <c r="K209" s="13" t="s">
        <v>26</v>
      </c>
      <c r="L209" s="24" t="s">
        <v>84</v>
      </c>
      <c r="M209" s="13" t="s">
        <v>166</v>
      </c>
      <c r="N209" s="13" t="s">
        <v>426</v>
      </c>
      <c r="O209" s="17">
        <v>44229</v>
      </c>
      <c r="P209" s="18">
        <f>IFERROR(VLOOKUP(J209,'[1]Obs Tecnicas'!$D$2:$I$313,5,0),O209)</f>
        <v>44642</v>
      </c>
      <c r="Q209" s="17" t="str">
        <f t="shared" ca="1" si="10"/>
        <v>Calibrado</v>
      </c>
      <c r="R209" s="19">
        <f>IFERROR(VLOOKUP(J209,'[1]Obs Tecnicas'!$D$2:$G$333,2,0),"")</f>
        <v>15858</v>
      </c>
      <c r="S209" s="13" t="str">
        <f>IFERROR(VLOOKUP(J209,'[1]Obs Tecnicas'!$D$2:$G$337,3,0),"Hexis")</f>
        <v>ER ANALITICA</v>
      </c>
      <c r="T209" s="13" t="str">
        <f>IFERROR(VLOOKUP(J209,'[1]Obs Tecnicas'!$D$2:$G$337,4,0),"")</f>
        <v xml:space="preserve"> Eletrodo de pH encontra-se inoperante.</v>
      </c>
      <c r="U209" s="14" t="s">
        <v>291</v>
      </c>
      <c r="V209" s="14">
        <f t="shared" si="9"/>
        <v>3</v>
      </c>
      <c r="W209" s="20">
        <f>VLOOKUP(I209,Indicadores!$N$4:$Q$15,4,0)</f>
        <v>546.79</v>
      </c>
    </row>
    <row r="210" spans="1:23" hidden="1">
      <c r="A210" s="13" t="s">
        <v>899</v>
      </c>
      <c r="B210" s="19" t="s">
        <v>664</v>
      </c>
      <c r="C210" s="15" t="s">
        <v>665</v>
      </c>
      <c r="D210" s="13" t="s">
        <v>666</v>
      </c>
      <c r="E210" s="13" t="s">
        <v>555</v>
      </c>
      <c r="F210" s="15" t="s">
        <v>556</v>
      </c>
      <c r="G210" s="13" t="s">
        <v>289</v>
      </c>
      <c r="H210" s="13" t="s">
        <v>164</v>
      </c>
      <c r="I210" s="13" t="s">
        <v>7</v>
      </c>
      <c r="J210" s="28" t="s">
        <v>672</v>
      </c>
      <c r="K210" s="13" t="s">
        <v>56</v>
      </c>
      <c r="L210" s="13" t="s">
        <v>57</v>
      </c>
      <c r="M210" s="13" t="s">
        <v>166</v>
      </c>
      <c r="N210" s="13" t="s">
        <v>426</v>
      </c>
      <c r="O210" s="17">
        <v>44229</v>
      </c>
      <c r="P210" s="18">
        <f>IFERROR(VLOOKUP(J210,'[1]Obs Tecnicas'!$D$2:$I$313,5,0),O210)</f>
        <v>44642</v>
      </c>
      <c r="Q210" s="17" t="str">
        <f t="shared" ca="1" si="10"/>
        <v>Calibrado</v>
      </c>
      <c r="R210" s="19">
        <f>IFERROR(VLOOKUP(J210,'[1]Obs Tecnicas'!$D$2:$G$333,2,0),"")</f>
        <v>15864</v>
      </c>
      <c r="S210" s="13" t="str">
        <f>IFERROR(VLOOKUP(J210,'[1]Obs Tecnicas'!$D$2:$G$337,3,0),"Hexis")</f>
        <v>ER ANALITICA</v>
      </c>
      <c r="T210" s="13">
        <f>IFERROR(VLOOKUP(J210,'[1]Obs Tecnicas'!$D$2:$G$337,4,0),"")</f>
        <v>0</v>
      </c>
      <c r="U210" s="14" t="s">
        <v>291</v>
      </c>
      <c r="V210" s="14">
        <f t="shared" si="9"/>
        <v>3</v>
      </c>
      <c r="W210" s="20">
        <f>VLOOKUP(I210,Indicadores!$N$4:$Q$15,4,0)</f>
        <v>329.87</v>
      </c>
    </row>
    <row r="211" spans="1:23" hidden="1">
      <c r="A211" s="13" t="s">
        <v>899</v>
      </c>
      <c r="B211" s="13" t="s">
        <v>673</v>
      </c>
      <c r="C211" s="15" t="s">
        <v>674</v>
      </c>
      <c r="D211" s="173" t="s">
        <v>675</v>
      </c>
      <c r="E211" s="13" t="s">
        <v>676</v>
      </c>
      <c r="F211" s="15" t="s">
        <v>677</v>
      </c>
      <c r="G211" s="13" t="s">
        <v>330</v>
      </c>
      <c r="H211" s="13" t="s">
        <v>202</v>
      </c>
      <c r="I211" s="13" t="s">
        <v>4</v>
      </c>
      <c r="J211" s="28" t="s">
        <v>678</v>
      </c>
      <c r="K211" s="13" t="s">
        <v>62</v>
      </c>
      <c r="L211" s="13" t="s">
        <v>206</v>
      </c>
      <c r="M211" s="13" t="s">
        <v>204</v>
      </c>
      <c r="N211" s="13" t="s">
        <v>468</v>
      </c>
      <c r="O211" s="17">
        <v>44001</v>
      </c>
      <c r="P211" s="18">
        <f>IFERROR(VLOOKUP(J211,'[1]Obs Tecnicas'!$D$2:$I$313,5,0),O211)</f>
        <v>44420</v>
      </c>
      <c r="Q211" s="17" t="str">
        <f t="shared" ca="1" si="10"/>
        <v>Calibrado</v>
      </c>
      <c r="R211" s="19">
        <f>IFERROR(VLOOKUP(J211,'[1]Obs Tecnicas'!$D$2:$G$333,2,0),"")</f>
        <v>13301</v>
      </c>
      <c r="S211" s="13" t="str">
        <f>IFERROR(VLOOKUP(J211,'[1]Obs Tecnicas'!$D$2:$G$337,3,0),"Hexis")</f>
        <v>ER ANALITICA</v>
      </c>
      <c r="T211" s="13" t="str">
        <f>IFERROR(VLOOKUP(J211,'[1]Obs Tecnicas'!$D$2:$G$337,4,0),"")</f>
        <v xml:space="preserve"> Equipamento inoperante, cliente não ira realizar o serviço</v>
      </c>
      <c r="U211" s="14" t="s">
        <v>291</v>
      </c>
      <c r="V211" s="14">
        <f t="shared" si="9"/>
        <v>8</v>
      </c>
      <c r="W211" s="20">
        <f>VLOOKUP(I211,Indicadores!$N$4:$Q$15,4,0)</f>
        <v>329.87</v>
      </c>
    </row>
    <row r="212" spans="1:23" hidden="1">
      <c r="A212" s="13" t="s">
        <v>899</v>
      </c>
      <c r="B212" s="13" t="s">
        <v>673</v>
      </c>
      <c r="C212" s="15" t="s">
        <v>674</v>
      </c>
      <c r="D212" s="173" t="s">
        <v>675</v>
      </c>
      <c r="E212" s="13" t="s">
        <v>676</v>
      </c>
      <c r="F212" s="15" t="s">
        <v>677</v>
      </c>
      <c r="G212" s="13" t="s">
        <v>330</v>
      </c>
      <c r="H212" s="13" t="s">
        <v>202</v>
      </c>
      <c r="I212" s="13" t="s">
        <v>5</v>
      </c>
      <c r="J212" s="28" t="s">
        <v>203</v>
      </c>
      <c r="K212" s="13" t="s">
        <v>21</v>
      </c>
      <c r="L212" s="13" t="s">
        <v>80</v>
      </c>
      <c r="M212" s="13" t="s">
        <v>204</v>
      </c>
      <c r="N212" s="13" t="s">
        <v>468</v>
      </c>
      <c r="O212" s="17">
        <v>44001</v>
      </c>
      <c r="P212" s="18">
        <f>IFERROR(VLOOKUP(J212,'[1]Obs Tecnicas'!$D$2:$I$313,5,0),O212)</f>
        <v>44420</v>
      </c>
      <c r="Q212" s="17" t="str">
        <f t="shared" ca="1" si="10"/>
        <v>Calibrado</v>
      </c>
      <c r="R212" s="19">
        <f>IFERROR(VLOOKUP(J212,'[1]Obs Tecnicas'!$D$2:$G$333,2,0),"")</f>
        <v>13302</v>
      </c>
      <c r="S212" s="13" t="str">
        <f>IFERROR(VLOOKUP(J212,'[1]Obs Tecnicas'!$D$2:$G$337,3,0),"Hexis")</f>
        <v>ER ANALITICA</v>
      </c>
      <c r="T212" s="13" t="str">
        <f>IFERROR(VLOOKUP(J212,'[1]Obs Tecnicas'!$D$2:$G$337,4,0),"")</f>
        <v xml:space="preserve"> Carcaça superior com avarias. Necessário a troca</v>
      </c>
      <c r="U212" s="14" t="s">
        <v>291</v>
      </c>
      <c r="V212" s="14">
        <f t="shared" si="9"/>
        <v>8</v>
      </c>
      <c r="W212" s="20">
        <f>VLOOKUP(I212,Indicadores!$N$4:$Q$15,4,0)</f>
        <v>895.23</v>
      </c>
    </row>
    <row r="213" spans="1:23" hidden="1">
      <c r="A213" s="13" t="s">
        <v>899</v>
      </c>
      <c r="B213" s="13" t="s">
        <v>449</v>
      </c>
      <c r="C213" s="15" t="s">
        <v>450</v>
      </c>
      <c r="D213" s="13" t="s">
        <v>679</v>
      </c>
      <c r="E213" s="13" t="s">
        <v>452</v>
      </c>
      <c r="F213" s="15" t="s">
        <v>453</v>
      </c>
      <c r="G213" s="13" t="s">
        <v>289</v>
      </c>
      <c r="H213" s="13" t="s">
        <v>83</v>
      </c>
      <c r="I213" s="13" t="s">
        <v>3</v>
      </c>
      <c r="J213" s="28" t="s">
        <v>90</v>
      </c>
      <c r="K213" s="13" t="s">
        <v>21</v>
      </c>
      <c r="L213" s="13" t="s">
        <v>22</v>
      </c>
      <c r="M213" s="13" t="s">
        <v>85</v>
      </c>
      <c r="N213" s="13" t="s">
        <v>455</v>
      </c>
      <c r="O213" s="17">
        <v>44013</v>
      </c>
      <c r="P213" s="18">
        <f>IFERROR(VLOOKUP(J213,'[1]Obs Tecnicas'!$D$2:$I$313,5,0),O213)</f>
        <v>44406</v>
      </c>
      <c r="Q213" s="17" t="str">
        <f t="shared" ca="1" si="10"/>
        <v>Calibrado</v>
      </c>
      <c r="R213" s="19">
        <f>IFERROR(VLOOKUP(J213,'[1]Obs Tecnicas'!$D$2:$G$333,2,0),"")</f>
        <v>13279</v>
      </c>
      <c r="S213" s="13" t="str">
        <f>IFERROR(VLOOKUP(J213,'[1]Obs Tecnicas'!$D$2:$G$337,3,0),"Hexis")</f>
        <v>ER ANALITICA</v>
      </c>
      <c r="T213" s="13">
        <f>IFERROR(VLOOKUP(J213,'[1]Obs Tecnicas'!$D$2:$G$337,4,0),"")</f>
        <v>0</v>
      </c>
      <c r="U213" s="14" t="s">
        <v>291</v>
      </c>
      <c r="V213" s="14">
        <f t="shared" si="9"/>
        <v>7</v>
      </c>
      <c r="W213" s="20">
        <f>VLOOKUP(I213,Indicadores!$N$4:$Q$15,4,0)</f>
        <v>552.64</v>
      </c>
    </row>
    <row r="214" spans="1:23" hidden="1">
      <c r="A214" s="13" t="s">
        <v>899</v>
      </c>
      <c r="B214" s="13" t="s">
        <v>680</v>
      </c>
      <c r="C214" s="15" t="s">
        <v>681</v>
      </c>
      <c r="D214" s="13" t="s">
        <v>682</v>
      </c>
      <c r="E214" s="13" t="s">
        <v>683</v>
      </c>
      <c r="F214" s="15" t="s">
        <v>684</v>
      </c>
      <c r="G214" s="13" t="s">
        <v>625</v>
      </c>
      <c r="H214" s="13" t="s">
        <v>177</v>
      </c>
      <c r="I214" s="13" t="s">
        <v>5</v>
      </c>
      <c r="J214" s="28" t="s">
        <v>685</v>
      </c>
      <c r="K214" s="13" t="s">
        <v>21</v>
      </c>
      <c r="L214" s="13" t="s">
        <v>80</v>
      </c>
      <c r="M214" s="13" t="s">
        <v>182</v>
      </c>
      <c r="N214" s="13" t="s">
        <v>686</v>
      </c>
      <c r="O214" s="17">
        <v>44054</v>
      </c>
      <c r="P214" s="18">
        <f>IFERROR(VLOOKUP(J214,'[1]Obs Tecnicas'!$D$2:$I$313,5,0),O214)</f>
        <v>44424</v>
      </c>
      <c r="Q214" s="17" t="str">
        <f t="shared" ca="1" si="10"/>
        <v>Calibrado</v>
      </c>
      <c r="R214" s="19">
        <f>IFERROR(VLOOKUP(J214,'[1]Obs Tecnicas'!$D$2:$G$333,2,0),"")</f>
        <v>13512</v>
      </c>
      <c r="S214" s="13" t="str">
        <f>IFERROR(VLOOKUP(J214,'[1]Obs Tecnicas'!$D$2:$G$337,3,0),"Hexis")</f>
        <v>ER ANALITICA</v>
      </c>
      <c r="T214" s="13" t="str">
        <f>IFERROR(VLOOKUP(J214,'[1]Obs Tecnicas'!$D$2:$G$337,4,0),"")</f>
        <v>Equipamentos incluidos.</v>
      </c>
      <c r="U214" s="14" t="s">
        <v>291</v>
      </c>
      <c r="V214" s="14">
        <f t="shared" si="9"/>
        <v>8</v>
      </c>
      <c r="W214" s="20">
        <f>VLOOKUP(I214,Indicadores!$N$4:$Q$15,4,0)</f>
        <v>895.23</v>
      </c>
    </row>
    <row r="215" spans="1:23" hidden="1">
      <c r="A215" s="13" t="s">
        <v>899</v>
      </c>
      <c r="B215" s="13" t="s">
        <v>680</v>
      </c>
      <c r="C215" s="15" t="s">
        <v>681</v>
      </c>
      <c r="D215" s="13" t="s">
        <v>682</v>
      </c>
      <c r="E215" s="13" t="s">
        <v>683</v>
      </c>
      <c r="F215" s="15" t="s">
        <v>684</v>
      </c>
      <c r="G215" s="13" t="s">
        <v>625</v>
      </c>
      <c r="H215" s="13" t="s">
        <v>177</v>
      </c>
      <c r="I215" s="13" t="s">
        <v>4</v>
      </c>
      <c r="J215" s="28">
        <v>21883</v>
      </c>
      <c r="K215" s="13" t="s">
        <v>26</v>
      </c>
      <c r="L215" s="13" t="s">
        <v>84</v>
      </c>
      <c r="M215" s="13" t="s">
        <v>186</v>
      </c>
      <c r="N215" s="13" t="s">
        <v>686</v>
      </c>
      <c r="O215" s="17">
        <v>44054</v>
      </c>
      <c r="P215" s="18">
        <f>IFERROR(VLOOKUP(J215,'[1]Obs Tecnicas'!$D$2:$I$313,5,0),O215)</f>
        <v>44442</v>
      </c>
      <c r="Q215" s="17" t="str">
        <f t="shared" ca="1" si="10"/>
        <v>Calibrado</v>
      </c>
      <c r="R215" s="19">
        <f>IFERROR(VLOOKUP(J215,'[1]Obs Tecnicas'!$D$2:$G$333,2,0),"")</f>
        <v>13689</v>
      </c>
      <c r="S215" s="13" t="str">
        <f>IFERROR(VLOOKUP(J215,'[1]Obs Tecnicas'!$D$2:$G$337,3,0),"Hexis")</f>
        <v>ER ANALITICA</v>
      </c>
      <c r="T215" s="13">
        <f>IFERROR(VLOOKUP(J215,'[1]Obs Tecnicas'!$D$2:$G$337,4,0),"")</f>
        <v>0</v>
      </c>
      <c r="U215" s="14" t="s">
        <v>291</v>
      </c>
      <c r="V215" s="14">
        <f t="shared" si="9"/>
        <v>9</v>
      </c>
      <c r="W215" s="20">
        <f>VLOOKUP(I215,Indicadores!$N$4:$Q$15,4,0)</f>
        <v>329.87</v>
      </c>
    </row>
    <row r="216" spans="1:23" hidden="1">
      <c r="A216" s="13" t="s">
        <v>899</v>
      </c>
      <c r="B216" s="13" t="s">
        <v>680</v>
      </c>
      <c r="C216" s="15" t="s">
        <v>681</v>
      </c>
      <c r="D216" s="13" t="s">
        <v>682</v>
      </c>
      <c r="E216" s="13" t="s">
        <v>683</v>
      </c>
      <c r="F216" s="15" t="s">
        <v>684</v>
      </c>
      <c r="G216" s="13" t="s">
        <v>625</v>
      </c>
      <c r="H216" s="13" t="s">
        <v>177</v>
      </c>
      <c r="I216" s="13" t="s">
        <v>7</v>
      </c>
      <c r="J216" s="28" t="s">
        <v>183</v>
      </c>
      <c r="K216" s="13" t="s">
        <v>184</v>
      </c>
      <c r="L216" s="13" t="s">
        <v>185</v>
      </c>
      <c r="M216" s="13" t="s">
        <v>186</v>
      </c>
      <c r="N216" s="13" t="s">
        <v>686</v>
      </c>
      <c r="O216" s="17">
        <v>44054</v>
      </c>
      <c r="P216" s="18">
        <f>IFERROR(VLOOKUP(J216,'[1]Obs Tecnicas'!$D$2:$I$313,5,0),O216)</f>
        <v>44442</v>
      </c>
      <c r="Q216" s="17" t="str">
        <f t="shared" ca="1" si="10"/>
        <v>Calibrado</v>
      </c>
      <c r="R216" s="19">
        <f>IFERROR(VLOOKUP(J216,'[1]Obs Tecnicas'!$D$2:$G$333,2,0),"")</f>
        <v>13691</v>
      </c>
      <c r="S216" s="13" t="str">
        <f>IFERROR(VLOOKUP(J216,'[1]Obs Tecnicas'!$D$2:$G$337,3,0),"Hexis")</f>
        <v>ER ANALITICA</v>
      </c>
      <c r="T216" s="13">
        <f>IFERROR(VLOOKUP(J216,'[1]Obs Tecnicas'!$D$2:$G$337,4,0),"")</f>
        <v>0</v>
      </c>
      <c r="U216" s="14" t="s">
        <v>291</v>
      </c>
      <c r="V216" s="14">
        <f t="shared" si="9"/>
        <v>9</v>
      </c>
      <c r="W216" s="20">
        <f>VLOOKUP(I216,Indicadores!$N$4:$Q$15,4,0)</f>
        <v>329.87</v>
      </c>
    </row>
    <row r="217" spans="1:23" hidden="1">
      <c r="A217" s="13" t="s">
        <v>899</v>
      </c>
      <c r="B217" s="13" t="s">
        <v>680</v>
      </c>
      <c r="C217" s="15" t="s">
        <v>681</v>
      </c>
      <c r="D217" s="13" t="s">
        <v>682</v>
      </c>
      <c r="E217" s="13" t="s">
        <v>683</v>
      </c>
      <c r="F217" s="15" t="s">
        <v>684</v>
      </c>
      <c r="G217" s="13" t="s">
        <v>625</v>
      </c>
      <c r="H217" s="13" t="s">
        <v>177</v>
      </c>
      <c r="I217" s="13" t="s">
        <v>7</v>
      </c>
      <c r="J217" s="28" t="s">
        <v>187</v>
      </c>
      <c r="K217" s="13" t="s">
        <v>184</v>
      </c>
      <c r="L217" s="13" t="s">
        <v>188</v>
      </c>
      <c r="M217" s="13" t="s">
        <v>186</v>
      </c>
      <c r="N217" s="13" t="s">
        <v>686</v>
      </c>
      <c r="O217" s="17">
        <v>44054</v>
      </c>
      <c r="P217" s="18">
        <f>IFERROR(VLOOKUP(J217,'[1]Obs Tecnicas'!$D$2:$I$313,5,0),O217)</f>
        <v>44442</v>
      </c>
      <c r="Q217" s="17" t="str">
        <f t="shared" ca="1" si="10"/>
        <v>Calibrado</v>
      </c>
      <c r="R217" s="19">
        <f>IFERROR(VLOOKUP(J217,'[1]Obs Tecnicas'!$D$2:$G$333,2,0),"")</f>
        <v>13690</v>
      </c>
      <c r="S217" s="13" t="str">
        <f>IFERROR(VLOOKUP(J217,'[1]Obs Tecnicas'!$D$2:$G$337,3,0),"Hexis")</f>
        <v>ER ANALITICA</v>
      </c>
      <c r="T217" s="13" t="str">
        <f>IFERROR(VLOOKUP(J217,'[1]Obs Tecnicas'!$D$2:$G$337,4,0),"")</f>
        <v>Eletrôdo com vida útil avançada</v>
      </c>
      <c r="U217" s="14" t="s">
        <v>291</v>
      </c>
      <c r="V217" s="14">
        <f t="shared" si="9"/>
        <v>9</v>
      </c>
      <c r="W217" s="20">
        <f>VLOOKUP(I217,Indicadores!$N$4:$Q$15,4,0)</f>
        <v>329.87</v>
      </c>
    </row>
    <row r="218" spans="1:23" hidden="1">
      <c r="A218" s="13" t="s">
        <v>899</v>
      </c>
      <c r="B218" s="196" t="s">
        <v>680</v>
      </c>
      <c r="C218" s="182" t="s">
        <v>681</v>
      </c>
      <c r="D218" s="196" t="s">
        <v>682</v>
      </c>
      <c r="E218" s="196" t="s">
        <v>683</v>
      </c>
      <c r="F218" s="182" t="s">
        <v>684</v>
      </c>
      <c r="G218" s="196" t="s">
        <v>625</v>
      </c>
      <c r="H218" s="196" t="s">
        <v>177</v>
      </c>
      <c r="I218" s="13" t="s">
        <v>5</v>
      </c>
      <c r="J218" s="28">
        <v>200930003006</v>
      </c>
      <c r="K218" s="176" t="s">
        <v>21</v>
      </c>
      <c r="L218" s="196" t="s">
        <v>80</v>
      </c>
      <c r="M218" s="196" t="s">
        <v>186</v>
      </c>
      <c r="N218" s="196" t="s">
        <v>686</v>
      </c>
      <c r="O218" s="17">
        <v>44054</v>
      </c>
      <c r="P218" s="18">
        <f>IFERROR(VLOOKUP(J218,'[1]Obs Tecnicas'!$D$2:$I$313,5,0),O218)</f>
        <v>44442</v>
      </c>
      <c r="Q218" s="17" t="str">
        <f t="shared" ca="1" si="10"/>
        <v>Calibrado</v>
      </c>
      <c r="R218" s="19">
        <f>IFERROR(VLOOKUP(J218,'[1]Obs Tecnicas'!$D$2:$G$333,2,0),"")</f>
        <v>13693</v>
      </c>
      <c r="S218" s="13" t="str">
        <f>IFERROR(VLOOKUP(J218,'[1]Obs Tecnicas'!$D$2:$G$337,3,0),"Hexis")</f>
        <v>ER ANALITICA</v>
      </c>
      <c r="T218" s="13">
        <f>IFERROR(VLOOKUP(J218,'[1]Obs Tecnicas'!$D$2:$G$337,4,0),"")</f>
        <v>0</v>
      </c>
      <c r="U218" s="14" t="s">
        <v>291</v>
      </c>
      <c r="V218" s="14">
        <f t="shared" si="9"/>
        <v>9</v>
      </c>
      <c r="W218" s="20">
        <f>VLOOKUP(I218,Indicadores!$N$4:$Q$15,4,0)</f>
        <v>895.23</v>
      </c>
    </row>
    <row r="219" spans="1:23" hidden="1">
      <c r="A219" s="13" t="s">
        <v>899</v>
      </c>
      <c r="B219" s="13" t="s">
        <v>680</v>
      </c>
      <c r="C219" s="15" t="s">
        <v>681</v>
      </c>
      <c r="D219" s="13" t="s">
        <v>682</v>
      </c>
      <c r="E219" s="13" t="s">
        <v>683</v>
      </c>
      <c r="F219" s="15" t="s">
        <v>684</v>
      </c>
      <c r="G219" s="13" t="s">
        <v>625</v>
      </c>
      <c r="H219" s="14" t="s">
        <v>177</v>
      </c>
      <c r="I219" s="13" t="s">
        <v>835</v>
      </c>
      <c r="J219" s="28">
        <v>4239783</v>
      </c>
      <c r="K219" s="13" t="s">
        <v>26</v>
      </c>
      <c r="L219" s="13" t="s">
        <v>687</v>
      </c>
      <c r="M219" s="13" t="s">
        <v>186</v>
      </c>
      <c r="N219" s="13" t="s">
        <v>686</v>
      </c>
      <c r="O219" s="17">
        <v>44054</v>
      </c>
      <c r="P219" s="18">
        <f>IFERROR(VLOOKUP(J219,'[1]Obs Tecnicas'!$D$2:$I$313,5,0),O219)</f>
        <v>44442</v>
      </c>
      <c r="Q219" s="17" t="str">
        <f t="shared" ca="1" si="10"/>
        <v>Calibrado</v>
      </c>
      <c r="R219" s="19">
        <f>IFERROR(VLOOKUP(J219,'[1]Obs Tecnicas'!$D$2:$G$333,2,0),"")</f>
        <v>13760</v>
      </c>
      <c r="S219" s="13" t="str">
        <f>IFERROR(VLOOKUP(J219,'[1]Obs Tecnicas'!$D$2:$G$337,3,0),"Hexis")</f>
        <v>ER ANALITICA</v>
      </c>
      <c r="T219" s="13">
        <f>IFERROR(VLOOKUP(J219,'[1]Obs Tecnicas'!$D$2:$G$337,4,0),"")</f>
        <v>0</v>
      </c>
      <c r="U219" s="14" t="s">
        <v>291</v>
      </c>
      <c r="V219" s="14">
        <f t="shared" si="9"/>
        <v>9</v>
      </c>
      <c r="W219" s="20">
        <f>VLOOKUP(I219,Indicadores!$N$4:$Q$15,4,0)</f>
        <v>546.79</v>
      </c>
    </row>
    <row r="220" spans="1:23" hidden="1">
      <c r="A220" s="13" t="s">
        <v>899</v>
      </c>
      <c r="B220" s="13" t="s">
        <v>688</v>
      </c>
      <c r="C220" s="15" t="s">
        <v>689</v>
      </c>
      <c r="D220" s="13" t="s">
        <v>690</v>
      </c>
      <c r="E220" s="13" t="s">
        <v>399</v>
      </c>
      <c r="F220" s="15" t="s">
        <v>397</v>
      </c>
      <c r="G220" s="13" t="s">
        <v>374</v>
      </c>
      <c r="H220" s="13" t="s">
        <v>202</v>
      </c>
      <c r="I220" s="13" t="s">
        <v>5</v>
      </c>
      <c r="J220" s="28" t="s">
        <v>216</v>
      </c>
      <c r="K220" s="13" t="s">
        <v>691</v>
      </c>
      <c r="L220" s="13" t="s">
        <v>218</v>
      </c>
      <c r="M220" s="169" t="s">
        <v>219</v>
      </c>
      <c r="N220" s="13" t="s">
        <v>332</v>
      </c>
      <c r="O220" s="183">
        <v>44239</v>
      </c>
      <c r="P220" s="18">
        <v>44629</v>
      </c>
      <c r="Q220" s="17" t="str">
        <f t="shared" ca="1" si="10"/>
        <v>Calibrado</v>
      </c>
      <c r="R220" s="19">
        <f>IFERROR(VLOOKUP(J220,'[1]Obs Tecnicas'!$D$2:$G$333,2,0),"")</f>
        <v>15707</v>
      </c>
      <c r="S220" s="13" t="str">
        <f>IFERROR(VLOOKUP(J220,'[1]Obs Tecnicas'!$D$2:$G$337,3,0),"Hexis")</f>
        <v>ER ANALITICA</v>
      </c>
      <c r="T220" s="13">
        <f>IFERROR(VLOOKUP(J220,'[1]Obs Tecnicas'!$D$2:$G$337,4,0),"")</f>
        <v>0</v>
      </c>
      <c r="U220" s="14" t="s">
        <v>291</v>
      </c>
      <c r="V220" s="14">
        <f t="shared" si="9"/>
        <v>3</v>
      </c>
      <c r="W220" s="20">
        <f>VLOOKUP(I220,Indicadores!$N$4:$Q$15,4,0)</f>
        <v>895.23</v>
      </c>
    </row>
    <row r="221" spans="1:23" hidden="1">
      <c r="A221" s="13" t="s">
        <v>899</v>
      </c>
      <c r="B221" s="13" t="s">
        <v>618</v>
      </c>
      <c r="C221" s="15" t="s">
        <v>619</v>
      </c>
      <c r="D221" s="13" t="s">
        <v>620</v>
      </c>
      <c r="E221" s="13" t="s">
        <v>399</v>
      </c>
      <c r="F221" s="15" t="s">
        <v>397</v>
      </c>
      <c r="G221" s="13" t="s">
        <v>621</v>
      </c>
      <c r="H221" s="13" t="s">
        <v>202</v>
      </c>
      <c r="I221" s="13" t="s">
        <v>9</v>
      </c>
      <c r="J221" s="28" t="s">
        <v>1494</v>
      </c>
      <c r="K221" s="13" t="s">
        <v>133</v>
      </c>
      <c r="L221" s="13" t="s">
        <v>1495</v>
      </c>
      <c r="M221" s="169" t="s">
        <v>211</v>
      </c>
      <c r="N221" s="13" t="s">
        <v>332</v>
      </c>
      <c r="O221" s="183"/>
      <c r="P221" s="18">
        <f>IFERROR(VLOOKUP(J221,'[1]Obs Tecnicas'!$D$2:$I$313,5,0),O221)</f>
        <v>44678</v>
      </c>
      <c r="Q221" s="17" t="str">
        <f t="shared" ca="1" si="10"/>
        <v>Calibrado</v>
      </c>
      <c r="R221" s="19">
        <f>IFERROR(VLOOKUP(J221,'[1]Obs Tecnicas'!$D$2:$G$333,2,0),"")</f>
        <v>16224</v>
      </c>
      <c r="S221" s="13" t="str">
        <f>IFERROR(VLOOKUP(J221,'[1]Obs Tecnicas'!$D$2:$G$337,3,0),"Hexis")</f>
        <v>ER ANALITICA</v>
      </c>
      <c r="T221" s="13">
        <f>IFERROR(VLOOKUP(J221,'[1]Obs Tecnicas'!$D$2:$G$337,4,0),"")</f>
        <v>0</v>
      </c>
      <c r="U221" s="14" t="s">
        <v>291</v>
      </c>
      <c r="W221" s="20">
        <f>VLOOKUP(I221,Indicadores!$N$4:$Q$15,4,0)</f>
        <v>521.79999999999995</v>
      </c>
    </row>
    <row r="222" spans="1:23" hidden="1">
      <c r="A222" s="13" t="s">
        <v>899</v>
      </c>
      <c r="B222" s="13" t="s">
        <v>618</v>
      </c>
      <c r="C222" s="15" t="s">
        <v>619</v>
      </c>
      <c r="D222" s="13" t="s">
        <v>620</v>
      </c>
      <c r="E222" s="13" t="s">
        <v>399</v>
      </c>
      <c r="F222" s="15" t="s">
        <v>397</v>
      </c>
      <c r="G222" s="13" t="s">
        <v>621</v>
      </c>
      <c r="H222" s="13" t="s">
        <v>202</v>
      </c>
      <c r="I222" s="13" t="s">
        <v>5</v>
      </c>
      <c r="J222" s="28" t="s">
        <v>1496</v>
      </c>
      <c r="K222" s="13" t="s">
        <v>21</v>
      </c>
      <c r="L222" s="13" t="s">
        <v>34</v>
      </c>
      <c r="M222" s="169" t="s">
        <v>211</v>
      </c>
      <c r="N222" s="13" t="s">
        <v>332</v>
      </c>
      <c r="O222" s="17">
        <v>44239</v>
      </c>
      <c r="P222" s="18">
        <f>IFERROR(VLOOKUP(J222,'[1]Obs Tecnicas'!$D$2:$I$313,5,0),O222)</f>
        <v>44678</v>
      </c>
      <c r="Q222" s="17" t="str">
        <f t="shared" ca="1" si="10"/>
        <v>Calibrado</v>
      </c>
      <c r="R222" s="19">
        <f>IFERROR(VLOOKUP(J222,'[1]Obs Tecnicas'!$D$2:$G$333,2,0),"")</f>
        <v>16223</v>
      </c>
      <c r="S222" s="13" t="str">
        <f>IFERROR(VLOOKUP(J222,'[1]Obs Tecnicas'!$D$2:$G$337,3,0),"Hexis")</f>
        <v>ER ANALITICA</v>
      </c>
      <c r="T222" s="13">
        <f>IFERROR(VLOOKUP(J222,'[1]Obs Tecnicas'!$D$2:$G$337,4,0),"")</f>
        <v>0</v>
      </c>
      <c r="U222" s="14" t="s">
        <v>291</v>
      </c>
      <c r="V222" s="14">
        <f t="shared" si="9"/>
        <v>4</v>
      </c>
      <c r="W222" s="20">
        <f>VLOOKUP(I222,Indicadores!$N$4:$Q$15,4,0)</f>
        <v>895.23</v>
      </c>
    </row>
    <row r="223" spans="1:23" hidden="1">
      <c r="A223" s="13" t="s">
        <v>899</v>
      </c>
      <c r="B223" s="13" t="s">
        <v>688</v>
      </c>
      <c r="C223" s="15" t="s">
        <v>689</v>
      </c>
      <c r="D223" s="13" t="s">
        <v>690</v>
      </c>
      <c r="E223" s="13" t="s">
        <v>399</v>
      </c>
      <c r="F223" s="15" t="s">
        <v>397</v>
      </c>
      <c r="G223" s="13" t="s">
        <v>374</v>
      </c>
      <c r="H223" s="13" t="s">
        <v>202</v>
      </c>
      <c r="I223" s="13" t="s">
        <v>7</v>
      </c>
      <c r="J223" s="28" t="s">
        <v>695</v>
      </c>
      <c r="K223" s="13" t="s">
        <v>221</v>
      </c>
      <c r="L223" s="13" t="s">
        <v>222</v>
      </c>
      <c r="M223" s="169" t="s">
        <v>219</v>
      </c>
      <c r="N223" s="13" t="s">
        <v>332</v>
      </c>
      <c r="O223" s="183">
        <v>44239</v>
      </c>
      <c r="P223" s="18">
        <f>IFERROR(VLOOKUP(J223,'[1]Obs Tecnicas'!$D$2:$I$313,5,0),O223)</f>
        <v>44629</v>
      </c>
      <c r="Q223" s="17" t="str">
        <f t="shared" ca="1" si="10"/>
        <v>Calibrado</v>
      </c>
      <c r="R223" s="19">
        <f>IFERROR(VLOOKUP(J223,'[1]Obs Tecnicas'!$D$2:$G$333,2,0),"")</f>
        <v>15718</v>
      </c>
      <c r="S223" s="13" t="str">
        <f>IFERROR(VLOOKUP(J223,'[1]Obs Tecnicas'!$D$2:$G$337,3,0),"Hexis")</f>
        <v>ER ANALITICA</v>
      </c>
      <c r="T223" s="13">
        <f>IFERROR(VLOOKUP(J223,'[1]Obs Tecnicas'!$D$2:$G$337,4,0),"")</f>
        <v>0</v>
      </c>
      <c r="U223" s="14" t="s">
        <v>291</v>
      </c>
      <c r="V223" s="14">
        <f t="shared" si="9"/>
        <v>3</v>
      </c>
      <c r="W223" s="20">
        <f>VLOOKUP(I223,Indicadores!$N$4:$Q$15,4,0)</f>
        <v>329.87</v>
      </c>
    </row>
    <row r="224" spans="1:23" hidden="1">
      <c r="A224" s="13" t="s">
        <v>899</v>
      </c>
      <c r="B224" s="13" t="s">
        <v>696</v>
      </c>
      <c r="C224" s="15" t="s">
        <v>310</v>
      </c>
      <c r="D224" s="13" t="s">
        <v>697</v>
      </c>
      <c r="E224" s="13" t="s">
        <v>309</v>
      </c>
      <c r="F224" s="15" t="s">
        <v>310</v>
      </c>
      <c r="G224" s="13" t="s">
        <v>298</v>
      </c>
      <c r="H224" s="13" t="s">
        <v>202</v>
      </c>
      <c r="I224" s="13" t="s">
        <v>4</v>
      </c>
      <c r="J224" s="28" t="s">
        <v>698</v>
      </c>
      <c r="K224" s="13" t="s">
        <v>26</v>
      </c>
      <c r="L224" s="24" t="s">
        <v>27</v>
      </c>
      <c r="M224" s="13" t="s">
        <v>252</v>
      </c>
      <c r="N224" s="13" t="s">
        <v>305</v>
      </c>
      <c r="O224" s="17">
        <v>43977</v>
      </c>
      <c r="P224" s="18">
        <f>IFERROR(VLOOKUP(J224,'[1]Obs Tecnicas'!$D$2:$I$313,5,0),O224)</f>
        <v>44333</v>
      </c>
      <c r="Q224" s="17" t="str">
        <f t="shared" ca="1" si="10"/>
        <v>Calibrado</v>
      </c>
      <c r="R224" s="19">
        <f>IFERROR(VLOOKUP(J224,'[1]Obs Tecnicas'!$D$2:$G$333,2,0),"")</f>
        <v>12348</v>
      </c>
      <c r="S224" s="13" t="str">
        <f>IFERROR(VLOOKUP(J224,'[1]Obs Tecnicas'!$D$2:$G$337,3,0),"Hexis")</f>
        <v>ER ANALITICA</v>
      </c>
      <c r="T224" s="13">
        <f>IFERROR(VLOOKUP(J224,'[1]Obs Tecnicas'!$D$2:$G$337,4,0),"")</f>
        <v>0</v>
      </c>
      <c r="U224" s="14" t="s">
        <v>291</v>
      </c>
      <c r="V224" s="14">
        <f t="shared" si="9"/>
        <v>5</v>
      </c>
      <c r="W224" s="20">
        <f>VLOOKUP(I224,Indicadores!$N$4:$Q$15,4,0)</f>
        <v>329.87</v>
      </c>
    </row>
    <row r="225" spans="1:23" hidden="1">
      <c r="A225" s="13" t="s">
        <v>899</v>
      </c>
      <c r="B225" s="13" t="s">
        <v>696</v>
      </c>
      <c r="C225" s="15" t="s">
        <v>310</v>
      </c>
      <c r="D225" s="13" t="s">
        <v>697</v>
      </c>
      <c r="E225" s="13" t="s">
        <v>309</v>
      </c>
      <c r="F225" s="15" t="s">
        <v>310</v>
      </c>
      <c r="G225" s="13" t="s">
        <v>298</v>
      </c>
      <c r="H225" s="13" t="s">
        <v>202</v>
      </c>
      <c r="I225" s="13" t="s">
        <v>9</v>
      </c>
      <c r="J225" s="28" t="s">
        <v>254</v>
      </c>
      <c r="K225" s="13" t="s">
        <v>21</v>
      </c>
      <c r="L225" s="13" t="s">
        <v>29</v>
      </c>
      <c r="M225" s="13" t="s">
        <v>252</v>
      </c>
      <c r="N225" s="13" t="s">
        <v>305</v>
      </c>
      <c r="O225" s="17">
        <v>43978</v>
      </c>
      <c r="P225" s="18">
        <f>IFERROR(VLOOKUP(J225,'[1]Obs Tecnicas'!$D$2:$I$313,5,0),O225)</f>
        <v>44333</v>
      </c>
      <c r="Q225" s="17" t="str">
        <f t="shared" ca="1" si="10"/>
        <v>Calibrado</v>
      </c>
      <c r="R225" s="19">
        <f>IFERROR(VLOOKUP(J225,'[1]Obs Tecnicas'!$D$2:$G$333,2,0),"")</f>
        <v>12328</v>
      </c>
      <c r="S225" s="13" t="str">
        <f>IFERROR(VLOOKUP(J225,'[1]Obs Tecnicas'!$D$2:$G$337,3,0),"Hexis")</f>
        <v>ER ANALITICA</v>
      </c>
      <c r="T225" s="13">
        <f>IFERROR(VLOOKUP(J225,'[1]Obs Tecnicas'!$D$2:$G$337,4,0),"")</f>
        <v>0</v>
      </c>
      <c r="U225" s="14" t="s">
        <v>291</v>
      </c>
      <c r="V225" s="14">
        <f t="shared" si="9"/>
        <v>5</v>
      </c>
      <c r="W225" s="20">
        <f>VLOOKUP(I225,Indicadores!$N$4:$Q$15,4,0)</f>
        <v>521.79999999999995</v>
      </c>
    </row>
    <row r="226" spans="1:23" hidden="1">
      <c r="A226" s="13" t="s">
        <v>899</v>
      </c>
      <c r="B226" s="13" t="s">
        <v>696</v>
      </c>
      <c r="C226" s="15" t="s">
        <v>310</v>
      </c>
      <c r="D226" s="13" t="s">
        <v>697</v>
      </c>
      <c r="E226" s="13" t="s">
        <v>309</v>
      </c>
      <c r="F226" s="15" t="s">
        <v>310</v>
      </c>
      <c r="G226" s="13" t="s">
        <v>298</v>
      </c>
      <c r="H226" s="13" t="s">
        <v>202</v>
      </c>
      <c r="I226" s="13" t="s">
        <v>7</v>
      </c>
      <c r="J226" s="28" t="s">
        <v>699</v>
      </c>
      <c r="K226" s="13" t="s">
        <v>56</v>
      </c>
      <c r="L226" s="13" t="s">
        <v>57</v>
      </c>
      <c r="M226" s="13" t="s">
        <v>252</v>
      </c>
      <c r="N226" s="13" t="s">
        <v>305</v>
      </c>
      <c r="O226" s="17">
        <v>43979</v>
      </c>
      <c r="P226" s="18">
        <f>IFERROR(VLOOKUP(J226,'[1]Obs Tecnicas'!$D$2:$I$313,5,0),O226)</f>
        <v>44333</v>
      </c>
      <c r="Q226" s="17" t="str">
        <f t="shared" ca="1" si="10"/>
        <v>Calibrado</v>
      </c>
      <c r="R226" s="19">
        <f>IFERROR(VLOOKUP(J226,'[1]Obs Tecnicas'!$D$2:$G$333,2,0),"")</f>
        <v>12345</v>
      </c>
      <c r="S226" s="13" t="str">
        <f>IFERROR(VLOOKUP(J226,'[1]Obs Tecnicas'!$D$2:$G$337,3,0),"Hexis")</f>
        <v>ER ANALITICA</v>
      </c>
      <c r="T226" s="13" t="str">
        <f>IFERROR(VLOOKUP(J226,'[1]Obs Tecnicas'!$D$2:$G$337,4,0),"")</f>
        <v>Instrumento com divergências de resistividade. Será encaminhado para ER.</v>
      </c>
      <c r="U226" s="14" t="s">
        <v>291</v>
      </c>
      <c r="V226" s="14">
        <f t="shared" si="9"/>
        <v>5</v>
      </c>
      <c r="W226" s="20">
        <f>VLOOKUP(I226,Indicadores!$N$4:$Q$15,4,0)</f>
        <v>329.87</v>
      </c>
    </row>
    <row r="227" spans="1:23" hidden="1">
      <c r="A227" s="13" t="s">
        <v>899</v>
      </c>
      <c r="B227" s="13" t="s">
        <v>696</v>
      </c>
      <c r="C227" s="15" t="s">
        <v>310</v>
      </c>
      <c r="D227" s="13" t="s">
        <v>697</v>
      </c>
      <c r="E227" s="13" t="s">
        <v>309</v>
      </c>
      <c r="F227" s="15" t="s">
        <v>310</v>
      </c>
      <c r="G227" s="13" t="s">
        <v>298</v>
      </c>
      <c r="H227" s="13" t="s">
        <v>202</v>
      </c>
      <c r="I227" s="13" t="s">
        <v>7</v>
      </c>
      <c r="J227" s="28" t="s">
        <v>700</v>
      </c>
      <c r="K227" s="13" t="s">
        <v>56</v>
      </c>
      <c r="L227" s="13" t="s">
        <v>57</v>
      </c>
      <c r="M227" s="13" t="s">
        <v>252</v>
      </c>
      <c r="N227" s="13" t="s">
        <v>305</v>
      </c>
      <c r="O227" s="17">
        <v>43979</v>
      </c>
      <c r="P227" s="18">
        <f>IFERROR(VLOOKUP(J227,'[1]Obs Tecnicas'!$D$2:$I$313,5,0),O227)</f>
        <v>44333</v>
      </c>
      <c r="Q227" s="17" t="str">
        <f t="shared" ca="1" si="10"/>
        <v>Calibrado</v>
      </c>
      <c r="R227" s="19">
        <f>IFERROR(VLOOKUP(J227,'[1]Obs Tecnicas'!$D$2:$G$333,2,0),"")</f>
        <v>12340</v>
      </c>
      <c r="S227" s="13" t="str">
        <f>IFERROR(VLOOKUP(J227,'[1]Obs Tecnicas'!$D$2:$G$337,3,0),"Hexis")</f>
        <v>ER ANALITICA</v>
      </c>
      <c r="T227" s="13">
        <f>IFERROR(VLOOKUP(J227,'[1]Obs Tecnicas'!$D$2:$G$337,4,0),"")</f>
        <v>0</v>
      </c>
      <c r="U227" s="14" t="s">
        <v>291</v>
      </c>
      <c r="V227" s="14">
        <f t="shared" si="9"/>
        <v>5</v>
      </c>
      <c r="W227" s="20">
        <f>VLOOKUP(I227,Indicadores!$N$4:$Q$15,4,0)</f>
        <v>329.87</v>
      </c>
    </row>
    <row r="228" spans="1:23" hidden="1">
      <c r="A228" s="13" t="s">
        <v>899</v>
      </c>
      <c r="B228" s="13" t="s">
        <v>701</v>
      </c>
      <c r="C228" s="15" t="s">
        <v>702</v>
      </c>
      <c r="D228" s="13" t="s">
        <v>703</v>
      </c>
      <c r="E228" s="13" t="s">
        <v>309</v>
      </c>
      <c r="F228" s="15" t="s">
        <v>310</v>
      </c>
      <c r="G228" s="13" t="s">
        <v>298</v>
      </c>
      <c r="H228" s="13" t="s">
        <v>202</v>
      </c>
      <c r="I228" s="13" t="s">
        <v>3</v>
      </c>
      <c r="J228" s="28" t="s">
        <v>253</v>
      </c>
      <c r="K228" s="13" t="s">
        <v>21</v>
      </c>
      <c r="L228" s="13" t="s">
        <v>96</v>
      </c>
      <c r="M228" s="13" t="s">
        <v>252</v>
      </c>
      <c r="N228" s="13" t="s">
        <v>305</v>
      </c>
      <c r="O228" s="17">
        <v>43978</v>
      </c>
      <c r="P228" s="18">
        <f>IFERROR(VLOOKUP(J228,'[1]Obs Tecnicas'!$D$2:$I$313,5,0),O228)</f>
        <v>44333</v>
      </c>
      <c r="Q228" s="17" t="str">
        <f t="shared" ca="1" si="10"/>
        <v>Calibrado</v>
      </c>
      <c r="R228" s="19">
        <f>IFERROR(VLOOKUP(J228,'[1]Obs Tecnicas'!$D$2:$G$333,2,0),"")</f>
        <v>12316</v>
      </c>
      <c r="S228" s="13" t="str">
        <f>IFERROR(VLOOKUP(J228,'[1]Obs Tecnicas'!$D$2:$G$337,3,0),"Hexis")</f>
        <v>ER ANALITICA</v>
      </c>
      <c r="T228" s="13">
        <f>IFERROR(VLOOKUP(J228,'[1]Obs Tecnicas'!$D$2:$G$337,4,0),"")</f>
        <v>0</v>
      </c>
      <c r="U228" s="14" t="s">
        <v>291</v>
      </c>
      <c r="V228" s="14">
        <f t="shared" si="9"/>
        <v>5</v>
      </c>
      <c r="W228" s="20">
        <f>VLOOKUP(I228,Indicadores!$N$4:$Q$15,4,0)</f>
        <v>552.64</v>
      </c>
    </row>
    <row r="229" spans="1:23" hidden="1">
      <c r="A229" s="13" t="s">
        <v>899</v>
      </c>
      <c r="B229" s="13" t="s">
        <v>704</v>
      </c>
      <c r="C229" s="15" t="s">
        <v>652</v>
      </c>
      <c r="D229" s="13" t="s">
        <v>705</v>
      </c>
      <c r="E229" s="13" t="s">
        <v>706</v>
      </c>
      <c r="F229" s="15" t="s">
        <v>707</v>
      </c>
      <c r="G229" s="13" t="s">
        <v>625</v>
      </c>
      <c r="H229" s="13" t="s">
        <v>202</v>
      </c>
      <c r="I229" s="13" t="s">
        <v>9</v>
      </c>
      <c r="J229" s="28" t="s">
        <v>708</v>
      </c>
      <c r="K229" s="13" t="s">
        <v>21</v>
      </c>
      <c r="L229" s="13" t="s">
        <v>29</v>
      </c>
      <c r="M229" s="13" t="s">
        <v>236</v>
      </c>
      <c r="N229" s="13" t="s">
        <v>627</v>
      </c>
      <c r="O229" s="17">
        <v>43843</v>
      </c>
      <c r="P229" s="18">
        <f>IFERROR(VLOOKUP(J229,'[1]Obs Tecnicas'!$D$2:$I$313,5,0),O229)</f>
        <v>44370</v>
      </c>
      <c r="Q229" s="17" t="str">
        <f t="shared" ca="1" si="10"/>
        <v>Calibrado</v>
      </c>
      <c r="R229" s="19">
        <f>IFERROR(VLOOKUP(J229,'[1]Obs Tecnicas'!$D$2:$G$333,2,0),"")</f>
        <v>12674</v>
      </c>
      <c r="S229" s="13" t="str">
        <f>IFERROR(VLOOKUP(J229,'[1]Obs Tecnicas'!$D$2:$G$337,3,0),"Hexis")</f>
        <v>ER ANALITICA</v>
      </c>
      <c r="T229" s="13" t="str">
        <f>IFERROR(VLOOKUP(J229,'[1]Obs Tecnicas'!$D$2:$G$337,4,0),"")</f>
        <v>Carcaça superior do instrumento danificada na tecla "ler/confirma"</v>
      </c>
      <c r="U229" s="14" t="s">
        <v>291</v>
      </c>
      <c r="V229" s="14">
        <f t="shared" si="9"/>
        <v>6</v>
      </c>
      <c r="W229" s="20">
        <f>VLOOKUP(I229,Indicadores!$N$4:$Q$15,4,0)</f>
        <v>521.79999999999995</v>
      </c>
    </row>
    <row r="230" spans="1:23" hidden="1">
      <c r="A230" s="13" t="s">
        <v>899</v>
      </c>
      <c r="B230" s="13" t="s">
        <v>709</v>
      </c>
      <c r="C230" s="15" t="s">
        <v>710</v>
      </c>
      <c r="D230" s="13" t="s">
        <v>711</v>
      </c>
      <c r="E230" s="13" t="s">
        <v>712</v>
      </c>
      <c r="F230" s="15" t="s">
        <v>713</v>
      </c>
      <c r="G230" s="13" t="s">
        <v>625</v>
      </c>
      <c r="H230" s="13" t="s">
        <v>202</v>
      </c>
      <c r="I230" s="13" t="s">
        <v>4</v>
      </c>
      <c r="J230" s="28" t="s">
        <v>714</v>
      </c>
      <c r="K230" s="13" t="s">
        <v>31</v>
      </c>
      <c r="L230" s="13" t="s">
        <v>74</v>
      </c>
      <c r="M230" s="13" t="s">
        <v>236</v>
      </c>
      <c r="N230" s="13" t="s">
        <v>627</v>
      </c>
      <c r="O230" s="17">
        <v>44259</v>
      </c>
      <c r="P230" s="18">
        <f>IFERROR(VLOOKUP(J230,'[1]Obs Tecnicas'!$D$2:$I$313,5,0),O230)</f>
        <v>44628</v>
      </c>
      <c r="Q230" s="17" t="str">
        <f t="shared" ca="1" si="10"/>
        <v>Calibrado</v>
      </c>
      <c r="R230" s="19">
        <f>IFERROR(VLOOKUP(J230,'[1]Obs Tecnicas'!$D$2:$G$333,2,0),"")</f>
        <v>15725</v>
      </c>
      <c r="S230" s="13" t="str">
        <f>IFERROR(VLOOKUP(J230,'[1]Obs Tecnicas'!$D$2:$G$337,3,0),"Hexis")</f>
        <v>ER ANALITICA</v>
      </c>
      <c r="T230" s="13">
        <f>IFERROR(VLOOKUP(J230,'[1]Obs Tecnicas'!$D$2:$G$337,4,0),"")</f>
        <v>0</v>
      </c>
      <c r="U230" s="14" t="s">
        <v>291</v>
      </c>
      <c r="V230" s="14">
        <f t="shared" si="9"/>
        <v>3</v>
      </c>
      <c r="W230" s="20">
        <f>VLOOKUP(I230,Indicadores!$N$4:$Q$15,4,0)</f>
        <v>329.87</v>
      </c>
    </row>
    <row r="231" spans="1:23" hidden="1">
      <c r="A231" s="13" t="s">
        <v>899</v>
      </c>
      <c r="B231" s="13" t="s">
        <v>709</v>
      </c>
      <c r="C231" s="15" t="s">
        <v>710</v>
      </c>
      <c r="D231" s="13" t="s">
        <v>711</v>
      </c>
      <c r="E231" s="13" t="s">
        <v>712</v>
      </c>
      <c r="F231" s="15" t="s">
        <v>713</v>
      </c>
      <c r="G231" s="13" t="s">
        <v>625</v>
      </c>
      <c r="H231" s="13" t="s">
        <v>202</v>
      </c>
      <c r="I231" s="13" t="s">
        <v>7</v>
      </c>
      <c r="J231" s="28" t="s">
        <v>237</v>
      </c>
      <c r="K231" s="13" t="s">
        <v>31</v>
      </c>
      <c r="L231" s="13" t="s">
        <v>53</v>
      </c>
      <c r="M231" s="13" t="s">
        <v>236</v>
      </c>
      <c r="N231" s="13" t="s">
        <v>627</v>
      </c>
      <c r="O231" s="17">
        <v>44259</v>
      </c>
      <c r="P231" s="18">
        <f>IFERROR(VLOOKUP(J231,'[1]Obs Tecnicas'!$D$2:$I$313,5,0),O231)</f>
        <v>44628</v>
      </c>
      <c r="Q231" s="17" t="str">
        <f t="shared" ca="1" si="10"/>
        <v>Calibrado</v>
      </c>
      <c r="R231" s="19">
        <f>IFERROR(VLOOKUP(J231,'[1]Obs Tecnicas'!$D$2:$G$333,2,0),"")</f>
        <v>15726</v>
      </c>
      <c r="S231" s="13" t="str">
        <f>IFERROR(VLOOKUP(J231,'[1]Obs Tecnicas'!$D$2:$G$337,3,0),"Hexis")</f>
        <v>ER ANALITICA</v>
      </c>
      <c r="T231" s="13">
        <f>IFERROR(VLOOKUP(J231,'[1]Obs Tecnicas'!$D$2:$G$337,4,0),"")</f>
        <v>0</v>
      </c>
      <c r="U231" s="14" t="s">
        <v>291</v>
      </c>
      <c r="V231" s="14">
        <f t="shared" si="9"/>
        <v>3</v>
      </c>
      <c r="W231" s="20">
        <f>VLOOKUP(I231,Indicadores!$N$4:$Q$15,4,0)</f>
        <v>329.87</v>
      </c>
    </row>
    <row r="232" spans="1:23" hidden="1">
      <c r="A232" s="13" t="s">
        <v>899</v>
      </c>
      <c r="B232" s="13" t="s">
        <v>709</v>
      </c>
      <c r="C232" s="15" t="s">
        <v>710</v>
      </c>
      <c r="D232" s="13" t="s">
        <v>711</v>
      </c>
      <c r="E232" s="13" t="s">
        <v>712</v>
      </c>
      <c r="F232" s="15" t="s">
        <v>713</v>
      </c>
      <c r="G232" s="13" t="s">
        <v>625</v>
      </c>
      <c r="H232" s="13" t="s">
        <v>202</v>
      </c>
      <c r="I232" s="13" t="s">
        <v>3</v>
      </c>
      <c r="J232" s="28" t="s">
        <v>239</v>
      </c>
      <c r="K232" s="13" t="s">
        <v>21</v>
      </c>
      <c r="L232" s="13" t="s">
        <v>96</v>
      </c>
      <c r="M232" s="13" t="s">
        <v>236</v>
      </c>
      <c r="N232" s="13" t="s">
        <v>627</v>
      </c>
      <c r="O232" s="17">
        <v>44285</v>
      </c>
      <c r="P232" s="18">
        <f>IFERROR(VLOOKUP(J232,'[1]Obs Tecnicas'!$D$2:$I$313,5,0),O232)</f>
        <v>44628</v>
      </c>
      <c r="Q232" s="17" t="str">
        <f t="shared" ca="1" si="10"/>
        <v>Calibrado</v>
      </c>
      <c r="R232" s="19">
        <f>IFERROR(VLOOKUP(J232,'[1]Obs Tecnicas'!$D$2:$G$333,2,0),"")</f>
        <v>15723</v>
      </c>
      <c r="S232" s="13" t="str">
        <f>IFERROR(VLOOKUP(J232,'[1]Obs Tecnicas'!$D$2:$G$337,3,0),"Hexis")</f>
        <v>ER ANALITICA</v>
      </c>
      <c r="T232" s="13" t="str">
        <f>IFERROR(VLOOKUP(J232,'[1]Obs Tecnicas'!$D$2:$G$337,4,0),"")</f>
        <v>Substituido o compartimento de pilhas</v>
      </c>
      <c r="U232" s="14" t="s">
        <v>291</v>
      </c>
      <c r="V232" s="14">
        <f t="shared" si="9"/>
        <v>3</v>
      </c>
      <c r="W232" s="20">
        <f>VLOOKUP(I232,Indicadores!$N$4:$Q$15,4,0)</f>
        <v>552.64</v>
      </c>
    </row>
    <row r="233" spans="1:23" hidden="1">
      <c r="A233" s="13" t="s">
        <v>899</v>
      </c>
      <c r="B233" s="13" t="s">
        <v>709</v>
      </c>
      <c r="C233" s="15" t="s">
        <v>710</v>
      </c>
      <c r="D233" s="13" t="s">
        <v>711</v>
      </c>
      <c r="E233" s="13" t="s">
        <v>712</v>
      </c>
      <c r="F233" s="15" t="s">
        <v>713</v>
      </c>
      <c r="G233" s="13" t="s">
        <v>625</v>
      </c>
      <c r="H233" s="13" t="s">
        <v>202</v>
      </c>
      <c r="I233" s="13" t="s">
        <v>5</v>
      </c>
      <c r="J233" s="28" t="s">
        <v>715</v>
      </c>
      <c r="K233" s="13" t="s">
        <v>21</v>
      </c>
      <c r="L233" s="13" t="s">
        <v>34</v>
      </c>
      <c r="M233" s="13" t="s">
        <v>236</v>
      </c>
      <c r="N233" s="13" t="s">
        <v>627</v>
      </c>
      <c r="O233" s="17">
        <v>44285</v>
      </c>
      <c r="P233" s="18">
        <f>IFERROR(VLOOKUP(J233,'[1]Obs Tecnicas'!$D$2:$I$313,5,0),O233)</f>
        <v>44628</v>
      </c>
      <c r="Q233" s="17" t="str">
        <f t="shared" ca="1" si="10"/>
        <v>Calibrado</v>
      </c>
      <c r="R233" s="19">
        <f>IFERROR(VLOOKUP(J233,'[1]Obs Tecnicas'!$D$2:$G$333,2,0),"")</f>
        <v>15722</v>
      </c>
      <c r="S233" s="13" t="str">
        <f>IFERROR(VLOOKUP(J233,'[1]Obs Tecnicas'!$D$2:$G$337,3,0),"Hexis")</f>
        <v>ER ANALITICA</v>
      </c>
      <c r="T233" s="13">
        <f>IFERROR(VLOOKUP(J233,'[1]Obs Tecnicas'!$D$2:$G$337,4,0),"")</f>
        <v>0</v>
      </c>
      <c r="U233" s="14" t="s">
        <v>291</v>
      </c>
      <c r="V233" s="14">
        <f t="shared" si="9"/>
        <v>3</v>
      </c>
      <c r="W233" s="20">
        <f>VLOOKUP(I233,Indicadores!$N$4:$Q$15,4,0)</f>
        <v>895.23</v>
      </c>
    </row>
    <row r="234" spans="1:23" hidden="1">
      <c r="A234" s="13" t="s">
        <v>899</v>
      </c>
      <c r="B234" s="13" t="s">
        <v>709</v>
      </c>
      <c r="C234" s="15" t="s">
        <v>710</v>
      </c>
      <c r="D234" s="13" t="s">
        <v>711</v>
      </c>
      <c r="E234" s="13" t="s">
        <v>712</v>
      </c>
      <c r="F234" s="15" t="s">
        <v>713</v>
      </c>
      <c r="G234" s="13" t="s">
        <v>625</v>
      </c>
      <c r="H234" s="13" t="s">
        <v>202</v>
      </c>
      <c r="I234" s="13" t="s">
        <v>9</v>
      </c>
      <c r="J234" s="28" t="s">
        <v>716</v>
      </c>
      <c r="K234" s="13" t="s">
        <v>240</v>
      </c>
      <c r="L234" s="13" t="s">
        <v>241</v>
      </c>
      <c r="M234" s="13" t="s">
        <v>236</v>
      </c>
      <c r="N234" s="13" t="s">
        <v>627</v>
      </c>
      <c r="O234" s="17">
        <v>44285</v>
      </c>
      <c r="P234" s="18">
        <f>IFERROR(VLOOKUP(J234,'[1]Obs Tecnicas'!$D$2:$I$313,5,0),O234)</f>
        <v>44628</v>
      </c>
      <c r="Q234" s="17" t="str">
        <f t="shared" ca="1" si="10"/>
        <v>Calibrado</v>
      </c>
      <c r="R234" s="19">
        <f>IFERROR(VLOOKUP(J234,'[1]Obs Tecnicas'!$D$2:$G$333,2,0),"")</f>
        <v>15724</v>
      </c>
      <c r="S234" s="13" t="str">
        <f>IFERROR(VLOOKUP(J234,'[1]Obs Tecnicas'!$D$2:$G$337,3,0),"Hexis")</f>
        <v>ER ANALITICA</v>
      </c>
      <c r="T234" s="13">
        <f>IFERROR(VLOOKUP(J234,'[1]Obs Tecnicas'!$D$2:$G$337,4,0),"")</f>
        <v>0</v>
      </c>
      <c r="U234" s="14" t="s">
        <v>291</v>
      </c>
      <c r="V234" s="14">
        <f t="shared" si="9"/>
        <v>3</v>
      </c>
      <c r="W234" s="20">
        <f>VLOOKUP(I234,Indicadores!$N$4:$Q$15,4,0)</f>
        <v>521.79999999999995</v>
      </c>
    </row>
    <row r="235" spans="1:23" hidden="1">
      <c r="A235" s="13" t="s">
        <v>899</v>
      </c>
      <c r="B235" s="13" t="s">
        <v>717</v>
      </c>
      <c r="C235" s="15" t="s">
        <v>718</v>
      </c>
      <c r="D235" s="13" t="s">
        <v>719</v>
      </c>
      <c r="E235" s="13" t="s">
        <v>581</v>
      </c>
      <c r="F235" s="15" t="s">
        <v>582</v>
      </c>
      <c r="G235" s="13" t="s">
        <v>352</v>
      </c>
      <c r="H235" s="13" t="s">
        <v>202</v>
      </c>
      <c r="I235" s="13" t="s">
        <v>3</v>
      </c>
      <c r="J235" s="28" t="s">
        <v>257</v>
      </c>
      <c r="K235" s="13" t="s">
        <v>21</v>
      </c>
      <c r="L235" s="13" t="s">
        <v>22</v>
      </c>
      <c r="M235" s="13" t="s">
        <v>252</v>
      </c>
      <c r="N235" s="13" t="s">
        <v>720</v>
      </c>
      <c r="O235" s="17">
        <v>44021</v>
      </c>
      <c r="P235" s="18">
        <f>IFERROR(VLOOKUP(J235,'[1]Obs Tecnicas'!$D$2:$I$313,5,0),O235)</f>
        <v>44372</v>
      </c>
      <c r="Q235" s="17" t="str">
        <f t="shared" ca="1" si="10"/>
        <v>Calibrado</v>
      </c>
      <c r="R235" s="19">
        <f>IFERROR(VLOOKUP(J235,'[1]Obs Tecnicas'!$D$2:$G$333,2,0),"")</f>
        <v>12717</v>
      </c>
      <c r="S235" s="13" t="str">
        <f>IFERROR(VLOOKUP(J235,'[1]Obs Tecnicas'!$D$2:$G$337,3,0),"Hexis")</f>
        <v>ER ANALITICA</v>
      </c>
      <c r="T235" s="13">
        <f>IFERROR(VLOOKUP(J235,'[1]Obs Tecnicas'!$D$2:$G$337,4,0),"")</f>
        <v>0</v>
      </c>
      <c r="U235" s="14" t="s">
        <v>291</v>
      </c>
      <c r="V235" s="14">
        <f t="shared" si="9"/>
        <v>6</v>
      </c>
      <c r="W235" s="20">
        <f>VLOOKUP(I235,Indicadores!$N$4:$Q$15,4,0)</f>
        <v>552.64</v>
      </c>
    </row>
    <row r="236" spans="1:23" hidden="1">
      <c r="A236" s="13" t="s">
        <v>899</v>
      </c>
      <c r="B236" s="13" t="s">
        <v>717</v>
      </c>
      <c r="C236" s="15" t="s">
        <v>718</v>
      </c>
      <c r="D236" s="13" t="s">
        <v>719</v>
      </c>
      <c r="E236" s="13" t="s">
        <v>581</v>
      </c>
      <c r="F236" s="15" t="s">
        <v>582</v>
      </c>
      <c r="G236" s="13" t="s">
        <v>352</v>
      </c>
      <c r="H236" s="13" t="s">
        <v>202</v>
      </c>
      <c r="I236" s="13" t="s">
        <v>5</v>
      </c>
      <c r="J236" s="28" t="s">
        <v>721</v>
      </c>
      <c r="K236" s="13" t="s">
        <v>21</v>
      </c>
      <c r="L236" s="13" t="s">
        <v>258</v>
      </c>
      <c r="M236" s="13" t="s">
        <v>252</v>
      </c>
      <c r="N236" s="13" t="s">
        <v>720</v>
      </c>
      <c r="O236" s="17">
        <v>44021</v>
      </c>
      <c r="P236" s="18">
        <f>IFERROR(VLOOKUP(J236,'[1]Obs Tecnicas'!$D$2:$I$313,5,0),O236)</f>
        <v>44372</v>
      </c>
      <c r="Q236" s="17" t="str">
        <f t="shared" ca="1" si="10"/>
        <v>Calibrado</v>
      </c>
      <c r="R236" s="19">
        <f>IFERROR(VLOOKUP(J236,'[1]Obs Tecnicas'!$D$2:$G$333,2,0),"")</f>
        <v>12718</v>
      </c>
      <c r="S236" s="13" t="str">
        <f>IFERROR(VLOOKUP(J236,'[1]Obs Tecnicas'!$D$2:$G$337,3,0),"Hexis")</f>
        <v>ER ANALITICA</v>
      </c>
      <c r="T236" s="13" t="str">
        <f>IFERROR(VLOOKUP(J236,'[1]Obs Tecnicas'!$D$2:$G$337,4,0),"")</f>
        <v>Compartimento de pilhas do instrumento encontra-se oxidado, sendo recomendado sua troca na próxima manutenção</v>
      </c>
      <c r="U236" s="14" t="s">
        <v>291</v>
      </c>
      <c r="V236" s="14">
        <f t="shared" si="9"/>
        <v>6</v>
      </c>
      <c r="W236" s="20">
        <f>VLOOKUP(I236,Indicadores!$N$4:$Q$15,4,0)</f>
        <v>895.23</v>
      </c>
    </row>
    <row r="237" spans="1:23" hidden="1">
      <c r="A237" s="13" t="s">
        <v>899</v>
      </c>
      <c r="B237" s="13" t="s">
        <v>717</v>
      </c>
      <c r="C237" s="15" t="s">
        <v>718</v>
      </c>
      <c r="D237" s="13" t="s">
        <v>719</v>
      </c>
      <c r="E237" s="13" t="s">
        <v>581</v>
      </c>
      <c r="F237" s="15" t="s">
        <v>582</v>
      </c>
      <c r="G237" s="13" t="s">
        <v>352</v>
      </c>
      <c r="H237" s="13" t="s">
        <v>202</v>
      </c>
      <c r="I237" s="13" t="s">
        <v>7</v>
      </c>
      <c r="J237" s="28" t="s">
        <v>722</v>
      </c>
      <c r="K237" s="13" t="s">
        <v>56</v>
      </c>
      <c r="L237" s="13" t="s">
        <v>57</v>
      </c>
      <c r="M237" s="13" t="s">
        <v>252</v>
      </c>
      <c r="N237" s="13" t="s">
        <v>720</v>
      </c>
      <c r="O237" s="17">
        <v>44021</v>
      </c>
      <c r="P237" s="18">
        <f>IFERROR(VLOOKUP(J237,'[1]Obs Tecnicas'!$D$2:$I$313,5,0),O237)</f>
        <v>44372</v>
      </c>
      <c r="Q237" s="17" t="str">
        <f t="shared" ca="1" si="10"/>
        <v>Calibrado</v>
      </c>
      <c r="R237" s="19">
        <f>IFERROR(VLOOKUP(J237,'[1]Obs Tecnicas'!$D$2:$G$333,2,0),"")</f>
        <v>12719</v>
      </c>
      <c r="S237" s="13" t="str">
        <f>IFERROR(VLOOKUP(J237,'[1]Obs Tecnicas'!$D$2:$G$337,3,0),"Hexis")</f>
        <v>ER ANALITICA</v>
      </c>
      <c r="T237" s="13">
        <f>IFERROR(VLOOKUP(J237,'[1]Obs Tecnicas'!$D$2:$G$337,4,0),"")</f>
        <v>0</v>
      </c>
      <c r="U237" s="14" t="s">
        <v>291</v>
      </c>
      <c r="V237" s="14">
        <f t="shared" si="9"/>
        <v>6</v>
      </c>
      <c r="W237" s="20">
        <f>VLOOKUP(I237,Indicadores!$N$4:$Q$15,4,0)</f>
        <v>329.87</v>
      </c>
    </row>
    <row r="238" spans="1:23" hidden="1">
      <c r="A238" s="13" t="s">
        <v>899</v>
      </c>
      <c r="B238" s="13" t="s">
        <v>723</v>
      </c>
      <c r="C238" s="15" t="s">
        <v>724</v>
      </c>
      <c r="D238" s="13" t="s">
        <v>725</v>
      </c>
      <c r="E238" s="13" t="s">
        <v>726</v>
      </c>
      <c r="F238" s="15" t="s">
        <v>727</v>
      </c>
      <c r="G238" s="13" t="s">
        <v>298</v>
      </c>
      <c r="H238" s="13" t="s">
        <v>40</v>
      </c>
      <c r="I238" s="13" t="s">
        <v>3</v>
      </c>
      <c r="J238" s="28" t="s">
        <v>72</v>
      </c>
      <c r="K238" s="13" t="s">
        <v>21</v>
      </c>
      <c r="L238" s="13" t="s">
        <v>22</v>
      </c>
      <c r="M238" s="13" t="s">
        <v>70</v>
      </c>
      <c r="N238" s="13" t="s">
        <v>728</v>
      </c>
      <c r="O238" s="17">
        <v>44194</v>
      </c>
      <c r="P238" s="18">
        <f>IFERROR(VLOOKUP(J238,'[1]Obs Tecnicas'!$D$2:$I$313,5,0),O238)</f>
        <v>44462</v>
      </c>
      <c r="Q238" s="17" t="str">
        <f t="shared" ca="1" si="10"/>
        <v>Calibrado</v>
      </c>
      <c r="R238" s="19">
        <f>IFERROR(VLOOKUP(J238,'[1]Obs Tecnicas'!$D$2:$G$333,2,0),"")</f>
        <v>13839</v>
      </c>
      <c r="S238" s="13" t="str">
        <f>IFERROR(VLOOKUP(J238,'[1]Obs Tecnicas'!$D$2:$G$337,3,0),"Hexis")</f>
        <v>ER ANALITICA</v>
      </c>
      <c r="T238" s="13">
        <f>IFERROR(VLOOKUP(J238,'[1]Obs Tecnicas'!$D$2:$G$337,4,0),"")</f>
        <v>0</v>
      </c>
      <c r="U238" s="14" t="s">
        <v>291</v>
      </c>
      <c r="V238" s="14">
        <f t="shared" si="9"/>
        <v>9</v>
      </c>
      <c r="W238" s="20">
        <f>VLOOKUP(I238,Indicadores!$N$4:$Q$15,4,0)</f>
        <v>552.64</v>
      </c>
    </row>
    <row r="239" spans="1:23" hidden="1">
      <c r="A239" s="13" t="s">
        <v>899</v>
      </c>
      <c r="B239" s="13" t="s">
        <v>723</v>
      </c>
      <c r="C239" s="15" t="s">
        <v>724</v>
      </c>
      <c r="D239" s="13" t="s">
        <v>725</v>
      </c>
      <c r="E239" s="13" t="s">
        <v>726</v>
      </c>
      <c r="F239" s="15" t="s">
        <v>727</v>
      </c>
      <c r="G239" s="13" t="s">
        <v>298</v>
      </c>
      <c r="H239" s="13" t="s">
        <v>40</v>
      </c>
      <c r="I239" s="13" t="s">
        <v>4</v>
      </c>
      <c r="J239" s="28">
        <v>4212228</v>
      </c>
      <c r="K239" s="13" t="s">
        <v>26</v>
      </c>
      <c r="L239" s="24" t="s">
        <v>27</v>
      </c>
      <c r="M239" s="13" t="s">
        <v>70</v>
      </c>
      <c r="N239" s="13" t="s">
        <v>728</v>
      </c>
      <c r="O239" s="17">
        <v>44194</v>
      </c>
      <c r="P239" s="18">
        <f>IFERROR(VLOOKUP(J239,'[1]Obs Tecnicas'!$D$2:$I$313,5,0),O239)</f>
        <v>44462</v>
      </c>
      <c r="Q239" s="17" t="str">
        <f t="shared" ca="1" si="10"/>
        <v>Calibrado</v>
      </c>
      <c r="R239" s="19">
        <f>IFERROR(VLOOKUP(J239,'[1]Obs Tecnicas'!$D$2:$G$333,2,0),"")</f>
        <v>13840</v>
      </c>
      <c r="S239" s="13" t="str">
        <f>IFERROR(VLOOKUP(J239,'[1]Obs Tecnicas'!$D$2:$G$337,3,0),"Hexis")</f>
        <v>ER ANALITICA</v>
      </c>
      <c r="T239" s="13">
        <f>IFERROR(VLOOKUP(J239,'[1]Obs Tecnicas'!$D$2:$G$337,4,0),"")</f>
        <v>0</v>
      </c>
      <c r="U239" s="14" t="s">
        <v>291</v>
      </c>
      <c r="V239" s="14">
        <f t="shared" si="9"/>
        <v>9</v>
      </c>
      <c r="W239" s="20">
        <f>VLOOKUP(I239,Indicadores!$N$4:$Q$15,4,0)</f>
        <v>329.87</v>
      </c>
    </row>
    <row r="240" spans="1:23" hidden="1">
      <c r="A240" s="13" t="s">
        <v>899</v>
      </c>
      <c r="B240" s="13" t="s">
        <v>723</v>
      </c>
      <c r="C240" s="15" t="s">
        <v>724</v>
      </c>
      <c r="D240" s="13" t="s">
        <v>725</v>
      </c>
      <c r="E240" s="13" t="s">
        <v>726</v>
      </c>
      <c r="F240" s="15" t="s">
        <v>727</v>
      </c>
      <c r="G240" s="13" t="s">
        <v>298</v>
      </c>
      <c r="H240" s="13" t="s">
        <v>40</v>
      </c>
      <c r="I240" s="13" t="s">
        <v>7</v>
      </c>
      <c r="J240" s="28">
        <v>799046</v>
      </c>
      <c r="K240" s="13" t="s">
        <v>56</v>
      </c>
      <c r="L240" s="13" t="s">
        <v>57</v>
      </c>
      <c r="M240" s="13" t="s">
        <v>70</v>
      </c>
      <c r="N240" s="13" t="s">
        <v>728</v>
      </c>
      <c r="O240" s="17">
        <v>44462</v>
      </c>
      <c r="P240" s="18">
        <f>IFERROR(VLOOKUP(J240,'[1]Obs Tecnicas'!$D$2:$I$313,5,0),O240)</f>
        <v>44462</v>
      </c>
      <c r="Q240" s="17" t="str">
        <f t="shared" ca="1" si="10"/>
        <v>Calibrado</v>
      </c>
      <c r="R240" s="19" t="str">
        <f>IFERROR(VLOOKUP(J240,'[1]Obs Tecnicas'!$D$2:$G$333,2,0),"")</f>
        <v/>
      </c>
      <c r="S240" s="13" t="s">
        <v>729</v>
      </c>
      <c r="T240" s="13" t="str">
        <f>IFERROR(VLOOKUP(J240,'[1]Obs Tecnicas'!$D$2:$G$337,4,0),"")</f>
        <v/>
      </c>
      <c r="U240" s="14" t="s">
        <v>291</v>
      </c>
      <c r="V240" s="14">
        <f t="shared" si="9"/>
        <v>9</v>
      </c>
      <c r="W240" s="20">
        <f>VLOOKUP(I240,Indicadores!$N$4:$Q$15,4,0)</f>
        <v>329.87</v>
      </c>
    </row>
    <row r="241" spans="1:23" hidden="1">
      <c r="A241" s="13" t="s">
        <v>899</v>
      </c>
      <c r="H241" s="13" t="s">
        <v>202</v>
      </c>
      <c r="I241" s="13" t="s">
        <v>4</v>
      </c>
      <c r="J241" s="28" t="s">
        <v>730</v>
      </c>
      <c r="K241" s="13" t="s">
        <v>731</v>
      </c>
      <c r="M241" s="169" t="s">
        <v>219</v>
      </c>
      <c r="O241" s="17"/>
      <c r="P241" s="18">
        <f>IFERROR(VLOOKUP(J241,'[1]Obs Tecnicas'!$D$2:$I$313,5,0),O241)</f>
        <v>44333</v>
      </c>
      <c r="Q241" s="17" t="str">
        <f t="shared" ca="1" si="10"/>
        <v>Calibrado</v>
      </c>
      <c r="R241" s="19">
        <f>IFERROR(VLOOKUP(J241,'[1]Obs Tecnicas'!$D$2:$G$333,2,0),"")</f>
        <v>12341</v>
      </c>
      <c r="S241" s="13" t="str">
        <f>IFERROR(VLOOKUP(J241,'[1]Obs Tecnicas'!$D$2:$G$337,3,0),"Hexis")</f>
        <v>ER ANALITICA</v>
      </c>
      <c r="T241" s="13" t="str">
        <f>IFERROR(VLOOKUP(J241,'[1]Obs Tecnicas'!$D$2:$G$337,4,0),"")</f>
        <v>Display com avarias</v>
      </c>
      <c r="U241" s="14" t="s">
        <v>291</v>
      </c>
      <c r="V241" s="14">
        <f t="shared" si="9"/>
        <v>5</v>
      </c>
      <c r="W241" s="20">
        <f>VLOOKUP(I241,Indicadores!$N$4:$Q$15,4,0)</f>
        <v>329.87</v>
      </c>
    </row>
    <row r="242" spans="1:23" ht="15.75" hidden="1">
      <c r="A242" s="13" t="s">
        <v>899</v>
      </c>
      <c r="H242" s="13" t="s">
        <v>202</v>
      </c>
      <c r="I242" s="13" t="s">
        <v>4</v>
      </c>
      <c r="J242" s="28" t="s">
        <v>732</v>
      </c>
      <c r="K242" s="184" t="s">
        <v>731</v>
      </c>
      <c r="M242" s="169" t="s">
        <v>219</v>
      </c>
      <c r="O242" s="17"/>
      <c r="P242" s="18">
        <f>IFERROR(VLOOKUP(J242,'[1]Obs Tecnicas'!$D$2:$I$313,5,0),O242)</f>
        <v>44333</v>
      </c>
      <c r="Q242" s="17" t="str">
        <f t="shared" ca="1" si="10"/>
        <v>Calibrado</v>
      </c>
      <c r="R242" s="19">
        <f>IFERROR(VLOOKUP(J242,'[1]Obs Tecnicas'!$D$2:$G$333,2,0),"")</f>
        <v>12338</v>
      </c>
      <c r="S242" s="13" t="str">
        <f>IFERROR(VLOOKUP(J242,'[1]Obs Tecnicas'!$D$2:$G$337,3,0),"Hexis")</f>
        <v>ER ANALITICA</v>
      </c>
      <c r="T242" s="13">
        <f>IFERROR(VLOOKUP(J242,'[1]Obs Tecnicas'!$D$2:$G$337,4,0),"")</f>
        <v>0</v>
      </c>
      <c r="U242" s="14" t="s">
        <v>291</v>
      </c>
      <c r="V242" s="14">
        <f t="shared" si="9"/>
        <v>5</v>
      </c>
      <c r="W242" s="20">
        <f>VLOOKUP(I242,Indicadores!$N$4:$Q$15,4,0)</f>
        <v>329.87</v>
      </c>
    </row>
    <row r="243" spans="1:23" hidden="1">
      <c r="A243" s="13" t="s">
        <v>899</v>
      </c>
      <c r="H243" s="13" t="s">
        <v>202</v>
      </c>
      <c r="I243" s="13" t="s">
        <v>4</v>
      </c>
      <c r="J243" s="28" t="s">
        <v>733</v>
      </c>
      <c r="K243" s="13" t="s">
        <v>734</v>
      </c>
      <c r="M243" s="169" t="s">
        <v>219</v>
      </c>
      <c r="O243" s="17"/>
      <c r="P243" s="18">
        <f>IFERROR(VLOOKUP(J243,'[1]Obs Tecnicas'!$D$2:$I$313,5,0),O243)</f>
        <v>44333</v>
      </c>
      <c r="Q243" s="17" t="str">
        <f t="shared" ca="1" si="10"/>
        <v>Calibrado</v>
      </c>
      <c r="R243" s="19">
        <f>IFERROR(VLOOKUP(J243,'[1]Obs Tecnicas'!$D$2:$G$333,2,0),"")</f>
        <v>12339</v>
      </c>
      <c r="S243" s="13" t="str">
        <f>IFERROR(VLOOKUP(J243,'[1]Obs Tecnicas'!$D$2:$G$337,3,0),"Hexis")</f>
        <v>ER ANALITICA</v>
      </c>
      <c r="T243" s="13" t="str">
        <f>IFERROR(VLOOKUP(J243,'[1]Obs Tecnicas'!$D$2:$G$337,4,0),"")</f>
        <v>Carcaça do instrumento trincada.</v>
      </c>
      <c r="U243" s="14" t="s">
        <v>291</v>
      </c>
      <c r="V243" s="14">
        <f t="shared" si="9"/>
        <v>5</v>
      </c>
      <c r="W243" s="20">
        <f>VLOOKUP(I243,Indicadores!$N$4:$Q$15,4,0)</f>
        <v>329.87</v>
      </c>
    </row>
    <row r="244" spans="1:23" hidden="1">
      <c r="A244" s="13" t="s">
        <v>899</v>
      </c>
      <c r="B244" s="13" t="s">
        <v>735</v>
      </c>
      <c r="C244" s="15" t="s">
        <v>736</v>
      </c>
      <c r="E244" s="13" t="s">
        <v>640</v>
      </c>
      <c r="F244" s="15" t="s">
        <v>641</v>
      </c>
      <c r="G244" s="13" t="s">
        <v>330</v>
      </c>
      <c r="H244" s="13" t="s">
        <v>98</v>
      </c>
      <c r="I244" s="13" t="s">
        <v>835</v>
      </c>
      <c r="J244" s="28" t="s">
        <v>650</v>
      </c>
      <c r="K244" s="13" t="s">
        <v>737</v>
      </c>
      <c r="L244" s="13" t="s">
        <v>84</v>
      </c>
      <c r="M244" s="13" t="s">
        <v>109</v>
      </c>
      <c r="O244" s="17">
        <v>44040</v>
      </c>
      <c r="P244" s="18">
        <f>IFERROR(VLOOKUP(J244,'[1]Obs Tecnicas'!$D$2:$I$313,5,0),O244)</f>
        <v>44404</v>
      </c>
      <c r="Q244" s="17" t="str">
        <f t="shared" ca="1" si="10"/>
        <v>Calibrado</v>
      </c>
      <c r="R244" s="19">
        <f>IFERROR(VLOOKUP(J244,'[1]Obs Tecnicas'!$D$2:$G$333,2,0),"")</f>
        <v>13246</v>
      </c>
      <c r="S244" s="13" t="str">
        <f>IFERROR(VLOOKUP(J244,'[1]Obs Tecnicas'!$D$2:$G$337,3,0),"Hexis")</f>
        <v>ER ANALITICA</v>
      </c>
      <c r="T244" s="13">
        <f>IFERROR(VLOOKUP(J244,'[1]Obs Tecnicas'!$D$2:$G$337,4,0),"")</f>
        <v>0</v>
      </c>
      <c r="U244" s="14" t="s">
        <v>291</v>
      </c>
      <c r="V244" s="14">
        <f t="shared" si="9"/>
        <v>7</v>
      </c>
      <c r="W244" s="20">
        <f>VLOOKUP(I244,Indicadores!$N$4:$Q$15,4,0)</f>
        <v>546.79</v>
      </c>
    </row>
    <row r="245" spans="1:23">
      <c r="A245" s="13" t="s">
        <v>899</v>
      </c>
      <c r="B245" s="13" t="s">
        <v>388</v>
      </c>
      <c r="C245" s="168" t="s">
        <v>389</v>
      </c>
      <c r="D245" s="13" t="s">
        <v>390</v>
      </c>
      <c r="E245" s="13" t="s">
        <v>391</v>
      </c>
      <c r="F245" s="15" t="s">
        <v>392</v>
      </c>
      <c r="H245" s="13" t="s">
        <v>138</v>
      </c>
      <c r="I245" s="13" t="s">
        <v>4</v>
      </c>
      <c r="J245" s="28" t="s">
        <v>738</v>
      </c>
      <c r="K245" s="13" t="s">
        <v>739</v>
      </c>
      <c r="L245" s="13" t="s">
        <v>740</v>
      </c>
      <c r="M245" s="185" t="s">
        <v>741</v>
      </c>
      <c r="N245" s="13" t="s">
        <v>394</v>
      </c>
      <c r="O245" s="17">
        <v>44343</v>
      </c>
      <c r="P245" s="18">
        <f>IFERROR(VLOOKUP(J245,'[1]Obs Tecnicas'!$D$2:$I$313,5,0),O245)</f>
        <v>44343</v>
      </c>
      <c r="Q245" s="17" t="str">
        <f t="shared" ca="1" si="10"/>
        <v>Calibrado</v>
      </c>
      <c r="R245" s="19" t="str">
        <f>IFERROR(VLOOKUP(J245,'[1]Obs Tecnicas'!$D$2:$G$333,2,0),"")</f>
        <v/>
      </c>
      <c r="S245" s="13" t="str">
        <f>IFERROR(VLOOKUP(J245,'[1]Obs Tecnicas'!$D$2:$G$337,3,0),"Hexis")</f>
        <v>Hexis</v>
      </c>
      <c r="T245" s="13" t="str">
        <f>IFERROR(VLOOKUP(J245,'[1]Obs Tecnicas'!$D$2:$G$337,4,0),"")</f>
        <v/>
      </c>
      <c r="V245" s="14">
        <f t="shared" si="9"/>
        <v>5</v>
      </c>
      <c r="W245" s="20">
        <f>VLOOKUP(I245,Indicadores!$N$4:$Q$15,4,0)</f>
        <v>329.87</v>
      </c>
    </row>
    <row r="246" spans="1:23">
      <c r="A246" s="13" t="s">
        <v>899</v>
      </c>
      <c r="B246" s="13" t="s">
        <v>388</v>
      </c>
      <c r="C246" s="168" t="s">
        <v>389</v>
      </c>
      <c r="D246" s="13" t="s">
        <v>390</v>
      </c>
      <c r="E246" s="13" t="s">
        <v>391</v>
      </c>
      <c r="F246" s="15" t="s">
        <v>392</v>
      </c>
      <c r="H246" s="13" t="s">
        <v>138</v>
      </c>
      <c r="I246" s="13" t="s">
        <v>7</v>
      </c>
      <c r="J246" s="28" t="s">
        <v>738</v>
      </c>
      <c r="K246" s="13" t="s">
        <v>739</v>
      </c>
      <c r="L246" s="13" t="s">
        <v>740</v>
      </c>
      <c r="M246" s="185" t="s">
        <v>741</v>
      </c>
      <c r="N246" s="13" t="s">
        <v>394</v>
      </c>
      <c r="O246" s="17">
        <v>44343</v>
      </c>
      <c r="P246" s="18">
        <f>IFERROR(VLOOKUP(J246,'[1]Obs Tecnicas'!$D$2:$I$313,5,0),O246)</f>
        <v>44343</v>
      </c>
      <c r="Q246" s="17" t="str">
        <f t="shared" ca="1" si="10"/>
        <v>Calibrado</v>
      </c>
      <c r="R246" s="19" t="str">
        <f>IFERROR(VLOOKUP(J246,'[1]Obs Tecnicas'!$D$2:$G$333,2,0),"")</f>
        <v/>
      </c>
      <c r="S246" s="13" t="str">
        <f>IFERROR(VLOOKUP(J246,'[1]Obs Tecnicas'!$D$2:$G$337,3,0),"Hexis")</f>
        <v>Hexis</v>
      </c>
      <c r="T246" s="13" t="str">
        <f>IFERROR(VLOOKUP(J246,'[1]Obs Tecnicas'!$D$2:$G$337,4,0),"")</f>
        <v/>
      </c>
      <c r="V246" s="14">
        <f t="shared" si="9"/>
        <v>5</v>
      </c>
      <c r="W246" s="20">
        <f>VLOOKUP(I246,Indicadores!$N$4:$Q$15,4,0)</f>
        <v>329.87</v>
      </c>
    </row>
    <row r="247" spans="1:23">
      <c r="A247" s="13" t="s">
        <v>899</v>
      </c>
      <c r="B247" s="13" t="s">
        <v>388</v>
      </c>
      <c r="C247" s="168" t="s">
        <v>389</v>
      </c>
      <c r="D247" s="13" t="s">
        <v>390</v>
      </c>
      <c r="E247" s="13" t="s">
        <v>391</v>
      </c>
      <c r="F247" s="15" t="s">
        <v>392</v>
      </c>
      <c r="H247" s="13" t="s">
        <v>138</v>
      </c>
      <c r="I247" s="13" t="s">
        <v>4</v>
      </c>
      <c r="J247" s="28" t="s">
        <v>742</v>
      </c>
      <c r="K247" s="13" t="s">
        <v>739</v>
      </c>
      <c r="L247" s="13" t="s">
        <v>740</v>
      </c>
      <c r="M247" s="185" t="s">
        <v>741</v>
      </c>
      <c r="N247" s="13" t="s">
        <v>394</v>
      </c>
      <c r="O247" s="186">
        <v>44343</v>
      </c>
      <c r="P247" s="18">
        <f>IFERROR(VLOOKUP(J247,'[1]Obs Tecnicas'!$D$2:$I$313,5,0),O247)</f>
        <v>44343</v>
      </c>
      <c r="Q247" s="17" t="str">
        <f t="shared" ca="1" si="10"/>
        <v>Calibrado</v>
      </c>
      <c r="R247" s="19" t="str">
        <f>IFERROR(VLOOKUP(J247,'[1]Obs Tecnicas'!$D$2:$G$333,2,0),"")</f>
        <v/>
      </c>
      <c r="S247" s="13" t="str">
        <f>IFERROR(VLOOKUP(J247,'[1]Obs Tecnicas'!$D$2:$G$337,3,0),"Hexis")</f>
        <v>Hexis</v>
      </c>
      <c r="T247" s="13" t="str">
        <f>IFERROR(VLOOKUP(J247,'[1]Obs Tecnicas'!$D$2:$G$337,4,0),"")</f>
        <v/>
      </c>
      <c r="V247" s="14">
        <f t="shared" si="9"/>
        <v>5</v>
      </c>
      <c r="W247" s="20">
        <f>VLOOKUP(I247,Indicadores!$N$4:$Q$15,4,0)</f>
        <v>329.87</v>
      </c>
    </row>
    <row r="248" spans="1:23" hidden="1">
      <c r="A248" s="13" t="s">
        <v>899</v>
      </c>
      <c r="B248" s="13" t="s">
        <v>388</v>
      </c>
      <c r="C248" s="168" t="s">
        <v>389</v>
      </c>
      <c r="D248" s="13" t="s">
        <v>390</v>
      </c>
      <c r="E248" s="13" t="s">
        <v>391</v>
      </c>
      <c r="F248" s="15" t="s">
        <v>392</v>
      </c>
      <c r="H248" s="13" t="s">
        <v>138</v>
      </c>
      <c r="I248" s="13" t="s">
        <v>5</v>
      </c>
      <c r="J248" s="28" t="s">
        <v>406</v>
      </c>
      <c r="K248" s="13" t="s">
        <v>21</v>
      </c>
      <c r="L248" s="13" t="s">
        <v>743</v>
      </c>
      <c r="M248" s="185" t="s">
        <v>741</v>
      </c>
      <c r="N248" s="13" t="s">
        <v>394</v>
      </c>
      <c r="O248" s="186">
        <v>44343</v>
      </c>
      <c r="P248" s="18">
        <f>IFERROR(VLOOKUP(J248,'[1]Obs Tecnicas'!$D$2:$I$313,5,0),O248)</f>
        <v>44523</v>
      </c>
      <c r="Q248" s="17" t="str">
        <f t="shared" ca="1" si="10"/>
        <v>Calibrado</v>
      </c>
      <c r="R248" s="19">
        <f>IFERROR(VLOOKUP(J248,'[1]Obs Tecnicas'!$D$2:$G$333,2,0),"")</f>
        <v>13932</v>
      </c>
      <c r="S248" s="13" t="str">
        <f>IFERROR(VLOOKUP(J248,'[1]Obs Tecnicas'!$D$2:$G$337,3,0),"Hexis")</f>
        <v>ER ANALITICA</v>
      </c>
      <c r="T248" s="13" t="str">
        <f>IFERROR(VLOOKUP(J248,'[1]Obs Tecnicas'!$D$2:$G$337,4,0),"")</f>
        <v>MODULO DE ALIMENTAÇÃOCOM AVARIAS,E NCAMINHADO PARA NOSSA AT</v>
      </c>
      <c r="U248" s="14" t="s">
        <v>291</v>
      </c>
      <c r="V248" s="14">
        <f t="shared" si="9"/>
        <v>11</v>
      </c>
      <c r="W248" s="20">
        <f>VLOOKUP(I248,Indicadores!$N$4:$Q$15,4,0)</f>
        <v>895.23</v>
      </c>
    </row>
    <row r="249" spans="1:23">
      <c r="A249" s="13" t="s">
        <v>899</v>
      </c>
      <c r="B249" s="13" t="s">
        <v>399</v>
      </c>
      <c r="C249" s="168" t="s">
        <v>397</v>
      </c>
      <c r="E249" s="13" t="s">
        <v>399</v>
      </c>
      <c r="F249" s="13" t="s">
        <v>397</v>
      </c>
      <c r="G249" s="13" t="s">
        <v>374</v>
      </c>
      <c r="H249" s="13" t="s">
        <v>202</v>
      </c>
      <c r="I249" s="13" t="s">
        <v>3</v>
      </c>
      <c r="J249" s="28" t="s">
        <v>744</v>
      </c>
      <c r="K249" s="13" t="s">
        <v>21</v>
      </c>
      <c r="L249" s="13" t="s">
        <v>745</v>
      </c>
      <c r="M249" s="169" t="s">
        <v>219</v>
      </c>
      <c r="N249" s="13" t="s">
        <v>332</v>
      </c>
      <c r="O249" s="186">
        <v>44306</v>
      </c>
      <c r="P249" s="18">
        <f>IFERROR(VLOOKUP(J249,'[1]Obs Tecnicas'!$D$2:$I$313,5,0),O249)</f>
        <v>44306</v>
      </c>
      <c r="Q249" s="17" t="str">
        <f t="shared" ca="1" si="10"/>
        <v>Vencido</v>
      </c>
      <c r="R249" s="19" t="str">
        <f>IFERROR(VLOOKUP(J249,'[1]Obs Tecnicas'!$D$2:$G$333,2,0),"")</f>
        <v/>
      </c>
      <c r="S249" s="13" t="str">
        <f>IFERROR(VLOOKUP(J249,'[1]Obs Tecnicas'!$D$2:$G$337,3,0),"Hexis")</f>
        <v>Hexis</v>
      </c>
      <c r="T249" s="13" t="str">
        <f>IFERROR(VLOOKUP(J249,'[1]Obs Tecnicas'!$D$2:$G$337,4,0),"")</f>
        <v/>
      </c>
      <c r="U249" s="14" t="s">
        <v>401</v>
      </c>
      <c r="V249" s="14">
        <f t="shared" si="9"/>
        <v>4</v>
      </c>
      <c r="W249" s="20">
        <f>VLOOKUP(I249,Indicadores!$N$4:$Q$15,4,0)</f>
        <v>552.64</v>
      </c>
    </row>
    <row r="250" spans="1:23">
      <c r="A250" s="13" t="s">
        <v>899</v>
      </c>
      <c r="B250" s="13" t="s">
        <v>399</v>
      </c>
      <c r="C250" s="168" t="s">
        <v>397</v>
      </c>
      <c r="E250" s="13" t="s">
        <v>399</v>
      </c>
      <c r="F250" s="13" t="s">
        <v>397</v>
      </c>
      <c r="G250" s="13" t="s">
        <v>374</v>
      </c>
      <c r="H250" s="13" t="s">
        <v>202</v>
      </c>
      <c r="I250" s="13" t="s">
        <v>3</v>
      </c>
      <c r="J250" s="28" t="s">
        <v>746</v>
      </c>
      <c r="K250" s="13" t="s">
        <v>21</v>
      </c>
      <c r="L250" s="13" t="s">
        <v>745</v>
      </c>
      <c r="M250" s="169" t="s">
        <v>219</v>
      </c>
      <c r="N250" s="13" t="s">
        <v>332</v>
      </c>
      <c r="O250" s="186">
        <v>44306</v>
      </c>
      <c r="P250" s="18">
        <f>IFERROR(VLOOKUP(J250,'[1]Obs Tecnicas'!$D$2:$I$313,5,0),O250)</f>
        <v>44306</v>
      </c>
      <c r="Q250" s="17" t="str">
        <f t="shared" ca="1" si="10"/>
        <v>Vencido</v>
      </c>
      <c r="R250" s="19" t="str">
        <f>IFERROR(VLOOKUP(J250,'[1]Obs Tecnicas'!$D$2:$G$333,2,0),"")</f>
        <v/>
      </c>
      <c r="S250" s="13" t="str">
        <f>IFERROR(VLOOKUP(J250,'[1]Obs Tecnicas'!$D$2:$G$337,3,0),"Hexis")</f>
        <v>Hexis</v>
      </c>
      <c r="T250" s="13" t="str">
        <f>IFERROR(VLOOKUP(J250,'[1]Obs Tecnicas'!$D$2:$G$337,4,0),"")</f>
        <v/>
      </c>
      <c r="U250" s="14" t="s">
        <v>401</v>
      </c>
      <c r="V250" s="14">
        <f t="shared" si="9"/>
        <v>4</v>
      </c>
      <c r="W250" s="20">
        <f>VLOOKUP(I250,Indicadores!$N$4:$Q$15,4,0)</f>
        <v>552.64</v>
      </c>
    </row>
    <row r="251" spans="1:23">
      <c r="A251" s="13" t="s">
        <v>899</v>
      </c>
      <c r="B251" s="13" t="s">
        <v>399</v>
      </c>
      <c r="C251" s="168" t="s">
        <v>397</v>
      </c>
      <c r="E251" s="13" t="s">
        <v>399</v>
      </c>
      <c r="F251" s="13" t="s">
        <v>397</v>
      </c>
      <c r="G251" s="13" t="s">
        <v>374</v>
      </c>
      <c r="H251" s="13" t="s">
        <v>202</v>
      </c>
      <c r="I251" s="13" t="s">
        <v>4</v>
      </c>
      <c r="J251" s="28" t="s">
        <v>747</v>
      </c>
      <c r="K251" s="13" t="s">
        <v>66</v>
      </c>
      <c r="L251" s="13" t="s">
        <v>63</v>
      </c>
      <c r="M251" s="169" t="s">
        <v>219</v>
      </c>
      <c r="N251" s="13" t="s">
        <v>332</v>
      </c>
      <c r="O251" s="186">
        <v>44306</v>
      </c>
      <c r="P251" s="18">
        <f>IFERROR(VLOOKUP(J251,'[1]Obs Tecnicas'!$D$2:$I$313,5,0),O251)</f>
        <v>44306</v>
      </c>
      <c r="Q251" s="17" t="str">
        <f t="shared" ca="1" si="10"/>
        <v>Vencido</v>
      </c>
      <c r="R251" s="19" t="str">
        <f>IFERROR(VLOOKUP(J251,'[1]Obs Tecnicas'!$D$2:$G$333,2,0),"")</f>
        <v/>
      </c>
      <c r="S251" s="13" t="str">
        <f>IFERROR(VLOOKUP(J251,'[1]Obs Tecnicas'!$D$2:$G$337,3,0),"Hexis")</f>
        <v>Hexis</v>
      </c>
      <c r="T251" s="13" t="str">
        <f>IFERROR(VLOOKUP(J251,'[1]Obs Tecnicas'!$D$2:$G$337,4,0),"")</f>
        <v/>
      </c>
      <c r="U251" s="14" t="s">
        <v>401</v>
      </c>
      <c r="V251" s="14">
        <f t="shared" si="9"/>
        <v>4</v>
      </c>
      <c r="W251" s="20">
        <f>VLOOKUP(I251,Indicadores!$N$4:$Q$15,4,0)</f>
        <v>329.87</v>
      </c>
    </row>
    <row r="252" spans="1:23">
      <c r="A252" s="13" t="s">
        <v>899</v>
      </c>
      <c r="B252" s="13" t="s">
        <v>748</v>
      </c>
      <c r="C252" s="15" t="s">
        <v>1413</v>
      </c>
      <c r="D252" s="13" t="s">
        <v>1462</v>
      </c>
      <c r="E252" s="13" t="s">
        <v>1410</v>
      </c>
      <c r="F252" s="15" t="s">
        <v>1411</v>
      </c>
      <c r="H252" s="13" t="s">
        <v>749</v>
      </c>
      <c r="I252" s="13" t="s">
        <v>7</v>
      </c>
      <c r="J252" s="28" t="s">
        <v>750</v>
      </c>
      <c r="K252" s="13" t="s">
        <v>21</v>
      </c>
      <c r="L252" s="13" t="s">
        <v>751</v>
      </c>
      <c r="M252" s="169" t="s">
        <v>752</v>
      </c>
      <c r="O252" s="186">
        <v>44330</v>
      </c>
      <c r="P252" s="18">
        <f>IFERROR(VLOOKUP(J252,'[1]Obs Tecnicas'!$D$2:$I$313,5,0),O252)</f>
        <v>44330</v>
      </c>
      <c r="Q252" s="17" t="str">
        <f t="shared" ca="1" si="10"/>
        <v>Calibrado</v>
      </c>
      <c r="R252" s="19" t="str">
        <f>IFERROR(VLOOKUP(J252,'[1]Obs Tecnicas'!$D$2:$G$333,2,0),"")</f>
        <v/>
      </c>
      <c r="S252" s="13" t="str">
        <f>IFERROR(VLOOKUP(J252,'[1]Obs Tecnicas'!$D$2:$G$337,3,0),"Hexis")</f>
        <v>Hexis</v>
      </c>
      <c r="T252" s="13" t="str">
        <f>IFERROR(VLOOKUP(J252,'[1]Obs Tecnicas'!$D$2:$G$337,4,0),"")</f>
        <v/>
      </c>
      <c r="U252" s="14" t="s">
        <v>359</v>
      </c>
      <c r="V252" s="14">
        <f t="shared" si="9"/>
        <v>5</v>
      </c>
      <c r="W252" s="20">
        <f>VLOOKUP(I252,Indicadores!$N$4:$Q$15,4,0)</f>
        <v>329.87</v>
      </c>
    </row>
    <row r="253" spans="1:23">
      <c r="A253" s="13" t="s">
        <v>899</v>
      </c>
      <c r="B253" s="13" t="s">
        <v>748</v>
      </c>
      <c r="C253" s="15" t="s">
        <v>1413</v>
      </c>
      <c r="D253" s="13" t="s">
        <v>1462</v>
      </c>
      <c r="E253" s="13" t="s">
        <v>1410</v>
      </c>
      <c r="F253" s="15" t="s">
        <v>1411</v>
      </c>
      <c r="H253" s="13" t="s">
        <v>749</v>
      </c>
      <c r="I253" s="13" t="s">
        <v>7</v>
      </c>
      <c r="J253" s="28" t="s">
        <v>753</v>
      </c>
      <c r="K253" s="13" t="s">
        <v>21</v>
      </c>
      <c r="L253" s="13" t="s">
        <v>751</v>
      </c>
      <c r="M253" s="169" t="s">
        <v>752</v>
      </c>
      <c r="O253" s="186">
        <v>44330</v>
      </c>
      <c r="P253" s="18">
        <f>IFERROR(VLOOKUP(J253,'[1]Obs Tecnicas'!$D$2:$I$313,5,0),O253)</f>
        <v>44330</v>
      </c>
      <c r="Q253" s="17" t="str">
        <f t="shared" ca="1" si="10"/>
        <v>Calibrado</v>
      </c>
      <c r="R253" s="19" t="str">
        <f>IFERROR(VLOOKUP(J253,'[1]Obs Tecnicas'!$D$2:$G$333,2,0),"")</f>
        <v/>
      </c>
      <c r="S253" s="13" t="str">
        <f>IFERROR(VLOOKUP(J253,'[1]Obs Tecnicas'!$D$2:$G$337,3,0),"Hexis")</f>
        <v>Hexis</v>
      </c>
      <c r="T253" s="13" t="str">
        <f>IFERROR(VLOOKUP(J253,'[1]Obs Tecnicas'!$D$2:$G$337,4,0),"")</f>
        <v/>
      </c>
      <c r="U253" s="14" t="s">
        <v>359</v>
      </c>
      <c r="V253" s="14">
        <f t="shared" si="9"/>
        <v>5</v>
      </c>
      <c r="W253" s="20">
        <f>VLOOKUP(I253,Indicadores!$N$4:$Q$15,4,0)</f>
        <v>329.87</v>
      </c>
    </row>
    <row r="254" spans="1:23">
      <c r="A254" s="13" t="s">
        <v>899</v>
      </c>
      <c r="B254" s="13" t="s">
        <v>1410</v>
      </c>
      <c r="C254" s="15" t="s">
        <v>1411</v>
      </c>
      <c r="D254" s="13" t="s">
        <v>1412</v>
      </c>
      <c r="E254" s="14" t="s">
        <v>748</v>
      </c>
      <c r="F254" s="13" t="s">
        <v>1413</v>
      </c>
      <c r="H254" s="13" t="s">
        <v>749</v>
      </c>
      <c r="I254" s="13" t="s">
        <v>4</v>
      </c>
      <c r="J254" s="28" t="s">
        <v>754</v>
      </c>
      <c r="K254" s="13" t="s">
        <v>21</v>
      </c>
      <c r="L254" s="13" t="s">
        <v>755</v>
      </c>
      <c r="M254" s="169" t="s">
        <v>752</v>
      </c>
      <c r="O254" s="186">
        <v>44313</v>
      </c>
      <c r="P254" s="18">
        <f>IFERROR(VLOOKUP(J254,'[1]Obs Tecnicas'!$D$2:$I$313,5,0),O254)</f>
        <v>44313</v>
      </c>
      <c r="Q254" s="17" t="str">
        <f t="shared" ca="1" si="10"/>
        <v>Vencido</v>
      </c>
      <c r="R254" s="19" t="str">
        <f>IFERROR(VLOOKUP(J254,'[1]Obs Tecnicas'!$D$2:$G$333,2,0),"")</f>
        <v/>
      </c>
      <c r="S254" s="13" t="str">
        <f>IFERROR(VLOOKUP(J254,'[1]Obs Tecnicas'!$D$2:$G$337,3,0),"Hexis")</f>
        <v>Hexis</v>
      </c>
      <c r="T254" s="13" t="str">
        <f>IFERROR(VLOOKUP(J254,'[1]Obs Tecnicas'!$D$2:$G$337,4,0),"")</f>
        <v/>
      </c>
      <c r="U254" s="14" t="s">
        <v>359</v>
      </c>
      <c r="V254" s="14">
        <f t="shared" si="9"/>
        <v>4</v>
      </c>
      <c r="W254" s="20">
        <f>VLOOKUP(I254,Indicadores!$N$4:$Q$15,4,0)</f>
        <v>329.87</v>
      </c>
    </row>
    <row r="255" spans="1:23">
      <c r="A255" s="13" t="s">
        <v>899</v>
      </c>
      <c r="B255" s="13" t="s">
        <v>748</v>
      </c>
      <c r="C255" s="15" t="s">
        <v>1413</v>
      </c>
      <c r="D255" s="13" t="s">
        <v>1462</v>
      </c>
      <c r="E255" s="13" t="s">
        <v>1410</v>
      </c>
      <c r="F255" s="15" t="s">
        <v>1411</v>
      </c>
      <c r="H255" s="13" t="s">
        <v>749</v>
      </c>
      <c r="I255" s="13" t="s">
        <v>7</v>
      </c>
      <c r="J255" s="28" t="s">
        <v>756</v>
      </c>
      <c r="K255" s="13" t="s">
        <v>21</v>
      </c>
      <c r="L255" s="13" t="s">
        <v>88</v>
      </c>
      <c r="M255" s="169" t="s">
        <v>752</v>
      </c>
      <c r="O255" s="186">
        <v>44313</v>
      </c>
      <c r="P255" s="18">
        <f>IFERROR(VLOOKUP(J255,'[1]Obs Tecnicas'!$D$2:$I$313,5,0),O255)</f>
        <v>44313</v>
      </c>
      <c r="Q255" s="17" t="str">
        <f t="shared" ca="1" si="10"/>
        <v>Vencido</v>
      </c>
      <c r="R255" s="19" t="str">
        <f>IFERROR(VLOOKUP(J255,'[1]Obs Tecnicas'!$D$2:$G$333,2,0),"")</f>
        <v/>
      </c>
      <c r="S255" s="13" t="str">
        <f>IFERROR(VLOOKUP(J255,'[1]Obs Tecnicas'!$D$2:$G$337,3,0),"Hexis")</f>
        <v>Hexis</v>
      </c>
      <c r="T255" s="13" t="str">
        <f>IFERROR(VLOOKUP(J255,'[1]Obs Tecnicas'!$D$2:$G$337,4,0),"")</f>
        <v/>
      </c>
      <c r="U255" s="14" t="s">
        <v>359</v>
      </c>
      <c r="V255" s="14">
        <f t="shared" si="9"/>
        <v>4</v>
      </c>
      <c r="W255" s="20">
        <f>VLOOKUP(I255,Indicadores!$N$4:$Q$15,4,0)</f>
        <v>329.87</v>
      </c>
    </row>
    <row r="256" spans="1:23">
      <c r="A256" s="13" t="s">
        <v>899</v>
      </c>
      <c r="B256" s="13" t="s">
        <v>1410</v>
      </c>
      <c r="C256" s="15" t="s">
        <v>1411</v>
      </c>
      <c r="D256" s="13" t="s">
        <v>1412</v>
      </c>
      <c r="E256" s="14" t="s">
        <v>748</v>
      </c>
      <c r="F256" s="13" t="s">
        <v>1413</v>
      </c>
      <c r="H256" s="13" t="s">
        <v>749</v>
      </c>
      <c r="I256" s="13" t="s">
        <v>9</v>
      </c>
      <c r="J256" s="28" t="s">
        <v>757</v>
      </c>
      <c r="K256" s="13" t="s">
        <v>21</v>
      </c>
      <c r="L256" s="13" t="s">
        <v>89</v>
      </c>
      <c r="M256" s="169" t="s">
        <v>752</v>
      </c>
      <c r="O256" s="186">
        <v>44313</v>
      </c>
      <c r="P256" s="18">
        <f>IFERROR(VLOOKUP(J256,'[1]Obs Tecnicas'!$D$2:$I$313,5,0),O256)</f>
        <v>44313</v>
      </c>
      <c r="Q256" s="17" t="str">
        <f t="shared" ca="1" si="10"/>
        <v>Vencido</v>
      </c>
      <c r="R256" s="19" t="str">
        <f>IFERROR(VLOOKUP(J256,'[1]Obs Tecnicas'!$D$2:$G$333,2,0),"")</f>
        <v/>
      </c>
      <c r="S256" s="13" t="str">
        <f>IFERROR(VLOOKUP(J256,'[1]Obs Tecnicas'!$D$2:$G$337,3,0),"Hexis")</f>
        <v>Hexis</v>
      </c>
      <c r="T256" s="13" t="str">
        <f>IFERROR(VLOOKUP(J256,'[1]Obs Tecnicas'!$D$2:$G$337,4,0),"")</f>
        <v/>
      </c>
      <c r="U256" s="14" t="s">
        <v>359</v>
      </c>
      <c r="V256" s="14">
        <f t="shared" si="9"/>
        <v>4</v>
      </c>
      <c r="W256" s="20">
        <f>VLOOKUP(I256,Indicadores!$N$4:$Q$15,4,0)</f>
        <v>521.79999999999995</v>
      </c>
    </row>
    <row r="257" spans="1:23">
      <c r="A257" s="13" t="s">
        <v>899</v>
      </c>
      <c r="B257" s="13" t="s">
        <v>1410</v>
      </c>
      <c r="C257" s="15" t="s">
        <v>1411</v>
      </c>
      <c r="D257" s="13" t="s">
        <v>1412</v>
      </c>
      <c r="E257" s="14" t="s">
        <v>748</v>
      </c>
      <c r="F257" s="13" t="s">
        <v>1413</v>
      </c>
      <c r="H257" s="13" t="s">
        <v>749</v>
      </c>
      <c r="I257" s="13" t="s">
        <v>5</v>
      </c>
      <c r="J257" s="28" t="s">
        <v>758</v>
      </c>
      <c r="K257" s="13" t="s">
        <v>21</v>
      </c>
      <c r="L257" s="13" t="s">
        <v>759</v>
      </c>
      <c r="M257" s="169" t="s">
        <v>752</v>
      </c>
      <c r="O257" s="186">
        <v>44313</v>
      </c>
      <c r="P257" s="18">
        <f>IFERROR(VLOOKUP(J257,'[1]Obs Tecnicas'!$D$2:$I$313,5,0),O257)</f>
        <v>44313</v>
      </c>
      <c r="Q257" s="17" t="str">
        <f t="shared" ca="1" si="10"/>
        <v>Vencido</v>
      </c>
      <c r="R257" s="19" t="str">
        <f>IFERROR(VLOOKUP(J257,'[1]Obs Tecnicas'!$D$2:$G$333,2,0),"")</f>
        <v/>
      </c>
      <c r="S257" s="13" t="str">
        <f>IFERROR(VLOOKUP(J257,'[1]Obs Tecnicas'!$D$2:$G$337,3,0),"Hexis")</f>
        <v>Hexis</v>
      </c>
      <c r="T257" s="13" t="str">
        <f>IFERROR(VLOOKUP(J257,'[1]Obs Tecnicas'!$D$2:$G$337,4,0),"")</f>
        <v/>
      </c>
      <c r="U257" s="14" t="s">
        <v>359</v>
      </c>
      <c r="V257" s="14">
        <f t="shared" ref="V257:V320" si="11">IF(P257&lt;&gt;"",MONTH(P257),"")</f>
        <v>4</v>
      </c>
      <c r="W257" s="20">
        <f>VLOOKUP(I257,Indicadores!$N$4:$Q$15,4,0)</f>
        <v>895.23</v>
      </c>
    </row>
    <row r="258" spans="1:23" hidden="1">
      <c r="A258" s="13" t="s">
        <v>899</v>
      </c>
      <c r="B258" s="13" t="s">
        <v>760</v>
      </c>
      <c r="C258" s="15" t="s">
        <v>1466</v>
      </c>
      <c r="D258" s="13" t="s">
        <v>761</v>
      </c>
      <c r="E258" s="13" t="s">
        <v>391</v>
      </c>
      <c r="F258" s="15" t="s">
        <v>392</v>
      </c>
      <c r="G258" s="13" t="s">
        <v>318</v>
      </c>
      <c r="H258" s="13" t="s">
        <v>762</v>
      </c>
      <c r="I258" s="13" t="s">
        <v>5</v>
      </c>
      <c r="J258" s="28" t="s">
        <v>763</v>
      </c>
      <c r="K258" s="13" t="s">
        <v>764</v>
      </c>
      <c r="L258" s="13" t="s">
        <v>647</v>
      </c>
      <c r="M258" s="169" t="s">
        <v>765</v>
      </c>
      <c r="N258" s="13" t="s">
        <v>766</v>
      </c>
      <c r="O258" s="186">
        <v>44398</v>
      </c>
      <c r="P258" s="18">
        <f>IFERROR(VLOOKUP(J258,'[1]Obs Tecnicas'!$D$2:$I$313,5,0),O258)</f>
        <v>44398</v>
      </c>
      <c r="Q258" s="17" t="str">
        <f t="shared" ca="1" si="10"/>
        <v>Calibrado</v>
      </c>
      <c r="R258" s="19">
        <f>IFERROR(VLOOKUP(J258,'[1]Obs Tecnicas'!$D$2:$G$333,2,0),"")</f>
        <v>13217</v>
      </c>
      <c r="S258" s="13" t="str">
        <f>IFERROR(VLOOKUP(J258,'[1]Obs Tecnicas'!$D$2:$G$337,3,0),"Hexis")</f>
        <v>ER ANALITICA</v>
      </c>
      <c r="T258" s="13">
        <f>IFERROR(VLOOKUP(J258,'[1]Obs Tecnicas'!$D$2:$G$337,4,0),"")</f>
        <v>0</v>
      </c>
      <c r="U258" s="14" t="s">
        <v>291</v>
      </c>
      <c r="V258" s="14">
        <f t="shared" si="11"/>
        <v>7</v>
      </c>
      <c r="W258" s="20">
        <f>VLOOKUP(I258,Indicadores!$N$4:$Q$15,4,0)</f>
        <v>895.23</v>
      </c>
    </row>
    <row r="259" spans="1:23" hidden="1">
      <c r="A259" s="13" t="s">
        <v>899</v>
      </c>
      <c r="B259" s="13" t="s">
        <v>760</v>
      </c>
      <c r="C259" s="15" t="s">
        <v>1466</v>
      </c>
      <c r="D259" s="13" t="s">
        <v>767</v>
      </c>
      <c r="E259" s="13" t="s">
        <v>391</v>
      </c>
      <c r="F259" s="15" t="s">
        <v>392</v>
      </c>
      <c r="G259" s="13" t="s">
        <v>318</v>
      </c>
      <c r="H259" s="13" t="s">
        <v>762</v>
      </c>
      <c r="I259" s="13" t="s">
        <v>768</v>
      </c>
      <c r="J259" s="28" t="s">
        <v>769</v>
      </c>
      <c r="K259" s="13" t="s">
        <v>105</v>
      </c>
      <c r="L259" s="13" t="s">
        <v>770</v>
      </c>
      <c r="M259" s="169" t="s">
        <v>765</v>
      </c>
      <c r="N259" s="13" t="s">
        <v>766</v>
      </c>
      <c r="O259" s="186">
        <v>44398</v>
      </c>
      <c r="P259" s="18">
        <f>IFERROR(VLOOKUP(J259,'[1]Obs Tecnicas'!$D$2:$I$313,5,0),O259)</f>
        <v>44398</v>
      </c>
      <c r="Q259" s="17" t="str">
        <f t="shared" ca="1" si="10"/>
        <v>Calibrado</v>
      </c>
      <c r="R259" s="19">
        <f>IFERROR(VLOOKUP(J259,'[1]Obs Tecnicas'!$D$2:$G$333,2,0),"")</f>
        <v>13218</v>
      </c>
      <c r="S259" s="13" t="str">
        <f>IFERROR(VLOOKUP(J259,'[1]Obs Tecnicas'!$D$2:$G$337,3,0),"Hexis")</f>
        <v>ER ANALITICA</v>
      </c>
      <c r="T259" s="13">
        <f>IFERROR(VLOOKUP(J259,'[1]Obs Tecnicas'!$D$2:$G$337,4,0),"")</f>
        <v>0</v>
      </c>
      <c r="U259" s="14" t="s">
        <v>291</v>
      </c>
      <c r="V259" s="14">
        <f t="shared" si="11"/>
        <v>7</v>
      </c>
      <c r="W259" s="20">
        <f>VLOOKUP(I259,Indicadores!$N$4:$Q$15,4,0)</f>
        <v>329.87</v>
      </c>
    </row>
    <row r="260" spans="1:23" hidden="1">
      <c r="A260" s="13" t="s">
        <v>899</v>
      </c>
      <c r="B260" s="13" t="s">
        <v>760</v>
      </c>
      <c r="C260" s="15" t="s">
        <v>1466</v>
      </c>
      <c r="D260" s="13" t="s">
        <v>771</v>
      </c>
      <c r="E260" s="13" t="s">
        <v>391</v>
      </c>
      <c r="F260" s="15" t="s">
        <v>392</v>
      </c>
      <c r="G260" s="13" t="s">
        <v>318</v>
      </c>
      <c r="H260" s="13" t="s">
        <v>762</v>
      </c>
      <c r="I260" s="13" t="s">
        <v>835</v>
      </c>
      <c r="J260" s="28" t="s">
        <v>772</v>
      </c>
      <c r="K260" s="13" t="s">
        <v>773</v>
      </c>
      <c r="L260" s="13" t="s">
        <v>687</v>
      </c>
      <c r="M260" s="169" t="s">
        <v>765</v>
      </c>
      <c r="N260" s="13" t="s">
        <v>766</v>
      </c>
      <c r="O260" s="186">
        <v>44398</v>
      </c>
      <c r="P260" s="18">
        <f>IFERROR(VLOOKUP(J260,'[1]Obs Tecnicas'!$D$2:$I$313,5,0),O260)</f>
        <v>44398</v>
      </c>
      <c r="Q260" s="17" t="str">
        <f t="shared" ca="1" si="10"/>
        <v>Calibrado</v>
      </c>
      <c r="R260" s="19">
        <f>IFERROR(VLOOKUP(J260,'[1]Obs Tecnicas'!$D$2:$G$333,2,0),"")</f>
        <v>13219</v>
      </c>
      <c r="S260" s="13" t="str">
        <f>IFERROR(VLOOKUP(J260,'[1]Obs Tecnicas'!$D$2:$G$337,3,0),"Hexis")</f>
        <v>ER ANALITICA</v>
      </c>
      <c r="T260" s="13">
        <f>IFERROR(VLOOKUP(J260,'[1]Obs Tecnicas'!$D$2:$G$337,4,0),"")</f>
        <v>0</v>
      </c>
      <c r="U260" s="14" t="s">
        <v>291</v>
      </c>
      <c r="V260" s="14">
        <f t="shared" si="11"/>
        <v>7</v>
      </c>
      <c r="W260" s="20">
        <f>VLOOKUP(I260,Indicadores!$N$4:$Q$15,4,0)</f>
        <v>546.79</v>
      </c>
    </row>
    <row r="261" spans="1:23" hidden="1">
      <c r="A261" s="13" t="s">
        <v>899</v>
      </c>
      <c r="B261" s="13" t="s">
        <v>760</v>
      </c>
      <c r="C261" s="15" t="s">
        <v>1466</v>
      </c>
      <c r="D261" s="13" t="s">
        <v>774</v>
      </c>
      <c r="E261" s="13" t="s">
        <v>391</v>
      </c>
      <c r="F261" s="15" t="s">
        <v>392</v>
      </c>
      <c r="G261" s="13" t="s">
        <v>318</v>
      </c>
      <c r="H261" s="13" t="s">
        <v>762</v>
      </c>
      <c r="I261" s="13" t="s">
        <v>835</v>
      </c>
      <c r="J261" s="28" t="s">
        <v>775</v>
      </c>
      <c r="K261" s="13" t="s">
        <v>773</v>
      </c>
      <c r="L261" s="13" t="s">
        <v>776</v>
      </c>
      <c r="M261" s="169" t="s">
        <v>765</v>
      </c>
      <c r="N261" s="13" t="s">
        <v>766</v>
      </c>
      <c r="O261" s="186">
        <v>44398</v>
      </c>
      <c r="P261" s="18">
        <f>IFERROR(VLOOKUP(J261,'[1]Obs Tecnicas'!$D$2:$I$313,5,0),O261)</f>
        <v>44398</v>
      </c>
      <c r="Q261" s="17" t="str">
        <f t="shared" ca="1" si="10"/>
        <v>Calibrado</v>
      </c>
      <c r="R261" s="19">
        <f>IFERROR(VLOOKUP(J261,'[1]Obs Tecnicas'!$D$2:$G$333,2,0),"")</f>
        <v>13220</v>
      </c>
      <c r="S261" s="13" t="str">
        <f>IFERROR(VLOOKUP(J261,'[1]Obs Tecnicas'!$D$2:$G$337,3,0),"Hexis")</f>
        <v>ER ANALITICA</v>
      </c>
      <c r="T261" s="13">
        <f>IFERROR(VLOOKUP(J261,'[1]Obs Tecnicas'!$D$2:$G$337,4,0),"")</f>
        <v>0</v>
      </c>
      <c r="U261" s="14" t="s">
        <v>291</v>
      </c>
      <c r="V261" s="14">
        <f t="shared" si="11"/>
        <v>7</v>
      </c>
      <c r="W261" s="20">
        <f>VLOOKUP(I261,Indicadores!$N$4:$Q$15,4,0)</f>
        <v>546.79</v>
      </c>
    </row>
    <row r="262" spans="1:23" hidden="1">
      <c r="A262" s="13" t="s">
        <v>899</v>
      </c>
      <c r="B262" s="13" t="s">
        <v>760</v>
      </c>
      <c r="C262" s="15" t="s">
        <v>1466</v>
      </c>
      <c r="D262" s="13" t="s">
        <v>777</v>
      </c>
      <c r="E262" s="13" t="s">
        <v>391</v>
      </c>
      <c r="F262" s="15" t="s">
        <v>392</v>
      </c>
      <c r="G262" s="13" t="s">
        <v>318</v>
      </c>
      <c r="H262" s="13" t="s">
        <v>762</v>
      </c>
      <c r="I262" s="13" t="s">
        <v>778</v>
      </c>
      <c r="J262" s="28" t="s">
        <v>779</v>
      </c>
      <c r="K262" s="13" t="s">
        <v>66</v>
      </c>
      <c r="L262" s="13" t="s">
        <v>780</v>
      </c>
      <c r="M262" s="169" t="s">
        <v>765</v>
      </c>
      <c r="N262" s="13" t="s">
        <v>766</v>
      </c>
      <c r="O262" s="186">
        <v>44398</v>
      </c>
      <c r="P262" s="18">
        <f>IFERROR(VLOOKUP(J262,'[1]Obs Tecnicas'!$D$2:$I$313,5,0),O262)</f>
        <v>44398</v>
      </c>
      <c r="Q262" s="17" t="str">
        <f t="shared" ca="1" si="10"/>
        <v>Calibrado</v>
      </c>
      <c r="R262" s="19">
        <f>IFERROR(VLOOKUP(J262,'[1]Obs Tecnicas'!$D$2:$G$333,2,0),"")</f>
        <v>13221</v>
      </c>
      <c r="S262" s="13" t="str">
        <f>IFERROR(VLOOKUP(J262,'[1]Obs Tecnicas'!$D$2:$G$337,3,0),"Hexis")</f>
        <v>ER ANALITICA</v>
      </c>
      <c r="T262" s="13">
        <f>IFERROR(VLOOKUP(J262,'[1]Obs Tecnicas'!$D$2:$G$337,4,0),"")</f>
        <v>0</v>
      </c>
      <c r="U262" s="14" t="s">
        <v>291</v>
      </c>
      <c r="V262" s="14">
        <f t="shared" si="11"/>
        <v>7</v>
      </c>
      <c r="W262" s="20">
        <f>VLOOKUP(I262,Indicadores!$N$4:$Q$15,4,0)</f>
        <v>0</v>
      </c>
    </row>
    <row r="263" spans="1:23" hidden="1">
      <c r="A263" s="13" t="s">
        <v>899</v>
      </c>
      <c r="B263" s="13" t="s">
        <v>760</v>
      </c>
      <c r="C263" s="15" t="s">
        <v>1466</v>
      </c>
      <c r="D263" s="13" t="s">
        <v>781</v>
      </c>
      <c r="E263" s="13" t="s">
        <v>391</v>
      </c>
      <c r="F263" s="15" t="s">
        <v>392</v>
      </c>
      <c r="G263" s="13" t="s">
        <v>318</v>
      </c>
      <c r="H263" s="13" t="s">
        <v>762</v>
      </c>
      <c r="I263" s="13" t="s">
        <v>778</v>
      </c>
      <c r="J263" s="28" t="s">
        <v>782</v>
      </c>
      <c r="K263" s="13" t="s">
        <v>66</v>
      </c>
      <c r="L263" s="13" t="s">
        <v>783</v>
      </c>
      <c r="M263" s="169" t="s">
        <v>765</v>
      </c>
      <c r="N263" s="13" t="s">
        <v>766</v>
      </c>
      <c r="O263" s="186">
        <v>44398</v>
      </c>
      <c r="P263" s="18">
        <f>IFERROR(VLOOKUP(J263,'[1]Obs Tecnicas'!$D$2:$I$313,5,0),O263)</f>
        <v>44398</v>
      </c>
      <c r="Q263" s="17" t="str">
        <f t="shared" ca="1" si="10"/>
        <v>Calibrado</v>
      </c>
      <c r="R263" s="19">
        <f>IFERROR(VLOOKUP(J263,'[1]Obs Tecnicas'!$D$2:$G$333,2,0),"")</f>
        <v>13222</v>
      </c>
      <c r="S263" s="13" t="str">
        <f>IFERROR(VLOOKUP(J263,'[1]Obs Tecnicas'!$D$2:$G$337,3,0),"Hexis")</f>
        <v>ER ANALITICA</v>
      </c>
      <c r="T263" s="13">
        <f>IFERROR(VLOOKUP(J263,'[1]Obs Tecnicas'!$D$2:$G$337,4,0),"")</f>
        <v>0</v>
      </c>
      <c r="U263" s="14" t="s">
        <v>291</v>
      </c>
      <c r="V263" s="14">
        <f t="shared" si="11"/>
        <v>7</v>
      </c>
      <c r="W263" s="20">
        <f>VLOOKUP(I263,Indicadores!$N$4:$Q$15,4,0)</f>
        <v>0</v>
      </c>
    </row>
    <row r="264" spans="1:23" hidden="1">
      <c r="A264" s="13" t="s">
        <v>899</v>
      </c>
      <c r="B264" s="13" t="s">
        <v>760</v>
      </c>
      <c r="C264" s="15" t="s">
        <v>1466</v>
      </c>
      <c r="D264" s="13" t="s">
        <v>784</v>
      </c>
      <c r="E264" s="13" t="s">
        <v>391</v>
      </c>
      <c r="F264" s="15" t="s">
        <v>392</v>
      </c>
      <c r="G264" s="13" t="s">
        <v>318</v>
      </c>
      <c r="H264" s="13" t="s">
        <v>762</v>
      </c>
      <c r="I264" s="13" t="s">
        <v>519</v>
      </c>
      <c r="J264" s="28" t="s">
        <v>785</v>
      </c>
      <c r="K264" s="13" t="s">
        <v>66</v>
      </c>
      <c r="L264" s="13" t="s">
        <v>786</v>
      </c>
      <c r="M264" s="169" t="s">
        <v>765</v>
      </c>
      <c r="N264" s="13" t="s">
        <v>766</v>
      </c>
      <c r="O264" s="186">
        <v>44398</v>
      </c>
      <c r="P264" s="18">
        <f>IFERROR(VLOOKUP(J264,'[1]Obs Tecnicas'!$D$2:$I$313,5,0),O264)</f>
        <v>44398</v>
      </c>
      <c r="Q264" s="17" t="str">
        <f t="shared" ca="1" si="10"/>
        <v>Calibrado</v>
      </c>
      <c r="R264" s="19">
        <f>IFERROR(VLOOKUP(J264,'[1]Obs Tecnicas'!$D$2:$G$333,2,0),"")</f>
        <v>13239</v>
      </c>
      <c r="S264" s="13" t="str">
        <f>IFERROR(VLOOKUP(J264,'[1]Obs Tecnicas'!$D$2:$G$337,3,0),"Hexis")</f>
        <v>ER ANALITICA</v>
      </c>
      <c r="T264" s="13">
        <f>IFERROR(VLOOKUP(J264,'[1]Obs Tecnicas'!$D$2:$G$337,4,0),"")</f>
        <v>0</v>
      </c>
      <c r="U264" s="14" t="s">
        <v>291</v>
      </c>
      <c r="V264" s="14">
        <f t="shared" si="11"/>
        <v>7</v>
      </c>
      <c r="W264" s="20">
        <f>VLOOKUP(I264,Indicadores!$N$4:$Q$15,4,0)</f>
        <v>0</v>
      </c>
    </row>
    <row r="265" spans="1:23" ht="15.75" hidden="1">
      <c r="A265" s="13" t="s">
        <v>899</v>
      </c>
      <c r="B265" s="13" t="s">
        <v>787</v>
      </c>
      <c r="C265" s="182" t="s">
        <v>788</v>
      </c>
      <c r="D265" s="13" t="s">
        <v>789</v>
      </c>
      <c r="G265" s="13" t="s">
        <v>621</v>
      </c>
      <c r="H265" s="13" t="s">
        <v>202</v>
      </c>
      <c r="I265" s="13" t="s">
        <v>4</v>
      </c>
      <c r="J265" s="28" t="s">
        <v>790</v>
      </c>
      <c r="K265" s="13" t="s">
        <v>731</v>
      </c>
      <c r="L265" s="13" t="s">
        <v>791</v>
      </c>
      <c r="M265" s="13" t="s">
        <v>211</v>
      </c>
      <c r="N265" s="13" t="s">
        <v>332</v>
      </c>
      <c r="O265" s="187">
        <v>44407</v>
      </c>
      <c r="P265" s="18">
        <f>IFERROR(VLOOKUP(J265,'[1]Obs Tecnicas'!$D$2:$I$313,5,0),O265)</f>
        <v>44407</v>
      </c>
      <c r="Q265" s="17" t="str">
        <f t="shared" ca="1" si="10"/>
        <v>Calibrado</v>
      </c>
      <c r="R265" s="19">
        <f>IFERROR(VLOOKUP(J265,'[1]Obs Tecnicas'!$D$2:$G$333,2,0),"")</f>
        <v>1331</v>
      </c>
      <c r="S265" s="14" t="s">
        <v>729</v>
      </c>
      <c r="U265" s="14" t="s">
        <v>291</v>
      </c>
      <c r="V265" s="14">
        <f t="shared" si="11"/>
        <v>7</v>
      </c>
      <c r="W265" s="20">
        <f>VLOOKUP(I265,Indicadores!$N$4:$Q$15,4,0)</f>
        <v>329.87</v>
      </c>
    </row>
    <row r="266" spans="1:23" hidden="1">
      <c r="A266" s="13" t="s">
        <v>899</v>
      </c>
      <c r="B266" s="13" t="s">
        <v>313</v>
      </c>
      <c r="C266" s="15" t="s">
        <v>314</v>
      </c>
      <c r="D266" s="13" t="s">
        <v>315</v>
      </c>
      <c r="E266" s="13" t="s">
        <v>316</v>
      </c>
      <c r="F266" s="15" t="s">
        <v>317</v>
      </c>
      <c r="G266" s="13" t="s">
        <v>318</v>
      </c>
      <c r="H266" s="13" t="s">
        <v>177</v>
      </c>
      <c r="I266" s="13" t="s">
        <v>835</v>
      </c>
      <c r="J266" s="28" t="s">
        <v>792</v>
      </c>
      <c r="K266" s="196" t="s">
        <v>731</v>
      </c>
      <c r="L266" s="13" t="s">
        <v>793</v>
      </c>
      <c r="M266" s="13" t="s">
        <v>178</v>
      </c>
      <c r="N266" s="13" t="s">
        <v>305</v>
      </c>
      <c r="P266" s="18">
        <f>IFERROR(VLOOKUP(J266,'[1]Obs Tecnicas'!$D$2:$I$313,5,0),O266)</f>
        <v>44426</v>
      </c>
      <c r="Q266" s="17" t="str">
        <f t="shared" ca="1" si="10"/>
        <v>Calibrado</v>
      </c>
      <c r="R266" s="19">
        <f>IFERROR(VLOOKUP(J266,'[1]Obs Tecnicas'!$D$2:$G$333,2,0),"")</f>
        <v>13564</v>
      </c>
      <c r="S266" s="13" t="str">
        <f>IFERROR(VLOOKUP(J266,'[1]Obs Tecnicas'!$D$2:$G$337,3,0),"Hexis")</f>
        <v>ER ANALITICA</v>
      </c>
      <c r="U266" s="14" t="s">
        <v>291</v>
      </c>
      <c r="V266" s="14">
        <f t="shared" si="11"/>
        <v>8</v>
      </c>
      <c r="W266" s="20">
        <f>VLOOKUP(I266,Indicadores!$N$4:$Q$15,4,0)</f>
        <v>546.79</v>
      </c>
    </row>
    <row r="267" spans="1:23" hidden="1">
      <c r="A267" s="13" t="s">
        <v>899</v>
      </c>
      <c r="B267" s="13" t="s">
        <v>313</v>
      </c>
      <c r="C267" s="15" t="s">
        <v>314</v>
      </c>
      <c r="D267" s="13" t="s">
        <v>315</v>
      </c>
      <c r="E267" s="13" t="s">
        <v>316</v>
      </c>
      <c r="F267" s="15" t="s">
        <v>317</v>
      </c>
      <c r="G267" s="13" t="s">
        <v>318</v>
      </c>
      <c r="H267" s="13" t="s">
        <v>177</v>
      </c>
      <c r="I267" s="13" t="s">
        <v>835</v>
      </c>
      <c r="J267" s="28" t="s">
        <v>794</v>
      </c>
      <c r="K267" s="196" t="s">
        <v>731</v>
      </c>
      <c r="L267" s="13" t="s">
        <v>793</v>
      </c>
      <c r="M267" s="13" t="s">
        <v>178</v>
      </c>
      <c r="N267" s="13" t="s">
        <v>305</v>
      </c>
      <c r="P267" s="18">
        <f>IFERROR(VLOOKUP(J267,'[1]Obs Tecnicas'!$D$2:$I$313,5,0),O267)</f>
        <v>44426</v>
      </c>
      <c r="Q267" s="17" t="str">
        <f t="shared" ca="1" si="10"/>
        <v>Calibrado</v>
      </c>
      <c r="R267" s="19">
        <f>IFERROR(VLOOKUP(J267,'[1]Obs Tecnicas'!$D$2:$G$333,2,0),"")</f>
        <v>13439</v>
      </c>
      <c r="S267" s="13" t="str">
        <f>IFERROR(VLOOKUP(J267,'[1]Obs Tecnicas'!$D$2:$G$337,3,0),"Hexis")</f>
        <v>ER ANALITICA</v>
      </c>
      <c r="U267" s="14" t="s">
        <v>291</v>
      </c>
      <c r="V267" s="14">
        <f t="shared" si="11"/>
        <v>8</v>
      </c>
      <c r="W267" s="20">
        <f>VLOOKUP(I267,Indicadores!$N$4:$Q$15,4,0)</f>
        <v>546.79</v>
      </c>
    </row>
    <row r="268" spans="1:23" hidden="1">
      <c r="A268" s="13" t="s">
        <v>899</v>
      </c>
      <c r="B268" s="13" t="s">
        <v>313</v>
      </c>
      <c r="C268" s="15" t="s">
        <v>314</v>
      </c>
      <c r="D268" s="13" t="s">
        <v>315</v>
      </c>
      <c r="E268" s="13" t="s">
        <v>316</v>
      </c>
      <c r="F268" s="15" t="s">
        <v>317</v>
      </c>
      <c r="G268" s="13" t="s">
        <v>318</v>
      </c>
      <c r="H268" s="13" t="s">
        <v>177</v>
      </c>
      <c r="I268" s="13" t="s">
        <v>3</v>
      </c>
      <c r="J268" s="28" t="s">
        <v>795</v>
      </c>
      <c r="K268" s="196" t="s">
        <v>105</v>
      </c>
      <c r="L268" s="13" t="s">
        <v>745</v>
      </c>
      <c r="M268" s="13" t="s">
        <v>178</v>
      </c>
      <c r="N268" s="13" t="s">
        <v>305</v>
      </c>
      <c r="P268" s="18">
        <f>IFERROR(VLOOKUP(J268,'[1]Obs Tecnicas'!$D$2:$I$313,5,0),O268)</f>
        <v>44426</v>
      </c>
      <c r="Q268" s="17" t="str">
        <f t="shared" ca="1" si="10"/>
        <v>Calibrado</v>
      </c>
      <c r="R268" s="19">
        <f>IFERROR(VLOOKUP(J268,'[1]Obs Tecnicas'!$D$2:$G$333,2,0),"")</f>
        <v>13436</v>
      </c>
      <c r="S268" s="13" t="str">
        <f>IFERROR(VLOOKUP(J268,'[1]Obs Tecnicas'!$D$2:$G$337,3,0),"Hexis")</f>
        <v>ER ANALITICA</v>
      </c>
      <c r="U268" s="14" t="s">
        <v>291</v>
      </c>
      <c r="V268" s="14">
        <f t="shared" si="11"/>
        <v>8</v>
      </c>
      <c r="W268" s="20">
        <f>VLOOKUP(I268,Indicadores!$N$4:$Q$15,4,0)</f>
        <v>552.64</v>
      </c>
    </row>
    <row r="269" spans="1:23" hidden="1">
      <c r="A269" s="13" t="s">
        <v>899</v>
      </c>
      <c r="B269" s="13" t="s">
        <v>313</v>
      </c>
      <c r="C269" s="15" t="s">
        <v>314</v>
      </c>
      <c r="D269" s="13" t="s">
        <v>315</v>
      </c>
      <c r="E269" s="13" t="s">
        <v>316</v>
      </c>
      <c r="F269" s="15" t="s">
        <v>317</v>
      </c>
      <c r="G269" s="13" t="s">
        <v>318</v>
      </c>
      <c r="H269" s="13" t="s">
        <v>177</v>
      </c>
      <c r="I269" s="13" t="s">
        <v>3</v>
      </c>
      <c r="J269" s="28" t="s">
        <v>181</v>
      </c>
      <c r="K269" s="196" t="s">
        <v>105</v>
      </c>
      <c r="L269" s="13" t="s">
        <v>770</v>
      </c>
      <c r="M269" s="13" t="s">
        <v>178</v>
      </c>
      <c r="N269" s="13" t="s">
        <v>305</v>
      </c>
      <c r="P269" s="18">
        <f>IFERROR(VLOOKUP(J269,'[1]Obs Tecnicas'!$D$2:$I$313,5,0),O269)</f>
        <v>44426</v>
      </c>
      <c r="Q269" s="17" t="str">
        <f t="shared" ca="1" si="10"/>
        <v>Calibrado</v>
      </c>
      <c r="R269" s="19">
        <f>IFERROR(VLOOKUP(J269,'[1]Obs Tecnicas'!$D$2:$G$333,2,0),"")</f>
        <v>13440</v>
      </c>
      <c r="S269" s="13" t="str">
        <f>IFERROR(VLOOKUP(J269,'[1]Obs Tecnicas'!$D$2:$G$337,3,0),"Hexis")</f>
        <v>ER ANALITICA</v>
      </c>
      <c r="U269" s="14" t="s">
        <v>291</v>
      </c>
      <c r="V269" s="14">
        <f t="shared" si="11"/>
        <v>8</v>
      </c>
      <c r="W269" s="20">
        <f>VLOOKUP(I269,Indicadores!$N$4:$Q$15,4,0)</f>
        <v>552.64</v>
      </c>
    </row>
    <row r="270" spans="1:23" hidden="1">
      <c r="A270" s="13" t="s">
        <v>899</v>
      </c>
      <c r="B270" s="13" t="s">
        <v>313</v>
      </c>
      <c r="C270" s="15" t="s">
        <v>314</v>
      </c>
      <c r="D270" s="13" t="s">
        <v>315</v>
      </c>
      <c r="E270" s="13" t="s">
        <v>316</v>
      </c>
      <c r="F270" s="15" t="s">
        <v>317</v>
      </c>
      <c r="G270" s="13" t="s">
        <v>318</v>
      </c>
      <c r="H270" s="13" t="s">
        <v>177</v>
      </c>
      <c r="I270" s="13" t="s">
        <v>7</v>
      </c>
      <c r="J270" s="28" t="s">
        <v>796</v>
      </c>
      <c r="K270" s="196" t="s">
        <v>56</v>
      </c>
      <c r="L270" s="13" t="s">
        <v>57</v>
      </c>
      <c r="M270" s="13" t="s">
        <v>178</v>
      </c>
      <c r="N270" s="13" t="s">
        <v>305</v>
      </c>
      <c r="P270" s="18">
        <f>IFERROR(VLOOKUP(J270,'[1]Obs Tecnicas'!$D$2:$I$313,5,0),O270)</f>
        <v>44426</v>
      </c>
      <c r="Q270" s="17" t="str">
        <f t="shared" ca="1" si="10"/>
        <v>Calibrado</v>
      </c>
      <c r="R270" s="19">
        <f>IFERROR(VLOOKUP(J270,'[1]Obs Tecnicas'!$D$2:$G$333,2,0),"")</f>
        <v>13565</v>
      </c>
      <c r="S270" s="13" t="str">
        <f>IFERROR(VLOOKUP(J270,'[1]Obs Tecnicas'!$D$2:$G$337,3,0),"Hexis")</f>
        <v>ER ANALITICA</v>
      </c>
      <c r="U270" s="14" t="s">
        <v>291</v>
      </c>
      <c r="V270" s="14">
        <f t="shared" si="11"/>
        <v>8</v>
      </c>
      <c r="W270" s="20">
        <f>VLOOKUP(I270,Indicadores!$N$4:$Q$15,4,0)</f>
        <v>329.87</v>
      </c>
    </row>
    <row r="271" spans="1:23" hidden="1">
      <c r="A271" s="13" t="s">
        <v>899</v>
      </c>
      <c r="B271" s="13" t="s">
        <v>622</v>
      </c>
      <c r="C271" s="15" t="s">
        <v>623</v>
      </c>
      <c r="D271" s="13" t="s">
        <v>624</v>
      </c>
      <c r="E271" s="13" t="s">
        <v>622</v>
      </c>
      <c r="F271" s="15" t="s">
        <v>623</v>
      </c>
      <c r="G271" s="13" t="s">
        <v>625</v>
      </c>
      <c r="H271" s="13" t="s">
        <v>177</v>
      </c>
      <c r="I271" s="13" t="s">
        <v>7</v>
      </c>
      <c r="J271" s="28" t="s">
        <v>797</v>
      </c>
      <c r="K271" s="196" t="s">
        <v>56</v>
      </c>
      <c r="L271" s="178" t="s">
        <v>57</v>
      </c>
      <c r="M271" s="196" t="s">
        <v>1467</v>
      </c>
      <c r="N271" s="13" t="s">
        <v>627</v>
      </c>
      <c r="P271" s="18">
        <f>IFERROR(VLOOKUP(J271,'[1]Obs Tecnicas'!$D$2:$I$313,5,0),O271)</f>
        <v>44424</v>
      </c>
      <c r="Q271" s="17" t="str">
        <f t="shared" ca="1" si="10"/>
        <v>Calibrado</v>
      </c>
      <c r="R271" s="19">
        <f>IFERROR(VLOOKUP(J271,'[1]Obs Tecnicas'!$D$2:$G$333,2,0),"")</f>
        <v>13450</v>
      </c>
      <c r="S271" s="13" t="str">
        <f>IFERROR(VLOOKUP(J271,'[1]Obs Tecnicas'!$D$2:$G$337,3,0),"Hexis")</f>
        <v>ER ANALITICA</v>
      </c>
      <c r="T271" s="13">
        <f>IFERROR(VLOOKUP(J271,'[1]Obs Tecnicas'!$D$2:$G$337,4,0),"")</f>
        <v>0</v>
      </c>
      <c r="U271" s="14" t="s">
        <v>291</v>
      </c>
      <c r="V271" s="14">
        <f t="shared" si="11"/>
        <v>8</v>
      </c>
      <c r="W271" s="20">
        <f>VLOOKUP(I271,Indicadores!$N$4:$Q$15,4,0)</f>
        <v>329.87</v>
      </c>
    </row>
    <row r="272" spans="1:23" hidden="1">
      <c r="A272" s="13" t="s">
        <v>899</v>
      </c>
      <c r="B272" s="13" t="s">
        <v>622</v>
      </c>
      <c r="C272" s="15" t="s">
        <v>623</v>
      </c>
      <c r="D272" s="13" t="s">
        <v>624</v>
      </c>
      <c r="E272" s="13" t="s">
        <v>622</v>
      </c>
      <c r="F272" s="15" t="s">
        <v>623</v>
      </c>
      <c r="G272" s="13" t="s">
        <v>625</v>
      </c>
      <c r="H272" s="13" t="s">
        <v>177</v>
      </c>
      <c r="I272" s="13" t="s">
        <v>7</v>
      </c>
      <c r="J272" s="28" t="s">
        <v>798</v>
      </c>
      <c r="K272" s="196" t="s">
        <v>105</v>
      </c>
      <c r="L272" s="178" t="s">
        <v>168</v>
      </c>
      <c r="M272" s="196" t="s">
        <v>1467</v>
      </c>
      <c r="N272" s="13" t="s">
        <v>627</v>
      </c>
      <c r="P272" s="18">
        <f>IFERROR(VLOOKUP(J272,'[1]Obs Tecnicas'!$D$2:$I$313,5,0),O272)</f>
        <v>44424</v>
      </c>
      <c r="Q272" s="17" t="str">
        <f t="shared" ca="1" si="10"/>
        <v>Calibrado</v>
      </c>
      <c r="R272" s="19">
        <f>IFERROR(VLOOKUP(J272,'[1]Obs Tecnicas'!$D$2:$G$333,2,0),"")</f>
        <v>13453</v>
      </c>
      <c r="S272" s="13" t="str">
        <f>IFERROR(VLOOKUP(J272,'[1]Obs Tecnicas'!$D$2:$G$337,3,0),"Hexis")</f>
        <v>ER ANALITICA</v>
      </c>
      <c r="T272" s="13">
        <f>IFERROR(VLOOKUP(J272,'[1]Obs Tecnicas'!$D$2:$G$337,4,0),"")</f>
        <v>0</v>
      </c>
      <c r="U272" s="14" t="s">
        <v>291</v>
      </c>
      <c r="V272" s="14">
        <f t="shared" si="11"/>
        <v>8</v>
      </c>
      <c r="W272" s="20">
        <f>VLOOKUP(I272,Indicadores!$N$4:$Q$15,4,0)</f>
        <v>329.87</v>
      </c>
    </row>
    <row r="273" spans="1:23" hidden="1">
      <c r="A273" s="13" t="s">
        <v>899</v>
      </c>
      <c r="B273" s="13" t="s">
        <v>622</v>
      </c>
      <c r="C273" s="15" t="s">
        <v>623</v>
      </c>
      <c r="D273" s="13" t="s">
        <v>624</v>
      </c>
      <c r="E273" s="13" t="s">
        <v>622</v>
      </c>
      <c r="F273" s="15" t="s">
        <v>623</v>
      </c>
      <c r="G273" s="13" t="s">
        <v>625</v>
      </c>
      <c r="H273" s="13" t="s">
        <v>177</v>
      </c>
      <c r="I273" s="13" t="s">
        <v>7</v>
      </c>
      <c r="J273" s="28" t="s">
        <v>799</v>
      </c>
      <c r="K273" s="196" t="s">
        <v>56</v>
      </c>
      <c r="L273" s="178" t="s">
        <v>57</v>
      </c>
      <c r="M273" s="196" t="s">
        <v>1467</v>
      </c>
      <c r="N273" s="13" t="s">
        <v>627</v>
      </c>
      <c r="P273" s="18">
        <f>IFERROR(VLOOKUP(J273,'[1]Obs Tecnicas'!$D$2:$I$313,5,0),O273)</f>
        <v>44424</v>
      </c>
      <c r="Q273" s="17" t="str">
        <f t="shared" ref="Q273:Q315" ca="1" si="12">IF(P273&lt;&gt;"",IF(P273+365&gt;TODAY(),"Calibrado","Vencido"),"")</f>
        <v>Calibrado</v>
      </c>
      <c r="R273" s="19">
        <f>IFERROR(VLOOKUP(J273,'[1]Obs Tecnicas'!$D$2:$G$333,2,0),"")</f>
        <v>13454</v>
      </c>
      <c r="S273" s="13" t="str">
        <f>IFERROR(VLOOKUP(J273,'[1]Obs Tecnicas'!$D$2:$G$337,3,0),"Hexis")</f>
        <v>ER ANALITICA</v>
      </c>
      <c r="T273" s="13">
        <f>IFERROR(VLOOKUP(J273,'[1]Obs Tecnicas'!$D$2:$G$337,4,0),"")</f>
        <v>0</v>
      </c>
      <c r="U273" s="14" t="s">
        <v>291</v>
      </c>
      <c r="V273" s="14">
        <f t="shared" si="11"/>
        <v>8</v>
      </c>
      <c r="W273" s="20">
        <f>VLOOKUP(I273,Indicadores!$N$4:$Q$15,4,0)</f>
        <v>329.87</v>
      </c>
    </row>
    <row r="274" spans="1:23" hidden="1">
      <c r="A274" s="13" t="s">
        <v>899</v>
      </c>
      <c r="B274" s="13" t="s">
        <v>622</v>
      </c>
      <c r="C274" s="15" t="s">
        <v>623</v>
      </c>
      <c r="D274" s="13" t="s">
        <v>624</v>
      </c>
      <c r="E274" s="13" t="s">
        <v>622</v>
      </c>
      <c r="F274" s="15" t="s">
        <v>623</v>
      </c>
      <c r="G274" s="13" t="s">
        <v>625</v>
      </c>
      <c r="H274" s="13" t="s">
        <v>177</v>
      </c>
      <c r="I274" s="13" t="s">
        <v>7</v>
      </c>
      <c r="J274" s="28" t="s">
        <v>800</v>
      </c>
      <c r="K274" s="178" t="s">
        <v>56</v>
      </c>
      <c r="L274" s="178" t="s">
        <v>801</v>
      </c>
      <c r="M274" s="196" t="s">
        <v>1467</v>
      </c>
      <c r="N274" s="13" t="s">
        <v>627</v>
      </c>
      <c r="P274" s="18">
        <f>IFERROR(VLOOKUP(J274,'[1]Obs Tecnicas'!$D$2:$I$313,5,0),O274)</f>
        <v>44424</v>
      </c>
      <c r="Q274" s="17" t="str">
        <f t="shared" ca="1" si="12"/>
        <v>Calibrado</v>
      </c>
      <c r="R274" s="19">
        <f>IFERROR(VLOOKUP(J274,'[1]Obs Tecnicas'!$D$2:$G$333,2,0),"")</f>
        <v>13457</v>
      </c>
      <c r="S274" s="13" t="str">
        <f>IFERROR(VLOOKUP(J274,'[1]Obs Tecnicas'!$D$2:$G$337,3,0),"Hexis")</f>
        <v>ER ANALITICA</v>
      </c>
      <c r="T274" s="13" t="str">
        <f>IFERROR(VLOOKUP(J274,'[1]Obs Tecnicas'!$D$2:$G$337,4,0),"")</f>
        <v>Não liberado, devido avarias na curva e não aceita calibração. Necessário envio a ER</v>
      </c>
      <c r="U274" s="14" t="s">
        <v>291</v>
      </c>
      <c r="V274" s="14">
        <f t="shared" si="11"/>
        <v>8</v>
      </c>
      <c r="W274" s="20">
        <f>VLOOKUP(I274,Indicadores!$N$4:$Q$15,4,0)</f>
        <v>329.87</v>
      </c>
    </row>
    <row r="275" spans="1:23" hidden="1">
      <c r="A275" s="13" t="s">
        <v>899</v>
      </c>
      <c r="B275" s="13" t="s">
        <v>622</v>
      </c>
      <c r="C275" s="15" t="s">
        <v>623</v>
      </c>
      <c r="D275" s="13" t="s">
        <v>624</v>
      </c>
      <c r="E275" s="13" t="s">
        <v>622</v>
      </c>
      <c r="F275" s="15" t="s">
        <v>623</v>
      </c>
      <c r="G275" s="13" t="s">
        <v>625</v>
      </c>
      <c r="H275" s="13" t="s">
        <v>177</v>
      </c>
      <c r="I275" s="13" t="s">
        <v>835</v>
      </c>
      <c r="J275" s="28" t="s">
        <v>802</v>
      </c>
      <c r="K275" s="178" t="s">
        <v>731</v>
      </c>
      <c r="L275" s="196" t="s">
        <v>793</v>
      </c>
      <c r="M275" s="196" t="s">
        <v>1467</v>
      </c>
      <c r="N275" s="13" t="s">
        <v>627</v>
      </c>
      <c r="P275" s="18">
        <f>IFERROR(VLOOKUP(J275,'[1]Obs Tecnicas'!$D$2:$I$313,5,0),O275)</f>
        <v>44424</v>
      </c>
      <c r="Q275" s="17" t="str">
        <f t="shared" ca="1" si="12"/>
        <v>Calibrado</v>
      </c>
      <c r="R275" s="19">
        <f>IFERROR(VLOOKUP(J275,'[1]Obs Tecnicas'!$D$2:$G$333,2,0),"")</f>
        <v>13437</v>
      </c>
      <c r="S275" s="13" t="str">
        <f>IFERROR(VLOOKUP(J275,'[1]Obs Tecnicas'!$D$2:$G$337,3,0),"Hexis")</f>
        <v>ER ANALITICA</v>
      </c>
      <c r="T275" s="13" t="str">
        <f>IFERROR(VLOOKUP(J275,'[1]Obs Tecnicas'!$D$2:$G$337,4,0),"")</f>
        <v xml:space="preserve"> Equipamentos incluidos.</v>
      </c>
      <c r="U275" s="14" t="s">
        <v>291</v>
      </c>
      <c r="V275" s="14">
        <f t="shared" si="11"/>
        <v>8</v>
      </c>
      <c r="W275" s="20">
        <f>VLOOKUP(I275,Indicadores!$N$4:$Q$15,4,0)</f>
        <v>546.79</v>
      </c>
    </row>
    <row r="276" spans="1:23" hidden="1">
      <c r="A276" s="13" t="s">
        <v>899</v>
      </c>
      <c r="B276" s="13" t="s">
        <v>622</v>
      </c>
      <c r="C276" s="15" t="s">
        <v>623</v>
      </c>
      <c r="D276" s="13" t="s">
        <v>624</v>
      </c>
      <c r="E276" s="13" t="s">
        <v>622</v>
      </c>
      <c r="F276" s="15" t="s">
        <v>623</v>
      </c>
      <c r="G276" s="13" t="s">
        <v>625</v>
      </c>
      <c r="H276" s="13" t="s">
        <v>177</v>
      </c>
      <c r="I276" s="13" t="s">
        <v>5</v>
      </c>
      <c r="J276" s="28" t="s">
        <v>803</v>
      </c>
      <c r="K276" s="178" t="s">
        <v>105</v>
      </c>
      <c r="L276" s="196" t="s">
        <v>759</v>
      </c>
      <c r="M276" s="196" t="s">
        <v>1467</v>
      </c>
      <c r="N276" s="13" t="s">
        <v>627</v>
      </c>
      <c r="O276" s="188">
        <v>44424</v>
      </c>
      <c r="P276" s="18">
        <f>IFERROR(VLOOKUP(J276,'[1]Obs Tecnicas'!$D$2:$I$313,5,0),O276)</f>
        <v>44424</v>
      </c>
      <c r="Q276" s="17" t="str">
        <f t="shared" ca="1" si="12"/>
        <v>Calibrado</v>
      </c>
      <c r="R276" s="19">
        <f>IFERROR(VLOOKUP(J276,'[1]Obs Tecnicas'!$D$2:$G$333,2,0),"")</f>
        <v>13513</v>
      </c>
      <c r="S276" s="13" t="str">
        <f>IFERROR(VLOOKUP(J276,'[1]Obs Tecnicas'!$D$2:$G$337,3,0),"Hexis")</f>
        <v>ER ANALITICA</v>
      </c>
      <c r="T276" s="13" t="str">
        <f>IFERROR(VLOOKUP(J276,'[1]Obs Tecnicas'!$D$2:$G$337,4,0),"")</f>
        <v>Equipamentos incluidos.</v>
      </c>
      <c r="U276" s="14" t="s">
        <v>291</v>
      </c>
      <c r="V276" s="14">
        <f t="shared" si="11"/>
        <v>8</v>
      </c>
      <c r="W276" s="20">
        <f>VLOOKUP(I276,Indicadores!$N$4:$Q$15,4,0)</f>
        <v>895.23</v>
      </c>
    </row>
    <row r="277" spans="1:23" hidden="1">
      <c r="A277" s="13" t="s">
        <v>899</v>
      </c>
      <c r="B277" s="13" t="s">
        <v>622</v>
      </c>
      <c r="C277" s="15" t="s">
        <v>623</v>
      </c>
      <c r="D277" s="13" t="s">
        <v>624</v>
      </c>
      <c r="E277" s="13" t="s">
        <v>622</v>
      </c>
      <c r="F277" s="15" t="s">
        <v>623</v>
      </c>
      <c r="G277" s="13" t="s">
        <v>625</v>
      </c>
      <c r="H277" s="13" t="s">
        <v>177</v>
      </c>
      <c r="I277" s="13" t="s">
        <v>5</v>
      </c>
      <c r="J277" s="28" t="s">
        <v>804</v>
      </c>
      <c r="K277" s="178" t="s">
        <v>105</v>
      </c>
      <c r="L277" s="196" t="s">
        <v>805</v>
      </c>
      <c r="M277" s="196" t="s">
        <v>1467</v>
      </c>
      <c r="N277" s="13" t="s">
        <v>627</v>
      </c>
      <c r="P277" s="18">
        <f>IFERROR(VLOOKUP(J277,'[1]Obs Tecnicas'!$D$2:$I$313,5,0),O277)</f>
        <v>44424</v>
      </c>
      <c r="Q277" s="17" t="str">
        <f t="shared" ca="1" si="12"/>
        <v>Calibrado</v>
      </c>
      <c r="R277" s="19">
        <f>IFERROR(VLOOKUP(J277,'[1]Obs Tecnicas'!$D$2:$G$333,2,0),"")</f>
        <v>13448</v>
      </c>
      <c r="S277" s="13" t="str">
        <f>IFERROR(VLOOKUP(J277,'[1]Obs Tecnicas'!$D$2:$G$337,3,0),"Hexis")</f>
        <v>ER ANALITICA</v>
      </c>
      <c r="T277" s="13" t="str">
        <f>IFERROR(VLOOKUP(J277,'[1]Obs Tecnicas'!$D$2:$G$337,4,0),"")</f>
        <v>Bateria de litio com carga abaixo do recomendado pelo fabricante</v>
      </c>
      <c r="U277" s="14" t="s">
        <v>291</v>
      </c>
      <c r="V277" s="14">
        <f t="shared" si="11"/>
        <v>8</v>
      </c>
      <c r="W277" s="20">
        <f>VLOOKUP(I277,Indicadores!$N$4:$Q$15,4,0)</f>
        <v>895.23</v>
      </c>
    </row>
    <row r="278" spans="1:23" hidden="1">
      <c r="A278" s="13" t="s">
        <v>899</v>
      </c>
      <c r="B278" s="13" t="s">
        <v>806</v>
      </c>
      <c r="C278" s="15" t="s">
        <v>807</v>
      </c>
      <c r="D278" s="13" t="s">
        <v>808</v>
      </c>
      <c r="E278" s="13" t="s">
        <v>809</v>
      </c>
      <c r="F278" s="15" t="s">
        <v>810</v>
      </c>
      <c r="H278" s="13" t="s">
        <v>202</v>
      </c>
      <c r="I278" s="13" t="s">
        <v>4</v>
      </c>
      <c r="J278" s="28">
        <v>48564</v>
      </c>
      <c r="K278" s="13" t="s">
        <v>433</v>
      </c>
      <c r="L278" s="196" t="s">
        <v>811</v>
      </c>
      <c r="M278" s="13" t="s">
        <v>236</v>
      </c>
      <c r="N278" s="13" t="s">
        <v>812</v>
      </c>
      <c r="P278" s="18">
        <f>IFERROR(VLOOKUP(J278,'[1]Obs Tecnicas'!$D$2:$I$313,5,0),O278)</f>
        <v>44418</v>
      </c>
      <c r="Q278" s="17" t="str">
        <f t="shared" ca="1" si="12"/>
        <v>Calibrado</v>
      </c>
      <c r="R278" s="19">
        <f>IFERROR(VLOOKUP(J278,'[1]Obs Tecnicas'!$D$2:$G$333,2,0),"")</f>
        <v>13389</v>
      </c>
      <c r="S278" s="13" t="str">
        <f>IFERROR(VLOOKUP(J278,'[1]Obs Tecnicas'!$D$2:$G$337,3,0),"Hexis")</f>
        <v>ER ANALITICA</v>
      </c>
      <c r="U278" s="14" t="s">
        <v>291</v>
      </c>
      <c r="V278" s="14">
        <f t="shared" si="11"/>
        <v>8</v>
      </c>
      <c r="W278" s="20">
        <f>VLOOKUP(I278,Indicadores!$N$4:$Q$15,4,0)</f>
        <v>329.87</v>
      </c>
    </row>
    <row r="279" spans="1:23" hidden="1">
      <c r="A279" s="13" t="s">
        <v>899</v>
      </c>
      <c r="B279" s="13" t="s">
        <v>806</v>
      </c>
      <c r="C279" s="15" t="s">
        <v>807</v>
      </c>
      <c r="D279" s="13" t="s">
        <v>813</v>
      </c>
      <c r="E279" s="13" t="s">
        <v>809</v>
      </c>
      <c r="F279" s="15" t="s">
        <v>810</v>
      </c>
      <c r="H279" s="13" t="s">
        <v>202</v>
      </c>
      <c r="I279" s="13" t="s">
        <v>7</v>
      </c>
      <c r="J279" s="28">
        <v>1584391</v>
      </c>
      <c r="K279" s="13" t="s">
        <v>56</v>
      </c>
      <c r="L279" s="196" t="s">
        <v>814</v>
      </c>
      <c r="M279" s="13" t="s">
        <v>236</v>
      </c>
      <c r="N279" s="13" t="s">
        <v>812</v>
      </c>
      <c r="P279" s="18">
        <f>IFERROR(VLOOKUP(J279,'[1]Obs Tecnicas'!$D$2:$I$313,5,0),O279)</f>
        <v>44418</v>
      </c>
      <c r="Q279" s="17" t="str">
        <f t="shared" ca="1" si="12"/>
        <v>Calibrado</v>
      </c>
      <c r="R279" s="19">
        <f>IFERROR(VLOOKUP(J279,'[1]Obs Tecnicas'!$D$2:$G$333,2,0),"")</f>
        <v>13390</v>
      </c>
      <c r="S279" s="13" t="str">
        <f>IFERROR(VLOOKUP(J279,'[1]Obs Tecnicas'!$D$2:$G$337,3,0),"Hexis")</f>
        <v>ER ANALITICA</v>
      </c>
      <c r="U279" s="14" t="s">
        <v>291</v>
      </c>
      <c r="V279" s="14">
        <f t="shared" si="11"/>
        <v>8</v>
      </c>
      <c r="W279" s="20">
        <f>VLOOKUP(I279,Indicadores!$N$4:$Q$15,4,0)</f>
        <v>329.87</v>
      </c>
    </row>
    <row r="280" spans="1:23" hidden="1">
      <c r="A280" s="13" t="s">
        <v>899</v>
      </c>
      <c r="B280" s="13" t="s">
        <v>806</v>
      </c>
      <c r="C280" s="15" t="s">
        <v>807</v>
      </c>
      <c r="D280" s="13" t="s">
        <v>815</v>
      </c>
      <c r="E280" s="13" t="s">
        <v>809</v>
      </c>
      <c r="F280" s="15" t="s">
        <v>810</v>
      </c>
      <c r="H280" s="13" t="s">
        <v>202</v>
      </c>
      <c r="I280" s="13" t="s">
        <v>3</v>
      </c>
      <c r="J280" s="28">
        <v>182180001013</v>
      </c>
      <c r="K280" s="196" t="s">
        <v>105</v>
      </c>
      <c r="L280" s="196" t="s">
        <v>745</v>
      </c>
      <c r="M280" s="13" t="s">
        <v>236</v>
      </c>
      <c r="N280" s="13" t="s">
        <v>812</v>
      </c>
      <c r="P280" s="18">
        <f>IFERROR(VLOOKUP(J280,'[1]Obs Tecnicas'!$D$2:$I$313,5,0),O280)</f>
        <v>44418</v>
      </c>
      <c r="Q280" s="17" t="str">
        <f t="shared" ca="1" si="12"/>
        <v>Calibrado</v>
      </c>
      <c r="R280" s="19">
        <f>IFERROR(VLOOKUP(J280,'[1]Obs Tecnicas'!$D$2:$G$333,2,0),"")</f>
        <v>13391</v>
      </c>
      <c r="S280" s="13" t="str">
        <f>IFERROR(VLOOKUP(J280,'[1]Obs Tecnicas'!$D$2:$G$337,3,0),"Hexis")</f>
        <v>ER ANALITICA</v>
      </c>
      <c r="U280" s="14" t="s">
        <v>291</v>
      </c>
      <c r="V280" s="14">
        <f t="shared" si="11"/>
        <v>8</v>
      </c>
      <c r="W280" s="20">
        <f>VLOOKUP(I280,Indicadores!$N$4:$Q$15,4,0)</f>
        <v>552.64</v>
      </c>
    </row>
    <row r="281" spans="1:23" hidden="1">
      <c r="A281" s="13" t="s">
        <v>899</v>
      </c>
      <c r="B281" s="13" t="s">
        <v>538</v>
      </c>
      <c r="C281" s="15" t="s">
        <v>539</v>
      </c>
      <c r="D281" s="13" t="s">
        <v>540</v>
      </c>
      <c r="E281" s="13" t="s">
        <v>452</v>
      </c>
      <c r="F281" s="15" t="s">
        <v>453</v>
      </c>
      <c r="G281" s="13" t="s">
        <v>289</v>
      </c>
      <c r="H281" s="13" t="s">
        <v>98</v>
      </c>
      <c r="I281" s="13" t="s">
        <v>7</v>
      </c>
      <c r="J281" s="28" t="s">
        <v>541</v>
      </c>
      <c r="K281" s="178" t="s">
        <v>105</v>
      </c>
      <c r="L281" s="196" t="s">
        <v>168</v>
      </c>
      <c r="M281" s="196" t="s">
        <v>542</v>
      </c>
      <c r="N281" s="13" t="s">
        <v>543</v>
      </c>
      <c r="P281" s="18">
        <f>IFERROR(VLOOKUP(J281,'[1]Obs Tecnicas'!$D$2:$I$313,5,0),O281)</f>
        <v>44432</v>
      </c>
      <c r="Q281" s="17" t="str">
        <f t="shared" ca="1" si="12"/>
        <v>Calibrado</v>
      </c>
      <c r="R281" s="19">
        <f>IFERROR(VLOOKUP(J281,'[1]Obs Tecnicas'!$D$2:$G$333,2,0),"")</f>
        <v>13507</v>
      </c>
      <c r="S281" s="13" t="str">
        <f>IFERROR(VLOOKUP(J281,'[1]Obs Tecnicas'!$D$2:$G$337,3,0),"Hexis")</f>
        <v>ER ANALITICA</v>
      </c>
      <c r="U281" s="14" t="s">
        <v>291</v>
      </c>
      <c r="V281" s="14">
        <f t="shared" si="11"/>
        <v>8</v>
      </c>
      <c r="W281" s="20">
        <f>VLOOKUP(I281,Indicadores!$N$4:$Q$15,4,0)</f>
        <v>329.87</v>
      </c>
    </row>
    <row r="282" spans="1:23" hidden="1">
      <c r="A282" s="13" t="s">
        <v>899</v>
      </c>
      <c r="B282" s="13" t="s">
        <v>538</v>
      </c>
      <c r="C282" s="15" t="s">
        <v>539</v>
      </c>
      <c r="D282" s="13" t="s">
        <v>540</v>
      </c>
      <c r="E282" s="13" t="s">
        <v>452</v>
      </c>
      <c r="F282" s="15" t="s">
        <v>453</v>
      </c>
      <c r="G282" s="13" t="s">
        <v>289</v>
      </c>
      <c r="H282" s="13" t="s">
        <v>98</v>
      </c>
      <c r="I282" s="13" t="s">
        <v>7</v>
      </c>
      <c r="J282" s="28" t="s">
        <v>547</v>
      </c>
      <c r="K282" s="178" t="s">
        <v>548</v>
      </c>
      <c r="L282" s="196" t="s">
        <v>549</v>
      </c>
      <c r="M282" s="196" t="s">
        <v>542</v>
      </c>
      <c r="N282" s="196" t="s">
        <v>550</v>
      </c>
      <c r="P282" s="18">
        <f>IFERROR(VLOOKUP(J282,'[1]Obs Tecnicas'!$D$2:$I$313,5,0),O282)</f>
        <v>44432</v>
      </c>
      <c r="Q282" s="17" t="str">
        <f t="shared" ca="1" si="12"/>
        <v>Calibrado</v>
      </c>
      <c r="R282" s="19">
        <f>IFERROR(VLOOKUP(J282,'[1]Obs Tecnicas'!$D$2:$G$333,2,0),"")</f>
        <v>13511</v>
      </c>
      <c r="S282" s="13" t="str">
        <f>IFERROR(VLOOKUP(J282,'[1]Obs Tecnicas'!$D$2:$G$337,3,0),"Hexis")</f>
        <v>ER ANALITICA</v>
      </c>
      <c r="U282" s="14" t="s">
        <v>291</v>
      </c>
      <c r="V282" s="14">
        <f t="shared" si="11"/>
        <v>8</v>
      </c>
      <c r="W282" s="20">
        <f>VLOOKUP(I282,Indicadores!$N$4:$Q$15,4,0)</f>
        <v>329.87</v>
      </c>
    </row>
    <row r="283" spans="1:23" hidden="1">
      <c r="A283" s="13" t="s">
        <v>899</v>
      </c>
      <c r="B283" s="13" t="s">
        <v>534</v>
      </c>
      <c r="C283" s="15" t="s">
        <v>535</v>
      </c>
      <c r="D283" s="13" t="s">
        <v>536</v>
      </c>
      <c r="E283" s="13" t="s">
        <v>452</v>
      </c>
      <c r="F283" s="15" t="s">
        <v>453</v>
      </c>
      <c r="G283" s="13" t="s">
        <v>289</v>
      </c>
      <c r="H283" s="13" t="s">
        <v>98</v>
      </c>
      <c r="I283" s="13" t="s">
        <v>835</v>
      </c>
      <c r="J283" s="28" t="s">
        <v>816</v>
      </c>
      <c r="K283" s="178" t="s">
        <v>731</v>
      </c>
      <c r="L283" s="196" t="s">
        <v>817</v>
      </c>
      <c r="M283" s="196" t="s">
        <v>818</v>
      </c>
      <c r="N283" s="196" t="s">
        <v>446</v>
      </c>
      <c r="P283" s="18">
        <f>IFERROR(VLOOKUP(J283,'[1]Obs Tecnicas'!$D$2:$I$313,5,0),O283)</f>
        <v>44433</v>
      </c>
      <c r="Q283" s="17" t="str">
        <f t="shared" ca="1" si="12"/>
        <v>Calibrado</v>
      </c>
      <c r="R283" s="19">
        <f>IFERROR(VLOOKUP(J283,'[1]Obs Tecnicas'!$D$2:$G$333,2,0),"")</f>
        <v>13652</v>
      </c>
      <c r="S283" s="13" t="str">
        <f>IFERROR(VLOOKUP(J283,'[1]Obs Tecnicas'!$D$2:$G$337,3,0),"Hexis")</f>
        <v>ER ANALITICA</v>
      </c>
      <c r="U283" s="14" t="s">
        <v>291</v>
      </c>
      <c r="V283" s="14">
        <f t="shared" si="11"/>
        <v>8</v>
      </c>
      <c r="W283" s="20">
        <f>VLOOKUP(I283,Indicadores!$N$4:$Q$15,4,0)</f>
        <v>546.79</v>
      </c>
    </row>
    <row r="284" spans="1:23" hidden="1">
      <c r="A284" s="13" t="s">
        <v>899</v>
      </c>
      <c r="B284" s="13" t="s">
        <v>534</v>
      </c>
      <c r="C284" s="15" t="s">
        <v>535</v>
      </c>
      <c r="D284" s="13" t="s">
        <v>536</v>
      </c>
      <c r="E284" s="13" t="s">
        <v>452</v>
      </c>
      <c r="F284" s="15" t="s">
        <v>453</v>
      </c>
      <c r="G284" s="13" t="s">
        <v>289</v>
      </c>
      <c r="H284" s="13" t="s">
        <v>98</v>
      </c>
      <c r="I284" s="13" t="s">
        <v>835</v>
      </c>
      <c r="J284" s="28" t="s">
        <v>819</v>
      </c>
      <c r="K284" s="178" t="s">
        <v>731</v>
      </c>
      <c r="L284" s="196" t="s">
        <v>817</v>
      </c>
      <c r="M284" s="196" t="s">
        <v>818</v>
      </c>
      <c r="N284" s="196" t="s">
        <v>446</v>
      </c>
      <c r="P284" s="18">
        <f>IFERROR(VLOOKUP(J284,'[1]Obs Tecnicas'!$D$2:$I$313,5,0),O284)</f>
        <v>44433</v>
      </c>
      <c r="Q284" s="17" t="str">
        <f t="shared" ca="1" si="12"/>
        <v>Calibrado</v>
      </c>
      <c r="R284" s="19">
        <f>IFERROR(VLOOKUP(J284,'[1]Obs Tecnicas'!$D$2:$G$333,2,0),"")</f>
        <v>13661</v>
      </c>
      <c r="S284" s="13" t="str">
        <f>IFERROR(VLOOKUP(J284,'[1]Obs Tecnicas'!$D$2:$G$337,3,0),"Hexis")</f>
        <v>ER ANALITICA</v>
      </c>
      <c r="U284" s="14" t="s">
        <v>291</v>
      </c>
      <c r="V284" s="14">
        <f t="shared" si="11"/>
        <v>8</v>
      </c>
      <c r="W284" s="20">
        <f>VLOOKUP(I284,Indicadores!$N$4:$Q$15,4,0)</f>
        <v>546.79</v>
      </c>
    </row>
    <row r="285" spans="1:23" hidden="1">
      <c r="A285" s="13" t="s">
        <v>899</v>
      </c>
      <c r="B285" s="13" t="s">
        <v>534</v>
      </c>
      <c r="C285" s="15" t="s">
        <v>535</v>
      </c>
      <c r="D285" s="13" t="s">
        <v>536</v>
      </c>
      <c r="E285" s="13" t="s">
        <v>452</v>
      </c>
      <c r="F285" s="15" t="s">
        <v>453</v>
      </c>
      <c r="G285" s="13" t="s">
        <v>289</v>
      </c>
      <c r="H285" s="13" t="s">
        <v>98</v>
      </c>
      <c r="I285" s="13" t="s">
        <v>835</v>
      </c>
      <c r="J285" s="28" t="s">
        <v>113</v>
      </c>
      <c r="K285" s="178" t="s">
        <v>105</v>
      </c>
      <c r="L285" s="196" t="s">
        <v>820</v>
      </c>
      <c r="M285" s="196" t="s">
        <v>818</v>
      </c>
      <c r="N285" s="196" t="s">
        <v>446</v>
      </c>
      <c r="P285" s="18">
        <f>IFERROR(VLOOKUP(J285,'[1]Obs Tecnicas'!$D$2:$I$313,5,0),O285)</f>
        <v>44433</v>
      </c>
      <c r="Q285" s="17" t="str">
        <f t="shared" ca="1" si="12"/>
        <v>Calibrado</v>
      </c>
      <c r="R285" s="19">
        <f>IFERROR(VLOOKUP(J285,'[1]Obs Tecnicas'!$D$2:$G$333,2,0),"")</f>
        <v>13668</v>
      </c>
      <c r="S285" s="13" t="str">
        <f>IFERROR(VLOOKUP(J285,'[1]Obs Tecnicas'!$D$2:$G$337,3,0),"Hexis")</f>
        <v>ER ANALITICA</v>
      </c>
      <c r="U285" s="14" t="s">
        <v>291</v>
      </c>
      <c r="V285" s="14">
        <f t="shared" si="11"/>
        <v>8</v>
      </c>
      <c r="W285" s="20">
        <f>VLOOKUP(I285,Indicadores!$N$4:$Q$15,4,0)</f>
        <v>546.79</v>
      </c>
    </row>
    <row r="286" spans="1:23" hidden="1">
      <c r="A286" s="13" t="s">
        <v>899</v>
      </c>
      <c r="B286" s="189"/>
      <c r="C286" s="189"/>
      <c r="D286" s="189"/>
      <c r="E286" s="189"/>
      <c r="F286" s="189"/>
      <c r="G286" s="189"/>
      <c r="H286" s="13" t="s">
        <v>177</v>
      </c>
      <c r="I286" s="13" t="s">
        <v>835</v>
      </c>
      <c r="J286" s="28">
        <v>6253970</v>
      </c>
      <c r="K286" s="196" t="s">
        <v>821</v>
      </c>
      <c r="L286" s="189"/>
      <c r="M286" s="190"/>
      <c r="N286" s="189"/>
      <c r="P286" s="18">
        <f>IFERROR(VLOOKUP(J286,'[1]Obs Tecnicas'!$D$2:$I$313,5,0),O286)</f>
        <v>44442</v>
      </c>
      <c r="Q286" s="17" t="str">
        <f t="shared" ca="1" si="12"/>
        <v>Calibrado</v>
      </c>
      <c r="R286" s="19">
        <f>IFERROR(VLOOKUP(J286,'[1]Obs Tecnicas'!$D$2:$G$333,2,0),"")</f>
        <v>13694</v>
      </c>
      <c r="S286" s="13" t="str">
        <f>IFERROR(VLOOKUP(J286,'[1]Obs Tecnicas'!$D$2:$G$337,3,0),"Hexis")</f>
        <v>ER ANALITICA</v>
      </c>
      <c r="U286" s="14" t="s">
        <v>291</v>
      </c>
      <c r="V286" s="14">
        <f t="shared" si="11"/>
        <v>9</v>
      </c>
      <c r="W286" s="20">
        <f>VLOOKUP(I286,Indicadores!$N$4:$Q$15,4,0)</f>
        <v>546.79</v>
      </c>
    </row>
    <row r="287" spans="1:23" hidden="1">
      <c r="A287" s="13" t="s">
        <v>899</v>
      </c>
      <c r="B287" s="189"/>
      <c r="C287" s="191" t="s">
        <v>822</v>
      </c>
      <c r="D287" s="191"/>
      <c r="E287" s="191"/>
      <c r="F287" s="189"/>
      <c r="G287" s="189"/>
      <c r="H287" s="13" t="s">
        <v>177</v>
      </c>
      <c r="I287" s="13" t="s">
        <v>768</v>
      </c>
      <c r="J287" s="28" t="s">
        <v>823</v>
      </c>
      <c r="K287" s="196" t="s">
        <v>105</v>
      </c>
      <c r="L287" s="189" t="s">
        <v>770</v>
      </c>
      <c r="M287" s="191" t="s">
        <v>824</v>
      </c>
      <c r="N287" s="191"/>
      <c r="P287" s="18">
        <f>IFERROR(VLOOKUP(J287,'[1]Obs Tecnicas'!$D$2:$I$313,5,0),O287)</f>
        <v>44442</v>
      </c>
      <c r="Q287" s="17" t="str">
        <f t="shared" ca="1" si="12"/>
        <v>Calibrado</v>
      </c>
      <c r="R287" s="19">
        <f>IFERROR(VLOOKUP(J287,'[1]Obs Tecnicas'!$D$2:$G$333,2,0),"")</f>
        <v>13758</v>
      </c>
      <c r="S287" s="13" t="str">
        <f>IFERROR(VLOOKUP(J287,'[1]Obs Tecnicas'!$D$2:$G$337,3,0),"Hexis")</f>
        <v>ER ANALITICA</v>
      </c>
      <c r="U287" s="14" t="s">
        <v>291</v>
      </c>
      <c r="V287" s="14">
        <f t="shared" si="11"/>
        <v>9</v>
      </c>
      <c r="W287" s="20">
        <f>VLOOKUP(I287,Indicadores!$N$4:$Q$15,4,0)</f>
        <v>329.87</v>
      </c>
    </row>
    <row r="288" spans="1:23" hidden="1">
      <c r="A288" s="13" t="s">
        <v>899</v>
      </c>
      <c r="B288" s="189"/>
      <c r="C288" s="191" t="s">
        <v>822</v>
      </c>
      <c r="D288" s="189"/>
      <c r="E288" s="189"/>
      <c r="F288" s="189"/>
      <c r="G288" s="189"/>
      <c r="H288" s="13" t="s">
        <v>177</v>
      </c>
      <c r="I288" s="13" t="s">
        <v>768</v>
      </c>
      <c r="J288" s="28" t="s">
        <v>163</v>
      </c>
      <c r="K288" s="196" t="s">
        <v>105</v>
      </c>
      <c r="L288" s="189" t="s">
        <v>770</v>
      </c>
      <c r="M288" s="191" t="s">
        <v>824</v>
      </c>
      <c r="N288" s="189"/>
      <c r="P288" s="18">
        <f>IFERROR(VLOOKUP(J288,'[1]Obs Tecnicas'!$D$2:$I$313,5,0),O288)</f>
        <v>44442</v>
      </c>
      <c r="Q288" s="17" t="str">
        <f t="shared" ca="1" si="12"/>
        <v>Calibrado</v>
      </c>
      <c r="R288" s="19">
        <f>IFERROR(VLOOKUP(J288,'[1]Obs Tecnicas'!$D$2:$G$333,2,0),"")</f>
        <v>13759</v>
      </c>
      <c r="S288" s="13" t="str">
        <f>IFERROR(VLOOKUP(J288,'[1]Obs Tecnicas'!$D$2:$G$337,3,0),"Hexis")</f>
        <v>ER ANALITICA</v>
      </c>
      <c r="U288" s="14" t="s">
        <v>291</v>
      </c>
      <c r="V288" s="14">
        <f t="shared" si="11"/>
        <v>9</v>
      </c>
      <c r="W288" s="20">
        <f>VLOOKUP(I288,Indicadores!$N$4:$Q$15,4,0)</f>
        <v>329.87</v>
      </c>
    </row>
    <row r="289" spans="1:23" hidden="1">
      <c r="A289" s="13" t="s">
        <v>899</v>
      </c>
      <c r="B289" s="13" t="s">
        <v>825</v>
      </c>
      <c r="C289" s="15" t="s">
        <v>826</v>
      </c>
      <c r="D289" s="13" t="s">
        <v>827</v>
      </c>
      <c r="E289" s="13" t="s">
        <v>494</v>
      </c>
      <c r="F289" s="15" t="s">
        <v>495</v>
      </c>
      <c r="G289" s="13" t="s">
        <v>374</v>
      </c>
      <c r="H289" s="13" t="s">
        <v>202</v>
      </c>
      <c r="I289" s="196" t="s">
        <v>828</v>
      </c>
      <c r="J289" s="28" t="s">
        <v>829</v>
      </c>
      <c r="K289" s="13" t="s">
        <v>232</v>
      </c>
      <c r="L289" s="165"/>
      <c r="M289" s="13" t="s">
        <v>219</v>
      </c>
      <c r="N289" s="196" t="s">
        <v>830</v>
      </c>
      <c r="O289" s="170">
        <v>44461</v>
      </c>
      <c r="P289" s="18">
        <f>IFERROR(VLOOKUP(J289,'[1]Obs Tecnicas'!$D$2:$I$313,5,0),O289)</f>
        <v>44461</v>
      </c>
      <c r="Q289" s="17" t="str">
        <f t="shared" ca="1" si="12"/>
        <v>Calibrado</v>
      </c>
      <c r="R289" s="19">
        <f>IFERROR(VLOOKUP(J289,'[1]Obs Tecnicas'!$D$2:$G$333,2,0),"")</f>
        <v>13907</v>
      </c>
      <c r="S289" s="13" t="str">
        <f>IFERROR(VLOOKUP(J289,'[1]Obs Tecnicas'!$D$2:$G$337,3,0),"Hexis")</f>
        <v>ER ANALITICA</v>
      </c>
      <c r="U289" s="14" t="s">
        <v>291</v>
      </c>
      <c r="V289" s="14">
        <f t="shared" si="11"/>
        <v>9</v>
      </c>
      <c r="W289" s="20">
        <f>VLOOKUP(I289,Indicadores!$N$4:$Q$15,4,0)</f>
        <v>456.77</v>
      </c>
    </row>
    <row r="290" spans="1:23" hidden="1">
      <c r="A290" s="13" t="s">
        <v>899</v>
      </c>
      <c r="B290" s="13" t="s">
        <v>831</v>
      </c>
      <c r="C290" s="15" t="s">
        <v>832</v>
      </c>
      <c r="D290" s="13" t="s">
        <v>833</v>
      </c>
      <c r="E290" s="13" t="s">
        <v>322</v>
      </c>
      <c r="F290" s="15" t="s">
        <v>323</v>
      </c>
      <c r="G290" s="13" t="s">
        <v>834</v>
      </c>
      <c r="H290" s="13" t="s">
        <v>40</v>
      </c>
      <c r="I290" s="13" t="s">
        <v>835</v>
      </c>
      <c r="J290" s="28" t="s">
        <v>65</v>
      </c>
      <c r="K290" s="13" t="s">
        <v>836</v>
      </c>
      <c r="L290" s="13" t="s">
        <v>67</v>
      </c>
      <c r="M290" s="24" t="s">
        <v>41</v>
      </c>
      <c r="N290" s="13" t="s">
        <v>834</v>
      </c>
      <c r="P290" s="18">
        <f>IFERROR(VLOOKUP(J290,'[1]Obs Tecnicas'!$D$2:$I$313,5,0),O290)</f>
        <v>44459</v>
      </c>
      <c r="Q290" s="17" t="str">
        <f t="shared" ca="1" si="12"/>
        <v>Calibrado</v>
      </c>
      <c r="R290" s="19">
        <f>IFERROR(VLOOKUP(J290,'[1]Obs Tecnicas'!$D$2:$G$333,2,0),"")</f>
        <v>13834</v>
      </c>
      <c r="S290" s="13" t="str">
        <f>IFERROR(VLOOKUP(J290,'[1]Obs Tecnicas'!$D$2:$G$337,3,0),"Hexis")</f>
        <v>ER ANALITICA</v>
      </c>
      <c r="U290" s="14" t="s">
        <v>291</v>
      </c>
      <c r="V290" s="14">
        <f t="shared" si="11"/>
        <v>9</v>
      </c>
      <c r="W290" s="20">
        <f>VLOOKUP(I290,Indicadores!$N$4:$Q$15,4,0)</f>
        <v>546.79</v>
      </c>
    </row>
    <row r="291" spans="1:23" hidden="1">
      <c r="A291" s="13" t="s">
        <v>899</v>
      </c>
      <c r="B291" s="13" t="s">
        <v>831</v>
      </c>
      <c r="C291" s="15" t="s">
        <v>832</v>
      </c>
      <c r="D291" s="13" t="s">
        <v>837</v>
      </c>
      <c r="E291" s="13" t="s">
        <v>322</v>
      </c>
      <c r="F291" s="15" t="s">
        <v>323</v>
      </c>
      <c r="G291" s="13" t="s">
        <v>838</v>
      </c>
      <c r="H291" s="13" t="s">
        <v>40</v>
      </c>
      <c r="I291" s="13" t="s">
        <v>9</v>
      </c>
      <c r="J291" s="28" t="s">
        <v>839</v>
      </c>
      <c r="K291" s="13" t="s">
        <v>764</v>
      </c>
      <c r="L291" s="13" t="s">
        <v>29</v>
      </c>
      <c r="M291" s="24" t="s">
        <v>41</v>
      </c>
      <c r="N291" s="196" t="s">
        <v>834</v>
      </c>
      <c r="P291" s="18">
        <f>IFERROR(VLOOKUP(J291,'[1]Obs Tecnicas'!$D$2:$I$313,5,0),O291)</f>
        <v>44459</v>
      </c>
      <c r="Q291" s="17" t="str">
        <f t="shared" ca="1" si="12"/>
        <v>Calibrado</v>
      </c>
      <c r="R291" s="19">
        <f>IFERROR(VLOOKUP(J291,'[1]Obs Tecnicas'!$D$2:$G$333,2,0),"")</f>
        <v>13835</v>
      </c>
      <c r="S291" s="13" t="str">
        <f>IFERROR(VLOOKUP(J291,'[1]Obs Tecnicas'!$D$2:$G$337,3,0),"Hexis")</f>
        <v>ER ANALITICA</v>
      </c>
      <c r="U291" s="14" t="s">
        <v>291</v>
      </c>
      <c r="V291" s="14">
        <f t="shared" si="11"/>
        <v>9</v>
      </c>
      <c r="W291" s="20">
        <f>VLOOKUP(I291,Indicadores!$N$4:$Q$15,4,0)</f>
        <v>521.79999999999995</v>
      </c>
    </row>
    <row r="292" spans="1:23" hidden="1">
      <c r="A292" s="13" t="s">
        <v>899</v>
      </c>
      <c r="B292" s="13" t="s">
        <v>831</v>
      </c>
      <c r="C292" s="15" t="s">
        <v>832</v>
      </c>
      <c r="D292" s="13" t="s">
        <v>840</v>
      </c>
      <c r="E292" s="13" t="s">
        <v>322</v>
      </c>
      <c r="F292" s="15" t="s">
        <v>323</v>
      </c>
      <c r="G292" s="13" t="s">
        <v>841</v>
      </c>
      <c r="H292" s="13" t="s">
        <v>40</v>
      </c>
      <c r="I292" s="13" t="s">
        <v>5</v>
      </c>
      <c r="J292" s="28" t="s">
        <v>842</v>
      </c>
      <c r="K292" s="13" t="s">
        <v>764</v>
      </c>
      <c r="L292" s="165" t="s">
        <v>843</v>
      </c>
      <c r="M292" s="24" t="s">
        <v>41</v>
      </c>
      <c r="N292" s="196" t="s">
        <v>838</v>
      </c>
      <c r="P292" s="18">
        <f>IFERROR(VLOOKUP(J292,'[1]Obs Tecnicas'!$D$2:$I$313,5,0),O292)</f>
        <v>44459</v>
      </c>
      <c r="Q292" s="17" t="str">
        <f t="shared" ca="1" si="12"/>
        <v>Calibrado</v>
      </c>
      <c r="R292" s="19">
        <f>IFERROR(VLOOKUP(J292,'[1]Obs Tecnicas'!$D$2:$G$333,2,0),"")</f>
        <v>13836</v>
      </c>
      <c r="S292" s="13" t="str">
        <f>IFERROR(VLOOKUP(J292,'[1]Obs Tecnicas'!$D$2:$G$337,3,0),"Hexis")</f>
        <v>ER ANALITICA</v>
      </c>
      <c r="U292" s="14" t="s">
        <v>291</v>
      </c>
      <c r="V292" s="14">
        <f t="shared" si="11"/>
        <v>9</v>
      </c>
      <c r="W292" s="20">
        <f>VLOOKUP(I292,Indicadores!$N$4:$Q$15,4,0)</f>
        <v>895.23</v>
      </c>
    </row>
    <row r="293" spans="1:23" hidden="1">
      <c r="A293" s="13" t="s">
        <v>899</v>
      </c>
      <c r="B293" s="13" t="s">
        <v>831</v>
      </c>
      <c r="C293" s="15" t="s">
        <v>832</v>
      </c>
      <c r="D293" s="13" t="s">
        <v>844</v>
      </c>
      <c r="E293" s="13" t="s">
        <v>322</v>
      </c>
      <c r="F293" s="15" t="s">
        <v>323</v>
      </c>
      <c r="G293" s="13" t="s">
        <v>845</v>
      </c>
      <c r="H293" s="13" t="s">
        <v>40</v>
      </c>
      <c r="I293" s="13" t="s">
        <v>4</v>
      </c>
      <c r="J293" s="28" t="s">
        <v>325</v>
      </c>
      <c r="K293" s="196" t="s">
        <v>846</v>
      </c>
      <c r="L293" s="165" t="s">
        <v>847</v>
      </c>
      <c r="M293" s="24" t="s">
        <v>41</v>
      </c>
      <c r="N293" s="196" t="s">
        <v>834</v>
      </c>
      <c r="P293" s="18">
        <f>IFERROR(VLOOKUP(J293,'[1]Obs Tecnicas'!$D$2:$I$313,5,0),O293)</f>
        <v>44459</v>
      </c>
      <c r="Q293" s="17" t="str">
        <f t="shared" ca="1" si="12"/>
        <v>Calibrado</v>
      </c>
      <c r="R293" s="19">
        <f>IFERROR(VLOOKUP(J293,'[1]Obs Tecnicas'!$D$2:$G$333,2,0),"")</f>
        <v>13928</v>
      </c>
      <c r="S293" s="13" t="str">
        <f>IFERROR(VLOOKUP(J293,'[1]Obs Tecnicas'!$D$2:$G$337,3,0),"Hexis")</f>
        <v>ER ANALITICA</v>
      </c>
      <c r="T293" s="13">
        <f>IFERROR(VLOOKUP(J293,'[1]Obs Tecnicas'!$D$2:$G$337,4,0),"")</f>
        <v>0</v>
      </c>
      <c r="U293" s="14" t="s">
        <v>291</v>
      </c>
      <c r="V293" s="14">
        <f t="shared" si="11"/>
        <v>9</v>
      </c>
      <c r="W293" s="20">
        <f>VLOOKUP(I293,Indicadores!$N$4:$Q$15,4,0)</f>
        <v>329.87</v>
      </c>
    </row>
    <row r="294" spans="1:23" hidden="1">
      <c r="A294" s="13" t="s">
        <v>899</v>
      </c>
      <c r="B294" s="13" t="s">
        <v>831</v>
      </c>
      <c r="C294" s="15" t="s">
        <v>832</v>
      </c>
      <c r="D294" s="13" t="s">
        <v>848</v>
      </c>
      <c r="E294" s="13" t="s">
        <v>322</v>
      </c>
      <c r="F294" s="15" t="s">
        <v>323</v>
      </c>
      <c r="G294" s="13" t="s">
        <v>849</v>
      </c>
      <c r="H294" s="13" t="s">
        <v>40</v>
      </c>
      <c r="I294" s="13" t="s">
        <v>7</v>
      </c>
      <c r="J294" s="28">
        <v>893769</v>
      </c>
      <c r="K294" s="13" t="s">
        <v>850</v>
      </c>
      <c r="L294" s="196" t="s">
        <v>814</v>
      </c>
      <c r="M294" s="24" t="s">
        <v>41</v>
      </c>
      <c r="N294" s="196" t="s">
        <v>834</v>
      </c>
      <c r="P294" s="18">
        <f>IFERROR(VLOOKUP(J294,'[1]Obs Tecnicas'!$D$2:$I$313,5,0),O294)</f>
        <v>44459</v>
      </c>
      <c r="Q294" s="17" t="str">
        <f t="shared" ca="1" si="12"/>
        <v>Calibrado</v>
      </c>
      <c r="R294" s="19">
        <f>IFERROR(VLOOKUP(J294,'[1]Obs Tecnicas'!$D$2:$G$333,2,0),"")</f>
        <v>13926</v>
      </c>
      <c r="S294" s="13" t="str">
        <f>IFERROR(VLOOKUP(J294,'[1]Obs Tecnicas'!$D$2:$G$337,3,0),"Hexis")</f>
        <v>ER ANALITICA</v>
      </c>
      <c r="T294" s="13">
        <f>IFERROR(VLOOKUP(J294,'[1]Obs Tecnicas'!$D$2:$G$337,4,0),"")</f>
        <v>0</v>
      </c>
      <c r="U294" s="14" t="s">
        <v>291</v>
      </c>
      <c r="V294" s="14">
        <f t="shared" si="11"/>
        <v>9</v>
      </c>
      <c r="W294" s="20">
        <f>VLOOKUP(I294,Indicadores!$N$4:$Q$15,4,0)</f>
        <v>329.87</v>
      </c>
    </row>
    <row r="295" spans="1:23" hidden="1">
      <c r="A295" s="13" t="s">
        <v>899</v>
      </c>
      <c r="B295" s="13" t="s">
        <v>831</v>
      </c>
      <c r="C295" s="15" t="s">
        <v>832</v>
      </c>
      <c r="D295" s="13" t="s">
        <v>851</v>
      </c>
      <c r="E295" s="13" t="s">
        <v>322</v>
      </c>
      <c r="F295" s="15" t="s">
        <v>323</v>
      </c>
      <c r="G295" s="13" t="s">
        <v>852</v>
      </c>
      <c r="H295" s="13" t="s">
        <v>40</v>
      </c>
      <c r="I295" s="13" t="s">
        <v>7</v>
      </c>
      <c r="J295" s="28">
        <v>51302520</v>
      </c>
      <c r="K295" s="13" t="s">
        <v>48</v>
      </c>
      <c r="L295" s="13" t="s">
        <v>853</v>
      </c>
      <c r="M295" s="24" t="s">
        <v>41</v>
      </c>
      <c r="N295" s="196" t="s">
        <v>834</v>
      </c>
      <c r="P295" s="18">
        <f>IFERROR(VLOOKUP(J295,'[1]Obs Tecnicas'!$D$2:$I$313,5,0),O295)</f>
        <v>44459</v>
      </c>
      <c r="Q295" s="17" t="str">
        <f t="shared" ca="1" si="12"/>
        <v>Calibrado</v>
      </c>
      <c r="R295" s="19">
        <f>IFERROR(VLOOKUP(J295,'[1]Obs Tecnicas'!$D$2:$G$333,2,0),"")</f>
        <v>13838</v>
      </c>
      <c r="S295" s="13" t="str">
        <f>IFERROR(VLOOKUP(J295,'[1]Obs Tecnicas'!$D$2:$G$337,3,0),"Hexis")</f>
        <v>ER ANALITICA</v>
      </c>
      <c r="T295" s="13">
        <f>IFERROR(VLOOKUP(J295,'[1]Obs Tecnicas'!$D$2:$G$337,4,0),"")</f>
        <v>0</v>
      </c>
      <c r="U295" s="14" t="s">
        <v>291</v>
      </c>
      <c r="V295" s="14">
        <f t="shared" si="11"/>
        <v>9</v>
      </c>
      <c r="W295" s="20">
        <f>VLOOKUP(I295,Indicadores!$N$4:$Q$15,4,0)</f>
        <v>329.87</v>
      </c>
    </row>
    <row r="296" spans="1:23" hidden="1">
      <c r="A296" s="13" t="s">
        <v>899</v>
      </c>
      <c r="B296" s="13" t="s">
        <v>831</v>
      </c>
      <c r="C296" s="15" t="s">
        <v>832</v>
      </c>
      <c r="D296" s="13" t="s">
        <v>854</v>
      </c>
      <c r="E296" s="13" t="s">
        <v>322</v>
      </c>
      <c r="F296" s="15" t="s">
        <v>323</v>
      </c>
      <c r="G296" s="13" t="s">
        <v>855</v>
      </c>
      <c r="H296" s="13" t="s">
        <v>40</v>
      </c>
      <c r="I296" s="13" t="s">
        <v>9</v>
      </c>
      <c r="J296" s="28" t="s">
        <v>839</v>
      </c>
      <c r="K296" s="13" t="s">
        <v>764</v>
      </c>
      <c r="L296" s="165" t="s">
        <v>856</v>
      </c>
      <c r="M296" s="24" t="s">
        <v>41</v>
      </c>
      <c r="N296" s="196" t="s">
        <v>834</v>
      </c>
      <c r="P296" s="18">
        <f>IFERROR(VLOOKUP(J296,'[1]Obs Tecnicas'!$D$2:$I$313,5,0),O296)</f>
        <v>44459</v>
      </c>
      <c r="Q296" s="17" t="str">
        <f t="shared" ca="1" si="12"/>
        <v>Calibrado</v>
      </c>
      <c r="R296" s="19">
        <f>IFERROR(VLOOKUP(J296,'[1]Obs Tecnicas'!$D$2:$G$333,2,0),"")</f>
        <v>13835</v>
      </c>
      <c r="S296" s="13" t="str">
        <f>IFERROR(VLOOKUP(J296,'[1]Obs Tecnicas'!$D$2:$G$337,3,0),"Hexis")</f>
        <v>ER ANALITICA</v>
      </c>
      <c r="T296" s="13" t="str">
        <f>IFERROR(VLOOKUP(J296,'[1]Obs Tecnicas'!$D$2:$G$337,4,0),"")</f>
        <v xml:space="preserve"> Equipamento demora para inicializar.</v>
      </c>
      <c r="U296" s="14" t="s">
        <v>291</v>
      </c>
      <c r="V296" s="14">
        <f t="shared" si="11"/>
        <v>9</v>
      </c>
      <c r="W296" s="20">
        <f>VLOOKUP(I296,Indicadores!$N$4:$Q$15,4,0)</f>
        <v>521.79999999999995</v>
      </c>
    </row>
    <row r="297" spans="1:23" hidden="1">
      <c r="A297" s="13" t="s">
        <v>899</v>
      </c>
      <c r="B297" s="13" t="s">
        <v>831</v>
      </c>
      <c r="C297" s="15" t="s">
        <v>832</v>
      </c>
      <c r="D297" s="13" t="s">
        <v>857</v>
      </c>
      <c r="E297" s="13" t="s">
        <v>322</v>
      </c>
      <c r="F297" s="15" t="s">
        <v>323</v>
      </c>
      <c r="G297" s="13" t="s">
        <v>858</v>
      </c>
      <c r="H297" s="13" t="s">
        <v>40</v>
      </c>
      <c r="I297" s="13" t="s">
        <v>835</v>
      </c>
      <c r="J297" s="28" t="s">
        <v>65</v>
      </c>
      <c r="K297" s="13" t="s">
        <v>836</v>
      </c>
      <c r="L297" s="165" t="s">
        <v>859</v>
      </c>
      <c r="M297" s="24" t="s">
        <v>41</v>
      </c>
      <c r="N297" s="196" t="s">
        <v>834</v>
      </c>
      <c r="P297" s="18">
        <f>IFERROR(VLOOKUP(J297,'[1]Obs Tecnicas'!$D$2:$I$313,5,0),O297)</f>
        <v>44459</v>
      </c>
      <c r="Q297" s="17" t="str">
        <f t="shared" ca="1" si="12"/>
        <v>Calibrado</v>
      </c>
      <c r="R297" s="19">
        <f>IFERROR(VLOOKUP(J297,'[1]Obs Tecnicas'!$D$2:$G$333,2,0),"")</f>
        <v>13834</v>
      </c>
      <c r="S297" s="13" t="str">
        <f>IFERROR(VLOOKUP(J297,'[1]Obs Tecnicas'!$D$2:$G$337,3,0),"Hexis")</f>
        <v>ER ANALITICA</v>
      </c>
      <c r="T297" s="13">
        <f>IFERROR(VLOOKUP(J297,'[1]Obs Tecnicas'!$D$2:$G$337,4,0),"")</f>
        <v>0</v>
      </c>
      <c r="U297" s="14" t="s">
        <v>291</v>
      </c>
      <c r="V297" s="14">
        <f t="shared" si="11"/>
        <v>9</v>
      </c>
      <c r="W297" s="20">
        <f>VLOOKUP(I297,Indicadores!$N$4:$Q$15,4,0)</f>
        <v>546.79</v>
      </c>
    </row>
    <row r="298" spans="1:23" hidden="1">
      <c r="A298" s="13" t="s">
        <v>899</v>
      </c>
      <c r="B298" s="13" t="s">
        <v>831</v>
      </c>
      <c r="C298" s="15" t="s">
        <v>832</v>
      </c>
      <c r="D298" s="13" t="s">
        <v>860</v>
      </c>
      <c r="E298" s="13" t="s">
        <v>322</v>
      </c>
      <c r="F298" s="15" t="s">
        <v>323</v>
      </c>
      <c r="G298" s="13" t="s">
        <v>861</v>
      </c>
      <c r="H298" s="13" t="s">
        <v>40</v>
      </c>
      <c r="I298" s="13" t="s">
        <v>2</v>
      </c>
      <c r="J298" s="28" t="s">
        <v>64</v>
      </c>
      <c r="K298" s="13" t="s">
        <v>48</v>
      </c>
      <c r="L298" s="165" t="s">
        <v>862</v>
      </c>
      <c r="M298" s="24" t="s">
        <v>41</v>
      </c>
      <c r="N298" s="196" t="s">
        <v>834</v>
      </c>
      <c r="P298" s="18">
        <f>IFERROR(VLOOKUP(J298,'[1]Obs Tecnicas'!$D$2:$I$313,5,0),O298)</f>
        <v>44459</v>
      </c>
      <c r="Q298" s="17" t="str">
        <f t="shared" ca="1" si="12"/>
        <v>Calibrado</v>
      </c>
      <c r="R298" s="19">
        <f>IFERROR(VLOOKUP(J298,'[1]Obs Tecnicas'!$D$2:$G$333,2,0),"")</f>
        <v>13833</v>
      </c>
      <c r="S298" s="13" t="str">
        <f>IFERROR(VLOOKUP(J298,'[1]Obs Tecnicas'!$D$2:$G$337,3,0),"Hexis")</f>
        <v>ER ANALITICA</v>
      </c>
      <c r="T298" s="13">
        <f>IFERROR(VLOOKUP(J298,'[1]Obs Tecnicas'!$D$2:$G$337,4,0),"")</f>
        <v>0</v>
      </c>
      <c r="U298" s="14" t="s">
        <v>291</v>
      </c>
      <c r="V298" s="14">
        <f t="shared" si="11"/>
        <v>9</v>
      </c>
      <c r="W298" s="20">
        <f>VLOOKUP(I298,Indicadores!$N$4:$Q$15,4,0)</f>
        <v>456.77</v>
      </c>
    </row>
    <row r="299" spans="1:23" hidden="1">
      <c r="A299" s="13" t="s">
        <v>899</v>
      </c>
      <c r="B299" s="13" t="s">
        <v>831</v>
      </c>
      <c r="C299" s="15" t="s">
        <v>832</v>
      </c>
      <c r="D299" s="13" t="s">
        <v>863</v>
      </c>
      <c r="E299" s="13" t="s">
        <v>322</v>
      </c>
      <c r="F299" s="15" t="s">
        <v>323</v>
      </c>
      <c r="G299" s="13" t="s">
        <v>864</v>
      </c>
      <c r="H299" s="13" t="s">
        <v>40</v>
      </c>
      <c r="I299" s="13" t="s">
        <v>7</v>
      </c>
      <c r="J299" s="28" t="s">
        <v>865</v>
      </c>
      <c r="K299" s="13" t="s">
        <v>850</v>
      </c>
      <c r="L299" s="165" t="s">
        <v>814</v>
      </c>
      <c r="M299" s="24" t="s">
        <v>41</v>
      </c>
      <c r="N299" s="196" t="s">
        <v>834</v>
      </c>
      <c r="P299" s="18">
        <f>IFERROR(VLOOKUP(J299,'[1]Obs Tecnicas'!$D$2:$I$313,5,0),O299)</f>
        <v>44459</v>
      </c>
      <c r="Q299" s="17" t="str">
        <f t="shared" ca="1" si="12"/>
        <v>Calibrado</v>
      </c>
      <c r="R299" s="19">
        <f>IFERROR(VLOOKUP(J299,'[1]Obs Tecnicas'!$D$2:$G$333,2,0),"")</f>
        <v>13925</v>
      </c>
      <c r="S299" s="13" t="str">
        <f>IFERROR(VLOOKUP(J299,'[1]Obs Tecnicas'!$D$2:$G$337,3,0),"Hexis")</f>
        <v>ER ANALITICA</v>
      </c>
      <c r="T299" s="13">
        <f>IFERROR(VLOOKUP(J299,'[1]Obs Tecnicas'!$D$2:$G$337,4,0),"")</f>
        <v>0</v>
      </c>
      <c r="U299" s="14" t="s">
        <v>291</v>
      </c>
      <c r="V299" s="14">
        <f t="shared" si="11"/>
        <v>9</v>
      </c>
      <c r="W299" s="20">
        <f>VLOOKUP(I299,Indicadores!$N$4:$Q$15,4,0)</f>
        <v>329.87</v>
      </c>
    </row>
    <row r="300" spans="1:23" hidden="1">
      <c r="A300" s="13" t="s">
        <v>899</v>
      </c>
      <c r="B300" s="13" t="s">
        <v>831</v>
      </c>
      <c r="C300" s="15" t="s">
        <v>832</v>
      </c>
      <c r="D300" s="13" t="s">
        <v>866</v>
      </c>
      <c r="E300" s="13" t="s">
        <v>322</v>
      </c>
      <c r="F300" s="15" t="s">
        <v>323</v>
      </c>
      <c r="G300" s="13" t="s">
        <v>867</v>
      </c>
      <c r="H300" s="13" t="s">
        <v>40</v>
      </c>
      <c r="I300" s="13" t="s">
        <v>7</v>
      </c>
      <c r="J300" s="28">
        <v>2062585</v>
      </c>
      <c r="K300" s="13" t="s">
        <v>850</v>
      </c>
      <c r="L300" s="196" t="s">
        <v>57</v>
      </c>
      <c r="M300" s="24" t="s">
        <v>41</v>
      </c>
      <c r="N300" s="196" t="s">
        <v>834</v>
      </c>
      <c r="P300" s="18">
        <f>IFERROR(VLOOKUP(J300,'[1]Obs Tecnicas'!$D$2:$I$313,5,0),O300)</f>
        <v>44459</v>
      </c>
      <c r="Q300" s="17" t="str">
        <f t="shared" ca="1" si="12"/>
        <v>Calibrado</v>
      </c>
      <c r="R300" s="19">
        <f>IFERROR(VLOOKUP(J300,'[1]Obs Tecnicas'!$D$2:$G$333,2,0),"")</f>
        <v>13927</v>
      </c>
      <c r="S300" s="13" t="str">
        <f>IFERROR(VLOOKUP(J300,'[1]Obs Tecnicas'!$D$2:$G$337,3,0),"Hexis")</f>
        <v>ER ANALITICA</v>
      </c>
      <c r="T300" s="13">
        <f>IFERROR(VLOOKUP(J300,'[1]Obs Tecnicas'!$D$2:$G$337,4,0),"")</f>
        <v>0</v>
      </c>
      <c r="U300" s="14" t="s">
        <v>291</v>
      </c>
      <c r="V300" s="14">
        <f t="shared" si="11"/>
        <v>9</v>
      </c>
      <c r="W300" s="20">
        <f>VLOOKUP(I300,Indicadores!$N$4:$Q$15,4,0)</f>
        <v>329.87</v>
      </c>
    </row>
    <row r="301" spans="1:23" hidden="1">
      <c r="A301" s="13" t="s">
        <v>899</v>
      </c>
      <c r="B301" s="13" t="s">
        <v>868</v>
      </c>
      <c r="C301" s="15" t="s">
        <v>724</v>
      </c>
      <c r="D301" s="13" t="s">
        <v>869</v>
      </c>
      <c r="E301" s="13" t="s">
        <v>870</v>
      </c>
      <c r="F301" s="15" t="s">
        <v>871</v>
      </c>
      <c r="H301" s="13" t="s">
        <v>40</v>
      </c>
      <c r="I301" s="13" t="s">
        <v>3</v>
      </c>
      <c r="J301" s="28" t="s">
        <v>872</v>
      </c>
      <c r="K301" s="13" t="s">
        <v>764</v>
      </c>
      <c r="L301" s="165" t="s">
        <v>873</v>
      </c>
      <c r="M301" s="24" t="s">
        <v>41</v>
      </c>
      <c r="N301" s="196" t="s">
        <v>834</v>
      </c>
      <c r="P301" s="18">
        <f>IFERROR(VLOOKUP(J301,'[1]Obs Tecnicas'!$D$2:$I$313,5,0),O301)</f>
        <v>44459</v>
      </c>
      <c r="Q301" s="17" t="str">
        <f t="shared" ca="1" si="12"/>
        <v>Calibrado</v>
      </c>
      <c r="R301" s="19">
        <f>IFERROR(VLOOKUP(J301,'[1]Obs Tecnicas'!$D$2:$G$333,2,0),"")</f>
        <v>13906</v>
      </c>
      <c r="S301" s="13" t="str">
        <f>IFERROR(VLOOKUP(J301,'[1]Obs Tecnicas'!$D$2:$G$337,3,0),"Hexis")</f>
        <v>ER ANALITICA</v>
      </c>
      <c r="T301" s="13">
        <f>IFERROR(VLOOKUP(J301,'[1]Obs Tecnicas'!$D$2:$G$337,4,0),"")</f>
        <v>0</v>
      </c>
      <c r="U301" s="14" t="s">
        <v>291</v>
      </c>
      <c r="V301" s="14">
        <f t="shared" si="11"/>
        <v>9</v>
      </c>
      <c r="W301" s="20">
        <f>VLOOKUP(I301,Indicadores!$N$4:$Q$15,4,0)</f>
        <v>552.64</v>
      </c>
    </row>
    <row r="302" spans="1:23" hidden="1">
      <c r="A302" s="13" t="s">
        <v>899</v>
      </c>
      <c r="B302" s="13" t="s">
        <v>319</v>
      </c>
      <c r="C302" s="15" t="s">
        <v>320</v>
      </c>
      <c r="D302" s="13" t="s">
        <v>321</v>
      </c>
      <c r="E302" s="13" t="s">
        <v>322</v>
      </c>
      <c r="F302" s="15" t="s">
        <v>323</v>
      </c>
      <c r="G302" s="13" t="s">
        <v>289</v>
      </c>
      <c r="H302" s="13" t="s">
        <v>40</v>
      </c>
      <c r="I302" s="13" t="s">
        <v>3</v>
      </c>
      <c r="J302" s="28" t="s">
        <v>874</v>
      </c>
      <c r="K302" s="13" t="s">
        <v>105</v>
      </c>
      <c r="L302" s="165" t="s">
        <v>770</v>
      </c>
      <c r="M302" s="24" t="s">
        <v>41</v>
      </c>
      <c r="N302" s="13" t="s">
        <v>324</v>
      </c>
      <c r="P302" s="18">
        <f>IFERROR(VLOOKUP(J302,'[1]Obs Tecnicas'!$D$2:$I$313,5,0),O302)</f>
        <v>44459</v>
      </c>
      <c r="Q302" s="17" t="str">
        <f t="shared" ca="1" si="12"/>
        <v>Calibrado</v>
      </c>
      <c r="R302" s="19">
        <f>IFERROR(VLOOKUP(J302,'[1]Obs Tecnicas'!$D$2:$G$333,2,0),"")</f>
        <v>13830</v>
      </c>
      <c r="S302" s="13" t="str">
        <f>IFERROR(VLOOKUP(J302,'[1]Obs Tecnicas'!$D$2:$G$337,3,0),"Hexis")</f>
        <v>ER ANALITICA</v>
      </c>
      <c r="T302" s="13">
        <f>IFERROR(VLOOKUP(J302,'[1]Obs Tecnicas'!$D$2:$G$337,4,0),"")</f>
        <v>0</v>
      </c>
      <c r="U302" s="14" t="s">
        <v>291</v>
      </c>
      <c r="V302" s="14">
        <f t="shared" si="11"/>
        <v>9</v>
      </c>
      <c r="W302" s="20">
        <f>VLOOKUP(I302,Indicadores!$N$4:$Q$15,4,0)</f>
        <v>552.64</v>
      </c>
    </row>
    <row r="303" spans="1:23" hidden="1">
      <c r="A303" s="13" t="s">
        <v>899</v>
      </c>
      <c r="B303" s="13" t="s">
        <v>319</v>
      </c>
      <c r="C303" s="15" t="s">
        <v>320</v>
      </c>
      <c r="D303" s="13" t="s">
        <v>321</v>
      </c>
      <c r="E303" s="13" t="s">
        <v>322</v>
      </c>
      <c r="F303" s="15" t="s">
        <v>323</v>
      </c>
      <c r="G303" s="13" t="s">
        <v>289</v>
      </c>
      <c r="H303" s="13" t="s">
        <v>40</v>
      </c>
      <c r="I303" s="13" t="s">
        <v>9</v>
      </c>
      <c r="J303" s="28" t="s">
        <v>875</v>
      </c>
      <c r="K303" s="13" t="s">
        <v>105</v>
      </c>
      <c r="L303" s="165" t="s">
        <v>29</v>
      </c>
      <c r="M303" s="24" t="s">
        <v>41</v>
      </c>
      <c r="N303" s="13" t="s">
        <v>324</v>
      </c>
      <c r="P303" s="18">
        <f>IFERROR(VLOOKUP(J303,'[1]Obs Tecnicas'!$D$2:$I$313,5,0),O303)</f>
        <v>44459</v>
      </c>
      <c r="Q303" s="17" t="str">
        <f t="shared" ca="1" si="12"/>
        <v>Calibrado</v>
      </c>
      <c r="R303" s="19">
        <f>IFERROR(VLOOKUP(J303,'[1]Obs Tecnicas'!$D$2:$G$333,2,0),"")</f>
        <v>13823</v>
      </c>
      <c r="S303" s="13" t="str">
        <f>IFERROR(VLOOKUP(J303,'[1]Obs Tecnicas'!$D$2:$G$337,3,0),"Hexis")</f>
        <v>ER ANALITICA</v>
      </c>
      <c r="T303" s="13">
        <f>IFERROR(VLOOKUP(J303,'[1]Obs Tecnicas'!$D$2:$G$337,4,0),"")</f>
        <v>0</v>
      </c>
      <c r="U303" s="14" t="s">
        <v>291</v>
      </c>
      <c r="V303" s="14">
        <f t="shared" si="11"/>
        <v>9</v>
      </c>
      <c r="W303" s="20">
        <f>VLOOKUP(I303,Indicadores!$N$4:$Q$15,4,0)</f>
        <v>521.79999999999995</v>
      </c>
    </row>
    <row r="304" spans="1:23" hidden="1">
      <c r="A304" s="13" t="s">
        <v>899</v>
      </c>
      <c r="B304" s="13" t="s">
        <v>319</v>
      </c>
      <c r="C304" s="15" t="s">
        <v>320</v>
      </c>
      <c r="D304" s="13" t="s">
        <v>321</v>
      </c>
      <c r="E304" s="13" t="s">
        <v>322</v>
      </c>
      <c r="F304" s="15" t="s">
        <v>323</v>
      </c>
      <c r="G304" s="13" t="s">
        <v>289</v>
      </c>
      <c r="H304" s="13" t="s">
        <v>40</v>
      </c>
      <c r="I304" s="13" t="s">
        <v>4</v>
      </c>
      <c r="J304" s="28">
        <v>49441</v>
      </c>
      <c r="K304" s="13" t="s">
        <v>433</v>
      </c>
      <c r="L304" s="196" t="s">
        <v>74</v>
      </c>
      <c r="M304" s="24" t="s">
        <v>41</v>
      </c>
      <c r="N304" s="13" t="s">
        <v>324</v>
      </c>
      <c r="P304" s="18">
        <f>IFERROR(VLOOKUP(J304,'[1]Obs Tecnicas'!$D$2:$I$313,5,0),O304)</f>
        <v>44459</v>
      </c>
      <c r="Q304" s="17" t="str">
        <f t="shared" ca="1" si="12"/>
        <v>Calibrado</v>
      </c>
      <c r="R304" s="19">
        <f>IFERROR(VLOOKUP(J304,'[1]Obs Tecnicas'!$D$2:$G$333,2,0),"")</f>
        <v>13824</v>
      </c>
      <c r="S304" s="13" t="str">
        <f>IFERROR(VLOOKUP(J304,'[1]Obs Tecnicas'!$D$2:$G$337,3,0),"Hexis")</f>
        <v>ER ANALITICA</v>
      </c>
      <c r="T304" s="13">
        <f>IFERROR(VLOOKUP(J304,'[1]Obs Tecnicas'!$D$2:$G$337,4,0),"")</f>
        <v>0</v>
      </c>
      <c r="U304" s="14" t="s">
        <v>291</v>
      </c>
      <c r="V304" s="14">
        <f t="shared" si="11"/>
        <v>9</v>
      </c>
      <c r="W304" s="20">
        <f>VLOOKUP(I304,Indicadores!$N$4:$Q$15,4,0)</f>
        <v>329.87</v>
      </c>
    </row>
    <row r="305" spans="1:23" hidden="1">
      <c r="A305" s="13" t="s">
        <v>899</v>
      </c>
      <c r="B305" s="13" t="s">
        <v>319</v>
      </c>
      <c r="C305" s="15" t="s">
        <v>320</v>
      </c>
      <c r="D305" s="13" t="s">
        <v>321</v>
      </c>
      <c r="E305" s="13" t="s">
        <v>322</v>
      </c>
      <c r="F305" s="15" t="s">
        <v>323</v>
      </c>
      <c r="G305" s="13" t="s">
        <v>289</v>
      </c>
      <c r="H305" s="13" t="s">
        <v>40</v>
      </c>
      <c r="I305" s="13" t="s">
        <v>3</v>
      </c>
      <c r="J305" s="28" t="s">
        <v>51</v>
      </c>
      <c r="K305" s="13" t="s">
        <v>764</v>
      </c>
      <c r="L305" s="165" t="s">
        <v>770</v>
      </c>
      <c r="M305" s="24" t="s">
        <v>41</v>
      </c>
      <c r="N305" s="13" t="s">
        <v>324</v>
      </c>
      <c r="P305" s="18">
        <f>IFERROR(VLOOKUP(J305,'[1]Obs Tecnicas'!$D$2:$I$313,5,0),O305)</f>
        <v>44459</v>
      </c>
      <c r="Q305" s="17" t="str">
        <f t="shared" ca="1" si="12"/>
        <v>Calibrado</v>
      </c>
      <c r="R305" s="19">
        <f>IFERROR(VLOOKUP(J305,'[1]Obs Tecnicas'!$D$2:$G$333,2,0),"")</f>
        <v>13825</v>
      </c>
      <c r="S305" s="13" t="str">
        <f>IFERROR(VLOOKUP(J305,'[1]Obs Tecnicas'!$D$2:$G$337,3,0),"Hexis")</f>
        <v>ER ANALITICA</v>
      </c>
      <c r="T305" s="13">
        <f>IFERROR(VLOOKUP(J305,'[1]Obs Tecnicas'!$D$2:$G$337,4,0),"")</f>
        <v>0</v>
      </c>
      <c r="U305" s="14" t="s">
        <v>291</v>
      </c>
      <c r="V305" s="14">
        <f t="shared" si="11"/>
        <v>9</v>
      </c>
      <c r="W305" s="20">
        <f>VLOOKUP(I305,Indicadores!$N$4:$Q$15,4,0)</f>
        <v>552.64</v>
      </c>
    </row>
    <row r="306" spans="1:23" hidden="1">
      <c r="A306" s="13" t="s">
        <v>899</v>
      </c>
      <c r="B306" s="13" t="s">
        <v>876</v>
      </c>
      <c r="C306" s="15" t="s">
        <v>539</v>
      </c>
      <c r="D306" s="13" t="s">
        <v>540</v>
      </c>
      <c r="E306" s="13" t="s">
        <v>452</v>
      </c>
      <c r="F306" s="15" t="s">
        <v>453</v>
      </c>
      <c r="G306" s="13" t="s">
        <v>289</v>
      </c>
      <c r="H306" s="13" t="s">
        <v>98</v>
      </c>
      <c r="I306" s="13" t="s">
        <v>9</v>
      </c>
      <c r="J306" s="28" t="s">
        <v>877</v>
      </c>
      <c r="K306" s="13" t="s">
        <v>54</v>
      </c>
      <c r="L306" s="165" t="s">
        <v>87</v>
      </c>
      <c r="M306" s="13" t="s">
        <v>120</v>
      </c>
      <c r="N306" s="13" t="s">
        <v>426</v>
      </c>
      <c r="O306" s="170">
        <v>44469</v>
      </c>
      <c r="P306" s="18">
        <f>IFERROR(VLOOKUP(J306,'[1]Obs Tecnicas'!$D$2:$I$313,5,0),O306)</f>
        <v>44469</v>
      </c>
      <c r="Q306" s="17" t="str">
        <f t="shared" ca="1" si="12"/>
        <v>Calibrado</v>
      </c>
      <c r="R306" s="19">
        <f>IFERROR(VLOOKUP(J306,'[1]Obs Tecnicas'!$D$2:$G$333,2,0),"")</f>
        <v>13962</v>
      </c>
      <c r="S306" s="13" t="str">
        <f>IFERROR(VLOOKUP(J306,'[1]Obs Tecnicas'!$D$2:$G$337,3,0),"Hexis")</f>
        <v>ER ANALITICA</v>
      </c>
      <c r="T306" s="13">
        <f>IFERROR(VLOOKUP(J306,'[1]Obs Tecnicas'!$D$2:$G$337,4,0),"")</f>
        <v>0</v>
      </c>
      <c r="U306" s="14" t="s">
        <v>291</v>
      </c>
      <c r="V306" s="14">
        <f t="shared" si="11"/>
        <v>9</v>
      </c>
      <c r="W306" s="20">
        <f>VLOOKUP(I306,Indicadores!$N$4:$Q$15,4,0)</f>
        <v>521.79999999999995</v>
      </c>
    </row>
    <row r="307" spans="1:23" hidden="1">
      <c r="A307" s="13" t="s">
        <v>899</v>
      </c>
      <c r="B307" s="13" t="s">
        <v>876</v>
      </c>
      <c r="C307" s="15" t="s">
        <v>539</v>
      </c>
      <c r="D307" s="13" t="s">
        <v>540</v>
      </c>
      <c r="E307" s="13" t="s">
        <v>452</v>
      </c>
      <c r="F307" s="15" t="s">
        <v>453</v>
      </c>
      <c r="G307" s="13" t="s">
        <v>289</v>
      </c>
      <c r="H307" s="13" t="s">
        <v>98</v>
      </c>
      <c r="I307" s="13" t="s">
        <v>4</v>
      </c>
      <c r="J307" s="28" t="s">
        <v>878</v>
      </c>
      <c r="K307" s="13" t="s">
        <v>879</v>
      </c>
      <c r="L307" s="165" t="s">
        <v>27</v>
      </c>
      <c r="M307" s="13" t="s">
        <v>120</v>
      </c>
      <c r="N307" s="13" t="s">
        <v>426</v>
      </c>
      <c r="O307" s="170">
        <v>44469</v>
      </c>
      <c r="P307" s="18">
        <f>IFERROR(VLOOKUP(J307,'[1]Obs Tecnicas'!$D$2:$I$313,5,0),O307)</f>
        <v>44469</v>
      </c>
      <c r="Q307" s="17" t="str">
        <f t="shared" ca="1" si="12"/>
        <v>Calibrado</v>
      </c>
      <c r="R307" s="19">
        <f>IFERROR(VLOOKUP(J307,'[1]Obs Tecnicas'!$D$2:$G$333,2,0),"")</f>
        <v>13963</v>
      </c>
      <c r="S307" s="13" t="str">
        <f>IFERROR(VLOOKUP(J307,'[1]Obs Tecnicas'!$D$2:$G$337,3,0),"Hexis")</f>
        <v>ER ANALITICA</v>
      </c>
      <c r="T307" s="13">
        <f>IFERROR(VLOOKUP(J307,'[1]Obs Tecnicas'!$D$2:$G$337,4,0),"")</f>
        <v>0</v>
      </c>
      <c r="U307" s="14" t="s">
        <v>291</v>
      </c>
      <c r="V307" s="14">
        <f t="shared" si="11"/>
        <v>9</v>
      </c>
      <c r="W307" s="20">
        <f>VLOOKUP(I307,Indicadores!$N$4:$Q$15,4,0)</f>
        <v>329.87</v>
      </c>
    </row>
    <row r="308" spans="1:23" hidden="1">
      <c r="A308" s="13" t="s">
        <v>899</v>
      </c>
      <c r="B308" s="13" t="s">
        <v>876</v>
      </c>
      <c r="C308" s="15" t="s">
        <v>539</v>
      </c>
      <c r="D308" s="13" t="s">
        <v>540</v>
      </c>
      <c r="E308" s="13" t="s">
        <v>452</v>
      </c>
      <c r="F308" s="15" t="s">
        <v>453</v>
      </c>
      <c r="G308" s="13" t="s">
        <v>289</v>
      </c>
      <c r="H308" s="13" t="s">
        <v>98</v>
      </c>
      <c r="I308" s="13" t="s">
        <v>4</v>
      </c>
      <c r="J308" s="28" t="s">
        <v>880</v>
      </c>
      <c r="K308" s="13" t="s">
        <v>879</v>
      </c>
      <c r="L308" s="165" t="s">
        <v>881</v>
      </c>
      <c r="M308" s="13" t="s">
        <v>120</v>
      </c>
      <c r="N308" s="13" t="s">
        <v>426</v>
      </c>
      <c r="O308" s="170">
        <v>44469</v>
      </c>
      <c r="P308" s="18">
        <f>IFERROR(VLOOKUP(J308,'[1]Obs Tecnicas'!$D$2:$I$313,5,0),O308)</f>
        <v>44469</v>
      </c>
      <c r="Q308" s="17" t="str">
        <f t="shared" ca="1" si="12"/>
        <v>Calibrado</v>
      </c>
      <c r="R308" s="19">
        <f>IFERROR(VLOOKUP(J308,'[1]Obs Tecnicas'!$D$2:$G$333,2,0),"")</f>
        <v>13964</v>
      </c>
      <c r="S308" s="13" t="str">
        <f>IFERROR(VLOOKUP(J308,'[1]Obs Tecnicas'!$D$2:$G$337,3,0),"Hexis")</f>
        <v>ER ANALITICA</v>
      </c>
      <c r="T308" s="13">
        <f>IFERROR(VLOOKUP(J308,'[1]Obs Tecnicas'!$D$2:$G$337,4,0),"")</f>
        <v>0</v>
      </c>
      <c r="U308" s="14" t="s">
        <v>291</v>
      </c>
      <c r="V308" s="14">
        <f t="shared" si="11"/>
        <v>9</v>
      </c>
      <c r="W308" s="20">
        <f>VLOOKUP(I308,Indicadores!$N$4:$Q$15,4,0)</f>
        <v>329.87</v>
      </c>
    </row>
    <row r="309" spans="1:23" hidden="1">
      <c r="A309" s="13" t="s">
        <v>899</v>
      </c>
      <c r="B309" s="13" t="s">
        <v>876</v>
      </c>
      <c r="C309" s="15" t="s">
        <v>539</v>
      </c>
      <c r="D309" s="13" t="s">
        <v>540</v>
      </c>
      <c r="E309" s="13" t="s">
        <v>452</v>
      </c>
      <c r="F309" s="15" t="s">
        <v>453</v>
      </c>
      <c r="G309" s="13" t="s">
        <v>289</v>
      </c>
      <c r="H309" s="13" t="s">
        <v>98</v>
      </c>
      <c r="I309" s="13" t="s">
        <v>4</v>
      </c>
      <c r="J309" s="28" t="s">
        <v>882</v>
      </c>
      <c r="K309" s="13" t="s">
        <v>879</v>
      </c>
      <c r="L309" s="165" t="s">
        <v>881</v>
      </c>
      <c r="M309" s="13" t="s">
        <v>120</v>
      </c>
      <c r="N309" s="13" t="s">
        <v>426</v>
      </c>
      <c r="O309" s="170">
        <v>44469</v>
      </c>
      <c r="P309" s="18">
        <f>IFERROR(VLOOKUP(J309,'[1]Obs Tecnicas'!$D$2:$I$313,5,0),O309)</f>
        <v>44469</v>
      </c>
      <c r="Q309" s="17" t="str">
        <f t="shared" ca="1" si="12"/>
        <v>Calibrado</v>
      </c>
      <c r="R309" s="19">
        <f>IFERROR(VLOOKUP(J309,'[1]Obs Tecnicas'!$D$2:$G$333,2,0),"")</f>
        <v>13965</v>
      </c>
      <c r="S309" s="13" t="str">
        <f>IFERROR(VLOOKUP(J309,'[1]Obs Tecnicas'!$D$2:$G$337,3,0),"Hexis")</f>
        <v>ER ANALITICA</v>
      </c>
      <c r="T309" s="13">
        <f>IFERROR(VLOOKUP(J309,'[1]Obs Tecnicas'!$D$2:$G$337,4,0),"")</f>
        <v>0</v>
      </c>
      <c r="U309" s="14" t="s">
        <v>291</v>
      </c>
      <c r="V309" s="14">
        <f t="shared" si="11"/>
        <v>9</v>
      </c>
      <c r="W309" s="20">
        <f>VLOOKUP(I309,Indicadores!$N$4:$Q$15,4,0)</f>
        <v>329.87</v>
      </c>
    </row>
    <row r="310" spans="1:23" hidden="1">
      <c r="A310" s="13" t="s">
        <v>899</v>
      </c>
      <c r="B310" s="13" t="s">
        <v>603</v>
      </c>
      <c r="C310" s="15" t="s">
        <v>604</v>
      </c>
      <c r="D310" s="13" t="s">
        <v>605</v>
      </c>
      <c r="E310" s="13" t="s">
        <v>606</v>
      </c>
      <c r="F310" s="15" t="s">
        <v>607</v>
      </c>
      <c r="G310" s="13" t="s">
        <v>608</v>
      </c>
      <c r="H310" s="13" t="s">
        <v>202</v>
      </c>
      <c r="I310" s="13" t="s">
        <v>5</v>
      </c>
      <c r="J310" s="28" t="s">
        <v>883</v>
      </c>
      <c r="K310" s="13" t="s">
        <v>764</v>
      </c>
      <c r="L310" s="13" t="s">
        <v>884</v>
      </c>
      <c r="M310" s="13" t="s">
        <v>265</v>
      </c>
      <c r="N310" s="13" t="s">
        <v>332</v>
      </c>
      <c r="O310" s="17">
        <v>44007</v>
      </c>
      <c r="P310" s="18">
        <f>IFERROR(VLOOKUP(J310,'[1]Obs Tecnicas'!$D$2:$I$313,5,0),O310)</f>
        <v>44498</v>
      </c>
      <c r="Q310" s="192" t="str">
        <f t="shared" ca="1" si="12"/>
        <v>Calibrado</v>
      </c>
      <c r="R310" s="19">
        <f>IFERROR(VLOOKUP(J310,'[1]Obs Tecnicas'!$D$2:$G$333,2,0),"")</f>
        <v>14282</v>
      </c>
      <c r="S310" s="13" t="str">
        <f>IFERROR(VLOOKUP(J310,'[1]Obs Tecnicas'!$D$2:$G$337,3,0),"Hexis")</f>
        <v>ER ANALITICA</v>
      </c>
      <c r="T310" s="13" t="str">
        <f>IFERROR(VLOOKUP(J310,'[1]Obs Tecnicas'!$D$2:$G$337,4,0),"")</f>
        <v>Necessário a substituição do filtro BG370/B39 na próxima manutenção, devido oxidações presentes  nas bordas do filtro óptico.</v>
      </c>
      <c r="U310" s="14" t="s">
        <v>291</v>
      </c>
      <c r="V310" s="14">
        <f t="shared" si="11"/>
        <v>10</v>
      </c>
      <c r="W310" s="20">
        <f>VLOOKUP(I310,Indicadores!$N$4:$Q$15,4,0)</f>
        <v>895.23</v>
      </c>
    </row>
    <row r="311" spans="1:23" hidden="1">
      <c r="A311" s="13" t="s">
        <v>899</v>
      </c>
      <c r="B311" s="13" t="s">
        <v>613</v>
      </c>
      <c r="C311" s="15" t="s">
        <v>614</v>
      </c>
      <c r="D311" s="13" t="s">
        <v>615</v>
      </c>
      <c r="E311" s="13" t="s">
        <v>452</v>
      </c>
      <c r="F311" s="15" t="s">
        <v>453</v>
      </c>
      <c r="G311" s="13" t="s">
        <v>289</v>
      </c>
      <c r="H311" s="13" t="s">
        <v>98</v>
      </c>
      <c r="I311" s="13" t="s">
        <v>7</v>
      </c>
      <c r="J311" s="28" t="s">
        <v>885</v>
      </c>
      <c r="K311" s="13" t="s">
        <v>886</v>
      </c>
      <c r="L311" s="165"/>
      <c r="M311" s="13" t="s">
        <v>120</v>
      </c>
      <c r="N311" s="13" t="s">
        <v>426</v>
      </c>
      <c r="O311" s="170">
        <v>44497</v>
      </c>
      <c r="P311" s="18">
        <f>IFERROR(VLOOKUP(J311,'[1]Obs Tecnicas'!$D$2:$I$313,5,0),O311)</f>
        <v>44497</v>
      </c>
      <c r="Q311" s="17" t="str">
        <f t="shared" ca="1" si="12"/>
        <v>Calibrado</v>
      </c>
      <c r="R311" s="19">
        <f>IFERROR(VLOOKUP(J311,'[1]Obs Tecnicas'!$D$2:$G$333,2,0),"")</f>
        <v>13971</v>
      </c>
      <c r="S311" s="13" t="str">
        <f>IFERROR(VLOOKUP(J311,'[1]Obs Tecnicas'!$D$2:$G$337,3,0),"Hexis")</f>
        <v>ER ANALITICA</v>
      </c>
      <c r="T311" s="13">
        <f>IFERROR(VLOOKUP(J311,'[1]Obs Tecnicas'!$D$2:$G$337,4,0),"")</f>
        <v>0</v>
      </c>
      <c r="U311" s="14" t="s">
        <v>291</v>
      </c>
      <c r="V311" s="14">
        <f t="shared" si="11"/>
        <v>10</v>
      </c>
      <c r="W311" s="20">
        <f>VLOOKUP(I311,Indicadores!$N$4:$Q$15,4,0)</f>
        <v>329.87</v>
      </c>
    </row>
    <row r="312" spans="1:23" hidden="1">
      <c r="A312" s="13" t="s">
        <v>899</v>
      </c>
      <c r="B312" s="13" t="s">
        <v>613</v>
      </c>
      <c r="C312" s="15" t="s">
        <v>614</v>
      </c>
      <c r="D312" s="13" t="s">
        <v>615</v>
      </c>
      <c r="E312" s="13" t="s">
        <v>452</v>
      </c>
      <c r="F312" s="15" t="s">
        <v>453</v>
      </c>
      <c r="G312" s="13" t="s">
        <v>289</v>
      </c>
      <c r="H312" s="13" t="s">
        <v>98</v>
      </c>
      <c r="I312" s="13" t="s">
        <v>7</v>
      </c>
      <c r="J312" s="28" t="s">
        <v>887</v>
      </c>
      <c r="K312" s="13" t="s">
        <v>886</v>
      </c>
      <c r="L312" s="165"/>
      <c r="M312" s="13" t="s">
        <v>120</v>
      </c>
      <c r="N312" s="13" t="s">
        <v>426</v>
      </c>
      <c r="O312" s="170">
        <v>44497</v>
      </c>
      <c r="P312" s="18">
        <f>IFERROR(VLOOKUP(J312,'[1]Obs Tecnicas'!$D$2:$I$313,5,0),O312)</f>
        <v>44497</v>
      </c>
      <c r="Q312" s="17" t="str">
        <f t="shared" ca="1" si="12"/>
        <v>Calibrado</v>
      </c>
      <c r="R312" s="19">
        <f>IFERROR(VLOOKUP(J312,'[1]Obs Tecnicas'!$D$2:$G$333,2,0),"")</f>
        <v>14168</v>
      </c>
      <c r="S312" s="13" t="str">
        <f>IFERROR(VLOOKUP(J312,'[1]Obs Tecnicas'!$D$2:$G$337,3,0),"Hexis")</f>
        <v>ER ANALITICA</v>
      </c>
      <c r="T312" s="13">
        <f>IFERROR(VLOOKUP(J312,'[1]Obs Tecnicas'!$D$2:$G$337,4,0),"")</f>
        <v>0</v>
      </c>
      <c r="U312" s="14" t="s">
        <v>291</v>
      </c>
      <c r="V312" s="14">
        <f t="shared" si="11"/>
        <v>10</v>
      </c>
      <c r="W312" s="20">
        <f>VLOOKUP(I312,Indicadores!$N$4:$Q$15,4,0)</f>
        <v>329.87</v>
      </c>
    </row>
    <row r="313" spans="1:23" hidden="1">
      <c r="A313" s="13" t="s">
        <v>899</v>
      </c>
      <c r="B313" s="13" t="s">
        <v>391</v>
      </c>
      <c r="C313" s="15" t="s">
        <v>392</v>
      </c>
      <c r="D313" s="13" t="s">
        <v>403</v>
      </c>
      <c r="E313" s="13" t="s">
        <v>391</v>
      </c>
      <c r="F313" s="15" t="s">
        <v>392</v>
      </c>
      <c r="G313" s="13" t="s">
        <v>318</v>
      </c>
      <c r="H313" s="13" t="s">
        <v>156</v>
      </c>
      <c r="I313" s="13" t="s">
        <v>835</v>
      </c>
      <c r="J313" s="28" t="s">
        <v>888</v>
      </c>
      <c r="K313" s="13" t="s">
        <v>26</v>
      </c>
      <c r="L313" s="13" t="s">
        <v>84</v>
      </c>
      <c r="M313" s="13" t="s">
        <v>157</v>
      </c>
      <c r="N313" s="13" t="s">
        <v>405</v>
      </c>
      <c r="O313" s="17">
        <v>44019</v>
      </c>
      <c r="P313" s="18">
        <f>IFERROR(VLOOKUP(J313,'[1]Obs Tecnicas'!$D$2:$I$313,5,0),O313)</f>
        <v>44523</v>
      </c>
      <c r="Q313" s="17" t="str">
        <f t="shared" ca="1" si="12"/>
        <v>Calibrado</v>
      </c>
      <c r="R313" s="19">
        <f>IFERROR(VLOOKUP(J313,'[1]Obs Tecnicas'!$D$2:$G$333,2,0),"")</f>
        <v>14286</v>
      </c>
      <c r="S313" s="13" t="str">
        <f>IFERROR(VLOOKUP(J313,'[1]Obs Tecnicas'!$D$2:$G$337,3,0),"Hexis")</f>
        <v>ER ANALITICA</v>
      </c>
      <c r="T313" s="13">
        <f>IFERROR(VLOOKUP(J313,'[1]Obs Tecnicas'!$D$2:$G$337,4,0),"")</f>
        <v>0</v>
      </c>
      <c r="U313" s="14" t="s">
        <v>291</v>
      </c>
      <c r="V313" s="14">
        <f t="shared" si="11"/>
        <v>11</v>
      </c>
      <c r="W313" s="20">
        <f>VLOOKUP(I313,Indicadores!$N$4:$Q$15,4,0)</f>
        <v>546.79</v>
      </c>
    </row>
    <row r="314" spans="1:23" hidden="1">
      <c r="A314" s="13" t="s">
        <v>899</v>
      </c>
      <c r="B314" s="13" t="s">
        <v>391</v>
      </c>
      <c r="C314" s="15" t="s">
        <v>392</v>
      </c>
      <c r="D314" s="13" t="s">
        <v>403</v>
      </c>
      <c r="E314" s="13" t="s">
        <v>391</v>
      </c>
      <c r="F314" s="15" t="s">
        <v>392</v>
      </c>
      <c r="G314" s="13" t="s">
        <v>318</v>
      </c>
      <c r="H314" s="13" t="s">
        <v>156</v>
      </c>
      <c r="I314" s="13" t="s">
        <v>7</v>
      </c>
      <c r="J314" s="28" t="s">
        <v>889</v>
      </c>
      <c r="K314" s="13" t="s">
        <v>890</v>
      </c>
      <c r="L314" s="13" t="s">
        <v>891</v>
      </c>
      <c r="M314" s="13" t="s">
        <v>157</v>
      </c>
      <c r="N314" s="13" t="s">
        <v>405</v>
      </c>
      <c r="O314" s="17">
        <v>44019</v>
      </c>
      <c r="P314" s="18">
        <f>IFERROR(VLOOKUP(J314,'[1]Obs Tecnicas'!$D$2:$I$313,5,0),O314)</f>
        <v>44523</v>
      </c>
      <c r="Q314" s="17" t="str">
        <f t="shared" ca="1" si="12"/>
        <v>Calibrado</v>
      </c>
      <c r="R314" s="19">
        <f>IFERROR(VLOOKUP(J314,'[1]Obs Tecnicas'!$D$2:$G$333,2,0),"")</f>
        <v>14626</v>
      </c>
      <c r="S314" s="13" t="str">
        <f>IFERROR(VLOOKUP(J314,'[1]Obs Tecnicas'!$D$2:$G$337,3,0),"Hexis")</f>
        <v>ER ANALITICA</v>
      </c>
      <c r="T314" s="13">
        <f>IFERROR(VLOOKUP(J314,'[1]Obs Tecnicas'!$D$2:$G$337,4,0),"")</f>
        <v>0</v>
      </c>
      <c r="U314" s="14" t="s">
        <v>291</v>
      </c>
      <c r="V314" s="14">
        <f t="shared" si="11"/>
        <v>11</v>
      </c>
      <c r="W314" s="20">
        <f>VLOOKUP(I314,Indicadores!$N$4:$Q$15,4,0)</f>
        <v>329.87</v>
      </c>
    </row>
    <row r="315" spans="1:23" hidden="1">
      <c r="A315" s="13" t="s">
        <v>899</v>
      </c>
      <c r="B315" s="13" t="s">
        <v>391</v>
      </c>
      <c r="C315" s="15" t="s">
        <v>392</v>
      </c>
      <c r="D315" s="13" t="s">
        <v>403</v>
      </c>
      <c r="E315" s="13" t="s">
        <v>391</v>
      </c>
      <c r="F315" s="15" t="s">
        <v>392</v>
      </c>
      <c r="G315" s="13" t="s">
        <v>318</v>
      </c>
      <c r="H315" s="13" t="s">
        <v>156</v>
      </c>
      <c r="I315" s="13" t="s">
        <v>835</v>
      </c>
      <c r="J315" s="28" t="s">
        <v>892</v>
      </c>
      <c r="K315" s="13" t="s">
        <v>26</v>
      </c>
      <c r="L315" s="13" t="s">
        <v>84</v>
      </c>
      <c r="M315" s="13" t="s">
        <v>157</v>
      </c>
      <c r="N315" s="13" t="s">
        <v>405</v>
      </c>
      <c r="P315" s="18">
        <f>IFERROR(VLOOKUP(J315,'[1]Obs Tecnicas'!$D$2:$I$313,5,0),O315)</f>
        <v>44523</v>
      </c>
      <c r="Q315" s="17" t="str">
        <f t="shared" ca="1" si="12"/>
        <v>Calibrado</v>
      </c>
      <c r="R315" s="19">
        <f>IFERROR(VLOOKUP(J315,'[1]Obs Tecnicas'!$D$2:$G$333,2,0),"")</f>
        <v>14625</v>
      </c>
      <c r="S315" s="13" t="str">
        <f>IFERROR(VLOOKUP(J315,'[1]Obs Tecnicas'!$D$2:$G$337,3,0),"Hexis")</f>
        <v>ER ANALITICA</v>
      </c>
      <c r="T315" s="13">
        <f>IFERROR(VLOOKUP(J315,'[1]Obs Tecnicas'!$D$2:$G$337,4,0),"")</f>
        <v>0</v>
      </c>
      <c r="U315" s="14" t="s">
        <v>291</v>
      </c>
      <c r="V315" s="14">
        <f t="shared" si="11"/>
        <v>11</v>
      </c>
      <c r="W315" s="20">
        <f>VLOOKUP(I315,Indicadores!$N$4:$Q$15,4,0)</f>
        <v>546.79</v>
      </c>
    </row>
    <row r="316" spans="1:23" hidden="1">
      <c r="A316" s="13" t="s">
        <v>899</v>
      </c>
      <c r="B316" s="13" t="s">
        <v>301</v>
      </c>
      <c r="C316" s="15" t="s">
        <v>302</v>
      </c>
      <c r="D316" s="13" t="s">
        <v>303</v>
      </c>
      <c r="E316" s="13" t="s">
        <v>296</v>
      </c>
      <c r="F316" s="15" t="s">
        <v>297</v>
      </c>
      <c r="G316" s="13" t="s">
        <v>298</v>
      </c>
      <c r="H316" s="13" t="s">
        <v>98</v>
      </c>
      <c r="I316" s="13" t="s">
        <v>835</v>
      </c>
      <c r="J316" s="322">
        <v>6273835</v>
      </c>
      <c r="K316" s="322" t="s">
        <v>731</v>
      </c>
      <c r="L316" s="322" t="s">
        <v>84</v>
      </c>
      <c r="M316" s="13" t="s">
        <v>304</v>
      </c>
      <c r="N316" s="13" t="s">
        <v>305</v>
      </c>
      <c r="O316" s="170">
        <v>44623</v>
      </c>
      <c r="P316" s="170">
        <v>44623</v>
      </c>
      <c r="Q316" s="17" t="s">
        <v>25</v>
      </c>
      <c r="R316" s="19" t="str">
        <f>IFERROR(VLOOKUP(J316,'[1]Obs Tecnicas'!$D$2:$G$333,2,0),"")</f>
        <v/>
      </c>
      <c r="S316" t="s">
        <v>729</v>
      </c>
      <c r="T316">
        <v>0</v>
      </c>
      <c r="U316" s="14" t="s">
        <v>291</v>
      </c>
      <c r="V316" s="14">
        <f t="shared" si="11"/>
        <v>3</v>
      </c>
      <c r="W316" s="20">
        <f>VLOOKUP(I316,Indicadores!$N$4:$Q$15,4,0)</f>
        <v>546.79</v>
      </c>
    </row>
    <row r="317" spans="1:23" hidden="1">
      <c r="G317" s="13" t="s">
        <v>625</v>
      </c>
      <c r="H317" s="13" t="s">
        <v>202</v>
      </c>
      <c r="I317" s="13" t="s">
        <v>3</v>
      </c>
      <c r="J317" s="322" t="s">
        <v>655</v>
      </c>
      <c r="K317" s="322" t="s">
        <v>105</v>
      </c>
      <c r="L317" s="322" t="s">
        <v>770</v>
      </c>
      <c r="M317" s="13" t="s">
        <v>236</v>
      </c>
      <c r="N317" s="196" t="s">
        <v>893</v>
      </c>
      <c r="O317" s="170">
        <v>44531</v>
      </c>
      <c r="P317" s="170">
        <v>44531</v>
      </c>
      <c r="Q317" s="17" t="s">
        <v>25</v>
      </c>
      <c r="R317" s="19">
        <f>IFERROR(VLOOKUP(J317,'[1]Obs Tecnicas'!$D$2:$G$333,2,0),"")</f>
        <v>14863</v>
      </c>
      <c r="S317" s="196" t="s">
        <v>729</v>
      </c>
      <c r="T317"/>
      <c r="U317" s="14" t="s">
        <v>291</v>
      </c>
      <c r="V317" s="14">
        <f t="shared" si="11"/>
        <v>12</v>
      </c>
      <c r="W317" s="20">
        <f>VLOOKUP(I317,Indicadores!$N$4:$Q$15,4,0)</f>
        <v>552.64</v>
      </c>
    </row>
    <row r="318" spans="1:23" hidden="1">
      <c r="A318" s="13" t="s">
        <v>899</v>
      </c>
      <c r="B318" s="13" t="s">
        <v>544</v>
      </c>
      <c r="C318" s="15" t="s">
        <v>545</v>
      </c>
      <c r="D318" s="13" t="s">
        <v>546</v>
      </c>
      <c r="E318" s="13" t="s">
        <v>555</v>
      </c>
      <c r="F318" s="15" t="s">
        <v>556</v>
      </c>
      <c r="G318" s="13" t="s">
        <v>289</v>
      </c>
      <c r="H318" s="13" t="s">
        <v>164</v>
      </c>
      <c r="I318" s="13" t="s">
        <v>7</v>
      </c>
      <c r="J318" s="26">
        <v>200710001495</v>
      </c>
      <c r="K318" s="13" t="s">
        <v>105</v>
      </c>
      <c r="L318" s="13" t="s">
        <v>1414</v>
      </c>
      <c r="M318" s="169" t="s">
        <v>172</v>
      </c>
      <c r="N318" s="13" t="s">
        <v>552</v>
      </c>
      <c r="O318" s="14">
        <v>44643</v>
      </c>
      <c r="P318" s="18">
        <f>IFERROR(VLOOKUP(J318,'[1]Obs Tecnicas'!$D$2:$I$313,5,0),O318)</f>
        <v>44643</v>
      </c>
      <c r="Q318" s="17" t="str">
        <f t="shared" ref="Q318:Q324" ca="1" si="13">IF(P318&lt;&gt;"",IF(P318+365&gt;TODAY(),"Calibrado","Vencido"),"")</f>
        <v>Calibrado</v>
      </c>
      <c r="R318" s="19">
        <f>IFERROR(VLOOKUP(J318,'[1]Obs Tecnicas'!$D$2:$G$333,2,0),"")</f>
        <v>15872</v>
      </c>
      <c r="S318" s="13" t="str">
        <f>IFERROR(VLOOKUP(J318,'[1]Obs Tecnicas'!$D$2:$G$337,3,0),"Hexis")</f>
        <v>ER ANALITICA</v>
      </c>
      <c r="T318" s="13" t="str">
        <f>IFERROR(VLOOKUP(J318,'[1]Obs Tecnicas'!$D$2:$G$337,4,0),"")</f>
        <v xml:space="preserve"> Equipamento apresenta demasiada lentidão, indicando fim de vida útil.</v>
      </c>
      <c r="U318" s="14" t="s">
        <v>291</v>
      </c>
      <c r="V318" s="14">
        <f t="shared" si="11"/>
        <v>3</v>
      </c>
      <c r="W318" s="20">
        <f>VLOOKUP(I318,Indicadores!$N$4:$Q$15,4,0)</f>
        <v>329.87</v>
      </c>
    </row>
    <row r="319" spans="1:23" hidden="1">
      <c r="A319" s="13" t="s">
        <v>899</v>
      </c>
      <c r="B319" s="13" t="s">
        <v>544</v>
      </c>
      <c r="C319" s="15" t="s">
        <v>545</v>
      </c>
      <c r="D319" s="13" t="s">
        <v>546</v>
      </c>
      <c r="E319" s="13" t="s">
        <v>555</v>
      </c>
      <c r="F319" s="15" t="s">
        <v>556</v>
      </c>
      <c r="G319" s="13" t="s">
        <v>289</v>
      </c>
      <c r="H319" s="13" t="s">
        <v>164</v>
      </c>
      <c r="I319" s="13" t="s">
        <v>768</v>
      </c>
      <c r="J319" s="193">
        <v>132850002046</v>
      </c>
      <c r="K319" s="322" t="s">
        <v>105</v>
      </c>
      <c r="L319" s="322" t="s">
        <v>745</v>
      </c>
      <c r="M319" s="196" t="s">
        <v>172</v>
      </c>
      <c r="N319" s="196" t="s">
        <v>552</v>
      </c>
      <c r="O319" s="14">
        <v>44643</v>
      </c>
      <c r="P319" s="18">
        <f>IFERROR(VLOOKUP(J319,'[1]Obs Tecnicas'!$D$2:$I$313,5,0),O319)</f>
        <v>44643</v>
      </c>
      <c r="Q319" s="17" t="str">
        <f t="shared" ca="1" si="13"/>
        <v>Calibrado</v>
      </c>
      <c r="R319" s="19" t="str">
        <f>IFERROR(VLOOKUP(J319,'[1]Obs Tecnicas'!$D$2:$G$333,2,0),"")</f>
        <v/>
      </c>
      <c r="S319" s="13" t="s">
        <v>729</v>
      </c>
      <c r="T319" s="13" t="str">
        <f>IFERROR(VLOOKUP(J319,'[1]Obs Tecnicas'!$D$2:$G$337,4,0),"")</f>
        <v/>
      </c>
      <c r="U319" s="14" t="s">
        <v>291</v>
      </c>
      <c r="V319" s="14">
        <f t="shared" si="11"/>
        <v>3</v>
      </c>
      <c r="W319" s="20">
        <f>VLOOKUP(I319,Indicadores!$N$4:$Q$15,4,0)</f>
        <v>329.87</v>
      </c>
    </row>
    <row r="320" spans="1:23" hidden="1">
      <c r="A320" s="13" t="s">
        <v>899</v>
      </c>
      <c r="B320" s="19" t="s">
        <v>664</v>
      </c>
      <c r="C320" s="15" t="s">
        <v>665</v>
      </c>
      <c r="D320" s="13" t="s">
        <v>666</v>
      </c>
      <c r="E320" s="13" t="s">
        <v>555</v>
      </c>
      <c r="F320" s="15" t="s">
        <v>556</v>
      </c>
      <c r="G320" s="13" t="s">
        <v>289</v>
      </c>
      <c r="H320" s="13" t="s">
        <v>164</v>
      </c>
      <c r="I320" s="13" t="s">
        <v>835</v>
      </c>
      <c r="J320" s="165" t="s">
        <v>1415</v>
      </c>
      <c r="K320" s="13" t="s">
        <v>731</v>
      </c>
      <c r="L320" s="13" t="s">
        <v>84</v>
      </c>
      <c r="M320" s="169" t="s">
        <v>166</v>
      </c>
      <c r="N320" s="13" t="s">
        <v>426</v>
      </c>
      <c r="P320" s="18">
        <f>IFERROR(VLOOKUP(J320,'[1]Obs Tecnicas'!$D$2:$I$313,5,0),O320)</f>
        <v>44642</v>
      </c>
      <c r="Q320" s="17" t="str">
        <f t="shared" ca="1" si="13"/>
        <v>Calibrado</v>
      </c>
      <c r="R320" s="19">
        <f>IFERROR(VLOOKUP(J320,'[1]Obs Tecnicas'!$D$2:$G$333,2,0),"")</f>
        <v>15859</v>
      </c>
      <c r="S320" s="13" t="str">
        <f>IFERROR(VLOOKUP(J320,'[1]Obs Tecnicas'!$D$2:$G$337,3,0),"Hexis")</f>
        <v>ER ANALITICA</v>
      </c>
      <c r="T320" s="13" t="str">
        <f>IFERROR(VLOOKUP(J320,'[1]Obs Tecnicas'!$D$2:$G$337,4,0),"")</f>
        <v xml:space="preserve"> Eletrodo apresenta lentidão para realizar as leituras.</v>
      </c>
      <c r="U320" s="14" t="s">
        <v>291</v>
      </c>
      <c r="V320" s="14">
        <f t="shared" si="11"/>
        <v>3</v>
      </c>
      <c r="W320" s="20">
        <f>VLOOKUP(I320,Indicadores!$N$4:$Q$15,4,0)</f>
        <v>546.79</v>
      </c>
    </row>
    <row r="321" spans="1:23" hidden="1">
      <c r="A321" s="13" t="s">
        <v>899</v>
      </c>
      <c r="B321" s="19" t="s">
        <v>664</v>
      </c>
      <c r="C321" s="15" t="s">
        <v>665</v>
      </c>
      <c r="D321" s="13" t="s">
        <v>666</v>
      </c>
      <c r="E321" s="13" t="s">
        <v>555</v>
      </c>
      <c r="F321" s="15" t="s">
        <v>556</v>
      </c>
      <c r="G321" s="13" t="s">
        <v>289</v>
      </c>
      <c r="H321" s="13" t="s">
        <v>164</v>
      </c>
      <c r="I321" s="13" t="s">
        <v>9</v>
      </c>
      <c r="J321" s="165" t="s">
        <v>1416</v>
      </c>
      <c r="K321" s="13" t="s">
        <v>21</v>
      </c>
      <c r="L321" s="13" t="s">
        <v>29</v>
      </c>
      <c r="M321" s="169" t="s">
        <v>166</v>
      </c>
      <c r="N321" s="13" t="s">
        <v>426</v>
      </c>
      <c r="P321" s="18">
        <f>IFERROR(VLOOKUP(J321,'[1]Obs Tecnicas'!$D$2:$I$313,5,0),O321)</f>
        <v>44642</v>
      </c>
      <c r="Q321" s="17" t="str">
        <f t="shared" ca="1" si="13"/>
        <v>Calibrado</v>
      </c>
      <c r="R321" s="19">
        <f>IFERROR(VLOOKUP(J321,'[1]Obs Tecnicas'!$D$2:$G$333,2,0),"")</f>
        <v>15861</v>
      </c>
      <c r="S321" s="13" t="str">
        <f>IFERROR(VLOOKUP(J321,'[1]Obs Tecnicas'!$D$2:$G$337,3,0),"Hexis")</f>
        <v>ER ANALITICA</v>
      </c>
      <c r="T321" s="13">
        <f>IFERROR(VLOOKUP(J321,'[1]Obs Tecnicas'!$D$2:$G$337,4,0),"")</f>
        <v>0</v>
      </c>
      <c r="U321" s="14" t="s">
        <v>291</v>
      </c>
      <c r="V321" s="14">
        <f t="shared" ref="V321:V323" si="14">IF(P321&lt;&gt;"",MONTH(P321),"")</f>
        <v>3</v>
      </c>
      <c r="W321" s="20">
        <f>VLOOKUP(I321,Indicadores!$N$4:$Q$15,4,0)</f>
        <v>521.79999999999995</v>
      </c>
    </row>
    <row r="322" spans="1:23" hidden="1">
      <c r="A322" s="13" t="s">
        <v>899</v>
      </c>
      <c r="B322" s="19" t="s">
        <v>664</v>
      </c>
      <c r="C322" s="15" t="s">
        <v>665</v>
      </c>
      <c r="D322" s="13" t="s">
        <v>666</v>
      </c>
      <c r="E322" s="13" t="s">
        <v>555</v>
      </c>
      <c r="F322" s="15" t="s">
        <v>556</v>
      </c>
      <c r="G322" s="13" t="s">
        <v>289</v>
      </c>
      <c r="H322" s="13" t="s">
        <v>164</v>
      </c>
      <c r="I322" s="13" t="s">
        <v>2</v>
      </c>
      <c r="J322" s="165" t="s">
        <v>170</v>
      </c>
      <c r="K322" s="13" t="s">
        <v>58</v>
      </c>
      <c r="M322" s="169" t="s">
        <v>166</v>
      </c>
      <c r="N322" s="13" t="s">
        <v>426</v>
      </c>
      <c r="P322" s="18">
        <f>IFERROR(VLOOKUP(J322,'[1]Obs Tecnicas'!$D$2:$I$313,5,0),O322)</f>
        <v>44642</v>
      </c>
      <c r="Q322" s="17" t="str">
        <f t="shared" ca="1" si="13"/>
        <v>Calibrado</v>
      </c>
      <c r="R322" s="19">
        <f>IFERROR(VLOOKUP(J322,'[1]Obs Tecnicas'!$D$2:$G$333,2,0),"")</f>
        <v>15866</v>
      </c>
      <c r="S322" s="13" t="str">
        <f>IFERROR(VLOOKUP(J322,'[1]Obs Tecnicas'!$D$2:$G$337,3,0),"Hexis")</f>
        <v>ER ANALITICA</v>
      </c>
      <c r="T322" s="13">
        <f>IFERROR(VLOOKUP(J322,'[1]Obs Tecnicas'!$D$2:$G$337,4,0),"")</f>
        <v>0</v>
      </c>
      <c r="U322" s="14" t="s">
        <v>291</v>
      </c>
      <c r="V322" s="14">
        <f t="shared" si="14"/>
        <v>3</v>
      </c>
      <c r="W322" s="20">
        <f>VLOOKUP(I322,Indicadores!$N$4:$Q$15,4,0)</f>
        <v>456.77</v>
      </c>
    </row>
    <row r="323" spans="1:23" hidden="1">
      <c r="A323" s="13" t="s">
        <v>899</v>
      </c>
      <c r="B323" s="13" t="s">
        <v>990</v>
      </c>
      <c r="C323" s="15" t="s">
        <v>991</v>
      </c>
      <c r="D323" s="13" t="s">
        <v>992</v>
      </c>
      <c r="E323" s="13" t="s">
        <v>322</v>
      </c>
      <c r="F323" s="15" t="s">
        <v>323</v>
      </c>
      <c r="G323" s="13" t="s">
        <v>289</v>
      </c>
      <c r="H323" s="13" t="s">
        <v>94</v>
      </c>
      <c r="I323" s="13" t="s">
        <v>3</v>
      </c>
      <c r="J323" s="165" t="s">
        <v>1417</v>
      </c>
      <c r="K323" s="13" t="s">
        <v>21</v>
      </c>
      <c r="L323" s="13" t="s">
        <v>745</v>
      </c>
      <c r="M323" s="169" t="s">
        <v>97</v>
      </c>
      <c r="P323" s="18">
        <f>IFERROR(VLOOKUP(J323,'[1]Obs Tecnicas'!$D$2:$I$313,5,0),O323)</f>
        <v>44645</v>
      </c>
      <c r="Q323" s="17" t="str">
        <f t="shared" ca="1" si="13"/>
        <v>Calibrado</v>
      </c>
      <c r="R323" s="19">
        <f>IFERROR(VLOOKUP(J323,'[1]Obs Tecnicas'!$D$2:$G$333,2,0),"")</f>
        <v>15948</v>
      </c>
      <c r="S323" s="13" t="str">
        <f>IFERROR(VLOOKUP(J323,'[1]Obs Tecnicas'!$D$2:$G$337,3,0),"Hexis")</f>
        <v>ER ANALITICA</v>
      </c>
      <c r="T323" s="13">
        <f>IFERROR(VLOOKUP(J323,'[1]Obs Tecnicas'!$D$2:$G$337,4,0),"")</f>
        <v>0</v>
      </c>
      <c r="U323" s="14" t="s">
        <v>291</v>
      </c>
      <c r="V323" s="14">
        <f t="shared" si="14"/>
        <v>3</v>
      </c>
      <c r="W323" s="20">
        <f>VLOOKUP(I323,Indicadores!$N$4:$Q$15,4,0)</f>
        <v>552.64</v>
      </c>
    </row>
    <row r="324" spans="1:23" hidden="1">
      <c r="A324" s="13" t="s">
        <v>1497</v>
      </c>
      <c r="B324" s="13" t="s">
        <v>1487</v>
      </c>
      <c r="C324" s="15" t="s">
        <v>1488</v>
      </c>
      <c r="E324" s="13" t="s">
        <v>735</v>
      </c>
      <c r="F324" s="15" t="s">
        <v>736</v>
      </c>
      <c r="H324" s="13" t="s">
        <v>202</v>
      </c>
      <c r="I324" s="13" t="s">
        <v>1498</v>
      </c>
      <c r="J324" s="165" t="s">
        <v>1499</v>
      </c>
      <c r="K324" s="13" t="s">
        <v>734</v>
      </c>
      <c r="L324" s="13" t="s">
        <v>27</v>
      </c>
      <c r="M324" s="169" t="s">
        <v>1489</v>
      </c>
      <c r="N324" s="13" t="s">
        <v>305</v>
      </c>
      <c r="P324" s="18">
        <f>IFERROR(VLOOKUP(J324,'[1]Obs Tecnicas'!$D$2:$I$313,5,0),O324)</f>
        <v>44678</v>
      </c>
      <c r="Q324" s="17" t="str">
        <f t="shared" ca="1" si="13"/>
        <v>Calibrado</v>
      </c>
      <c r="R324" s="19">
        <f>IFERROR(VLOOKUP(J324,'[1]Obs Tecnicas'!$D$2:$G$333,2,0),"")</f>
        <v>16235</v>
      </c>
      <c r="S324" s="13" t="str">
        <f>IFERROR(VLOOKUP(J324,'[1]Obs Tecnicas'!$D$2:$G$337,3,0),"Hexis")</f>
        <v>ER ANALITICA</v>
      </c>
      <c r="T324" s="13">
        <f>IFERROR(VLOOKUP(J324,'[1]Obs Tecnicas'!$D$2:$G$337,4,0),"")</f>
        <v>0</v>
      </c>
      <c r="U324" s="14" t="s">
        <v>291</v>
      </c>
      <c r="W324" s="20" t="e">
        <f>VLOOKUP(I324,Indicadores!$N$4:$Q$15,4,0)</f>
        <v>#N/A</v>
      </c>
    </row>
    <row r="325" spans="1:23">
      <c r="W325" s="20" t="e">
        <f>VLOOKUP(I325,Indicadores!$N$4:$Q$15,4,0)</f>
        <v>#N/A</v>
      </c>
    </row>
    <row r="326" spans="1:23">
      <c r="W326" s="20" t="e">
        <f>VLOOKUP(I326,Indicadores!$N$4:$Q$15,4,0)</f>
        <v>#N/A</v>
      </c>
    </row>
    <row r="328" spans="1:23" ht="16.5">
      <c r="D328" s="121"/>
    </row>
  </sheetData>
  <autoFilter ref="A1:W326" xr:uid="{A96D154E-D50B-4F68-80DA-D2B392BE6AFF}">
    <filterColumn colId="18">
      <filters blank="1">
        <filter val="Hexis"/>
      </filters>
    </filterColumn>
  </autoFilter>
  <conditionalFormatting sqref="O227 O157 O161 O163 O166:O169 O151:O152 O173:O180 O310 O80:O146 O2:O28 O31:O77">
    <cfRule type="expression" dxfId="920" priority="157">
      <formula>IF(O2&lt;=TODAY()-365,TRUE)</formula>
    </cfRule>
    <cfRule type="expression" dxfId="919" priority="158">
      <formula>IF(O2&lt;(TODAY())-320,TRUE)</formula>
    </cfRule>
    <cfRule type="expression" dxfId="918" priority="159">
      <formula>IF(O2&lt;(TODAY())+0,TRUE)</formula>
    </cfRule>
  </conditionalFormatting>
  <conditionalFormatting sqref="Q318:Q324 Q2:Q196 Q198:Q315">
    <cfRule type="expression" dxfId="917" priority="154">
      <formula>IF(P2&lt;=TODAY()-365,TRUE)</formula>
    </cfRule>
    <cfRule type="expression" dxfId="916" priority="155">
      <formula>IF(P2&lt;(TODAY())-320,TRUE)</formula>
    </cfRule>
    <cfRule type="expression" dxfId="915" priority="156">
      <formula>IF(P2&lt;(TODAY())+0,TRUE)</formula>
    </cfRule>
  </conditionalFormatting>
  <conditionalFormatting sqref="O147">
    <cfRule type="expression" dxfId="914" priority="151">
      <formula>IF(O147&lt;=TODAY()-365,TRUE)</formula>
    </cfRule>
    <cfRule type="expression" dxfId="913" priority="152">
      <formula>IF(O147&lt;(TODAY())-320,TRUE)</formula>
    </cfRule>
    <cfRule type="expression" dxfId="912" priority="153">
      <formula>IF(O147&lt;(TODAY())+0,TRUE)</formula>
    </cfRule>
  </conditionalFormatting>
  <conditionalFormatting sqref="O148">
    <cfRule type="expression" dxfId="911" priority="148">
      <formula>IF(O148&lt;=TODAY()-365,TRUE)</formula>
    </cfRule>
    <cfRule type="expression" dxfId="910" priority="149">
      <formula>IF(O148&lt;(TODAY())-320,TRUE)</formula>
    </cfRule>
    <cfRule type="expression" dxfId="909" priority="150">
      <formula>IF(O148&lt;(TODAY())+0,TRUE)</formula>
    </cfRule>
  </conditionalFormatting>
  <conditionalFormatting sqref="O149">
    <cfRule type="expression" dxfId="908" priority="145">
      <formula>IF(O149&lt;=TODAY()-365,TRUE)</formula>
    </cfRule>
    <cfRule type="expression" dxfId="907" priority="146">
      <formula>IF(O149&lt;(TODAY())-320,TRUE)</formula>
    </cfRule>
    <cfRule type="expression" dxfId="906" priority="147">
      <formula>IF(O149&lt;(TODAY())+0,TRUE)</formula>
    </cfRule>
  </conditionalFormatting>
  <conditionalFormatting sqref="O150">
    <cfRule type="expression" dxfId="905" priority="142">
      <formula>IF(O150&lt;=TODAY()-365,TRUE)</formula>
    </cfRule>
    <cfRule type="expression" dxfId="904" priority="143">
      <formula>IF(O150&lt;(TODAY())-320,TRUE)</formula>
    </cfRule>
    <cfRule type="expression" dxfId="903" priority="144">
      <formula>IF(O150&lt;(TODAY())+0,TRUE)</formula>
    </cfRule>
  </conditionalFormatting>
  <conditionalFormatting sqref="O153 O160">
    <cfRule type="expression" dxfId="902" priority="139">
      <formula>IF(O153&lt;=TODAY()-365,TRUE)</formula>
    </cfRule>
    <cfRule type="expression" dxfId="901" priority="140">
      <formula>IF(O153&lt;(TODAY())-320,TRUE)</formula>
    </cfRule>
    <cfRule type="expression" dxfId="900" priority="141">
      <formula>IF(O153&lt;(TODAY())+0,TRUE)</formula>
    </cfRule>
  </conditionalFormatting>
  <conditionalFormatting sqref="O154">
    <cfRule type="expression" dxfId="899" priority="136">
      <formula>IF(O154&lt;=TODAY()-365,TRUE)</formula>
    </cfRule>
    <cfRule type="expression" dxfId="898" priority="137">
      <formula>IF(O154&lt;(TODAY())-320,TRUE)</formula>
    </cfRule>
    <cfRule type="expression" dxfId="897" priority="138">
      <formula>IF(O154&lt;(TODAY())+0,TRUE)</formula>
    </cfRule>
  </conditionalFormatting>
  <conditionalFormatting sqref="O155:O156">
    <cfRule type="expression" dxfId="896" priority="133">
      <formula>IF(O155&lt;=TODAY()-365,TRUE)</formula>
    </cfRule>
    <cfRule type="expression" dxfId="895" priority="134">
      <formula>IF(O155&lt;(TODAY())-320,TRUE)</formula>
    </cfRule>
    <cfRule type="expression" dxfId="894" priority="135">
      <formula>IF(O155&lt;(TODAY())+0,TRUE)</formula>
    </cfRule>
  </conditionalFormatting>
  <conditionalFormatting sqref="O158">
    <cfRule type="expression" dxfId="893" priority="130">
      <formula>IF(O158&lt;=TODAY()-365,TRUE)</formula>
    </cfRule>
    <cfRule type="expression" dxfId="892" priority="131">
      <formula>IF(O158&lt;(TODAY())-320,TRUE)</formula>
    </cfRule>
    <cfRule type="expression" dxfId="891" priority="132">
      <formula>IF(O158&lt;(TODAY())+0,TRUE)</formula>
    </cfRule>
  </conditionalFormatting>
  <conditionalFormatting sqref="O159">
    <cfRule type="expression" dxfId="890" priority="127">
      <formula>IF(O159&lt;=TODAY()-365,TRUE)</formula>
    </cfRule>
    <cfRule type="expression" dxfId="889" priority="128">
      <formula>IF(O159&lt;(TODAY())-320,TRUE)</formula>
    </cfRule>
    <cfRule type="expression" dxfId="888" priority="129">
      <formula>IF(O159&lt;(TODAY())+0,TRUE)</formula>
    </cfRule>
  </conditionalFormatting>
  <conditionalFormatting sqref="O162">
    <cfRule type="expression" dxfId="887" priority="124">
      <formula>IF(O162&lt;=TODAY()-365,TRUE)</formula>
    </cfRule>
    <cfRule type="expression" dxfId="886" priority="125">
      <formula>IF(O162&lt;(TODAY())-320,TRUE)</formula>
    </cfRule>
    <cfRule type="expression" dxfId="885" priority="126">
      <formula>IF(O162&lt;(TODAY())+0,TRUE)</formula>
    </cfRule>
  </conditionalFormatting>
  <conditionalFormatting sqref="O164">
    <cfRule type="expression" dxfId="884" priority="121">
      <formula>IF(O164&lt;=TODAY()-365,TRUE)</formula>
    </cfRule>
    <cfRule type="expression" dxfId="883" priority="122">
      <formula>IF(O164&lt;(TODAY())-320,TRUE)</formula>
    </cfRule>
    <cfRule type="expression" dxfId="882" priority="123">
      <formula>IF(O164&lt;(TODAY())+0,TRUE)</formula>
    </cfRule>
  </conditionalFormatting>
  <conditionalFormatting sqref="O165">
    <cfRule type="expression" dxfId="881" priority="118">
      <formula>IF(O165&lt;=TODAY()-365,TRUE)</formula>
    </cfRule>
    <cfRule type="expression" dxfId="880" priority="119">
      <formula>IF(O165&lt;(TODAY())-320,TRUE)</formula>
    </cfRule>
    <cfRule type="expression" dxfId="879" priority="120">
      <formula>IF(O165&lt;(TODAY())+0,TRUE)</formula>
    </cfRule>
  </conditionalFormatting>
  <conditionalFormatting sqref="O170">
    <cfRule type="expression" dxfId="878" priority="115">
      <formula>IF(O170&lt;=TODAY()-365,TRUE)</formula>
    </cfRule>
    <cfRule type="expression" dxfId="877" priority="116">
      <formula>IF(O170&lt;(TODAY())-320,TRUE)</formula>
    </cfRule>
    <cfRule type="expression" dxfId="876" priority="117">
      <formula>IF(O170&lt;(TODAY())+0,TRUE)</formula>
    </cfRule>
  </conditionalFormatting>
  <conditionalFormatting sqref="O171">
    <cfRule type="expression" dxfId="875" priority="112">
      <formula>IF(O171&lt;=TODAY()-365,TRUE)</formula>
    </cfRule>
    <cfRule type="expression" dxfId="874" priority="113">
      <formula>IF(O171&lt;(TODAY())-320,TRUE)</formula>
    </cfRule>
    <cfRule type="expression" dxfId="873" priority="114">
      <formula>IF(O171&lt;(TODAY())+0,TRUE)</formula>
    </cfRule>
  </conditionalFormatting>
  <conditionalFormatting sqref="O172">
    <cfRule type="expression" dxfId="872" priority="109">
      <formula>IF(O172&lt;=TODAY()-365,TRUE)</formula>
    </cfRule>
    <cfRule type="expression" dxfId="871" priority="110">
      <formula>IF(O172&lt;(TODAY())-320,TRUE)</formula>
    </cfRule>
    <cfRule type="expression" dxfId="870" priority="111">
      <formula>IF(O172&lt;(TODAY())+0,TRUE)</formula>
    </cfRule>
  </conditionalFormatting>
  <conditionalFormatting sqref="O192">
    <cfRule type="expression" dxfId="869" priority="106">
      <formula>IF(O192&lt;=TODAY()-365,TRUE)</formula>
    </cfRule>
    <cfRule type="expression" dxfId="868" priority="107">
      <formula>IF(O192&lt;(TODAY())-320,TRUE)</formula>
    </cfRule>
    <cfRule type="expression" dxfId="867" priority="108">
      <formula>IF(O192&lt;(TODAY())+0,TRUE)</formula>
    </cfRule>
  </conditionalFormatting>
  <conditionalFormatting sqref="O181">
    <cfRule type="expression" dxfId="866" priority="103">
      <formula>IF(O181&lt;=TODAY()-365,TRUE)</formula>
    </cfRule>
    <cfRule type="expression" dxfId="865" priority="104">
      <formula>IF(O181&lt;(TODAY())-320,TRUE)</formula>
    </cfRule>
    <cfRule type="expression" dxfId="864" priority="105">
      <formula>IF(O181&lt;(TODAY())+0,TRUE)</formula>
    </cfRule>
  </conditionalFormatting>
  <conditionalFormatting sqref="O182">
    <cfRule type="expression" dxfId="863" priority="100">
      <formula>IF(O182&lt;=TODAY()-365,TRUE)</formula>
    </cfRule>
    <cfRule type="expression" dxfId="862" priority="101">
      <formula>IF(O182&lt;(TODAY())-320,TRUE)</formula>
    </cfRule>
    <cfRule type="expression" dxfId="861" priority="102">
      <formula>IF(O182&lt;(TODAY())+0,TRUE)</formula>
    </cfRule>
  </conditionalFormatting>
  <conditionalFormatting sqref="O183">
    <cfRule type="expression" dxfId="860" priority="97">
      <formula>IF(O183&lt;=TODAY()-365,TRUE)</formula>
    </cfRule>
    <cfRule type="expression" dxfId="859" priority="98">
      <formula>IF(O183&lt;(TODAY())-320,TRUE)</formula>
    </cfRule>
    <cfRule type="expression" dxfId="858" priority="99">
      <formula>IF(O183&lt;(TODAY())+0,TRUE)</formula>
    </cfRule>
  </conditionalFormatting>
  <conditionalFormatting sqref="O184">
    <cfRule type="expression" dxfId="857" priority="94">
      <formula>IF(O184&lt;=TODAY()-365,TRUE)</formula>
    </cfRule>
    <cfRule type="expression" dxfId="856" priority="95">
      <formula>IF(O184&lt;(TODAY())-320,TRUE)</formula>
    </cfRule>
    <cfRule type="expression" dxfId="855" priority="96">
      <formula>IF(O184&lt;(TODAY())+0,TRUE)</formula>
    </cfRule>
  </conditionalFormatting>
  <conditionalFormatting sqref="O185">
    <cfRule type="expression" dxfId="854" priority="91">
      <formula>IF(O185&lt;=TODAY()-365,TRUE)</formula>
    </cfRule>
    <cfRule type="expression" dxfId="853" priority="92">
      <formula>IF(O185&lt;(TODAY())-320,TRUE)</formula>
    </cfRule>
    <cfRule type="expression" dxfId="852" priority="93">
      <formula>IF(O185&lt;(TODAY())+0,TRUE)</formula>
    </cfRule>
  </conditionalFormatting>
  <conditionalFormatting sqref="O186">
    <cfRule type="expression" dxfId="851" priority="88">
      <formula>IF(O186&lt;=TODAY()-365,TRUE)</formula>
    </cfRule>
    <cfRule type="expression" dxfId="850" priority="89">
      <formula>IF(O186&lt;(TODAY())-320,TRUE)</formula>
    </cfRule>
    <cfRule type="expression" dxfId="849" priority="90">
      <formula>IF(O186&lt;(TODAY())+0,TRUE)</formula>
    </cfRule>
  </conditionalFormatting>
  <conditionalFormatting sqref="O187">
    <cfRule type="expression" dxfId="848" priority="85">
      <formula>IF(O187&lt;=TODAY()-365,TRUE)</formula>
    </cfRule>
    <cfRule type="expression" dxfId="847" priority="86">
      <formula>IF(O187&lt;(TODAY())-320,TRUE)</formula>
    </cfRule>
    <cfRule type="expression" dxfId="846" priority="87">
      <formula>IF(O187&lt;(TODAY())+0,TRUE)</formula>
    </cfRule>
  </conditionalFormatting>
  <conditionalFormatting sqref="O188">
    <cfRule type="expression" dxfId="845" priority="82">
      <formula>IF(O188&lt;=TODAY()-365,TRUE)</formula>
    </cfRule>
    <cfRule type="expression" dxfId="844" priority="83">
      <formula>IF(O188&lt;(TODAY())-320,TRUE)</formula>
    </cfRule>
    <cfRule type="expression" dxfId="843" priority="84">
      <formula>IF(O188&lt;(TODAY())+0,TRUE)</formula>
    </cfRule>
  </conditionalFormatting>
  <conditionalFormatting sqref="O189">
    <cfRule type="expression" dxfId="842" priority="79">
      <formula>IF(O189&lt;=TODAY()-365,TRUE)</formula>
    </cfRule>
    <cfRule type="expression" dxfId="841" priority="80">
      <formula>IF(O189&lt;(TODAY())-320,TRUE)</formula>
    </cfRule>
    <cfRule type="expression" dxfId="840" priority="81">
      <formula>IF(O189&lt;(TODAY())+0,TRUE)</formula>
    </cfRule>
  </conditionalFormatting>
  <conditionalFormatting sqref="O190">
    <cfRule type="expression" dxfId="839" priority="76">
      <formula>IF(O190&lt;=TODAY()-365,TRUE)</formula>
    </cfRule>
    <cfRule type="expression" dxfId="838" priority="77">
      <formula>IF(O190&lt;(TODAY())-320,TRUE)</formula>
    </cfRule>
    <cfRule type="expression" dxfId="837" priority="78">
      <formula>IF(O190&lt;(TODAY())+0,TRUE)</formula>
    </cfRule>
  </conditionalFormatting>
  <conditionalFormatting sqref="O191">
    <cfRule type="expression" dxfId="836" priority="73">
      <formula>IF(O191&lt;=TODAY()-365,TRUE)</formula>
    </cfRule>
    <cfRule type="expression" dxfId="835" priority="74">
      <formula>IF(O191&lt;(TODAY())-320,TRUE)</formula>
    </cfRule>
    <cfRule type="expression" dxfId="834" priority="75">
      <formula>IF(O191&lt;(TODAY())+0,TRUE)</formula>
    </cfRule>
  </conditionalFormatting>
  <conditionalFormatting sqref="O193:O194">
    <cfRule type="expression" dxfId="833" priority="70">
      <formula>IF(O193&lt;=TODAY()-365,TRUE)</formula>
    </cfRule>
    <cfRule type="expression" dxfId="832" priority="71">
      <formula>IF(O193&lt;(TODAY())-320,TRUE)</formula>
    </cfRule>
    <cfRule type="expression" dxfId="831" priority="72">
      <formula>IF(O193&lt;(TODAY())+0,TRUE)</formula>
    </cfRule>
  </conditionalFormatting>
  <conditionalFormatting sqref="O195:O196 O244">
    <cfRule type="expression" dxfId="830" priority="67">
      <formula>IF(O195&lt;=TODAY()-365,TRUE)</formula>
    </cfRule>
    <cfRule type="expression" dxfId="829" priority="68">
      <formula>IF(O195&lt;(TODAY())-320,TRUE)</formula>
    </cfRule>
    <cfRule type="expression" dxfId="828" priority="69">
      <formula>IF(O195&lt;(TODAY())+0,TRUE)</formula>
    </cfRule>
  </conditionalFormatting>
  <conditionalFormatting sqref="O198:O202">
    <cfRule type="expression" dxfId="827" priority="64">
      <formula>IF(O198&lt;=TODAY()-365,TRUE)</formula>
    </cfRule>
    <cfRule type="expression" dxfId="826" priority="65">
      <formula>IF(O198&lt;(TODAY())-320,TRUE)</formula>
    </cfRule>
    <cfRule type="expression" dxfId="825" priority="66">
      <formula>IF(O198&lt;(TODAY())+0,TRUE)</formula>
    </cfRule>
  </conditionalFormatting>
  <conditionalFormatting sqref="O226">
    <cfRule type="expression" dxfId="824" priority="61">
      <formula>IF(O226&lt;=TODAY()-365,TRUE)</formula>
    </cfRule>
    <cfRule type="expression" dxfId="823" priority="62">
      <formula>IF(O226&lt;(TODAY())-320,TRUE)</formula>
    </cfRule>
    <cfRule type="expression" dxfId="822" priority="63">
      <formula>IF(O226&lt;(TODAY())+0,TRUE)</formula>
    </cfRule>
  </conditionalFormatting>
  <conditionalFormatting sqref="O203:O225">
    <cfRule type="expression" dxfId="821" priority="58">
      <formula>IF(O203&lt;=TODAY()-365,TRUE)</formula>
    </cfRule>
    <cfRule type="expression" dxfId="820" priority="59">
      <formula>IF(O203&lt;(TODAY())-320,TRUE)</formula>
    </cfRule>
    <cfRule type="expression" dxfId="819" priority="60">
      <formula>IF(O203&lt;(TODAY())+0,TRUE)</formula>
    </cfRule>
  </conditionalFormatting>
  <conditionalFormatting sqref="E225:F226 H225 E215:H215 G216:H217 B203:C212 E224:H224 E214:F214 E222:F223 E216 C213 B214:C225 K203:N220 G210:H210 H213:H214 E211:H212 H218:H223 H203:H209 K222:N225 K221:M221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:F47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1:F191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4 O242">
    <cfRule type="expression" dxfId="818" priority="53">
      <formula>IF(O234&lt;=TODAY()-365,TRUE)</formula>
    </cfRule>
    <cfRule type="expression" dxfId="817" priority="54">
      <formula>IF(O234&lt;(TODAY())-320,TRUE)</formula>
    </cfRule>
    <cfRule type="expression" dxfId="816" priority="55">
      <formula>IF(O234&lt;(TODAY())+0,TRUE)</formula>
    </cfRule>
  </conditionalFormatting>
  <conditionalFormatting sqref="O232 O240">
    <cfRule type="expression" dxfId="815" priority="50">
      <formula>IF(O232&lt;=TODAY()-365,TRUE)</formula>
    </cfRule>
    <cfRule type="expression" dxfId="814" priority="51">
      <formula>IF(O232&lt;(TODAY())-320,TRUE)</formula>
    </cfRule>
    <cfRule type="expression" dxfId="813" priority="52">
      <formula>IF(O232&lt;(TODAY())+0,TRUE)</formula>
    </cfRule>
  </conditionalFormatting>
  <conditionalFormatting sqref="O233 O241">
    <cfRule type="expression" dxfId="812" priority="47">
      <formula>IF(O233&lt;=TODAY()-365,TRUE)</formula>
    </cfRule>
    <cfRule type="expression" dxfId="811" priority="48">
      <formula>IF(O233&lt;(TODAY())-320,TRUE)</formula>
    </cfRule>
    <cfRule type="expression" dxfId="810" priority="49">
      <formula>IF(O233&lt;(TODAY())+0,TRUE)</formula>
    </cfRule>
  </conditionalFormatting>
  <conditionalFormatting sqref="O235:O239 O228:O231">
    <cfRule type="expression" dxfId="809" priority="44">
      <formula>IF(O228&lt;=TODAY()-365,TRUE)</formula>
    </cfRule>
    <cfRule type="expression" dxfId="808" priority="45">
      <formula>IF(O228&lt;(TODAY())-320,TRUE)</formula>
    </cfRule>
    <cfRule type="expression" dxfId="807" priority="46">
      <formula>IF(O228&lt;(TODAY())+0,TRUE)</formula>
    </cfRule>
  </conditionalFormatting>
  <conditionalFormatting sqref="O243">
    <cfRule type="expression" dxfId="806" priority="41">
      <formula>IF(O243&lt;=TODAY()-365,TRUE)</formula>
    </cfRule>
    <cfRule type="expression" dxfId="805" priority="42">
      <formula>IF(O243&lt;(TODAY())-320,TRUE)</formula>
    </cfRule>
    <cfRule type="expression" dxfId="804" priority="43">
      <formula>IF(O243&lt;(TODAY())+0,TRUE)</formula>
    </cfRule>
  </conditionalFormatting>
  <conditionalFormatting sqref="O245:O246">
    <cfRule type="expression" dxfId="803" priority="38">
      <formula>IF(O245&lt;=TODAY()-365,TRUE)</formula>
    </cfRule>
    <cfRule type="expression" dxfId="802" priority="39">
      <formula>IF(O245&lt;(TODAY())-320,TRUE)</formula>
    </cfRule>
    <cfRule type="expression" dxfId="801" priority="40">
      <formula>IF(O245&lt;(TODAY())+0,TRUE)</formula>
    </cfRule>
  </conditionalFormatting>
  <conditionalFormatting sqref="E249:E251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9 O256 O263">
    <cfRule type="expression" dxfId="800" priority="34">
      <formula>IF(O249&lt;=TODAY()-365,TRUE)</formula>
    </cfRule>
    <cfRule type="expression" dxfId="799" priority="35">
      <formula>IF(O249&lt;(TODAY())-320,TRUE)</formula>
    </cfRule>
    <cfRule type="expression" dxfId="798" priority="36">
      <formula>IF(O249&lt;(TODAY())+0,TRUE)</formula>
    </cfRule>
  </conditionalFormatting>
  <conditionalFormatting sqref="O247 O254 O261">
    <cfRule type="expression" dxfId="797" priority="31">
      <formula>IF(O247&lt;=TODAY()-365,TRUE)</formula>
    </cfRule>
    <cfRule type="expression" dxfId="796" priority="32">
      <formula>IF(O247&lt;(TODAY())-320,TRUE)</formula>
    </cfRule>
    <cfRule type="expression" dxfId="795" priority="33">
      <formula>IF(O247&lt;(TODAY())+0,TRUE)</formula>
    </cfRule>
  </conditionalFormatting>
  <conditionalFormatting sqref="O248 O255 O262">
    <cfRule type="expression" dxfId="794" priority="28">
      <formula>IF(O248&lt;=TODAY()-365,TRUE)</formula>
    </cfRule>
    <cfRule type="expression" dxfId="793" priority="29">
      <formula>IF(O248&lt;(TODAY())-320,TRUE)</formula>
    </cfRule>
    <cfRule type="expression" dxfId="792" priority="30">
      <formula>IF(O248&lt;(TODAY())+0,TRUE)</formula>
    </cfRule>
  </conditionalFormatting>
  <conditionalFormatting sqref="O250 O257 O264">
    <cfRule type="expression" dxfId="791" priority="25">
      <formula>IF(O250&lt;=TODAY()-365,TRUE)</formula>
    </cfRule>
    <cfRule type="expression" dxfId="790" priority="26">
      <formula>IF(O250&lt;(TODAY())-320,TRUE)</formula>
    </cfRule>
    <cfRule type="expression" dxfId="789" priority="27">
      <formula>IF(O250&lt;(TODAY())+0,TRUE)</formula>
    </cfRule>
  </conditionalFormatting>
  <conditionalFormatting sqref="O251:O253 O258:O260">
    <cfRule type="expression" dxfId="788" priority="22">
      <formula>IF(O251&lt;=TODAY()-365,TRUE)</formula>
    </cfRule>
    <cfRule type="expression" dxfId="787" priority="23">
      <formula>IF(O251&lt;(TODAY())-320,TRUE)</formula>
    </cfRule>
    <cfRule type="expression" dxfId="786" priority="24">
      <formula>IF(O251&lt;(TODAY())+0,TRUE)</formula>
    </cfRule>
  </conditionalFormatting>
  <conditionalFormatting sqref="Q197">
    <cfRule type="expression" dxfId="785" priority="19">
      <formula>IF(P197&lt;=TODAY()-365,TRUE)</formula>
    </cfRule>
    <cfRule type="expression" dxfId="784" priority="20">
      <formula>IF(P197&lt;(TODAY())-320,TRUE)</formula>
    </cfRule>
    <cfRule type="expression" dxfId="783" priority="21">
      <formula>IF(P197&lt;(TODAY())+0,TRUE)</formula>
    </cfRule>
  </conditionalFormatting>
  <conditionalFormatting sqref="O197">
    <cfRule type="expression" dxfId="782" priority="16">
      <formula>IF(O197&lt;=TODAY()-365,TRUE)</formula>
    </cfRule>
    <cfRule type="expression" dxfId="781" priority="17">
      <formula>IF(O197&lt;(TODAY())-320,TRUE)</formula>
    </cfRule>
    <cfRule type="expression" dxfId="780" priority="18">
      <formula>IF(O197&lt;(TODAY())+0,TRUE)</formula>
    </cfRule>
  </conditionalFormatting>
  <conditionalFormatting sqref="O313:O314">
    <cfRule type="expression" dxfId="779" priority="13">
      <formula>IF(O313&lt;=TODAY()-365,TRUE)</formula>
    </cfRule>
    <cfRule type="expression" dxfId="778" priority="14">
      <formula>IF(O313&lt;(TODAY())-320,TRUE)</formula>
    </cfRule>
    <cfRule type="expression" dxfId="777" priority="15">
      <formula>IF(O313&lt;(TODAY())+0,TRUE)</formula>
    </cfRule>
  </conditionalFormatting>
  <conditionalFormatting sqref="Q316">
    <cfRule type="expression" dxfId="776" priority="10">
      <formula>IF(P316&lt;=TODAY()-365,TRUE)</formula>
    </cfRule>
    <cfRule type="expression" dxfId="775" priority="11">
      <formula>IF(P316&lt;(TODAY())-320,TRUE)</formula>
    </cfRule>
    <cfRule type="expression" dxfId="774" priority="12">
      <formula>IF(P316&lt;(TODAY())+0,TRUE)</formula>
    </cfRule>
  </conditionalFormatting>
  <conditionalFormatting sqref="Q317">
    <cfRule type="expression" dxfId="773" priority="7">
      <formula>IF(P317&lt;=TODAY()-365,TRUE)</formula>
    </cfRule>
    <cfRule type="expression" dxfId="772" priority="8">
      <formula>IF(P317&lt;(TODAY())-320,TRUE)</formula>
    </cfRule>
    <cfRule type="expression" dxfId="771" priority="9">
      <formula>IF(P317&lt;(TODAY())+0,TRUE)</formula>
    </cfRule>
  </conditionalFormatting>
  <conditionalFormatting sqref="H24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0:C320 G320:H32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1:C321 G321:H3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2:C322 G322:H3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1">
    <dataValidation type="list" allowBlank="1" showInputMessage="1" showErrorMessage="1" sqref="V1 U1:U1048576" xr:uid="{44DBE9AA-5F77-4BB2-AEC0-6CF38CAC43A0}">
      <formula1>"ADICIONADO,REALIZADO,DESATIVADO, NÃO ENCONTRADO,AGENDADO,SEM RETORNO DO OWNER,EM CONTATO"</formula1>
    </dataValidation>
  </dataValidations>
  <hyperlinks>
    <hyperlink ref="C238" r:id="rId1" xr:uid="{C1673346-A60F-49E8-9531-20F0007A884A}"/>
    <hyperlink ref="C239" r:id="rId2" xr:uid="{B1291607-0A45-4200-933A-7C2E53D0DC6D}"/>
    <hyperlink ref="C240" r:id="rId3" xr:uid="{CD562D2C-5C53-41F3-A61F-E01EC9BE455D}"/>
    <hyperlink ref="C228" r:id="rId4" xr:uid="{DB1C4FB3-46A4-44D1-B843-6FC1EF4D1C71}"/>
    <hyperlink ref="C217" r:id="rId5" xr:uid="{81E85876-947C-49F9-9F1B-161CF5634BE6}"/>
    <hyperlink ref="C214" r:id="rId6" xr:uid="{D27DD703-3E25-4160-92DE-06991795441C}"/>
    <hyperlink ref="C207" r:id="rId7" xr:uid="{88BA3BEC-9838-4386-AD0F-754DA05121EB}"/>
    <hyperlink ref="C203" r:id="rId8" xr:uid="{27E8CF28-ED83-4C8F-ABFF-DC1722EA02CB}"/>
    <hyperlink ref="C205" r:id="rId9" xr:uid="{459EAEE3-D4B0-431A-BFA9-9D20FFDC296F}"/>
    <hyperlink ref="C206" r:id="rId10" xr:uid="{0EAC3987-5384-41CA-BCDF-57F0CDADDADC}"/>
    <hyperlink ref="C204" r:id="rId11" xr:uid="{19E81517-6A9E-4718-B315-36C605818B20}"/>
    <hyperlink ref="C210" r:id="rId12" xr:uid="{07920A49-04A4-4025-BB0D-2777A478CD5D}"/>
    <hyperlink ref="C208" r:id="rId13" xr:uid="{CFCAB0E8-FE78-4915-86F9-428368695866}"/>
    <hyperlink ref="C209" r:id="rId14" xr:uid="{07901D55-47FC-4E7A-B613-BCC565DE08BC}"/>
    <hyperlink ref="C175" r:id="rId15" xr:uid="{F035B895-AF21-41ED-B01C-8B549A0ECDFD}"/>
    <hyperlink ref="C190" r:id="rId16" display="gabriel.lourenco@suez.com" xr:uid="{DA9AC660-F3BE-414C-A801-6812A818BB67}"/>
    <hyperlink ref="C169" r:id="rId17" xr:uid="{EEB3DAD3-EBA9-44C2-8AEA-587489BB7ED0}"/>
    <hyperlink ref="C193" r:id="rId18" xr:uid="{FEC1FF29-0E97-4AE2-B5E7-4FECD79FF0A3}"/>
    <hyperlink ref="C200" r:id="rId19" xr:uid="{0F3C7476-72FC-482E-9A3D-E2DD01A88CD7}"/>
    <hyperlink ref="C198" r:id="rId20" xr:uid="{A05FF1CE-F311-4BF4-AEB7-630210F55D65}"/>
    <hyperlink ref="C202" r:id="rId21" xr:uid="{870DB2C6-3681-4482-A2C7-AAA4AA20403B}"/>
    <hyperlink ref="C201" r:id="rId22" xr:uid="{05B46DBA-18F7-4283-B7A9-ADC8A8B084DF}"/>
    <hyperlink ref="C199" r:id="rId23" xr:uid="{8F80A102-0B2B-4DE0-B22C-5D7256718056}"/>
    <hyperlink ref="C196" r:id="rId24" xr:uid="{0C277258-CBAC-468B-AE0A-434392837FFE}"/>
    <hyperlink ref="C178" r:id="rId25" xr:uid="{99DBBBDB-7BFB-4B02-98D9-D3AFA4B11E36}"/>
    <hyperlink ref="C179" r:id="rId26" xr:uid="{F927A34A-0383-4523-89A8-00DA5116C54B}"/>
    <hyperlink ref="C102" r:id="rId27" xr:uid="{51D25917-7815-4679-A3A3-D22A2C918474}"/>
    <hyperlink ref="C133" r:id="rId28" xr:uid="{ADAB2980-5DAD-4D00-912A-A51BEB103A64}"/>
    <hyperlink ref="C137" r:id="rId29" xr:uid="{8DCF519F-5153-4BD8-8E85-9B33E2EB8939}"/>
    <hyperlink ref="C139" r:id="rId30" xr:uid="{DBC3A3F6-95B5-40E3-A62A-976875C70C25}"/>
    <hyperlink ref="C134" r:id="rId31" xr:uid="{B18B9FDA-7D7A-47F7-9C95-4E3CB26767EA}"/>
    <hyperlink ref="C138" r:id="rId32" xr:uid="{D275FF37-572A-42E3-B8A9-12A9070410A6}"/>
    <hyperlink ref="C135" r:id="rId33" xr:uid="{8C2CAFBB-69E2-4020-9AF3-CA049929FC86}"/>
    <hyperlink ref="C136" r:id="rId34" xr:uid="{52E7BC36-D902-4DEC-A811-3CE43B8A0A85}"/>
    <hyperlink ref="C98" r:id="rId35" xr:uid="{33313EA4-93D3-4415-9BAB-A2C7D7E6CD79}"/>
    <hyperlink ref="C96" r:id="rId36" xr:uid="{E0382E9A-3468-46B6-9058-B158DF07E2EE}"/>
    <hyperlink ref="C88" r:id="rId37" xr:uid="{4A5036D9-924D-44E1-A226-84C68FB6A0E4}"/>
    <hyperlink ref="C52" r:id="rId38" xr:uid="{EC9E5335-C6E3-499E-AD86-5837B3A04399}"/>
    <hyperlink ref="C51" r:id="rId39" xr:uid="{0828D50C-1B3F-4C20-A715-2EC8D9FE033E}"/>
    <hyperlink ref="C49" r:id="rId40" xr:uid="{62C44CA1-90C5-4AA7-A82E-E46194860A2F}"/>
    <hyperlink ref="C67" r:id="rId41" xr:uid="{393EC5AF-EF0E-4879-8A70-846CE02D7D52}"/>
    <hyperlink ref="C65" r:id="rId42" xr:uid="{AA93658F-2AE6-4E89-84B3-C019D0C9396D}"/>
    <hyperlink ref="C62" r:id="rId43" xr:uid="{F40E485B-A0C8-44B6-A205-3FE864E8007C}"/>
    <hyperlink ref="C63" r:id="rId44" xr:uid="{29C681B2-2F5B-4003-9C13-3F46BF2BA758}"/>
    <hyperlink ref="C64" r:id="rId45" xr:uid="{75A531F8-698F-416D-AD7A-0C19CBABE594}"/>
    <hyperlink ref="C66" r:id="rId46" xr:uid="{85A730CF-E163-447A-AB53-5F343130894B}"/>
    <hyperlink ref="C61" r:id="rId47" xr:uid="{B4278958-9663-43AD-8A33-B6F4EBE14E26}"/>
    <hyperlink ref="C27" r:id="rId48" xr:uid="{F5261FC4-6154-48E1-8139-33505ACCF778}"/>
    <hyperlink ref="C28" r:id="rId49" xr:uid="{04D34946-06D6-4C5F-8D56-353E305F5A69}"/>
    <hyperlink ref="C2" r:id="rId50" xr:uid="{6A2A0786-EC70-40FC-93E6-7887D2129FAB}"/>
    <hyperlink ref="C4" r:id="rId51" xr:uid="{E34779C9-12F9-4E20-944C-84843220B1A6}"/>
    <hyperlink ref="C3" r:id="rId52" xr:uid="{A45ADF48-A71F-4E9C-9D81-5DE8789EA64D}"/>
    <hyperlink ref="C19" r:id="rId53" xr:uid="{80275FA9-3216-4045-9904-A598DE9C9D94}"/>
    <hyperlink ref="C11" r:id="rId54" xr:uid="{B031FEA5-F385-4F8B-8C59-11FCAF4AA834}"/>
    <hyperlink ref="C23" r:id="rId55" xr:uid="{412ED056-9E7C-4FF5-83ED-538854F2CE5C}"/>
    <hyperlink ref="C157" r:id="rId56" xr:uid="{8D8D7DD0-078C-42E0-877B-13B7DD2E702D}"/>
    <hyperlink ref="C199:C202" r:id="rId57" display="luiz.silva@suez.com" xr:uid="{4C82BB6D-0FC1-4459-83F7-7890784EC4CE}"/>
    <hyperlink ref="C22" r:id="rId58" xr:uid="{910D9A8D-0A3A-4B2F-83C8-8F9757730ACD}"/>
    <hyperlink ref="C12" r:id="rId59" xr:uid="{85E2B6A1-645D-48EB-A8BA-17052FF2526A}"/>
    <hyperlink ref="C13" r:id="rId60" xr:uid="{A192107E-70E5-49A9-A3EF-8C3951DE58D3}"/>
    <hyperlink ref="C15" r:id="rId61" xr:uid="{914B97C0-AE40-4360-9746-DD81F684872D}"/>
    <hyperlink ref="C14" r:id="rId62" xr:uid="{6312EC6F-5102-461A-A412-003EAD5A3C97}"/>
    <hyperlink ref="C20" r:id="rId63" xr:uid="{72605295-B897-44E4-824F-3D92F9F8471F}"/>
    <hyperlink ref="C21" r:id="rId64" xr:uid="{95F80A6A-9138-42DC-8BDB-F3E4D315EB8A}"/>
    <hyperlink ref="C18" r:id="rId65" xr:uid="{6EA6A592-F820-47E8-B165-4EDBF5EE7CA8}"/>
    <hyperlink ref="C16" r:id="rId66" xr:uid="{A92D5E0F-4915-49B7-AE69-66A5EACD1289}"/>
    <hyperlink ref="C6" r:id="rId67" xr:uid="{3ACD7B1E-FE9F-4027-98B7-F5FBEDF515F5}"/>
    <hyperlink ref="C7" r:id="rId68" xr:uid="{3D9DBF27-1097-4387-8F2E-F2A9C8FFFFA2}"/>
    <hyperlink ref="C5" r:id="rId69" xr:uid="{8829B95A-8FE2-47FE-ACAC-21A7A886517D}"/>
    <hyperlink ref="F239" r:id="rId70" xr:uid="{CB7ACB83-25A7-4C85-9D8C-FC10D7B65A33}"/>
    <hyperlink ref="F3:F4" r:id="rId71" display="an.santos@suez.com" xr:uid="{EFA4E2CF-409D-4606-B446-C46108ED079B}"/>
    <hyperlink ref="C11:C14" r:id="rId72" display="patricia.campos@suez.com" xr:uid="{77F88CAA-BC6D-4B54-87DD-FA6EF3AE25F1}"/>
    <hyperlink ref="F11:F14" r:id="rId73" display="marcelo.soto@suez.com" xr:uid="{DA70910E-54A8-4C3C-A1B6-D166FFECD90B}"/>
    <hyperlink ref="F228" r:id="rId74" xr:uid="{3B7D7668-917D-4A82-A95C-91CE672CEDF6}"/>
    <hyperlink ref="F224" r:id="rId75" xr:uid="{50C8A073-9D92-4BCB-A139-00EECBF936C3}"/>
    <hyperlink ref="F19:F23" r:id="rId76" display="davi.santos@suez.com" xr:uid="{C09AD0AD-95DC-4F92-B32C-6ED05F996ED4}"/>
    <hyperlink ref="F24" r:id="rId77" display="daniel.atala@suez.com" xr:uid="{B620DE66-DE58-4B4A-A089-CCFE9741E139}"/>
    <hyperlink ref="F214" r:id="rId78" xr:uid="{007DB4E6-89D2-4BB3-96D2-43223CD9FD75}"/>
    <hyperlink ref="F216" r:id="rId79" xr:uid="{B89E7A90-3963-4459-9CA8-6DE8E470AE18}"/>
    <hyperlink ref="F217" r:id="rId80" xr:uid="{098F0230-F5C2-4913-A196-9A718C2EE844}"/>
    <hyperlink ref="F215" r:id="rId81" xr:uid="{B3C852A9-9403-41A8-A1F5-82A1EE26F9F9}"/>
    <hyperlink ref="F178" r:id="rId82" xr:uid="{731C1B1D-6CA9-421D-9C07-8D281FC993E3}"/>
    <hyperlink ref="F61:F62" r:id="rId83" display="rafael.campos@suez.com" xr:uid="{503618A6-C3E0-48DD-9658-CEB47BFCC9BA}"/>
    <hyperlink ref="C118" r:id="rId84" xr:uid="{56C6F667-F189-4CB5-9A5D-7A0ED19D35E0}"/>
    <hyperlink ref="C112:C113" r:id="rId85" display="kleber.silva@suez.com" xr:uid="{A3BBCE52-CF81-4C7B-A284-60054A50B3C3}"/>
    <hyperlink ref="F98" r:id="rId86" xr:uid="{21B50716-1CA7-4243-9C55-7F9E5E82BBD2}"/>
    <hyperlink ref="F133" r:id="rId87" xr:uid="{81208A0A-2863-464C-A82E-8336C7139231}"/>
    <hyperlink ref="F13" r:id="rId88" xr:uid="{B246660A-0AC7-4625-B2D6-B7CCA32DFD87}"/>
    <hyperlink ref="F14" r:id="rId89" xr:uid="{1815A600-5366-455C-B0FC-FD11013F8500}"/>
    <hyperlink ref="F11" r:id="rId90" xr:uid="{2081B322-2D52-4691-80EF-FB5BE56651B8}"/>
    <hyperlink ref="F12" r:id="rId91" xr:uid="{FDE4B7A5-3E74-4680-A1BA-E0DF3616B602}"/>
    <hyperlink ref="F20" r:id="rId92" xr:uid="{540E6257-58A3-4722-B116-46E3741F338A}"/>
    <hyperlink ref="F21" r:id="rId93" xr:uid="{DBCC527A-E029-4FF7-AABA-77E6519E23BF}"/>
    <hyperlink ref="F18" r:id="rId94" xr:uid="{F450C05D-73E6-4361-BA11-5ADFA5195CDB}"/>
    <hyperlink ref="F16" r:id="rId95" xr:uid="{F8EDFE0B-7EA3-4F67-AB31-4F5F1F6B86A7}"/>
    <hyperlink ref="F22" r:id="rId96" xr:uid="{413519B5-CA97-4317-9C08-CBF0BF29E2BA}"/>
    <hyperlink ref="F19" r:id="rId97" xr:uid="{DDB32722-4561-40C0-9D43-1F87ADC31644}"/>
    <hyperlink ref="F23" r:id="rId98" xr:uid="{FA147892-7786-4946-860D-6DF68A268426}"/>
    <hyperlink ref="F112" r:id="rId99" xr:uid="{7C67686A-0BEF-4042-AE56-412CF3FAAE19}"/>
    <hyperlink ref="F113" r:id="rId100" xr:uid="{F2D9A268-EF2B-4903-893A-AEFF0FC142D1}"/>
    <hyperlink ref="F115" r:id="rId101" xr:uid="{E9C927BC-46DA-4987-AF99-1DD5CC08BF83}"/>
    <hyperlink ref="F116" r:id="rId102" xr:uid="{E32497FA-037C-4196-9A07-B3487BD51192}"/>
    <hyperlink ref="F117" r:id="rId103" xr:uid="{7BAC02AE-5DDD-47D0-A4E9-31FDB611819F}"/>
    <hyperlink ref="F114" r:id="rId104" xr:uid="{938B88A2-3D6F-493A-90C2-605EEEA86499}"/>
    <hyperlink ref="F111" r:id="rId105" xr:uid="{01A60690-BA27-462C-A7DC-CFC47872C030}"/>
    <hyperlink ref="F47" r:id="rId106" xr:uid="{824F563D-9258-4B2C-BBAF-F0709810EEB8}"/>
    <hyperlink ref="F48" r:id="rId107" xr:uid="{3D3180D2-E0DA-488D-B6BD-2217818863E2}"/>
    <hyperlink ref="F49" r:id="rId108" xr:uid="{3AA744BA-7DC8-4151-A311-75FA6F770149}"/>
    <hyperlink ref="F50" r:id="rId109" xr:uid="{B7F34834-91C1-4C1C-8811-8296DF830B6B}"/>
    <hyperlink ref="F170" r:id="rId110" xr:uid="{457D176A-7712-480E-B1AE-CFE884F1BDFD}"/>
    <hyperlink ref="F171" r:id="rId111" xr:uid="{67649C89-EAC5-4D3A-BB06-F10B103060B2}"/>
    <hyperlink ref="F174" r:id="rId112" xr:uid="{0ECAA72C-78E4-497E-876C-FA1AABB6AAB8}"/>
    <hyperlink ref="F172" r:id="rId113" xr:uid="{56141098-665C-4FD0-8155-FA84B3411F53}"/>
    <hyperlink ref="F175" r:id="rId114" xr:uid="{D923F29B-5BC5-4962-90B7-D19294AE6DA0}"/>
    <hyperlink ref="F173" r:id="rId115" xr:uid="{4CDEB245-0938-4A41-A71E-FFA6DB26DE80}"/>
    <hyperlink ref="F176" r:id="rId116" xr:uid="{F0B18620-9D7B-4EE0-9A2B-C2DFC6140179}"/>
    <hyperlink ref="F177" r:id="rId117" xr:uid="{5D5406D6-0858-4349-BC9B-A7494FCEB2D1}"/>
    <hyperlink ref="F147" r:id="rId118" xr:uid="{6646DC4B-C86D-407E-BA9A-00C78200B92B}"/>
    <hyperlink ref="F149" r:id="rId119" xr:uid="{E5DAE0D7-F612-439C-B71C-DF1FAF0B5FFC}"/>
    <hyperlink ref="F148" r:id="rId120" xr:uid="{77526592-48B8-4ECA-A57D-AFF78CD33E21}"/>
    <hyperlink ref="F134" r:id="rId121" xr:uid="{1C33DA65-6CAD-4042-8698-2E4416F20044}"/>
    <hyperlink ref="F135" r:id="rId122" xr:uid="{61821520-4B5E-4A22-922E-CF7D9EDDD3F4}"/>
    <hyperlink ref="F82" r:id="rId123" xr:uid="{ED492E3B-2A14-4C5D-A826-5176BCE1E021}"/>
    <hyperlink ref="F81" r:id="rId124" xr:uid="{CF68F19A-9E7E-4DB2-878C-B4852D365517}"/>
    <hyperlink ref="F85" r:id="rId125" xr:uid="{95F3FFC8-803A-4BE8-8F8A-3963DA7F0254}"/>
    <hyperlink ref="F80" r:id="rId126" xr:uid="{8E096A34-2DE7-4247-A33E-54810E3CD6D5}"/>
    <hyperlink ref="F83" r:id="rId127" xr:uid="{C392948F-D208-42EA-8675-62AB0A446463}"/>
    <hyperlink ref="F84" r:id="rId128" xr:uid="{A13FA002-C573-4267-92CB-9AF77C50D2B7}"/>
    <hyperlink ref="F86" r:id="rId129" xr:uid="{A1DB1091-CCAC-4FFC-8C03-E72A2C5770E7}"/>
    <hyperlink ref="F87" r:id="rId130" xr:uid="{1DF77CC5-788A-41F9-8637-B7812EF738DE}"/>
    <hyperlink ref="F213" r:id="rId131" xr:uid="{59821C4A-AF1D-4D3B-9428-21A26DDB93E1}"/>
    <hyperlink ref="F2" r:id="rId132" xr:uid="{9C140E29-BC16-46EF-A576-F4CFC977F21E}"/>
    <hyperlink ref="F3" r:id="rId133" xr:uid="{97D928F3-0C1F-4AFD-BFB9-FCFB857E1EAD}"/>
    <hyperlink ref="F4" r:id="rId134" xr:uid="{0518633E-6673-442A-A9AE-9B4909040F31}"/>
    <hyperlink ref="F131" r:id="rId135" xr:uid="{912A0C78-72FB-4E1A-A3F0-ED0C36CAE711}"/>
    <hyperlink ref="F144" r:id="rId136" xr:uid="{9FC5F23B-7300-4D99-B5B4-C234BB37987E}"/>
    <hyperlink ref="F93:F96" r:id="rId137" display="marcelo.soto@suez.com" xr:uid="{728E330C-0715-4B35-BAA1-797725870745}"/>
    <hyperlink ref="F102" r:id="rId138" xr:uid="{6E8B177B-D118-40D4-B367-112020756CD5}"/>
    <hyperlink ref="F105" r:id="rId139" xr:uid="{BF5B874A-124D-4D5E-A6BB-D3FDA72887B2}"/>
    <hyperlink ref="F104" r:id="rId140" xr:uid="{7D8630BF-8EB1-4EF4-B248-3C040CA2C9A0}"/>
    <hyperlink ref="F103" r:id="rId141" xr:uid="{318B3E56-43F4-4842-9680-827F4ABEDC6A}"/>
    <hyperlink ref="F61" r:id="rId142" xr:uid="{B8D3B4A6-B224-4111-B190-8CAB9AB17D43}"/>
    <hyperlink ref="F62" r:id="rId143" xr:uid="{842DBC76-F004-421D-9DD8-82EEB890256B}"/>
    <hyperlink ref="F63" r:id="rId144" xr:uid="{756B8BC7-6A83-45DB-90C2-066F913CC90C}"/>
    <hyperlink ref="F64" r:id="rId145" xr:uid="{B69A096D-17D2-464D-82C4-724D05F73434}"/>
    <hyperlink ref="F66" r:id="rId146" xr:uid="{8453E4F8-32C4-4038-B415-B3A73984C960}"/>
    <hyperlink ref="F67" r:id="rId147" xr:uid="{ABEB8546-AE05-49A3-8F10-62DA8FC60767}"/>
    <hyperlink ref="F65" r:id="rId148" xr:uid="{5EEB3325-8D37-457D-8322-A5A398F4B8DC}"/>
    <hyperlink ref="F51" r:id="rId149" xr:uid="{74A9E536-F62C-42D7-9371-D0B7FC44728D}"/>
    <hyperlink ref="F10" r:id="rId150" xr:uid="{67E3B687-02F0-4640-9AE4-BF877BA3492D}"/>
    <hyperlink ref="C165" r:id="rId151" xr:uid="{6407D299-25E1-4224-8C22-A3D18FC9B8B1}"/>
    <hyperlink ref="C123:C128" r:id="rId152" display="giovana.tardelli@suez.com" xr:uid="{AA2C2A54-7EAB-4F2E-90C5-23AC5AE62B3B}"/>
    <hyperlink ref="F165" r:id="rId153" xr:uid="{E2892089-B720-4334-B568-403CA7FCE78A}"/>
    <hyperlink ref="F201" r:id="rId154" xr:uid="{BC04EA03-67F5-4310-9133-2372D57F6D6B}"/>
    <hyperlink ref="F193" r:id="rId155" xr:uid="{06988908-6E4D-4467-ADB7-2330EE5630D2}"/>
    <hyperlink ref="F195" r:id="rId156" xr:uid="{D6254FD6-7744-4964-8847-F654BC3B7095}"/>
    <hyperlink ref="F196" r:id="rId157" xr:uid="{D58CF549-7355-4B5E-818F-E1A729C12968}"/>
    <hyperlink ref="F169" r:id="rId158" xr:uid="{B7B3DD22-ED51-407D-88C9-49AC9CB8AE66}"/>
    <hyperlink ref="F27" r:id="rId159" xr:uid="{ACBFFA51-598F-4513-A702-2A491D9BC0BD}"/>
    <hyperlink ref="F28" r:id="rId160" xr:uid="{1A099897-8797-4588-8FFA-B18557D3D2BB}"/>
    <hyperlink ref="F6" r:id="rId161" xr:uid="{DAD805D7-1216-490B-8CAF-58B1F2139C6E}"/>
    <hyperlink ref="F5" r:id="rId162" xr:uid="{98FE443E-9C8B-490D-9F92-E1954D524E1E}"/>
    <hyperlink ref="F7" r:id="rId163" xr:uid="{BDD29368-8C12-4053-AB51-4F14F9F9B3F0}"/>
    <hyperlink ref="F96" r:id="rId164" xr:uid="{F72C63A5-A383-420B-880D-3E615C5E8C36}"/>
    <hyperlink ref="F88" r:id="rId165" xr:uid="{3737F509-3330-43F7-8BF2-2FCA135B4BC3}"/>
    <hyperlink ref="C224" r:id="rId166" display="hugo.cavalcante@suez.com" xr:uid="{00F78F42-F39D-4553-8D66-7D8BE42C476C}"/>
    <hyperlink ref="F157" r:id="rId167" xr:uid="{1BB7E42A-7CD1-44AD-B201-5C272F319BBD}"/>
    <hyperlink ref="F156" r:id="rId168" xr:uid="{50A21EEC-5B9C-418B-AAFC-6E31C734F0C1}"/>
    <hyperlink ref="F158" r:id="rId169" xr:uid="{FB0E1A2E-1BDD-44C8-B541-BB1C4E51CA1D}"/>
    <hyperlink ref="F163" r:id="rId170" xr:uid="{E8075B61-3400-4887-9127-E4224B223BD0}"/>
    <hyperlink ref="F164" r:id="rId171" xr:uid="{F21D460B-00A5-4901-A6A8-65B573949DF6}"/>
    <hyperlink ref="F97" r:id="rId172" xr:uid="{526B67EE-FD24-4480-BB35-D843CAB7D708}"/>
    <hyperlink ref="F15" r:id="rId173" xr:uid="{DE9432BA-8E5D-4A8C-ADD3-1BAF0C874D6F}"/>
    <hyperlink ref="F220" r:id="rId174" display="an.santos@suez.com" xr:uid="{9847F4C9-5084-47C0-A870-9DDD1930443E}"/>
    <hyperlink ref="F222" r:id="rId175" display="an.santos@suez.com" xr:uid="{E6FEBC33-34B2-4099-A0DA-AD7F0E308BA3}"/>
    <hyperlink ref="F223" r:id="rId176" xr:uid="{89528909-1492-4ACF-9C74-19388CE8ED3F}"/>
    <hyperlink ref="F53" r:id="rId177" xr:uid="{1B2A09C6-C810-43F9-AD46-E710478CBA76}"/>
    <hyperlink ref="F54" r:id="rId178" display="an.santos@suez.com" xr:uid="{AE70F506-8F83-4B37-9B69-46B4E8E426D4}"/>
    <hyperlink ref="F55" r:id="rId179" display="an.santos@suez.com" xr:uid="{F4A41492-FBBB-4A06-8971-238C08B379C0}"/>
    <hyperlink ref="F56" r:id="rId180" display="an.santos@suez.com" xr:uid="{B2889D25-01F3-42F1-954B-D7E4C8A9324C}"/>
    <hyperlink ref="F57" r:id="rId181" display="an.santos@suez.com" xr:uid="{67185783-6515-485F-AAF5-C0F6D6A18578}"/>
    <hyperlink ref="F58" r:id="rId182" display="an.santos@suez.com" xr:uid="{899B4A40-3D4F-4287-BD8F-0459510F57DB}"/>
    <hyperlink ref="F59" r:id="rId183" display="an.santos@suez.com" xr:uid="{7717590F-D7D2-4121-9BE4-CCD1865984CF}"/>
    <hyperlink ref="F60" r:id="rId184" display="an.santos@suez.com" xr:uid="{49D82E52-C968-43F8-929A-C05592B74617}"/>
    <hyperlink ref="F108" r:id="rId185" display="an.santos@suez.com" xr:uid="{F72F62F5-9F04-48B9-8515-67098F7ABC8C}"/>
    <hyperlink ref="F109" r:id="rId186" display="an.santos@suez.com" xr:uid="{48AFE7FE-B6D1-4459-BE68-DEFD34BFADB7}"/>
    <hyperlink ref="F110" r:id="rId187" display="an.santos@suez.com" xr:uid="{060DCFD7-F22D-42AA-B373-9B036152D183}"/>
    <hyperlink ref="C91" r:id="rId188" xr:uid="{BC68B9B2-C2FC-4B81-B602-E14656590198}"/>
    <hyperlink ref="F91" r:id="rId189" xr:uid="{B7018C8C-2BA2-44AB-9830-0FE58FA08E91}"/>
    <hyperlink ref="C197" r:id="rId190" xr:uid="{ED9A8FB9-B669-4EC9-9D80-90547362D21F}"/>
    <hyperlink ref="C119" r:id="rId191" xr:uid="{D08043E2-AEAD-4437-AC35-B05F159F6B03}"/>
    <hyperlink ref="C211" r:id="rId192" xr:uid="{C54C742F-C0C4-4388-96A0-3234A4BEE5EA}"/>
    <hyperlink ref="C220" r:id="rId193" xr:uid="{B67FE1E5-D723-4FA4-A968-A68A73CDC2C4}"/>
    <hyperlink ref="C213" r:id="rId194" xr:uid="{10D58908-3CC4-4751-97AE-FBBD43F8A20A}"/>
    <hyperlink ref="C218" r:id="rId195" xr:uid="{281E9ADF-9CEE-4FD5-B55D-F6E284EAE80C}"/>
    <hyperlink ref="F218" r:id="rId196" xr:uid="{A32E1C07-EC6D-46A6-8C41-1C7EBA5FAE3D}"/>
    <hyperlink ref="C103" r:id="rId197" xr:uid="{AB4F5B37-9A80-4596-9D26-BCB1C7EFC314}"/>
    <hyperlink ref="C104" r:id="rId198" xr:uid="{7E3E3C7C-458D-4F05-A49F-3A4F014B4BBB}"/>
    <hyperlink ref="C105" r:id="rId199" xr:uid="{AAABC5FD-650C-4E12-A50B-1920F474D3E1}"/>
    <hyperlink ref="C159" r:id="rId200" xr:uid="{95244B57-924F-43F7-8D6D-E92ECAA21232}"/>
    <hyperlink ref="C121" r:id="rId201" xr:uid="{3EB00A66-70F3-4EB0-96DC-F616550CDDB6}"/>
    <hyperlink ref="C126" r:id="rId202" xr:uid="{F139B153-5407-4214-B452-CC7844878ADA}"/>
    <hyperlink ref="C127" r:id="rId203" xr:uid="{5303CCAE-807D-4074-BEED-AAF3D2116274}"/>
    <hyperlink ref="C128" r:id="rId204" xr:uid="{E31C07BA-DE9B-4CAC-98A6-28E1A84466D9}"/>
    <hyperlink ref="C129" r:id="rId205" xr:uid="{DED725BD-CF20-4B4D-B06D-0A5BC334F0A6}"/>
    <hyperlink ref="C130" r:id="rId206" xr:uid="{139C5974-5231-411A-8E2B-CC46AAA1FA28}"/>
    <hyperlink ref="C125" r:id="rId207" xr:uid="{B1FE00B4-CE45-4504-91C6-8BB6B0CD3686}"/>
    <hyperlink ref="C68" r:id="rId208" xr:uid="{92BF2597-7EFE-4B50-B4C3-B46DD4FC1E52}"/>
    <hyperlink ref="F68" r:id="rId209" display="an.santos@suez.com" xr:uid="{30BF380B-92DA-4508-A857-E3375D4698EF}"/>
    <hyperlink ref="C45" r:id="rId210" xr:uid="{65897D9F-A84D-46AC-9D55-E3871AA54D3A}"/>
    <hyperlink ref="C122" r:id="rId211" xr:uid="{5DA152D5-D300-4FD7-8213-C4ED65C7DC87}"/>
    <hyperlink ref="C46" r:id="rId212" xr:uid="{33460E29-7F56-4D8C-B14E-6821326A0A80}"/>
    <hyperlink ref="C123" r:id="rId213" xr:uid="{E80702EF-EA14-447A-9025-2E948211A6F8}"/>
    <hyperlink ref="C124" r:id="rId214" xr:uid="{0DB5750A-2C2B-424C-B9CB-FA8E32C20BB1}"/>
    <hyperlink ref="C106" r:id="rId215" xr:uid="{3447B94E-4C94-4BB2-8F4E-CBF0366FBD39}"/>
    <hyperlink ref="C107" r:id="rId216" xr:uid="{531BD52A-679A-4E80-AF7D-ABABE5BF1D4D}"/>
    <hyperlink ref="C111" r:id="rId217" xr:uid="{AC4492D2-64F6-4439-965D-83BE991E61DC}"/>
    <hyperlink ref="F159" r:id="rId218" xr:uid="{5CDE53CB-E952-4EED-BCDD-D5E2AFB218D3}"/>
    <hyperlink ref="F160" r:id="rId219" xr:uid="{EE16FE08-3F3C-4771-ABE0-60A966353492}"/>
    <hyperlink ref="F161" r:id="rId220" xr:uid="{A022C8BD-1B83-4526-AF47-C19AF5716D9C}"/>
    <hyperlink ref="F162" r:id="rId221" xr:uid="{EF2F3483-5773-46F9-8EE1-4EBAD7F667CE}"/>
    <hyperlink ref="C160" r:id="rId222" xr:uid="{C59A982E-6CC8-4C07-A364-94A3CB2722CE}"/>
    <hyperlink ref="C161" r:id="rId223" xr:uid="{481BA73B-FD3C-41AA-8E81-11461BAE73ED}"/>
    <hyperlink ref="C162" r:id="rId224" xr:uid="{DF2575F7-A625-415F-A54A-3127C9F5BD02}"/>
    <hyperlink ref="C219" r:id="rId225" xr:uid="{0E12095B-0360-487C-B61A-344612ED81C3}"/>
    <hyperlink ref="F219" r:id="rId226" xr:uid="{BE4351AE-6117-4685-8FC6-67E3A23B039B}"/>
    <hyperlink ref="C24" r:id="rId227" xr:uid="{88A880BB-CA32-46A4-8F7C-C1821FA3BB05}"/>
    <hyperlink ref="C72" r:id="rId228" xr:uid="{0A31DE54-2F05-476A-8C7E-C700B10BCF5A}"/>
    <hyperlink ref="C163" r:id="rId229" xr:uid="{F0A82C1F-0C92-402B-9886-128F453318EB}"/>
    <hyperlink ref="C195" r:id="rId230" xr:uid="{892115C0-3E3A-4961-B26B-BBD31701C33B}"/>
    <hyperlink ref="C235" r:id="rId231" xr:uid="{380CE56A-BB70-4D5B-899F-D9065AD5A244}"/>
    <hyperlink ref="C244" r:id="rId232" xr:uid="{B883A1A9-33B0-4212-A896-51250434C67F}"/>
    <hyperlink ref="F244" r:id="rId233" xr:uid="{2FF98CB0-E027-4882-A9C1-C0A5F166A72C}"/>
    <hyperlink ref="F229" r:id="rId234" xr:uid="{B1546E37-F2D2-49D8-9821-7CD586ED3645}"/>
    <hyperlink ref="F211" r:id="rId235" xr:uid="{B78927BA-DCFC-4454-AC3D-21075CC0E3F6}"/>
    <hyperlink ref="F212" r:id="rId236" xr:uid="{10649C30-FB10-477D-86B4-1024E19DC1A7}"/>
    <hyperlink ref="C113" r:id="rId237" xr:uid="{575E5242-15F1-4A3A-B330-9CD315CF2836}"/>
    <hyperlink ref="C147" r:id="rId238" xr:uid="{5E8AA3B5-5523-44D5-BD2A-B6A4CBD60D2C}"/>
    <hyperlink ref="C148" r:id="rId239" xr:uid="{4AFB784D-1FBF-43DD-A764-43C904E47AD4}"/>
    <hyperlink ref="C171" r:id="rId240" xr:uid="{5E3FBE9C-DF95-4135-96E2-16C38C17CC32}"/>
    <hyperlink ref="C174" r:id="rId241" xr:uid="{F9E79664-617D-4A39-AD93-8E7124883408}"/>
    <hyperlink ref="C156" r:id="rId242" xr:uid="{904023C1-A5D3-493F-87AE-D4DD3A6B8563}"/>
    <hyperlink ref="C192" r:id="rId243" xr:uid="{E30ED681-E0E8-4AFC-B7FC-32C8605B7D64}"/>
    <hyperlink ref="C151" r:id="rId244" xr:uid="{60A85DFC-7907-441F-8A28-E4E87C057027}"/>
    <hyperlink ref="C245" r:id="rId245" xr:uid="{008D9D22-E956-49EE-A419-ED272DC3896C}"/>
    <hyperlink ref="F52" r:id="rId246" xr:uid="{EC4E7E4A-97A2-4CFA-9209-6B4BA8E2D857}"/>
    <hyperlink ref="C249" r:id="rId247" xr:uid="{C044E684-FAF7-4AA8-8725-767AA4C2A061}"/>
    <hyperlink ref="C250" r:id="rId248" xr:uid="{36689685-ED2F-4F6B-B49F-D58185E2722B}"/>
    <hyperlink ref="C251" r:id="rId249" xr:uid="{CF2B3177-8817-4A10-B001-7EF4AFDA9C40}"/>
    <hyperlink ref="C180" r:id="rId250" xr:uid="{109A3E0C-AE95-46D5-8E6A-9C55D25DD9D2}"/>
    <hyperlink ref="C80" r:id="rId251" xr:uid="{C772354C-6FF9-4BF8-9268-1C736B353BAE}"/>
    <hyperlink ref="C81" r:id="rId252" xr:uid="{F35C89F3-84CF-4D3F-94BD-EF1A8E0B09B6}"/>
    <hyperlink ref="C97" r:id="rId253" xr:uid="{EF3DB376-4DD2-48A5-AF2F-5F692275DEFE}"/>
    <hyperlink ref="C194" r:id="rId254" xr:uid="{05007B00-1E4D-4A04-AD1A-17ADAF37C771}"/>
    <hyperlink ref="F194" r:id="rId255" xr:uid="{FC9852EE-C82E-4E93-A2A8-178B1ACD31AA}"/>
    <hyperlink ref="C258" r:id="rId256" xr:uid="{67B4F0C9-71B4-491F-8BF5-D46174A9230F}"/>
    <hyperlink ref="F258" r:id="rId257" xr:uid="{9A844A5D-5E05-4D66-BAE7-70F9D001C918}"/>
    <hyperlink ref="F259:F264" r:id="rId258" display="rafael.nascimento@suez.com" xr:uid="{CB106C8E-BD9C-46EA-A5F7-D3139915AD31}"/>
    <hyperlink ref="C265" r:id="rId259" display="mailto:natalia.correa@suez.com" xr:uid="{352ADC4A-3861-4979-A21C-62E888BE490F}"/>
    <hyperlink ref="F238" r:id="rId260" xr:uid="{092BF826-EAF2-4449-9BB3-C78D59548C54}"/>
    <hyperlink ref="F230" r:id="rId261" xr:uid="{F62E408C-C496-4836-A946-40DD2E79B6D0}"/>
    <hyperlink ref="C231" r:id="rId262" xr:uid="{901DB09B-322B-4951-B976-0E098BEA5BFE}"/>
    <hyperlink ref="F266" r:id="rId263" xr:uid="{3630B844-5BE2-44E2-AB42-373E1C14BD2A}"/>
    <hyperlink ref="F267" r:id="rId264" xr:uid="{6DBFB162-CCD6-47AA-B416-A2A2A0EEBDEF}"/>
    <hyperlink ref="F268" r:id="rId265" xr:uid="{2C5F4616-8D62-40A8-B691-F5E8EC83002E}"/>
    <hyperlink ref="F269" r:id="rId266" xr:uid="{98E1FB49-5E98-462A-A136-113E97CF7AEA}"/>
    <hyperlink ref="F270" r:id="rId267" xr:uid="{1147F0D2-8A2F-47F9-8F70-918203DD046C}"/>
    <hyperlink ref="C271" r:id="rId268" xr:uid="{50C98F67-456E-43B9-B623-B07BFA8F90C0}"/>
    <hyperlink ref="C272" r:id="rId269" xr:uid="{4B33A9E5-4846-472F-8AB2-AE6EB0A2EC39}"/>
    <hyperlink ref="C273" r:id="rId270" xr:uid="{7F98CF5F-F897-46C6-BE09-D888794E322D}"/>
    <hyperlink ref="C274" r:id="rId271" xr:uid="{F44BB27C-1749-4ACB-ACEC-6431A0831EE9}"/>
    <hyperlink ref="C275" r:id="rId272" xr:uid="{6BCF8388-BA2B-49F0-A429-06A1D4F13351}"/>
    <hyperlink ref="C276" r:id="rId273" xr:uid="{70AF9AB0-1B94-446D-8FEC-B140755301B0}"/>
    <hyperlink ref="C277" r:id="rId274" xr:uid="{97B3A3D6-862D-4D27-8C4B-076DD1428F5D}"/>
    <hyperlink ref="C278" r:id="rId275" xr:uid="{68C937B8-483C-4FD5-A914-E7EDF9FEBF43}"/>
    <hyperlink ref="C279:C280" r:id="rId276" display="amanda.mendes@suez.com" xr:uid="{B6432EE6-4D33-4879-B8DC-7689911333FE}"/>
    <hyperlink ref="F197" r:id="rId277" xr:uid="{396A14F9-DCF6-48F8-805A-4CB81BFA69AD}"/>
    <hyperlink ref="C9" r:id="rId278" xr:uid="{B67EEE8A-D2CA-48DD-A203-CFC586E31498}"/>
    <hyperlink ref="C10" r:id="rId279" xr:uid="{8691B270-91E4-44CE-8CDC-756AEECA5E90}"/>
    <hyperlink ref="C281" r:id="rId280" xr:uid="{B336E6F9-89B7-4DC5-B725-B4846EF41E0D}"/>
    <hyperlink ref="C282" r:id="rId281" xr:uid="{F4778082-A638-42AA-9987-6FC71F6D0895}"/>
    <hyperlink ref="F281" r:id="rId282" xr:uid="{8BC4F056-2B66-4B21-9372-C40DCD4BB929}"/>
    <hyperlink ref="F282" r:id="rId283" xr:uid="{B28BBAD5-B22D-4BD8-BD43-11108333DC49}"/>
    <hyperlink ref="F132" r:id="rId284" xr:uid="{BDFD5BBE-AA19-45A0-8AF7-6AE989B65CAC}"/>
    <hyperlink ref="F283" r:id="rId285" xr:uid="{0DA81CA2-6854-423C-8F84-9C04ADA8EA61}"/>
    <hyperlink ref="F284" r:id="rId286" xr:uid="{88F66F42-BEE1-4B56-A7FD-2B6355436B14}"/>
    <hyperlink ref="F285" r:id="rId287" xr:uid="{1623856D-3D44-42E3-8B01-2997EA793FF0}"/>
    <hyperlink ref="C29" r:id="rId288" xr:uid="{D4E02BC2-BF67-441D-9483-F1D090327317}"/>
    <hyperlink ref="C30" r:id="rId289" xr:uid="{2C79329F-3E80-48EF-99DB-62929235A639}"/>
    <hyperlink ref="F29" r:id="rId290" xr:uid="{0E996B71-C8E6-4762-B5D3-C2C75FD750CD}"/>
    <hyperlink ref="F30" r:id="rId291" xr:uid="{74B0CAC6-7A36-4262-A718-59756B4E1E9F}"/>
    <hyperlink ref="C289" r:id="rId292" xr:uid="{E7742DE5-BAF0-4E55-89DB-3B0173E1AD38}"/>
    <hyperlink ref="F289" r:id="rId293" xr:uid="{A4847D44-19C7-4FF8-BEA0-D1D0604A8039}"/>
    <hyperlink ref="C290" r:id="rId294" xr:uid="{17A092CF-C258-425F-918D-0AC01B942F12}"/>
    <hyperlink ref="F290" r:id="rId295" xr:uid="{F8B895B2-ED5A-410A-BAAD-69DC6853B9C0}"/>
    <hyperlink ref="C291" r:id="rId296" xr:uid="{E6CFC1BE-2E72-4DC2-85F6-2C4C1E00EACD}"/>
    <hyperlink ref="F291" r:id="rId297" xr:uid="{FB66FD2D-3015-4E1C-9711-99136BD2F816}"/>
    <hyperlink ref="C292" r:id="rId298" xr:uid="{2D6007A6-D049-4C95-AFD4-69046C32FEB0}"/>
    <hyperlink ref="F292" r:id="rId299" xr:uid="{56166FB4-6A0A-424A-B2BF-5E000425A2DB}"/>
    <hyperlink ref="C293" r:id="rId300" xr:uid="{5237E501-E991-492B-9CB8-AC5ACE776BC7}"/>
    <hyperlink ref="C294" r:id="rId301" xr:uid="{D895F3AD-C73D-4F7E-AB9C-D538E1313FDD}"/>
    <hyperlink ref="C295" r:id="rId302" xr:uid="{1EB11E1B-A60C-48C9-98B0-07614E2C25B7}"/>
    <hyperlink ref="C296" r:id="rId303" xr:uid="{733A0BED-B953-4B5F-849B-0500E5C170B8}"/>
    <hyperlink ref="F293" r:id="rId304" xr:uid="{664E07D9-72FA-464C-B3EE-AB685D5AD30D}"/>
    <hyperlink ref="F294" r:id="rId305" xr:uid="{B5EB649B-01FC-45E8-9A12-23B0ED32544F}"/>
    <hyperlink ref="F295" r:id="rId306" xr:uid="{23082FE2-DA3F-4F4D-BE97-C036F4FE3D16}"/>
    <hyperlink ref="F296" r:id="rId307" xr:uid="{D5C3544E-B6F4-466B-B4F1-DB81644EAD55}"/>
    <hyperlink ref="C297" r:id="rId308" xr:uid="{4EEC3A8B-BDB6-47E9-A61D-72D9A0249E8B}"/>
    <hyperlink ref="C298" r:id="rId309" xr:uid="{E7055F8B-401E-44DC-8221-F11061C59E06}"/>
    <hyperlink ref="F297" r:id="rId310" xr:uid="{37AC720D-7929-4E38-AEB8-6D19490DE496}"/>
    <hyperlink ref="F298" r:id="rId311" xr:uid="{B450BFB9-90CD-46A2-8FA3-C42240166F82}"/>
    <hyperlink ref="C299" r:id="rId312" xr:uid="{D0B41D29-245E-419F-95D4-F3633941901B}"/>
    <hyperlink ref="F299" r:id="rId313" xr:uid="{B9465046-6721-4BA7-A8DB-0F94D144A139}"/>
    <hyperlink ref="C300" r:id="rId314" xr:uid="{BD57C69D-48D4-4FF0-9F09-992EFFFE381B}"/>
    <hyperlink ref="F300" r:id="rId315" xr:uid="{2D7EFFEC-5E5C-4A5A-87F6-235892B03620}"/>
    <hyperlink ref="C301" r:id="rId316" xr:uid="{85F6360A-8350-462B-8B6B-6D18998AE04C}"/>
    <hyperlink ref="F301" r:id="rId317" xr:uid="{8216D824-9E20-42ED-B97D-677CB3052BEB}"/>
    <hyperlink ref="C302" r:id="rId318" xr:uid="{A4C2F006-A6BE-4B71-BEE2-5CF7579299E6}"/>
    <hyperlink ref="F302" r:id="rId319" xr:uid="{6D384F80-9782-4D5B-AC21-B0D590154B32}"/>
    <hyperlink ref="C303" r:id="rId320" xr:uid="{5BA3B09C-1E52-4B4E-B6A8-10792F942B48}"/>
    <hyperlink ref="C304" r:id="rId321" xr:uid="{2F0CB473-3616-482F-A412-A687635517E2}"/>
    <hyperlink ref="C305" r:id="rId322" xr:uid="{A3F2B6D1-57CA-4E7C-A704-69A6C5B6004B}"/>
    <hyperlink ref="F303" r:id="rId323" xr:uid="{428FE997-AA77-49F9-A465-5691D06F4A69}"/>
    <hyperlink ref="F304" r:id="rId324" xr:uid="{FF4B5595-D626-4B11-AAF1-A57415EA07E8}"/>
    <hyperlink ref="F305" r:id="rId325" xr:uid="{3D22DEB3-574E-447D-A7A1-AE778AA31BCE}"/>
    <hyperlink ref="F31" r:id="rId326" xr:uid="{9C46C924-047C-4DC8-A70C-B76F053D8655}"/>
    <hyperlink ref="F306" r:id="rId327" xr:uid="{2A4146B7-AFEA-4B8D-A4A8-19F26955179D}"/>
    <hyperlink ref="F307" r:id="rId328" xr:uid="{03AF7659-123B-4C61-B22A-2B9446FE21B7}"/>
    <hyperlink ref="F308" r:id="rId329" xr:uid="{EED9E0F9-433D-40E7-94E7-8584027EC20F}"/>
    <hyperlink ref="F309" r:id="rId330" xr:uid="{72D6EC6D-B0D0-449B-86D2-AEAD46C7CF97}"/>
    <hyperlink ref="C306" r:id="rId331" xr:uid="{297215D0-35B5-4472-BD33-C4118AE92B67}"/>
    <hyperlink ref="C308" r:id="rId332" xr:uid="{76C037F4-8309-4B54-9DBF-7F1F6BE3FD02}"/>
    <hyperlink ref="C309" r:id="rId333" xr:uid="{372BF57B-E1D4-456F-9511-F0CF6A9FBB31}"/>
    <hyperlink ref="F106" r:id="rId334" xr:uid="{316B8D65-96D7-4920-985F-52B12BA85028}"/>
    <hyperlink ref="F107" r:id="rId335" xr:uid="{8949BABE-BA24-4405-BCB5-92A5922D2275}"/>
    <hyperlink ref="F311" r:id="rId336" xr:uid="{EB96F6E3-4658-4AE1-B824-4BBDFADA176A}"/>
    <hyperlink ref="F312" r:id="rId337" xr:uid="{D85AFFEA-3A85-4A45-B15E-AB144C282396}"/>
    <hyperlink ref="C313" r:id="rId338" xr:uid="{6FA15388-6BB5-4901-8C86-7A4160F5AF09}"/>
    <hyperlink ref="C314" r:id="rId339" xr:uid="{B62898C4-6898-486B-BD2C-5CEC8FDCB0DB}"/>
    <hyperlink ref="F313" r:id="rId340" xr:uid="{44E07160-BF4D-44E3-96A5-863B89F74699}"/>
    <hyperlink ref="F314" r:id="rId341" xr:uid="{05BF172D-3D77-457C-AFC2-38DF2060BECA}"/>
    <hyperlink ref="C315" r:id="rId342" xr:uid="{74ABE320-2131-4A84-82E2-B595959BDEE0}"/>
    <hyperlink ref="F315" r:id="rId343" xr:uid="{E479CE50-3C34-4EBC-A3DE-A5E24CFB9C15}"/>
    <hyperlink ref="C223" r:id="rId344" xr:uid="{F8B3C144-C730-45F8-A99E-2D19B19975E2}"/>
    <hyperlink ref="C232" r:id="rId345" xr:uid="{B077F988-5547-4D29-B6E0-CEEB6A90372D}"/>
    <hyperlink ref="F233" r:id="rId346" xr:uid="{03E78EF1-9BA4-4292-89BE-A017BDBBB26B}"/>
    <hyperlink ref="C70" r:id="rId347" xr:uid="{22E6BC3E-CF5F-45BB-AF44-6136987A5C04}"/>
    <hyperlink ref="F69" r:id="rId348" xr:uid="{8C82EF08-BEF8-40DB-9A78-B5115677F2E3}"/>
    <hyperlink ref="C69" r:id="rId349" xr:uid="{B00AD983-E57E-4910-909D-93ED2676B143}"/>
    <hyperlink ref="F75" r:id="rId350" xr:uid="{D5E7D6C6-B612-4295-B6EF-8A4495E53A01}"/>
    <hyperlink ref="F76" r:id="rId351" xr:uid="{ED667C99-6585-47E5-8E51-6B2A625D8D36}"/>
    <hyperlink ref="F77" r:id="rId352" xr:uid="{F87867F9-1708-4116-8B3F-0CC002F46969}"/>
    <hyperlink ref="F78" r:id="rId353" xr:uid="{AC2B152E-7252-4299-9056-A65394DBA3B1}"/>
    <hyperlink ref="F79" r:id="rId354" xr:uid="{F543AD78-AE33-40BB-A107-C943EBFE640D}"/>
    <hyperlink ref="C71" r:id="rId355" xr:uid="{2703E499-4D72-41C9-ADAE-42870C1492AA}"/>
    <hyperlink ref="C75:C76" r:id="rId356" display="aliny.nunes@suez.com" xr:uid="{063B6B12-F7C2-49C2-A6EC-7ABDA4947FB5}"/>
    <hyperlink ref="C79" r:id="rId357" xr:uid="{5E57090D-005D-4CD0-B606-900C8159984C}"/>
    <hyperlink ref="C73:C74" r:id="rId358" display="glaydiane.melo@suez.com" xr:uid="{0EAB1027-1F6F-4299-B4E6-3008385A131A}"/>
    <hyperlink ref="C77:C78" r:id="rId359" display="glaydiane.melo@suez.com" xr:uid="{2BABA91A-9421-49C0-BE16-44217E770DCD}"/>
    <hyperlink ref="C8" r:id="rId360" xr:uid="{EB208A0E-8E7B-42F2-86CE-F08B6C3983E6}"/>
    <hyperlink ref="C316" r:id="rId361" xr:uid="{4CD1445E-6FFB-4D71-9BDD-AACB0169C733}"/>
    <hyperlink ref="F316" r:id="rId362" xr:uid="{49EC4854-718C-49A7-8DF9-F7C84BD91589}"/>
    <hyperlink ref="F139" r:id="rId363" xr:uid="{1241FB16-43EF-4A1C-AF30-385F9E3CB448}"/>
    <hyperlink ref="F203:F210" r:id="rId364" display="ronaldo.melo@suez.com" xr:uid="{8E5175CD-0449-4ED7-AFD5-1F0675519056}"/>
    <hyperlink ref="C233" r:id="rId365" xr:uid="{B92EFEA9-ACA0-4188-A741-34C1B676F028}"/>
    <hyperlink ref="F232" r:id="rId366" xr:uid="{933540DC-E69D-4030-97DE-509301AA8531}"/>
    <hyperlink ref="C234" r:id="rId367" xr:uid="{BCB470D8-6E7A-4E73-8706-E5846025382A}"/>
    <hyperlink ref="F234" r:id="rId368" xr:uid="{F490B6ED-EDCE-4135-8819-1F623D42C1AD}"/>
    <hyperlink ref="C230" r:id="rId369" xr:uid="{0833A697-9760-475D-AA70-9753F01D3397}"/>
    <hyperlink ref="F231" r:id="rId370" xr:uid="{BBD7D19D-35DC-4477-AF3D-79204AD4E8D7}"/>
    <hyperlink ref="C33" r:id="rId371" xr:uid="{C4C0E35C-770F-42CE-9844-FF09B1493CC1}"/>
    <hyperlink ref="C35" r:id="rId372" xr:uid="{553BD786-FFFF-46B5-BC0B-F6DF4C2DFD35}"/>
    <hyperlink ref="C39" r:id="rId373" xr:uid="{78DB8A11-A1CC-4187-910A-DB7275D161D1}"/>
    <hyperlink ref="C42" r:id="rId374" xr:uid="{0C6400BB-7EE3-4981-BCC3-409FB58A64A2}"/>
    <hyperlink ref="C38" r:id="rId375" xr:uid="{CF20E694-3C0B-4CE4-87C8-555A1531E945}"/>
    <hyperlink ref="C36:C38" r:id="rId376" display="roberto.nascimento@suez.com" xr:uid="{B4866A21-CCC0-4A71-9600-0FE902F392B4}"/>
    <hyperlink ref="F33" r:id="rId377" xr:uid="{B4EB6776-7B6A-40AB-9901-25698712A1A1}"/>
    <hyperlink ref="F34:F44" r:id="rId378" display="renato.chialastri@suez.com" xr:uid="{51091745-28D4-4AB6-9C04-5A77C3BC1E8D}"/>
    <hyperlink ref="C318" r:id="rId379" xr:uid="{DB4E4AE6-EE3C-42BD-8015-57C091B1005F}"/>
    <hyperlink ref="F318" r:id="rId380" xr:uid="{B6AAF129-18EC-4507-BBCC-5D9D8A5382FA}"/>
    <hyperlink ref="F136" r:id="rId381" xr:uid="{BA35C285-35D7-4E8B-9B26-D0A32AEA7C75}"/>
    <hyperlink ref="F137" r:id="rId382" xr:uid="{0929D67B-45FB-4DD4-BF14-4A5888CD4084}"/>
    <hyperlink ref="F138" r:id="rId383" xr:uid="{0278B4EF-A7DA-48CA-B6C0-CED22AD8685D}"/>
    <hyperlink ref="C319" r:id="rId384" xr:uid="{5ED6B708-D826-4B54-8521-CE08A72D5520}"/>
    <hyperlink ref="F319" r:id="rId385" xr:uid="{E2EFD052-D4E5-433E-8F18-3973F5D1A866}"/>
    <hyperlink ref="C320" r:id="rId386" xr:uid="{F7DE3E39-934B-48D3-93FD-12CFD90E55C3}"/>
    <hyperlink ref="F320" r:id="rId387" xr:uid="{68989192-418B-4B18-9D42-B0239DB5C3BD}"/>
    <hyperlink ref="C321" r:id="rId388" xr:uid="{13239A2E-5029-4541-B05C-7ACE4EFECD8F}"/>
    <hyperlink ref="F321" r:id="rId389" xr:uid="{DFD025D6-67CA-4158-B995-77D5E80C5741}"/>
    <hyperlink ref="C322" r:id="rId390" xr:uid="{06172473-FA15-4915-AE22-0EED5D182C17}"/>
    <hyperlink ref="F322" r:id="rId391" xr:uid="{45DEE655-4F87-4494-8B74-D2CE9CF9290D}"/>
    <hyperlink ref="C254" r:id="rId392" xr:uid="{F40D99B1-61D8-42CE-B769-A301EA4EC71C}"/>
    <hyperlink ref="F255" r:id="rId393" xr:uid="{E698F4F5-F9CF-4250-A85D-31156C53ED91}"/>
    <hyperlink ref="C256" r:id="rId394" xr:uid="{1D7B5EE7-F1AF-40EC-9601-DAD3BC30AF0B}"/>
    <hyperlink ref="C257" r:id="rId395" xr:uid="{7171D0EA-CF63-4DA8-9E25-3035C5BD824E}"/>
    <hyperlink ref="F323" r:id="rId396" xr:uid="{E1308B21-979A-4A2E-89ED-E0EBA2C2741F}"/>
    <hyperlink ref="C323" r:id="rId397" xr:uid="{9262BB25-D349-4A63-917F-597673E71CD6}"/>
    <hyperlink ref="F40" r:id="rId398" xr:uid="{BFB91947-20D3-4607-9FCF-A1A60E0CB106}"/>
    <hyperlink ref="C255" r:id="rId399" xr:uid="{5745077C-8C6F-4C31-8A96-CF4CA80889C9}"/>
    <hyperlink ref="F252" r:id="rId400" xr:uid="{B5B1CD89-2C5F-4978-95E1-90E249CC4220}"/>
    <hyperlink ref="C252" r:id="rId401" xr:uid="{327E228B-6F11-47D5-BAD9-8E1C9A8BD92E}"/>
    <hyperlink ref="F253" r:id="rId402" xr:uid="{AC555887-6F53-4B64-9E41-6E869E887634}"/>
    <hyperlink ref="C253" r:id="rId403" xr:uid="{1CFF4839-BBC8-486F-A02B-8AFD4E56CCFA}"/>
    <hyperlink ref="C259:C264" r:id="rId404" display="marcelo.bovolenta@suez.com" xr:uid="{5B49C0C2-AF7E-46FA-8047-D7E3F05F6281}"/>
    <hyperlink ref="C324" r:id="rId405" xr:uid="{730F8E6E-771D-4AC7-89FE-5CFA55771AA5}"/>
    <hyperlink ref="F324" r:id="rId406" xr:uid="{99DC4BF8-F94B-4C1E-B729-934C02D16549}"/>
    <hyperlink ref="C43" r:id="rId407" xr:uid="{8E0C9A4A-D3AA-43F3-A1F5-3480012A308F}"/>
    <hyperlink ref="C36" r:id="rId408" xr:uid="{F1CE2818-5753-40B4-BBBE-8C34117F536B}"/>
    <hyperlink ref="C222" r:id="rId409" xr:uid="{26F7049D-59FA-4F6E-9FF4-C5826D271D91}"/>
    <hyperlink ref="C221" r:id="rId410" xr:uid="{D4D91DBD-51A7-48E7-9E5C-35F9A1BB297E}"/>
    <hyperlink ref="F221" r:id="rId411" xr:uid="{F5DA92B4-FF9F-4A85-9BE1-E025846CEBDC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9553-EB49-4FEE-B96F-ACFFFB87C8BE}">
  <dimension ref="A1:V271"/>
  <sheetViews>
    <sheetView workbookViewId="0">
      <selection activeCell="A7" sqref="A7"/>
    </sheetView>
  </sheetViews>
  <sheetFormatPr defaultRowHeight="15"/>
  <cols>
    <col min="1" max="1" width="12.5703125" bestFit="1" customWidth="1"/>
    <col min="2" max="2" width="38.42578125" bestFit="1" customWidth="1"/>
    <col min="3" max="3" width="32.7109375" bestFit="1" customWidth="1"/>
    <col min="4" max="4" width="21.7109375" customWidth="1"/>
    <col min="5" max="5" width="31.85546875" bestFit="1" customWidth="1"/>
    <col min="6" max="6" width="33.140625" bestFit="1" customWidth="1"/>
    <col min="7" max="7" width="22.7109375" bestFit="1" customWidth="1"/>
    <col min="8" max="8" width="12.85546875" bestFit="1" customWidth="1"/>
    <col min="9" max="9" width="18" bestFit="1" customWidth="1"/>
    <col min="10" max="10" width="19" bestFit="1" customWidth="1"/>
    <col min="11" max="11" width="16.85546875" bestFit="1" customWidth="1"/>
    <col min="12" max="12" width="15.28515625" bestFit="1" customWidth="1"/>
    <col min="13" max="13" width="23.5703125" bestFit="1" customWidth="1"/>
    <col min="14" max="14" width="34.5703125" bestFit="1" customWidth="1"/>
    <col min="15" max="15" width="15.85546875" bestFit="1" customWidth="1"/>
    <col min="16" max="16" width="12" bestFit="1" customWidth="1"/>
    <col min="17" max="17" width="15.5703125" bestFit="1" customWidth="1"/>
    <col min="18" max="18" width="12.7109375" bestFit="1" customWidth="1"/>
    <col min="19" max="19" width="9.5703125" bestFit="1" customWidth="1"/>
    <col min="20" max="20" width="10.85546875" bestFit="1" customWidth="1"/>
  </cols>
  <sheetData>
    <row r="1" spans="1:22" s="40" customFormat="1" ht="30.75" customHeight="1">
      <c r="A1" s="3" t="s">
        <v>897</v>
      </c>
      <c r="B1" s="3" t="s">
        <v>274</v>
      </c>
      <c r="C1" s="3" t="s">
        <v>275</v>
      </c>
      <c r="D1" s="3" t="s">
        <v>276</v>
      </c>
      <c r="E1" s="3" t="s">
        <v>277</v>
      </c>
      <c r="F1" s="3" t="s">
        <v>278</v>
      </c>
      <c r="G1" s="3" t="s">
        <v>279</v>
      </c>
      <c r="H1" s="2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2" t="s">
        <v>15</v>
      </c>
      <c r="N1" s="2" t="s">
        <v>280</v>
      </c>
      <c r="O1" s="39" t="s">
        <v>282</v>
      </c>
      <c r="P1" s="39" t="s">
        <v>17</v>
      </c>
      <c r="Q1" s="2" t="s">
        <v>283</v>
      </c>
      <c r="R1" s="2" t="s">
        <v>284</v>
      </c>
      <c r="S1" s="2" t="s">
        <v>898</v>
      </c>
      <c r="T1" s="2" t="s">
        <v>1188</v>
      </c>
    </row>
    <row r="2" spans="1:22">
      <c r="A2" t="s">
        <v>899</v>
      </c>
      <c r="B2" t="s">
        <v>618</v>
      </c>
      <c r="C2" s="41" t="s">
        <v>619</v>
      </c>
      <c r="D2" s="34" t="s">
        <v>620</v>
      </c>
      <c r="E2" t="s">
        <v>399</v>
      </c>
      <c r="F2" s="41" t="s">
        <v>397</v>
      </c>
      <c r="G2" s="34" t="s">
        <v>621</v>
      </c>
      <c r="H2" s="34" t="s">
        <v>202</v>
      </c>
      <c r="I2" s="34" t="s">
        <v>2</v>
      </c>
      <c r="J2" s="42" t="s">
        <v>209</v>
      </c>
      <c r="K2" s="34" t="s">
        <v>48</v>
      </c>
      <c r="L2" s="34" t="s">
        <v>210</v>
      </c>
      <c r="M2" s="34" t="s">
        <v>211</v>
      </c>
      <c r="N2" s="34" t="s">
        <v>332</v>
      </c>
      <c r="O2" s="43">
        <v>44239</v>
      </c>
      <c r="P2" s="43" t="s">
        <v>25</v>
      </c>
      <c r="Q2" s="42" t="s">
        <v>900</v>
      </c>
      <c r="R2" s="34" t="s">
        <v>901</v>
      </c>
      <c r="S2" s="34"/>
      <c r="T2" t="s">
        <v>1187</v>
      </c>
      <c r="U2">
        <f>IF(O2&lt;&gt;"",MONTH(O2),"")</f>
        <v>2</v>
      </c>
      <c r="V2">
        <f>VLOOKUP(I2,Indicadores!$N$4:$Q$15,4,0)</f>
        <v>456.77</v>
      </c>
    </row>
    <row r="3" spans="1:22">
      <c r="A3" t="s">
        <v>899</v>
      </c>
      <c r="B3" t="s">
        <v>618</v>
      </c>
      <c r="C3" s="41" t="s">
        <v>619</v>
      </c>
      <c r="D3" s="34" t="s">
        <v>620</v>
      </c>
      <c r="E3" t="s">
        <v>399</v>
      </c>
      <c r="F3" s="41" t="s">
        <v>397</v>
      </c>
      <c r="G3" s="34" t="s">
        <v>621</v>
      </c>
      <c r="H3" s="34" t="s">
        <v>202</v>
      </c>
      <c r="I3" s="34" t="s">
        <v>7</v>
      </c>
      <c r="J3" s="42">
        <v>2902426</v>
      </c>
      <c r="K3" s="34" t="s">
        <v>56</v>
      </c>
      <c r="L3" s="34" t="s">
        <v>57</v>
      </c>
      <c r="M3" s="34" t="s">
        <v>211</v>
      </c>
      <c r="N3" s="34" t="s">
        <v>332</v>
      </c>
      <c r="O3" s="43">
        <v>44239</v>
      </c>
      <c r="P3" s="43" t="s">
        <v>25</v>
      </c>
      <c r="Q3" s="42" t="s">
        <v>902</v>
      </c>
      <c r="R3" s="34" t="s">
        <v>901</v>
      </c>
      <c r="S3" s="34"/>
      <c r="T3" t="s">
        <v>1187</v>
      </c>
      <c r="U3">
        <f t="shared" ref="U3:U66" si="0">IF(O3&lt;&gt;"",MONTH(O3),"")</f>
        <v>2</v>
      </c>
      <c r="V3">
        <f>VLOOKUP(I3,Indicadores!$N$4:$Q$15,4,0)</f>
        <v>329.87</v>
      </c>
    </row>
    <row r="4" spans="1:22">
      <c r="A4" t="s">
        <v>899</v>
      </c>
      <c r="B4" t="s">
        <v>618</v>
      </c>
      <c r="C4" s="41" t="s">
        <v>619</v>
      </c>
      <c r="D4" s="34" t="s">
        <v>620</v>
      </c>
      <c r="E4" t="s">
        <v>399</v>
      </c>
      <c r="F4" s="41" t="s">
        <v>397</v>
      </c>
      <c r="G4" s="34" t="s">
        <v>621</v>
      </c>
      <c r="H4" s="34" t="s">
        <v>202</v>
      </c>
      <c r="I4" s="34" t="s">
        <v>4</v>
      </c>
      <c r="J4" s="42" t="s">
        <v>747</v>
      </c>
      <c r="K4" s="34" t="s">
        <v>66</v>
      </c>
      <c r="L4" s="34" t="s">
        <v>63</v>
      </c>
      <c r="M4" s="34" t="s">
        <v>211</v>
      </c>
      <c r="N4" s="34" t="s">
        <v>332</v>
      </c>
      <c r="O4" s="43">
        <v>44306</v>
      </c>
      <c r="P4" s="43" t="s">
        <v>25</v>
      </c>
      <c r="Q4" s="42" t="s">
        <v>903</v>
      </c>
      <c r="R4" s="34" t="s">
        <v>901</v>
      </c>
      <c r="T4" t="s">
        <v>1187</v>
      </c>
      <c r="U4">
        <f>IF(O4&lt;&gt;"",MONTH(O4),"")</f>
        <v>4</v>
      </c>
      <c r="V4">
        <f>VLOOKUP(I4,Indicadores!$N$4:$Q$15,4,0)</f>
        <v>329.87</v>
      </c>
    </row>
    <row r="5" spans="1:22">
      <c r="A5" t="s">
        <v>899</v>
      </c>
      <c r="B5" t="s">
        <v>692</v>
      </c>
      <c r="C5" s="41" t="s">
        <v>693</v>
      </c>
      <c r="D5" s="34" t="s">
        <v>694</v>
      </c>
      <c r="E5" t="s">
        <v>399</v>
      </c>
      <c r="F5" s="41" t="s">
        <v>397</v>
      </c>
      <c r="G5" s="34" t="s">
        <v>374</v>
      </c>
      <c r="H5" s="34" t="s">
        <v>202</v>
      </c>
      <c r="I5" s="34" t="s">
        <v>5</v>
      </c>
      <c r="J5" s="42" t="s">
        <v>216</v>
      </c>
      <c r="K5" s="34" t="s">
        <v>217</v>
      </c>
      <c r="L5" s="34" t="s">
        <v>218</v>
      </c>
      <c r="M5" s="34" t="s">
        <v>219</v>
      </c>
      <c r="N5" s="34" t="s">
        <v>332</v>
      </c>
      <c r="O5" s="44">
        <v>43843</v>
      </c>
      <c r="P5" s="44" t="s">
        <v>46</v>
      </c>
      <c r="Q5" s="34" t="s">
        <v>904</v>
      </c>
      <c r="R5" s="34" t="s">
        <v>901</v>
      </c>
      <c r="S5" s="34"/>
      <c r="T5" t="s">
        <v>1187</v>
      </c>
      <c r="U5">
        <f t="shared" si="0"/>
        <v>1</v>
      </c>
      <c r="V5">
        <f>VLOOKUP(I5,Indicadores!$N$4:$Q$15,4,0)</f>
        <v>895.23</v>
      </c>
    </row>
    <row r="6" spans="1:22">
      <c r="A6" t="s">
        <v>899</v>
      </c>
      <c r="B6" t="s">
        <v>396</v>
      </c>
      <c r="C6" s="41" t="s">
        <v>397</v>
      </c>
      <c r="D6" s="34" t="s">
        <v>398</v>
      </c>
      <c r="E6" t="s">
        <v>399</v>
      </c>
      <c r="F6" s="41" t="s">
        <v>397</v>
      </c>
      <c r="G6" s="34" t="s">
        <v>374</v>
      </c>
      <c r="H6" s="34" t="s">
        <v>202</v>
      </c>
      <c r="I6" s="34" t="s">
        <v>3</v>
      </c>
      <c r="J6" s="45">
        <v>153160001028</v>
      </c>
      <c r="K6" s="34" t="s">
        <v>21</v>
      </c>
      <c r="L6" s="34" t="s">
        <v>96</v>
      </c>
      <c r="M6" s="34" t="s">
        <v>219</v>
      </c>
      <c r="N6" s="34" t="s">
        <v>332</v>
      </c>
      <c r="O6" s="43">
        <v>43978</v>
      </c>
      <c r="P6" s="43" t="s">
        <v>25</v>
      </c>
      <c r="Q6" s="42" t="s">
        <v>905</v>
      </c>
      <c r="R6" s="34" t="s">
        <v>901</v>
      </c>
      <c r="S6" s="34"/>
      <c r="T6" t="s">
        <v>1187</v>
      </c>
      <c r="U6">
        <f t="shared" si="0"/>
        <v>5</v>
      </c>
      <c r="V6">
        <f>VLOOKUP(I6,Indicadores!$N$4:$Q$15,4,0)</f>
        <v>552.64</v>
      </c>
    </row>
    <row r="7" spans="1:22" ht="14.25" customHeight="1">
      <c r="A7" t="s">
        <v>899</v>
      </c>
      <c r="B7" t="s">
        <v>396</v>
      </c>
      <c r="C7" s="41" t="s">
        <v>397</v>
      </c>
      <c r="D7" s="34" t="s">
        <v>398</v>
      </c>
      <c r="E7" t="s">
        <v>399</v>
      </c>
      <c r="F7" s="41" t="s">
        <v>397</v>
      </c>
      <c r="G7" s="34" t="s">
        <v>374</v>
      </c>
      <c r="H7" s="34" t="s">
        <v>202</v>
      </c>
      <c r="I7" s="34" t="s">
        <v>9</v>
      </c>
      <c r="J7" s="42" t="s">
        <v>227</v>
      </c>
      <c r="K7" s="34" t="s">
        <v>21</v>
      </c>
      <c r="L7" s="34" t="s">
        <v>29</v>
      </c>
      <c r="M7" s="34" t="s">
        <v>219</v>
      </c>
      <c r="N7" s="34" t="s">
        <v>332</v>
      </c>
      <c r="O7" s="43">
        <v>43978</v>
      </c>
      <c r="P7" s="43" t="s">
        <v>25</v>
      </c>
      <c r="Q7" s="42" t="s">
        <v>906</v>
      </c>
      <c r="R7" s="34" t="s">
        <v>901</v>
      </c>
      <c r="S7" s="34"/>
      <c r="T7" t="s">
        <v>1187</v>
      </c>
      <c r="U7">
        <f t="shared" si="0"/>
        <v>5</v>
      </c>
      <c r="V7">
        <f>VLOOKUP(I7,Indicadores!$N$4:$Q$15,4,0)</f>
        <v>521.79999999999995</v>
      </c>
    </row>
    <row r="8" spans="1:22">
      <c r="A8" t="s">
        <v>899</v>
      </c>
      <c r="B8" t="s">
        <v>513</v>
      </c>
      <c r="C8" s="46" t="s">
        <v>514</v>
      </c>
      <c r="D8" s="34" t="s">
        <v>515</v>
      </c>
      <c r="E8" t="s">
        <v>399</v>
      </c>
      <c r="F8" s="41" t="s">
        <v>397</v>
      </c>
      <c r="G8" s="47" t="s">
        <v>374</v>
      </c>
      <c r="H8" s="34" t="s">
        <v>202</v>
      </c>
      <c r="I8" s="34" t="s">
        <v>5</v>
      </c>
      <c r="J8" s="42">
        <v>1207916</v>
      </c>
      <c r="K8" s="34" t="s">
        <v>21</v>
      </c>
      <c r="L8" s="34" t="s">
        <v>34</v>
      </c>
      <c r="M8" s="34" t="s">
        <v>219</v>
      </c>
      <c r="N8" s="34" t="s">
        <v>332</v>
      </c>
      <c r="O8" s="43">
        <v>43978</v>
      </c>
      <c r="P8" s="43" t="s">
        <v>25</v>
      </c>
      <c r="Q8" s="42" t="s">
        <v>907</v>
      </c>
      <c r="R8" s="34" t="s">
        <v>901</v>
      </c>
      <c r="S8" s="34"/>
      <c r="T8" t="s">
        <v>1187</v>
      </c>
      <c r="U8">
        <f t="shared" si="0"/>
        <v>5</v>
      </c>
      <c r="V8">
        <f>VLOOKUP(I8,Indicadores!$N$4:$Q$15,4,0)</f>
        <v>895.23</v>
      </c>
    </row>
    <row r="9" spans="1:22">
      <c r="A9" t="s">
        <v>899</v>
      </c>
      <c r="B9" t="s">
        <v>513</v>
      </c>
      <c r="C9" s="46" t="s">
        <v>514</v>
      </c>
      <c r="D9" s="34" t="s">
        <v>515</v>
      </c>
      <c r="E9" t="s">
        <v>399</v>
      </c>
      <c r="F9" s="41" t="s">
        <v>397</v>
      </c>
      <c r="G9" s="34" t="s">
        <v>374</v>
      </c>
      <c r="H9" s="34" t="s">
        <v>202</v>
      </c>
      <c r="I9" s="34" t="s">
        <v>8</v>
      </c>
      <c r="J9" s="42">
        <v>1137166</v>
      </c>
      <c r="K9" s="34" t="s">
        <v>21</v>
      </c>
      <c r="L9" s="34" t="s">
        <v>44</v>
      </c>
      <c r="M9" s="34" t="s">
        <v>219</v>
      </c>
      <c r="N9" s="34" t="s">
        <v>332</v>
      </c>
      <c r="O9" s="43">
        <v>43978</v>
      </c>
      <c r="P9" s="43" t="s">
        <v>25</v>
      </c>
      <c r="Q9" s="42" t="s">
        <v>908</v>
      </c>
      <c r="R9" s="34" t="s">
        <v>901</v>
      </c>
      <c r="S9" s="34"/>
      <c r="T9" t="s">
        <v>1187</v>
      </c>
      <c r="U9">
        <f t="shared" si="0"/>
        <v>5</v>
      </c>
      <c r="V9">
        <f>VLOOKUP(I9,Indicadores!$N$4:$Q$15,4,0)</f>
        <v>462.11</v>
      </c>
    </row>
    <row r="10" spans="1:22">
      <c r="A10" t="s">
        <v>899</v>
      </c>
      <c r="B10" t="s">
        <v>513</v>
      </c>
      <c r="C10" s="46" t="s">
        <v>514</v>
      </c>
      <c r="D10" s="34" t="s">
        <v>515</v>
      </c>
      <c r="E10" t="s">
        <v>399</v>
      </c>
      <c r="F10" s="41" t="s">
        <v>397</v>
      </c>
      <c r="G10" s="34" t="s">
        <v>374</v>
      </c>
      <c r="H10" s="34" t="s">
        <v>202</v>
      </c>
      <c r="I10" s="34" t="s">
        <v>9</v>
      </c>
      <c r="J10" s="42" t="s">
        <v>224</v>
      </c>
      <c r="K10" s="34" t="s">
        <v>21</v>
      </c>
      <c r="L10" s="34" t="s">
        <v>29</v>
      </c>
      <c r="M10" s="34" t="s">
        <v>219</v>
      </c>
      <c r="N10" s="34" t="s">
        <v>332</v>
      </c>
      <c r="O10" s="43">
        <v>43978</v>
      </c>
      <c r="P10" s="43" t="s">
        <v>25</v>
      </c>
      <c r="Q10" s="42" t="s">
        <v>909</v>
      </c>
      <c r="R10" s="34" t="s">
        <v>901</v>
      </c>
      <c r="S10" s="34"/>
      <c r="T10" t="s">
        <v>1187</v>
      </c>
      <c r="U10">
        <f t="shared" si="0"/>
        <v>5</v>
      </c>
      <c r="V10">
        <f>VLOOKUP(I10,Indicadores!$N$4:$Q$15,4,0)</f>
        <v>521.79999999999995</v>
      </c>
    </row>
    <row r="11" spans="1:22" s="48" customFormat="1">
      <c r="A11" t="s">
        <v>899</v>
      </c>
      <c r="B11" t="s">
        <v>501</v>
      </c>
      <c r="C11" s="41" t="s">
        <v>495</v>
      </c>
      <c r="D11" s="34" t="s">
        <v>502</v>
      </c>
      <c r="E11" t="s">
        <v>399</v>
      </c>
      <c r="F11" s="41" t="s">
        <v>397</v>
      </c>
      <c r="G11" s="34" t="s">
        <v>374</v>
      </c>
      <c r="H11" s="34" t="s">
        <v>202</v>
      </c>
      <c r="I11" s="34" t="s">
        <v>7</v>
      </c>
      <c r="J11" s="45">
        <v>1827001035259</v>
      </c>
      <c r="K11" s="34" t="s">
        <v>225</v>
      </c>
      <c r="L11" s="34" t="s">
        <v>226</v>
      </c>
      <c r="M11" s="34" t="s">
        <v>219</v>
      </c>
      <c r="N11" s="34" t="s">
        <v>332</v>
      </c>
      <c r="O11" s="43">
        <v>43978</v>
      </c>
      <c r="P11" s="43" t="s">
        <v>25</v>
      </c>
      <c r="Q11" s="42" t="s">
        <v>910</v>
      </c>
      <c r="R11" s="34" t="s">
        <v>901</v>
      </c>
      <c r="S11" s="34"/>
      <c r="T11" t="s">
        <v>1187</v>
      </c>
      <c r="U11">
        <f t="shared" si="0"/>
        <v>5</v>
      </c>
      <c r="V11">
        <f>VLOOKUP(I11,Indicadores!$N$4:$Q$15,4,0)</f>
        <v>329.87</v>
      </c>
    </row>
    <row r="12" spans="1:22" s="48" customFormat="1">
      <c r="A12" t="s">
        <v>899</v>
      </c>
      <c r="B12" t="s">
        <v>396</v>
      </c>
      <c r="C12" s="41" t="s">
        <v>397</v>
      </c>
      <c r="D12" s="34" t="s">
        <v>398</v>
      </c>
      <c r="E12" t="s">
        <v>399</v>
      </c>
      <c r="F12" s="41" t="s">
        <v>397</v>
      </c>
      <c r="G12" s="34" t="s">
        <v>374</v>
      </c>
      <c r="H12" s="34" t="s">
        <v>202</v>
      </c>
      <c r="I12" s="34" t="s">
        <v>7</v>
      </c>
      <c r="J12" s="45">
        <v>2296242</v>
      </c>
      <c r="K12" s="34" t="s">
        <v>56</v>
      </c>
      <c r="L12" s="34" t="s">
        <v>57</v>
      </c>
      <c r="M12" s="34" t="s">
        <v>219</v>
      </c>
      <c r="N12" s="34" t="s">
        <v>332</v>
      </c>
      <c r="O12" s="43">
        <v>43979</v>
      </c>
      <c r="P12" s="43" t="s">
        <v>25</v>
      </c>
      <c r="Q12" s="42" t="s">
        <v>911</v>
      </c>
      <c r="R12" s="34" t="s">
        <v>901</v>
      </c>
      <c r="S12" s="34"/>
      <c r="T12" t="s">
        <v>1187</v>
      </c>
      <c r="U12">
        <f t="shared" si="0"/>
        <v>5</v>
      </c>
      <c r="V12">
        <f>VLOOKUP(I12,Indicadores!$N$4:$Q$15,4,0)</f>
        <v>329.87</v>
      </c>
    </row>
    <row r="13" spans="1:22" s="48" customFormat="1">
      <c r="A13" t="s">
        <v>899</v>
      </c>
      <c r="B13" t="s">
        <v>396</v>
      </c>
      <c r="C13" s="41" t="s">
        <v>397</v>
      </c>
      <c r="D13" s="34" t="s">
        <v>398</v>
      </c>
      <c r="E13" t="s">
        <v>399</v>
      </c>
      <c r="F13" s="41" t="s">
        <v>397</v>
      </c>
      <c r="G13" s="34" t="s">
        <v>374</v>
      </c>
      <c r="H13" s="34" t="s">
        <v>202</v>
      </c>
      <c r="I13" s="34" t="s">
        <v>8</v>
      </c>
      <c r="J13" s="42" t="s">
        <v>229</v>
      </c>
      <c r="K13" s="34" t="s">
        <v>21</v>
      </c>
      <c r="L13" s="34" t="s">
        <v>44</v>
      </c>
      <c r="M13" s="34" t="s">
        <v>219</v>
      </c>
      <c r="N13" s="34" t="s">
        <v>332</v>
      </c>
      <c r="O13" s="43">
        <v>43979</v>
      </c>
      <c r="P13" s="43" t="s">
        <v>25</v>
      </c>
      <c r="Q13" s="42" t="s">
        <v>912</v>
      </c>
      <c r="R13" s="34" t="s">
        <v>901</v>
      </c>
      <c r="S13" s="34"/>
      <c r="T13" t="s">
        <v>1187</v>
      </c>
      <c r="U13">
        <f t="shared" si="0"/>
        <v>5</v>
      </c>
      <c r="V13">
        <f>VLOOKUP(I13,Indicadores!$N$4:$Q$15,4,0)</f>
        <v>462.11</v>
      </c>
    </row>
    <row r="14" spans="1:22">
      <c r="A14" t="s">
        <v>899</v>
      </c>
      <c r="B14" t="s">
        <v>501</v>
      </c>
      <c r="C14" s="41" t="s">
        <v>495</v>
      </c>
      <c r="D14" s="34" t="s">
        <v>502</v>
      </c>
      <c r="E14" t="s">
        <v>399</v>
      </c>
      <c r="F14" s="41" t="s">
        <v>397</v>
      </c>
      <c r="G14" s="34" t="s">
        <v>374</v>
      </c>
      <c r="H14" s="34" t="s">
        <v>202</v>
      </c>
      <c r="I14" s="34" t="s">
        <v>9</v>
      </c>
      <c r="J14" s="45" t="s">
        <v>228</v>
      </c>
      <c r="K14" s="34" t="s">
        <v>21</v>
      </c>
      <c r="L14" s="34" t="s">
        <v>29</v>
      </c>
      <c r="M14" s="34" t="s">
        <v>219</v>
      </c>
      <c r="N14" s="34" t="s">
        <v>332</v>
      </c>
      <c r="O14" s="43">
        <v>43979</v>
      </c>
      <c r="P14" s="43" t="s">
        <v>25</v>
      </c>
      <c r="Q14" s="42" t="s">
        <v>913</v>
      </c>
      <c r="R14" s="34" t="s">
        <v>901</v>
      </c>
      <c r="S14" s="34"/>
      <c r="T14" t="s">
        <v>1187</v>
      </c>
      <c r="U14">
        <f t="shared" si="0"/>
        <v>5</v>
      </c>
      <c r="V14">
        <f>VLOOKUP(I14,Indicadores!$N$4:$Q$15,4,0)</f>
        <v>521.79999999999995</v>
      </c>
    </row>
    <row r="15" spans="1:22">
      <c r="A15" t="s">
        <v>899</v>
      </c>
      <c r="B15" t="s">
        <v>396</v>
      </c>
      <c r="C15" s="41" t="s">
        <v>397</v>
      </c>
      <c r="D15" s="34" t="s">
        <v>398</v>
      </c>
      <c r="E15" t="s">
        <v>399</v>
      </c>
      <c r="F15" s="41" t="s">
        <v>397</v>
      </c>
      <c r="G15" s="34" t="s">
        <v>374</v>
      </c>
      <c r="H15" s="34" t="s">
        <v>202</v>
      </c>
      <c r="I15" s="34" t="s">
        <v>5</v>
      </c>
      <c r="J15" s="45">
        <v>160110001009</v>
      </c>
      <c r="K15" s="34" t="s">
        <v>21</v>
      </c>
      <c r="L15" s="34" t="s">
        <v>80</v>
      </c>
      <c r="M15" s="34" t="s">
        <v>219</v>
      </c>
      <c r="N15" s="34" t="s">
        <v>332</v>
      </c>
      <c r="O15" s="43">
        <v>43980</v>
      </c>
      <c r="P15" s="43" t="s">
        <v>25</v>
      </c>
      <c r="Q15" s="42" t="s">
        <v>914</v>
      </c>
      <c r="R15" s="34" t="s">
        <v>901</v>
      </c>
      <c r="S15" s="34"/>
      <c r="T15" t="s">
        <v>1187</v>
      </c>
      <c r="U15">
        <f t="shared" si="0"/>
        <v>5</v>
      </c>
      <c r="V15">
        <f>VLOOKUP(I15,Indicadores!$N$4:$Q$15,4,0)</f>
        <v>895.23</v>
      </c>
    </row>
    <row r="16" spans="1:22">
      <c r="A16" t="s">
        <v>899</v>
      </c>
      <c r="B16" t="s">
        <v>501</v>
      </c>
      <c r="C16" s="41" t="s">
        <v>495</v>
      </c>
      <c r="D16" s="34" t="s">
        <v>502</v>
      </c>
      <c r="E16" t="s">
        <v>399</v>
      </c>
      <c r="F16" s="41" t="s">
        <v>397</v>
      </c>
      <c r="G16" s="34" t="s">
        <v>374</v>
      </c>
      <c r="H16" s="34" t="s">
        <v>202</v>
      </c>
      <c r="I16" s="34" t="s">
        <v>5</v>
      </c>
      <c r="J16" s="45">
        <v>1217253</v>
      </c>
      <c r="K16" s="34" t="s">
        <v>21</v>
      </c>
      <c r="L16" s="34" t="s">
        <v>34</v>
      </c>
      <c r="M16" s="34" t="s">
        <v>219</v>
      </c>
      <c r="N16" s="34" t="s">
        <v>332</v>
      </c>
      <c r="O16" s="43">
        <v>43980</v>
      </c>
      <c r="P16" s="43" t="s">
        <v>25</v>
      </c>
      <c r="Q16" s="42" t="s">
        <v>915</v>
      </c>
      <c r="R16" s="34" t="s">
        <v>901</v>
      </c>
      <c r="S16" s="34"/>
      <c r="T16" t="s">
        <v>1187</v>
      </c>
      <c r="U16">
        <f t="shared" si="0"/>
        <v>5</v>
      </c>
      <c r="V16">
        <f>VLOOKUP(I16,Indicadores!$N$4:$Q$15,4,0)</f>
        <v>895.23</v>
      </c>
    </row>
    <row r="17" spans="1:22">
      <c r="A17" t="s">
        <v>899</v>
      </c>
      <c r="B17" t="s">
        <v>692</v>
      </c>
      <c r="C17" s="41" t="s">
        <v>693</v>
      </c>
      <c r="D17" s="34" t="s">
        <v>694</v>
      </c>
      <c r="E17" t="s">
        <v>399</v>
      </c>
      <c r="F17" s="41" t="s">
        <v>397</v>
      </c>
      <c r="G17" s="34" t="s">
        <v>374</v>
      </c>
      <c r="H17" s="34" t="s">
        <v>202</v>
      </c>
      <c r="I17" s="34" t="s">
        <v>5</v>
      </c>
      <c r="J17" s="42">
        <v>1325219</v>
      </c>
      <c r="K17" s="34" t="s">
        <v>21</v>
      </c>
      <c r="L17" s="34" t="s">
        <v>34</v>
      </c>
      <c r="M17" s="34" t="s">
        <v>219</v>
      </c>
      <c r="N17" s="34" t="s">
        <v>332</v>
      </c>
      <c r="O17" s="43">
        <v>44239</v>
      </c>
      <c r="P17" s="44" t="s">
        <v>25</v>
      </c>
      <c r="Q17" s="34" t="s">
        <v>916</v>
      </c>
      <c r="R17" s="34" t="s">
        <v>901</v>
      </c>
      <c r="S17" s="34"/>
      <c r="T17" t="s">
        <v>1187</v>
      </c>
      <c r="U17">
        <f t="shared" si="0"/>
        <v>2</v>
      </c>
      <c r="V17">
        <f>VLOOKUP(I17,Indicadores!$N$4:$Q$15,4,0)</f>
        <v>895.23</v>
      </c>
    </row>
    <row r="18" spans="1:22">
      <c r="A18" t="s">
        <v>899</v>
      </c>
      <c r="B18" t="s">
        <v>692</v>
      </c>
      <c r="C18" s="41" t="s">
        <v>693</v>
      </c>
      <c r="D18" s="34" t="s">
        <v>694</v>
      </c>
      <c r="E18" t="s">
        <v>399</v>
      </c>
      <c r="F18" s="41" t="s">
        <v>397</v>
      </c>
      <c r="G18" s="34" t="s">
        <v>374</v>
      </c>
      <c r="H18" s="34" t="s">
        <v>202</v>
      </c>
      <c r="I18" s="34" t="s">
        <v>7</v>
      </c>
      <c r="J18" s="42" t="s">
        <v>220</v>
      </c>
      <c r="K18" s="34" t="s">
        <v>221</v>
      </c>
      <c r="L18" s="34" t="s">
        <v>222</v>
      </c>
      <c r="M18" s="34" t="s">
        <v>219</v>
      </c>
      <c r="N18" s="34" t="s">
        <v>332</v>
      </c>
      <c r="O18" s="44">
        <v>44239</v>
      </c>
      <c r="P18" s="44" t="s">
        <v>25</v>
      </c>
      <c r="Q18" s="34" t="s">
        <v>917</v>
      </c>
      <c r="R18" s="34" t="s">
        <v>901</v>
      </c>
      <c r="S18" s="34"/>
      <c r="T18" t="s">
        <v>1187</v>
      </c>
      <c r="U18">
        <f t="shared" si="0"/>
        <v>2</v>
      </c>
      <c r="V18">
        <f>VLOOKUP(I18,Indicadores!$N$4:$Q$15,4,0)</f>
        <v>329.87</v>
      </c>
    </row>
    <row r="19" spans="1:22">
      <c r="A19" t="s">
        <v>899</v>
      </c>
      <c r="B19" t="s">
        <v>396</v>
      </c>
      <c r="C19" s="41" t="s">
        <v>397</v>
      </c>
      <c r="D19" s="34" t="s">
        <v>398</v>
      </c>
      <c r="E19" t="s">
        <v>399</v>
      </c>
      <c r="F19" s="41" t="s">
        <v>397</v>
      </c>
      <c r="G19" s="34" t="s">
        <v>374</v>
      </c>
      <c r="H19" s="34" t="s">
        <v>202</v>
      </c>
      <c r="I19" s="38" t="s">
        <v>4</v>
      </c>
      <c r="J19" s="42">
        <v>4239598</v>
      </c>
      <c r="K19" s="34" t="s">
        <v>26</v>
      </c>
      <c r="L19" s="34" t="s">
        <v>27</v>
      </c>
      <c r="M19" s="34" t="s">
        <v>219</v>
      </c>
      <c r="N19" s="34" t="s">
        <v>332</v>
      </c>
      <c r="O19" s="43">
        <v>44239</v>
      </c>
      <c r="P19" s="43" t="s">
        <v>25</v>
      </c>
      <c r="Q19" s="42" t="s">
        <v>918</v>
      </c>
      <c r="R19" s="34" t="s">
        <v>901</v>
      </c>
      <c r="S19" s="34"/>
      <c r="T19" t="s">
        <v>1187</v>
      </c>
      <c r="U19">
        <f t="shared" si="0"/>
        <v>2</v>
      </c>
      <c r="V19">
        <f>VLOOKUP(I19,Indicadores!$N$4:$Q$15,4,0)</f>
        <v>329.87</v>
      </c>
    </row>
    <row r="20" spans="1:22">
      <c r="A20" t="s">
        <v>899</v>
      </c>
      <c r="B20" t="s">
        <v>396</v>
      </c>
      <c r="C20" s="41" t="s">
        <v>397</v>
      </c>
      <c r="D20" s="34" t="s">
        <v>398</v>
      </c>
      <c r="E20" t="s">
        <v>399</v>
      </c>
      <c r="F20" s="41" t="s">
        <v>397</v>
      </c>
      <c r="G20" s="34" t="s">
        <v>374</v>
      </c>
      <c r="H20" s="34" t="s">
        <v>202</v>
      </c>
      <c r="I20" s="34" t="s">
        <v>835</v>
      </c>
      <c r="J20" s="42">
        <v>6203837</v>
      </c>
      <c r="K20" s="34" t="s">
        <v>26</v>
      </c>
      <c r="L20" s="34" t="s">
        <v>84</v>
      </c>
      <c r="M20" s="34" t="s">
        <v>219</v>
      </c>
      <c r="N20" s="34" t="s">
        <v>332</v>
      </c>
      <c r="O20" s="43">
        <v>44239</v>
      </c>
      <c r="P20" s="43" t="s">
        <v>25</v>
      </c>
      <c r="Q20" s="42" t="s">
        <v>919</v>
      </c>
      <c r="R20" s="34" t="s">
        <v>901</v>
      </c>
      <c r="S20" s="34"/>
      <c r="T20" t="s">
        <v>1187</v>
      </c>
      <c r="U20">
        <f t="shared" si="0"/>
        <v>2</v>
      </c>
      <c r="V20">
        <f>VLOOKUP(I20,Indicadores!$N$4:$Q$15,4,0)</f>
        <v>546.79</v>
      </c>
    </row>
    <row r="21" spans="1:22">
      <c r="A21" t="s">
        <v>899</v>
      </c>
      <c r="B21" t="s">
        <v>396</v>
      </c>
      <c r="C21" s="41" t="s">
        <v>397</v>
      </c>
      <c r="D21" s="34" t="s">
        <v>398</v>
      </c>
      <c r="E21" t="s">
        <v>399</v>
      </c>
      <c r="F21" s="41" t="s">
        <v>397</v>
      </c>
      <c r="G21" s="34" t="s">
        <v>374</v>
      </c>
      <c r="H21" s="34" t="s">
        <v>202</v>
      </c>
      <c r="I21" s="38" t="s">
        <v>835</v>
      </c>
      <c r="J21" s="42">
        <v>6261850</v>
      </c>
      <c r="K21" s="34" t="s">
        <v>26</v>
      </c>
      <c r="L21" s="34" t="s">
        <v>84</v>
      </c>
      <c r="M21" s="34" t="s">
        <v>219</v>
      </c>
      <c r="N21" s="34" t="s">
        <v>332</v>
      </c>
      <c r="O21" s="43">
        <v>44239</v>
      </c>
      <c r="P21" s="43" t="s">
        <v>25</v>
      </c>
      <c r="Q21" s="47" t="s">
        <v>920</v>
      </c>
      <c r="R21" s="34" t="s">
        <v>901</v>
      </c>
      <c r="S21" s="34"/>
      <c r="T21" t="s">
        <v>1187</v>
      </c>
      <c r="U21">
        <f t="shared" si="0"/>
        <v>2</v>
      </c>
      <c r="V21">
        <f>VLOOKUP(I21,Indicadores!$N$4:$Q$15,4,0)</f>
        <v>546.79</v>
      </c>
    </row>
    <row r="22" spans="1:22">
      <c r="A22" t="s">
        <v>899</v>
      </c>
      <c r="B22" t="s">
        <v>396</v>
      </c>
      <c r="C22" s="41" t="s">
        <v>397</v>
      </c>
      <c r="D22" s="34" t="s">
        <v>398</v>
      </c>
      <c r="E22" t="s">
        <v>399</v>
      </c>
      <c r="F22" s="41" t="s">
        <v>397</v>
      </c>
      <c r="G22" s="34" t="s">
        <v>374</v>
      </c>
      <c r="H22" s="34" t="s">
        <v>202</v>
      </c>
      <c r="I22" s="34" t="s">
        <v>7</v>
      </c>
      <c r="J22" s="42">
        <v>2909161</v>
      </c>
      <c r="K22" s="34" t="s">
        <v>56</v>
      </c>
      <c r="L22" s="34" t="s">
        <v>57</v>
      </c>
      <c r="M22" s="34" t="s">
        <v>219</v>
      </c>
      <c r="N22" s="34" t="s">
        <v>332</v>
      </c>
      <c r="O22" s="43">
        <v>44239</v>
      </c>
      <c r="P22" s="43" t="s">
        <v>25</v>
      </c>
      <c r="Q22" s="42" t="s">
        <v>921</v>
      </c>
      <c r="R22" s="34" t="s">
        <v>901</v>
      </c>
      <c r="S22" s="34"/>
      <c r="T22" t="s">
        <v>1187</v>
      </c>
      <c r="U22">
        <f t="shared" si="0"/>
        <v>2</v>
      </c>
      <c r="V22">
        <f>VLOOKUP(I22,Indicadores!$N$4:$Q$15,4,0)</f>
        <v>329.87</v>
      </c>
    </row>
    <row r="23" spans="1:22">
      <c r="A23" t="s">
        <v>899</v>
      </c>
      <c r="B23" t="s">
        <v>651</v>
      </c>
      <c r="C23" s="41" t="s">
        <v>654</v>
      </c>
      <c r="D23" s="34" t="s">
        <v>653</v>
      </c>
      <c r="E23" t="s">
        <v>651</v>
      </c>
      <c r="F23" s="41" t="s">
        <v>654</v>
      </c>
      <c r="G23" s="34" t="s">
        <v>625</v>
      </c>
      <c r="H23" s="34" t="s">
        <v>202</v>
      </c>
      <c r="I23" s="34" t="s">
        <v>3</v>
      </c>
      <c r="J23" s="42" t="s">
        <v>249</v>
      </c>
      <c r="K23" s="34" t="s">
        <v>21</v>
      </c>
      <c r="L23" s="34" t="s">
        <v>22</v>
      </c>
      <c r="M23" s="34" t="s">
        <v>236</v>
      </c>
      <c r="N23" s="34" t="s">
        <v>627</v>
      </c>
      <c r="O23" s="43">
        <v>43797</v>
      </c>
      <c r="P23" s="43" t="s">
        <v>46</v>
      </c>
      <c r="Q23" s="34" t="s">
        <v>922</v>
      </c>
      <c r="R23" s="34" t="s">
        <v>901</v>
      </c>
      <c r="S23" s="34"/>
      <c r="T23" t="s">
        <v>1187</v>
      </c>
      <c r="U23">
        <f t="shared" si="0"/>
        <v>11</v>
      </c>
      <c r="V23">
        <f>VLOOKUP(I23,Indicadores!$N$4:$Q$15,4,0)</f>
        <v>552.64</v>
      </c>
    </row>
    <row r="24" spans="1:22">
      <c r="A24" t="s">
        <v>899</v>
      </c>
      <c r="B24" t="s">
        <v>704</v>
      </c>
      <c r="C24" s="41" t="s">
        <v>923</v>
      </c>
      <c r="D24" s="34" t="s">
        <v>705</v>
      </c>
      <c r="E24" t="s">
        <v>924</v>
      </c>
      <c r="F24" s="41" t="s">
        <v>925</v>
      </c>
      <c r="G24" s="34" t="s">
        <v>625</v>
      </c>
      <c r="H24" s="34" t="s">
        <v>202</v>
      </c>
      <c r="I24" s="34" t="s">
        <v>9</v>
      </c>
      <c r="J24" s="45" t="s">
        <v>708</v>
      </c>
      <c r="K24" s="34" t="s">
        <v>21</v>
      </c>
      <c r="L24" s="34" t="s">
        <v>29</v>
      </c>
      <c r="M24" s="47" t="s">
        <v>236</v>
      </c>
      <c r="N24" s="34" t="s">
        <v>627</v>
      </c>
      <c r="O24" s="43">
        <v>43843</v>
      </c>
      <c r="P24" s="43" t="s">
        <v>46</v>
      </c>
      <c r="Q24" s="34" t="s">
        <v>926</v>
      </c>
      <c r="R24" s="34" t="s">
        <v>901</v>
      </c>
      <c r="S24" s="34"/>
      <c r="T24" t="s">
        <v>1187</v>
      </c>
      <c r="U24">
        <f t="shared" si="0"/>
        <v>1</v>
      </c>
      <c r="V24">
        <f>VLOOKUP(I24,Indicadores!$N$4:$Q$15,4,0)</f>
        <v>521.79999999999995</v>
      </c>
    </row>
    <row r="25" spans="1:22">
      <c r="A25" t="s">
        <v>899</v>
      </c>
      <c r="B25" t="s">
        <v>704</v>
      </c>
      <c r="C25" s="41" t="s">
        <v>923</v>
      </c>
      <c r="D25" s="34" t="s">
        <v>705</v>
      </c>
      <c r="E25" t="s">
        <v>924</v>
      </c>
      <c r="F25" s="41" t="s">
        <v>925</v>
      </c>
      <c r="G25" s="34" t="s">
        <v>625</v>
      </c>
      <c r="H25" s="34" t="s">
        <v>202</v>
      </c>
      <c r="I25" s="38" t="s">
        <v>4</v>
      </c>
      <c r="J25" s="45">
        <v>62044</v>
      </c>
      <c r="K25" s="34" t="s">
        <v>31</v>
      </c>
      <c r="L25" s="34" t="s">
        <v>74</v>
      </c>
      <c r="M25" s="34" t="s">
        <v>236</v>
      </c>
      <c r="N25" s="34" t="s">
        <v>627</v>
      </c>
      <c r="O25" s="43">
        <v>43900</v>
      </c>
      <c r="P25" s="43" t="s">
        <v>46</v>
      </c>
      <c r="Q25" s="34" t="s">
        <v>927</v>
      </c>
      <c r="R25" s="34" t="s">
        <v>901</v>
      </c>
      <c r="S25" s="34"/>
      <c r="T25" t="s">
        <v>1187</v>
      </c>
      <c r="U25">
        <f t="shared" si="0"/>
        <v>3</v>
      </c>
      <c r="V25">
        <f>VLOOKUP(I25,Indicadores!$N$4:$Q$15,4,0)</f>
        <v>329.87</v>
      </c>
    </row>
    <row r="26" spans="1:22">
      <c r="A26" t="s">
        <v>899</v>
      </c>
      <c r="B26" t="s">
        <v>704</v>
      </c>
      <c r="C26" s="41" t="s">
        <v>923</v>
      </c>
      <c r="D26" s="34" t="s">
        <v>705</v>
      </c>
      <c r="E26" t="s">
        <v>924</v>
      </c>
      <c r="F26" s="41" t="s">
        <v>925</v>
      </c>
      <c r="G26" s="34" t="s">
        <v>625</v>
      </c>
      <c r="H26" s="34" t="s">
        <v>202</v>
      </c>
      <c r="I26" s="38" t="s">
        <v>4</v>
      </c>
      <c r="J26" s="45" t="s">
        <v>238</v>
      </c>
      <c r="K26" s="34" t="s">
        <v>31</v>
      </c>
      <c r="L26" s="34" t="s">
        <v>74</v>
      </c>
      <c r="M26" s="34" t="s">
        <v>236</v>
      </c>
      <c r="N26" s="34" t="s">
        <v>627</v>
      </c>
      <c r="O26" s="43">
        <v>43900</v>
      </c>
      <c r="P26" s="43" t="s">
        <v>46</v>
      </c>
      <c r="Q26" s="34"/>
      <c r="R26" s="34" t="s">
        <v>901</v>
      </c>
      <c r="S26" s="34"/>
      <c r="T26" t="s">
        <v>1187</v>
      </c>
      <c r="U26">
        <f t="shared" si="0"/>
        <v>3</v>
      </c>
      <c r="V26">
        <f>VLOOKUP(I26,Indicadores!$N$4:$Q$15,4,0)</f>
        <v>329.87</v>
      </c>
    </row>
    <row r="27" spans="1:22">
      <c r="A27" t="s">
        <v>899</v>
      </c>
      <c r="B27" t="s">
        <v>680</v>
      </c>
      <c r="C27" s="41" t="s">
        <v>681</v>
      </c>
      <c r="D27" s="34" t="s">
        <v>682</v>
      </c>
      <c r="E27" t="s">
        <v>683</v>
      </c>
      <c r="F27" s="41" t="s">
        <v>684</v>
      </c>
      <c r="G27" s="34" t="s">
        <v>625</v>
      </c>
      <c r="H27" s="34" t="s">
        <v>177</v>
      </c>
      <c r="I27" s="34" t="s">
        <v>5</v>
      </c>
      <c r="J27" s="45">
        <v>150580001012</v>
      </c>
      <c r="K27" s="34" t="s">
        <v>21</v>
      </c>
      <c r="L27" s="34" t="s">
        <v>80</v>
      </c>
      <c r="M27" s="34" t="s">
        <v>182</v>
      </c>
      <c r="N27" s="34" t="s">
        <v>686</v>
      </c>
      <c r="O27" s="43">
        <v>44054</v>
      </c>
      <c r="P27" s="43" t="s">
        <v>25</v>
      </c>
      <c r="Q27" s="34" t="s">
        <v>928</v>
      </c>
      <c r="R27" s="34" t="s">
        <v>901</v>
      </c>
      <c r="S27" s="34"/>
      <c r="T27" t="s">
        <v>1187</v>
      </c>
      <c r="U27">
        <f t="shared" si="0"/>
        <v>8</v>
      </c>
      <c r="V27">
        <f>VLOOKUP(I27,Indicadores!$N$4:$Q$15,4,0)</f>
        <v>895.23</v>
      </c>
    </row>
    <row r="28" spans="1:22">
      <c r="A28" t="s">
        <v>899</v>
      </c>
      <c r="B28" t="s">
        <v>680</v>
      </c>
      <c r="C28" s="41" t="s">
        <v>681</v>
      </c>
      <c r="D28" s="34" t="s">
        <v>682</v>
      </c>
      <c r="E28" t="s">
        <v>683</v>
      </c>
      <c r="F28" s="41" t="s">
        <v>684</v>
      </c>
      <c r="G28" s="34" t="s">
        <v>625</v>
      </c>
      <c r="H28" s="34" t="s">
        <v>177</v>
      </c>
      <c r="I28" s="38" t="s">
        <v>835</v>
      </c>
      <c r="J28" s="42">
        <v>21883</v>
      </c>
      <c r="K28" s="34" t="s">
        <v>26</v>
      </c>
      <c r="L28" s="34" t="s">
        <v>84</v>
      </c>
      <c r="M28" s="34" t="s">
        <v>186</v>
      </c>
      <c r="N28" s="34" t="s">
        <v>686</v>
      </c>
      <c r="O28" s="43">
        <v>44054</v>
      </c>
      <c r="P28" s="43" t="s">
        <v>25</v>
      </c>
      <c r="Q28" s="34" t="s">
        <v>929</v>
      </c>
      <c r="R28" s="34" t="s">
        <v>901</v>
      </c>
      <c r="S28" s="34"/>
      <c r="T28" t="s">
        <v>1187</v>
      </c>
      <c r="U28">
        <f t="shared" si="0"/>
        <v>8</v>
      </c>
      <c r="V28">
        <f>VLOOKUP(I28,Indicadores!$N$4:$Q$15,4,0)</f>
        <v>546.79</v>
      </c>
    </row>
    <row r="29" spans="1:22" s="48" customFormat="1">
      <c r="A29" t="s">
        <v>899</v>
      </c>
      <c r="B29" t="s">
        <v>680</v>
      </c>
      <c r="C29" s="41" t="s">
        <v>681</v>
      </c>
      <c r="D29" s="34" t="s">
        <v>682</v>
      </c>
      <c r="E29" t="s">
        <v>683</v>
      </c>
      <c r="F29" s="41" t="s">
        <v>684</v>
      </c>
      <c r="G29" s="34" t="s">
        <v>625</v>
      </c>
      <c r="H29" s="34" t="s">
        <v>177</v>
      </c>
      <c r="I29" s="34" t="s">
        <v>7</v>
      </c>
      <c r="J29" s="42" t="s">
        <v>183</v>
      </c>
      <c r="K29" s="34" t="s">
        <v>184</v>
      </c>
      <c r="L29" s="34" t="s">
        <v>185</v>
      </c>
      <c r="M29" s="34" t="s">
        <v>186</v>
      </c>
      <c r="N29" s="34" t="s">
        <v>686</v>
      </c>
      <c r="O29" s="43">
        <v>44054</v>
      </c>
      <c r="P29" s="43" t="s">
        <v>25</v>
      </c>
      <c r="Q29" s="34" t="s">
        <v>930</v>
      </c>
      <c r="R29" s="34" t="s">
        <v>901</v>
      </c>
      <c r="S29" s="34"/>
      <c r="T29" t="s">
        <v>1187</v>
      </c>
      <c r="U29">
        <f t="shared" si="0"/>
        <v>8</v>
      </c>
      <c r="V29">
        <f>VLOOKUP(I29,Indicadores!$N$4:$Q$15,4,0)</f>
        <v>329.87</v>
      </c>
    </row>
    <row r="30" spans="1:22">
      <c r="A30" t="s">
        <v>899</v>
      </c>
      <c r="B30" t="s">
        <v>680</v>
      </c>
      <c r="C30" s="41" t="s">
        <v>681</v>
      </c>
      <c r="D30" s="34" t="s">
        <v>682</v>
      </c>
      <c r="E30" t="s">
        <v>683</v>
      </c>
      <c r="F30" s="41" t="s">
        <v>684</v>
      </c>
      <c r="G30" s="34" t="s">
        <v>625</v>
      </c>
      <c r="H30" s="34" t="s">
        <v>177</v>
      </c>
      <c r="I30" s="34" t="s">
        <v>7</v>
      </c>
      <c r="J30" s="42" t="s">
        <v>187</v>
      </c>
      <c r="K30" s="34" t="s">
        <v>184</v>
      </c>
      <c r="L30" s="34" t="s">
        <v>188</v>
      </c>
      <c r="M30" s="34" t="s">
        <v>186</v>
      </c>
      <c r="N30" s="34" t="s">
        <v>686</v>
      </c>
      <c r="O30" s="43">
        <v>44054</v>
      </c>
      <c r="P30" s="43" t="s">
        <v>25</v>
      </c>
      <c r="Q30" s="34" t="s">
        <v>931</v>
      </c>
      <c r="R30" s="34" t="s">
        <v>901</v>
      </c>
      <c r="S30" s="34"/>
      <c r="T30" t="s">
        <v>1187</v>
      </c>
      <c r="U30">
        <f t="shared" si="0"/>
        <v>8</v>
      </c>
      <c r="V30">
        <f>VLOOKUP(I30,Indicadores!$N$4:$Q$15,4,0)</f>
        <v>329.87</v>
      </c>
    </row>
    <row r="31" spans="1:22">
      <c r="A31" t="s">
        <v>899</v>
      </c>
      <c r="B31" t="s">
        <v>622</v>
      </c>
      <c r="C31" s="41" t="s">
        <v>623</v>
      </c>
      <c r="D31" s="34" t="s">
        <v>624</v>
      </c>
      <c r="E31" t="s">
        <v>622</v>
      </c>
      <c r="F31" s="41" t="s">
        <v>623</v>
      </c>
      <c r="G31" s="34" t="s">
        <v>625</v>
      </c>
      <c r="H31" s="34" t="s">
        <v>177</v>
      </c>
      <c r="I31" s="38" t="s">
        <v>4</v>
      </c>
      <c r="J31" s="42">
        <v>4212781</v>
      </c>
      <c r="K31" s="34" t="s">
        <v>26</v>
      </c>
      <c r="L31" s="47" t="s">
        <v>27</v>
      </c>
      <c r="M31" s="34" t="s">
        <v>182</v>
      </c>
      <c r="N31" s="34" t="s">
        <v>627</v>
      </c>
      <c r="O31" s="43">
        <v>44055</v>
      </c>
      <c r="P31" s="43" t="s">
        <v>25</v>
      </c>
      <c r="Q31" s="34" t="s">
        <v>932</v>
      </c>
      <c r="R31" s="34" t="s">
        <v>901</v>
      </c>
      <c r="S31" s="34"/>
      <c r="T31" t="s">
        <v>1187</v>
      </c>
      <c r="U31">
        <f t="shared" si="0"/>
        <v>8</v>
      </c>
      <c r="V31">
        <f>VLOOKUP(I31,Indicadores!$N$4:$Q$15,4,0)</f>
        <v>329.87</v>
      </c>
    </row>
    <row r="32" spans="1:22">
      <c r="A32" t="s">
        <v>899</v>
      </c>
      <c r="B32" t="s">
        <v>622</v>
      </c>
      <c r="C32" s="41" t="s">
        <v>623</v>
      </c>
      <c r="D32" s="34" t="s">
        <v>624</v>
      </c>
      <c r="E32" t="s">
        <v>622</v>
      </c>
      <c r="F32" s="41" t="s">
        <v>623</v>
      </c>
      <c r="G32" s="34" t="s">
        <v>625</v>
      </c>
      <c r="H32" s="34" t="s">
        <v>177</v>
      </c>
      <c r="I32" s="34" t="s">
        <v>5</v>
      </c>
      <c r="J32" s="42">
        <v>1347596</v>
      </c>
      <c r="K32" s="34" t="s">
        <v>21</v>
      </c>
      <c r="L32" s="34" t="s">
        <v>34</v>
      </c>
      <c r="M32" s="34" t="s">
        <v>182</v>
      </c>
      <c r="N32" s="34" t="s">
        <v>627</v>
      </c>
      <c r="O32" s="43">
        <v>44055</v>
      </c>
      <c r="P32" s="43" t="s">
        <v>25</v>
      </c>
      <c r="Q32" s="34" t="s">
        <v>933</v>
      </c>
      <c r="R32" s="34" t="s">
        <v>901</v>
      </c>
      <c r="S32" s="34"/>
      <c r="T32" t="s">
        <v>1187</v>
      </c>
      <c r="U32">
        <f t="shared" si="0"/>
        <v>8</v>
      </c>
      <c r="V32">
        <f>VLOOKUP(I32,Indicadores!$N$4:$Q$15,4,0)</f>
        <v>895.23</v>
      </c>
    </row>
    <row r="33" spans="1:22">
      <c r="A33" t="s">
        <v>899</v>
      </c>
      <c r="B33" t="s">
        <v>622</v>
      </c>
      <c r="C33" s="41" t="s">
        <v>623</v>
      </c>
      <c r="D33" s="34" t="s">
        <v>624</v>
      </c>
      <c r="E33" t="s">
        <v>622</v>
      </c>
      <c r="F33" s="41" t="s">
        <v>623</v>
      </c>
      <c r="G33" s="34" t="s">
        <v>625</v>
      </c>
      <c r="H33" s="34" t="s">
        <v>177</v>
      </c>
      <c r="I33" s="34" t="s">
        <v>2</v>
      </c>
      <c r="J33" s="45">
        <v>1228420502</v>
      </c>
      <c r="K33" s="34" t="s">
        <v>48</v>
      </c>
      <c r="L33" s="34" t="s">
        <v>194</v>
      </c>
      <c r="M33" s="34" t="s">
        <v>182</v>
      </c>
      <c r="N33" s="34" t="s">
        <v>627</v>
      </c>
      <c r="O33" s="43">
        <v>44056</v>
      </c>
      <c r="P33" s="43" t="s">
        <v>25</v>
      </c>
      <c r="Q33" s="34" t="s">
        <v>934</v>
      </c>
      <c r="R33" s="34" t="s">
        <v>901</v>
      </c>
      <c r="S33" s="34"/>
      <c r="T33" t="s">
        <v>1187</v>
      </c>
      <c r="U33">
        <f t="shared" si="0"/>
        <v>8</v>
      </c>
      <c r="V33">
        <f>VLOOKUP(I33,Indicadores!$N$4:$Q$15,4,0)</f>
        <v>456.77</v>
      </c>
    </row>
    <row r="34" spans="1:22">
      <c r="A34" t="s">
        <v>899</v>
      </c>
      <c r="B34" t="s">
        <v>622</v>
      </c>
      <c r="C34" s="41" t="s">
        <v>623</v>
      </c>
      <c r="D34" s="34" t="s">
        <v>624</v>
      </c>
      <c r="E34" t="s">
        <v>622</v>
      </c>
      <c r="F34" s="41" t="s">
        <v>623</v>
      </c>
      <c r="G34" s="34" t="s">
        <v>625</v>
      </c>
      <c r="H34" s="34" t="s">
        <v>177</v>
      </c>
      <c r="I34" s="34" t="s">
        <v>3</v>
      </c>
      <c r="J34" s="45">
        <v>141160002025</v>
      </c>
      <c r="K34" s="34" t="s">
        <v>21</v>
      </c>
      <c r="L34" s="34" t="s">
        <v>96</v>
      </c>
      <c r="M34" s="34" t="s">
        <v>182</v>
      </c>
      <c r="N34" s="34" t="s">
        <v>627</v>
      </c>
      <c r="O34" s="43">
        <v>44056</v>
      </c>
      <c r="P34" s="43" t="s">
        <v>25</v>
      </c>
      <c r="Q34" s="34" t="s">
        <v>935</v>
      </c>
      <c r="R34" s="34" t="s">
        <v>901</v>
      </c>
      <c r="S34" s="34"/>
      <c r="T34" t="s">
        <v>1187</v>
      </c>
      <c r="U34">
        <f t="shared" si="0"/>
        <v>8</v>
      </c>
      <c r="V34">
        <f>VLOOKUP(I34,Indicadores!$N$4:$Q$15,4,0)</f>
        <v>552.64</v>
      </c>
    </row>
    <row r="35" spans="1:22">
      <c r="A35" t="s">
        <v>899</v>
      </c>
      <c r="B35" t="s">
        <v>622</v>
      </c>
      <c r="C35" s="41" t="s">
        <v>623</v>
      </c>
      <c r="D35" s="34" t="s">
        <v>624</v>
      </c>
      <c r="E35" t="s">
        <v>622</v>
      </c>
      <c r="F35" s="41" t="s">
        <v>623</v>
      </c>
      <c r="G35" s="34" t="s">
        <v>625</v>
      </c>
      <c r="H35" s="34" t="s">
        <v>177</v>
      </c>
      <c r="I35" s="34" t="s">
        <v>3</v>
      </c>
      <c r="J35" s="45">
        <v>133570002031</v>
      </c>
      <c r="K35" s="34" t="s">
        <v>21</v>
      </c>
      <c r="L35" s="34" t="s">
        <v>96</v>
      </c>
      <c r="M35" s="34" t="s">
        <v>182</v>
      </c>
      <c r="N35" s="34" t="s">
        <v>627</v>
      </c>
      <c r="O35" s="43">
        <v>44056</v>
      </c>
      <c r="P35" s="43" t="s">
        <v>25</v>
      </c>
      <c r="Q35" s="34" t="s">
        <v>936</v>
      </c>
      <c r="R35" s="34" t="s">
        <v>901</v>
      </c>
      <c r="S35" s="34"/>
      <c r="T35" t="s">
        <v>1187</v>
      </c>
      <c r="U35">
        <f t="shared" si="0"/>
        <v>8</v>
      </c>
      <c r="V35">
        <f>VLOOKUP(I35,Indicadores!$N$4:$Q$15,4,0)</f>
        <v>552.64</v>
      </c>
    </row>
    <row r="36" spans="1:22">
      <c r="A36" t="s">
        <v>899</v>
      </c>
      <c r="B36" t="s">
        <v>622</v>
      </c>
      <c r="C36" s="41" t="s">
        <v>623</v>
      </c>
      <c r="D36" s="34" t="s">
        <v>624</v>
      </c>
      <c r="E36" t="s">
        <v>622</v>
      </c>
      <c r="F36" s="41" t="s">
        <v>623</v>
      </c>
      <c r="G36" s="34" t="s">
        <v>625</v>
      </c>
      <c r="H36" s="34" t="s">
        <v>177</v>
      </c>
      <c r="I36" s="38" t="s">
        <v>4</v>
      </c>
      <c r="J36" s="42">
        <v>4222113</v>
      </c>
      <c r="K36" s="34" t="s">
        <v>26</v>
      </c>
      <c r="L36" s="47" t="s">
        <v>27</v>
      </c>
      <c r="M36" s="34" t="s">
        <v>182</v>
      </c>
      <c r="N36" s="34" t="s">
        <v>627</v>
      </c>
      <c r="O36" s="43">
        <v>44056</v>
      </c>
      <c r="P36" s="43" t="s">
        <v>25</v>
      </c>
      <c r="Q36" s="34" t="s">
        <v>937</v>
      </c>
      <c r="R36" s="34" t="s">
        <v>901</v>
      </c>
      <c r="S36" s="34"/>
      <c r="T36" t="s">
        <v>1187</v>
      </c>
      <c r="U36">
        <f t="shared" si="0"/>
        <v>8</v>
      </c>
      <c r="V36">
        <f>VLOOKUP(I36,Indicadores!$N$4:$Q$15,4,0)</f>
        <v>329.87</v>
      </c>
    </row>
    <row r="37" spans="1:22">
      <c r="A37" t="s">
        <v>899</v>
      </c>
      <c r="B37" t="s">
        <v>622</v>
      </c>
      <c r="C37" s="41" t="s">
        <v>623</v>
      </c>
      <c r="D37" s="34" t="s">
        <v>624</v>
      </c>
      <c r="E37" t="s">
        <v>622</v>
      </c>
      <c r="F37" s="41" t="s">
        <v>623</v>
      </c>
      <c r="G37" s="34" t="s">
        <v>625</v>
      </c>
      <c r="H37" s="34" t="s">
        <v>177</v>
      </c>
      <c r="I37" s="38" t="s">
        <v>4</v>
      </c>
      <c r="J37" s="42">
        <v>4223906</v>
      </c>
      <c r="K37" s="34" t="s">
        <v>26</v>
      </c>
      <c r="L37" s="47" t="s">
        <v>27</v>
      </c>
      <c r="M37" s="34" t="s">
        <v>182</v>
      </c>
      <c r="N37" s="34" t="s">
        <v>627</v>
      </c>
      <c r="O37" s="43">
        <v>44056</v>
      </c>
      <c r="P37" s="43" t="s">
        <v>25</v>
      </c>
      <c r="Q37" s="34" t="s">
        <v>938</v>
      </c>
      <c r="R37" s="34" t="s">
        <v>901</v>
      </c>
      <c r="S37" s="34"/>
      <c r="T37" t="s">
        <v>1187</v>
      </c>
      <c r="U37">
        <f t="shared" si="0"/>
        <v>8</v>
      </c>
      <c r="V37">
        <f>VLOOKUP(I37,Indicadores!$N$4:$Q$15,4,0)</f>
        <v>329.87</v>
      </c>
    </row>
    <row r="38" spans="1:22">
      <c r="A38" t="s">
        <v>899</v>
      </c>
      <c r="B38" t="s">
        <v>622</v>
      </c>
      <c r="C38" s="41" t="s">
        <v>623</v>
      </c>
      <c r="D38" s="34" t="s">
        <v>624</v>
      </c>
      <c r="E38" t="s">
        <v>622</v>
      </c>
      <c r="F38" s="41" t="s">
        <v>623</v>
      </c>
      <c r="G38" s="34" t="s">
        <v>625</v>
      </c>
      <c r="H38" s="34" t="s">
        <v>177</v>
      </c>
      <c r="I38" s="34" t="s">
        <v>5</v>
      </c>
      <c r="J38" s="45">
        <v>1401857</v>
      </c>
      <c r="K38" s="34" t="s">
        <v>21</v>
      </c>
      <c r="L38" s="34" t="s">
        <v>34</v>
      </c>
      <c r="M38" s="34" t="s">
        <v>182</v>
      </c>
      <c r="N38" s="34" t="s">
        <v>627</v>
      </c>
      <c r="O38" s="43">
        <v>44056</v>
      </c>
      <c r="P38" s="43" t="s">
        <v>25</v>
      </c>
      <c r="Q38" s="34" t="s">
        <v>939</v>
      </c>
      <c r="R38" s="34" t="s">
        <v>901</v>
      </c>
      <c r="S38" s="34"/>
      <c r="T38" t="s">
        <v>1187</v>
      </c>
      <c r="U38">
        <f t="shared" si="0"/>
        <v>8</v>
      </c>
      <c r="V38">
        <f>VLOOKUP(I38,Indicadores!$N$4:$Q$15,4,0)</f>
        <v>895.23</v>
      </c>
    </row>
    <row r="39" spans="1:22">
      <c r="A39" t="s">
        <v>899</v>
      </c>
      <c r="B39" t="s">
        <v>622</v>
      </c>
      <c r="C39" s="41" t="s">
        <v>623</v>
      </c>
      <c r="D39" s="34" t="s">
        <v>624</v>
      </c>
      <c r="E39" t="s">
        <v>622</v>
      </c>
      <c r="F39" s="41" t="s">
        <v>623</v>
      </c>
      <c r="G39" s="34" t="s">
        <v>625</v>
      </c>
      <c r="H39" s="34" t="s">
        <v>177</v>
      </c>
      <c r="I39" s="34" t="s">
        <v>7</v>
      </c>
      <c r="J39" s="42">
        <v>604097</v>
      </c>
      <c r="K39" s="34" t="s">
        <v>21</v>
      </c>
      <c r="L39" s="34" t="s">
        <v>193</v>
      </c>
      <c r="M39" s="34" t="s">
        <v>182</v>
      </c>
      <c r="N39" s="34" t="s">
        <v>627</v>
      </c>
      <c r="O39" s="43">
        <v>44056</v>
      </c>
      <c r="P39" s="43" t="s">
        <v>25</v>
      </c>
      <c r="Q39" s="34" t="s">
        <v>940</v>
      </c>
      <c r="R39" s="34" t="s">
        <v>901</v>
      </c>
      <c r="S39" s="34"/>
      <c r="T39" t="s">
        <v>1187</v>
      </c>
      <c r="U39">
        <f t="shared" si="0"/>
        <v>8</v>
      </c>
      <c r="V39">
        <f>VLOOKUP(I39,Indicadores!$N$4:$Q$15,4,0)</f>
        <v>329.87</v>
      </c>
    </row>
    <row r="40" spans="1:22">
      <c r="A40" t="s">
        <v>899</v>
      </c>
      <c r="B40" t="s">
        <v>622</v>
      </c>
      <c r="C40" s="41" t="s">
        <v>623</v>
      </c>
      <c r="D40" s="34" t="s">
        <v>624</v>
      </c>
      <c r="E40" t="s">
        <v>622</v>
      </c>
      <c r="F40" s="41" t="s">
        <v>623</v>
      </c>
      <c r="G40" s="34" t="s">
        <v>625</v>
      </c>
      <c r="H40" s="34" t="s">
        <v>177</v>
      </c>
      <c r="I40" s="38" t="s">
        <v>835</v>
      </c>
      <c r="J40" s="42">
        <v>10003036</v>
      </c>
      <c r="K40" s="34" t="s">
        <v>189</v>
      </c>
      <c r="L40" s="34" t="s">
        <v>190</v>
      </c>
      <c r="M40" s="34" t="s">
        <v>182</v>
      </c>
      <c r="N40" s="34" t="s">
        <v>627</v>
      </c>
      <c r="O40" s="43">
        <v>44056</v>
      </c>
      <c r="P40" s="43" t="s">
        <v>25</v>
      </c>
      <c r="Q40" s="34" t="s">
        <v>941</v>
      </c>
      <c r="R40" s="34" t="s">
        <v>901</v>
      </c>
      <c r="S40" s="34"/>
      <c r="T40" t="s">
        <v>1187</v>
      </c>
      <c r="U40">
        <f t="shared" si="0"/>
        <v>8</v>
      </c>
      <c r="V40">
        <f>VLOOKUP(I40,Indicadores!$N$4:$Q$15,4,0)</f>
        <v>546.79</v>
      </c>
    </row>
    <row r="41" spans="1:22">
      <c r="A41" t="s">
        <v>899</v>
      </c>
      <c r="B41" t="s">
        <v>622</v>
      </c>
      <c r="C41" s="41" t="s">
        <v>623</v>
      </c>
      <c r="D41" s="34" t="s">
        <v>624</v>
      </c>
      <c r="E41" t="s">
        <v>622</v>
      </c>
      <c r="F41" s="41" t="s">
        <v>623</v>
      </c>
      <c r="G41" s="34" t="s">
        <v>625</v>
      </c>
      <c r="H41" s="34" t="s">
        <v>177</v>
      </c>
      <c r="I41" s="34" t="s">
        <v>7</v>
      </c>
      <c r="J41" s="42">
        <v>2068764</v>
      </c>
      <c r="K41" s="34" t="s">
        <v>56</v>
      </c>
      <c r="L41" s="34" t="s">
        <v>57</v>
      </c>
      <c r="M41" s="34" t="s">
        <v>182</v>
      </c>
      <c r="N41" s="34" t="s">
        <v>627</v>
      </c>
      <c r="O41" s="43">
        <v>44056</v>
      </c>
      <c r="P41" s="43" t="s">
        <v>25</v>
      </c>
      <c r="Q41" s="34" t="s">
        <v>942</v>
      </c>
      <c r="R41" s="34" t="s">
        <v>901</v>
      </c>
      <c r="S41" s="34"/>
      <c r="T41" t="s">
        <v>1187</v>
      </c>
      <c r="U41">
        <f t="shared" si="0"/>
        <v>8</v>
      </c>
      <c r="V41">
        <f>VLOOKUP(I41,Indicadores!$N$4:$Q$15,4,0)</f>
        <v>329.87</v>
      </c>
    </row>
    <row r="42" spans="1:22">
      <c r="A42" t="s">
        <v>899</v>
      </c>
      <c r="B42" t="s">
        <v>622</v>
      </c>
      <c r="C42" s="41" t="s">
        <v>623</v>
      </c>
      <c r="D42" s="34" t="s">
        <v>624</v>
      </c>
      <c r="E42" t="s">
        <v>622</v>
      </c>
      <c r="F42" s="41" t="s">
        <v>623</v>
      </c>
      <c r="G42" s="34" t="s">
        <v>625</v>
      </c>
      <c r="H42" s="34" t="s">
        <v>177</v>
      </c>
      <c r="I42" s="34" t="s">
        <v>7</v>
      </c>
      <c r="J42" s="42">
        <v>2068786</v>
      </c>
      <c r="K42" s="34" t="s">
        <v>56</v>
      </c>
      <c r="L42" s="34" t="s">
        <v>57</v>
      </c>
      <c r="M42" s="34" t="s">
        <v>182</v>
      </c>
      <c r="N42" s="34" t="s">
        <v>627</v>
      </c>
      <c r="O42" s="43">
        <v>44056</v>
      </c>
      <c r="P42" s="43" t="s">
        <v>25</v>
      </c>
      <c r="Q42" s="34" t="s">
        <v>943</v>
      </c>
      <c r="R42" s="34" t="s">
        <v>901</v>
      </c>
      <c r="S42" s="34"/>
      <c r="T42" t="s">
        <v>1187</v>
      </c>
      <c r="U42">
        <f t="shared" si="0"/>
        <v>8</v>
      </c>
      <c r="V42">
        <f>VLOOKUP(I42,Indicadores!$N$4:$Q$15,4,0)</f>
        <v>329.87</v>
      </c>
    </row>
    <row r="43" spans="1:22">
      <c r="A43" t="s">
        <v>899</v>
      </c>
      <c r="B43" t="s">
        <v>622</v>
      </c>
      <c r="C43" s="41" t="s">
        <v>623</v>
      </c>
      <c r="D43" s="34" t="s">
        <v>624</v>
      </c>
      <c r="E43" t="s">
        <v>622</v>
      </c>
      <c r="F43" s="41" t="s">
        <v>623</v>
      </c>
      <c r="G43" s="34" t="s">
        <v>625</v>
      </c>
      <c r="H43" s="34" t="s">
        <v>177</v>
      </c>
      <c r="I43" s="34" t="s">
        <v>7</v>
      </c>
      <c r="J43" s="42">
        <v>2224284</v>
      </c>
      <c r="K43" s="34" t="s">
        <v>56</v>
      </c>
      <c r="L43" s="34" t="s">
        <v>57</v>
      </c>
      <c r="M43" s="34" t="s">
        <v>182</v>
      </c>
      <c r="N43" s="34" t="s">
        <v>627</v>
      </c>
      <c r="O43" s="43">
        <v>44056</v>
      </c>
      <c r="P43" s="43" t="s">
        <v>25</v>
      </c>
      <c r="Q43" s="34" t="s">
        <v>944</v>
      </c>
      <c r="R43" s="34" t="s">
        <v>901</v>
      </c>
      <c r="S43" s="34"/>
      <c r="T43" t="s">
        <v>1187</v>
      </c>
      <c r="U43">
        <f t="shared" si="0"/>
        <v>8</v>
      </c>
      <c r="V43">
        <f>VLOOKUP(I43,Indicadores!$N$4:$Q$15,4,0)</f>
        <v>329.87</v>
      </c>
    </row>
    <row r="44" spans="1:22">
      <c r="A44" t="s">
        <v>899</v>
      </c>
      <c r="B44" t="s">
        <v>622</v>
      </c>
      <c r="C44" s="41" t="s">
        <v>623</v>
      </c>
      <c r="D44" s="34" t="s">
        <v>624</v>
      </c>
      <c r="E44" t="s">
        <v>622</v>
      </c>
      <c r="F44" s="41" t="s">
        <v>623</v>
      </c>
      <c r="G44" s="34" t="s">
        <v>625</v>
      </c>
      <c r="H44" s="34" t="s">
        <v>177</v>
      </c>
      <c r="I44" s="34" t="s">
        <v>7</v>
      </c>
      <c r="J44" s="42">
        <v>929021</v>
      </c>
      <c r="K44" s="34" t="s">
        <v>21</v>
      </c>
      <c r="L44" s="34" t="s">
        <v>192</v>
      </c>
      <c r="M44" s="34" t="s">
        <v>182</v>
      </c>
      <c r="N44" s="34" t="s">
        <v>627</v>
      </c>
      <c r="O44" s="43">
        <v>44056</v>
      </c>
      <c r="P44" s="43" t="s">
        <v>25</v>
      </c>
      <c r="Q44" s="34" t="s">
        <v>945</v>
      </c>
      <c r="R44" s="34" t="s">
        <v>901</v>
      </c>
      <c r="S44" s="34"/>
      <c r="T44" t="s">
        <v>1187</v>
      </c>
      <c r="U44">
        <f t="shared" si="0"/>
        <v>8</v>
      </c>
      <c r="V44">
        <f>VLOOKUP(I44,Indicadores!$N$4:$Q$15,4,0)</f>
        <v>329.87</v>
      </c>
    </row>
    <row r="45" spans="1:22">
      <c r="A45" t="s">
        <v>899</v>
      </c>
      <c r="B45" t="s">
        <v>622</v>
      </c>
      <c r="C45" s="41" t="s">
        <v>623</v>
      </c>
      <c r="D45" s="34" t="s">
        <v>624</v>
      </c>
      <c r="E45" t="s">
        <v>622</v>
      </c>
      <c r="F45" s="41" t="s">
        <v>623</v>
      </c>
      <c r="G45" s="34" t="s">
        <v>625</v>
      </c>
      <c r="H45" s="34" t="s">
        <v>177</v>
      </c>
      <c r="I45" s="34" t="s">
        <v>7</v>
      </c>
      <c r="J45" s="42">
        <v>39281</v>
      </c>
      <c r="K45" s="34" t="s">
        <v>31</v>
      </c>
      <c r="L45" s="34" t="s">
        <v>129</v>
      </c>
      <c r="M45" s="34" t="s">
        <v>182</v>
      </c>
      <c r="N45" s="34" t="s">
        <v>627</v>
      </c>
      <c r="O45" s="43">
        <v>44056</v>
      </c>
      <c r="P45" s="43" t="s">
        <v>25</v>
      </c>
      <c r="Q45" s="34" t="s">
        <v>946</v>
      </c>
      <c r="R45" s="34" t="s">
        <v>901</v>
      </c>
      <c r="S45" s="34"/>
      <c r="T45" t="s">
        <v>1187</v>
      </c>
      <c r="U45">
        <f t="shared" si="0"/>
        <v>8</v>
      </c>
      <c r="V45">
        <f>VLOOKUP(I45,Indicadores!$N$4:$Q$15,4,0)</f>
        <v>329.87</v>
      </c>
    </row>
    <row r="46" spans="1:22">
      <c r="A46" t="s">
        <v>899</v>
      </c>
      <c r="B46" t="s">
        <v>622</v>
      </c>
      <c r="C46" s="41" t="s">
        <v>623</v>
      </c>
      <c r="D46" s="34" t="s">
        <v>624</v>
      </c>
      <c r="E46" t="s">
        <v>622</v>
      </c>
      <c r="F46" s="41" t="s">
        <v>623</v>
      </c>
      <c r="G46" s="34" t="s">
        <v>625</v>
      </c>
      <c r="H46" s="34" t="s">
        <v>177</v>
      </c>
      <c r="I46" s="34" t="s">
        <v>7</v>
      </c>
      <c r="J46" s="42">
        <v>728690</v>
      </c>
      <c r="K46" s="34" t="s">
        <v>56</v>
      </c>
      <c r="L46" s="34" t="s">
        <v>57</v>
      </c>
      <c r="M46" s="34" t="s">
        <v>182</v>
      </c>
      <c r="N46" s="34" t="s">
        <v>627</v>
      </c>
      <c r="O46" s="43">
        <v>44056</v>
      </c>
      <c r="P46" s="43" t="s">
        <v>25</v>
      </c>
      <c r="Q46" s="34" t="s">
        <v>947</v>
      </c>
      <c r="R46" s="34" t="s">
        <v>901</v>
      </c>
      <c r="S46" s="34"/>
      <c r="T46" t="s">
        <v>1187</v>
      </c>
      <c r="U46">
        <f t="shared" si="0"/>
        <v>8</v>
      </c>
      <c r="V46">
        <f>VLOOKUP(I46,Indicadores!$N$4:$Q$15,4,0)</f>
        <v>329.87</v>
      </c>
    </row>
    <row r="47" spans="1:22">
      <c r="A47" t="s">
        <v>899</v>
      </c>
      <c r="B47" t="s">
        <v>622</v>
      </c>
      <c r="C47" s="41" t="s">
        <v>623</v>
      </c>
      <c r="D47" s="34" t="s">
        <v>624</v>
      </c>
      <c r="E47" t="s">
        <v>622</v>
      </c>
      <c r="F47" s="41" t="s">
        <v>623</v>
      </c>
      <c r="G47" s="34" t="s">
        <v>625</v>
      </c>
      <c r="H47" s="34" t="s">
        <v>177</v>
      </c>
      <c r="I47" s="34" t="s">
        <v>8</v>
      </c>
      <c r="J47" s="42" t="s">
        <v>191</v>
      </c>
      <c r="K47" s="34" t="s">
        <v>21</v>
      </c>
      <c r="L47" s="34" t="s">
        <v>44</v>
      </c>
      <c r="M47" s="34" t="s">
        <v>182</v>
      </c>
      <c r="N47" s="34" t="s">
        <v>627</v>
      </c>
      <c r="O47" s="43">
        <v>44056</v>
      </c>
      <c r="P47" s="43" t="s">
        <v>25</v>
      </c>
      <c r="Q47" s="34" t="s">
        <v>948</v>
      </c>
      <c r="R47" s="34" t="s">
        <v>901</v>
      </c>
      <c r="S47" s="34"/>
      <c r="T47" t="s">
        <v>1187</v>
      </c>
      <c r="U47">
        <f t="shared" si="0"/>
        <v>8</v>
      </c>
      <c r="V47">
        <f>VLOOKUP(I47,Indicadores!$N$4:$Q$15,4,0)</f>
        <v>462.11</v>
      </c>
    </row>
    <row r="48" spans="1:22">
      <c r="A48" t="s">
        <v>899</v>
      </c>
      <c r="B48" t="s">
        <v>622</v>
      </c>
      <c r="C48" s="41" t="s">
        <v>623</v>
      </c>
      <c r="D48" s="34" t="s">
        <v>624</v>
      </c>
      <c r="E48" t="s">
        <v>622</v>
      </c>
      <c r="F48" s="41" t="s">
        <v>623</v>
      </c>
      <c r="G48" s="34" t="s">
        <v>625</v>
      </c>
      <c r="H48" s="34" t="s">
        <v>177</v>
      </c>
      <c r="I48" s="34" t="s">
        <v>7</v>
      </c>
      <c r="J48" s="42">
        <v>2068717</v>
      </c>
      <c r="K48" s="34" t="s">
        <v>56</v>
      </c>
      <c r="L48" s="34" t="s">
        <v>57</v>
      </c>
      <c r="M48" s="34" t="s">
        <v>182</v>
      </c>
      <c r="N48" s="34" t="s">
        <v>627</v>
      </c>
      <c r="O48" s="43">
        <v>44057</v>
      </c>
      <c r="P48" s="43" t="s">
        <v>25</v>
      </c>
      <c r="Q48" s="34" t="s">
        <v>949</v>
      </c>
      <c r="R48" s="34" t="s">
        <v>901</v>
      </c>
      <c r="S48" s="34"/>
      <c r="T48" t="s">
        <v>1187</v>
      </c>
      <c r="U48">
        <f t="shared" si="0"/>
        <v>8</v>
      </c>
      <c r="V48">
        <f>VLOOKUP(I48,Indicadores!$N$4:$Q$15,4,0)</f>
        <v>329.87</v>
      </c>
    </row>
    <row r="49" spans="1:22">
      <c r="A49" t="s">
        <v>899</v>
      </c>
      <c r="B49" t="s">
        <v>704</v>
      </c>
      <c r="C49" s="41" t="s">
        <v>923</v>
      </c>
      <c r="D49" s="34" t="s">
        <v>705</v>
      </c>
      <c r="E49" t="s">
        <v>924</v>
      </c>
      <c r="F49" s="41" t="s">
        <v>925</v>
      </c>
      <c r="G49" s="34" t="s">
        <v>625</v>
      </c>
      <c r="H49" s="34" t="s">
        <v>202</v>
      </c>
      <c r="I49" s="38" t="s">
        <v>4</v>
      </c>
      <c r="J49" s="42">
        <v>56698</v>
      </c>
      <c r="K49" s="34" t="s">
        <v>31</v>
      </c>
      <c r="L49" s="34" t="s">
        <v>74</v>
      </c>
      <c r="M49" s="34" t="s">
        <v>236</v>
      </c>
      <c r="N49" s="34" t="s">
        <v>627</v>
      </c>
      <c r="O49" s="43">
        <v>44259</v>
      </c>
      <c r="P49" s="43" t="s">
        <v>25</v>
      </c>
      <c r="Q49" s="34" t="s">
        <v>950</v>
      </c>
      <c r="R49" s="34" t="s">
        <v>901</v>
      </c>
      <c r="S49" s="34"/>
      <c r="T49" t="s">
        <v>1187</v>
      </c>
      <c r="U49">
        <f t="shared" si="0"/>
        <v>3</v>
      </c>
      <c r="V49">
        <f>VLOOKUP(I49,Indicadores!$N$4:$Q$15,4,0)</f>
        <v>329.87</v>
      </c>
    </row>
    <row r="50" spans="1:22">
      <c r="A50" t="s">
        <v>899</v>
      </c>
      <c r="B50" t="s">
        <v>704</v>
      </c>
      <c r="C50" s="41" t="s">
        <v>923</v>
      </c>
      <c r="D50" s="34" t="s">
        <v>705</v>
      </c>
      <c r="E50" t="s">
        <v>924</v>
      </c>
      <c r="F50" s="41" t="s">
        <v>925</v>
      </c>
      <c r="G50" s="34" t="s">
        <v>625</v>
      </c>
      <c r="H50" s="34" t="s">
        <v>202</v>
      </c>
      <c r="I50" s="34" t="s">
        <v>7</v>
      </c>
      <c r="J50" s="42" t="s">
        <v>237</v>
      </c>
      <c r="K50" s="34" t="s">
        <v>31</v>
      </c>
      <c r="L50" s="34" t="s">
        <v>53</v>
      </c>
      <c r="M50" s="34" t="s">
        <v>236</v>
      </c>
      <c r="N50" s="34" t="s">
        <v>627</v>
      </c>
      <c r="O50" s="43">
        <v>44259</v>
      </c>
      <c r="P50" s="43" t="s">
        <v>25</v>
      </c>
      <c r="Q50" s="34" t="s">
        <v>951</v>
      </c>
      <c r="R50" s="34" t="s">
        <v>901</v>
      </c>
      <c r="S50" s="34"/>
      <c r="T50" t="s">
        <v>1187</v>
      </c>
      <c r="U50">
        <f t="shared" si="0"/>
        <v>3</v>
      </c>
      <c r="V50">
        <f>VLOOKUP(I50,Indicadores!$N$4:$Q$15,4,0)</f>
        <v>329.87</v>
      </c>
    </row>
    <row r="51" spans="1:22">
      <c r="A51" t="s">
        <v>899</v>
      </c>
      <c r="B51" t="s">
        <v>704</v>
      </c>
      <c r="C51" s="41" t="s">
        <v>923</v>
      </c>
      <c r="D51" s="34" t="s">
        <v>705</v>
      </c>
      <c r="E51" t="s">
        <v>924</v>
      </c>
      <c r="F51" s="41" t="s">
        <v>925</v>
      </c>
      <c r="G51" s="34" t="s">
        <v>625</v>
      </c>
      <c r="H51" s="34" t="s">
        <v>202</v>
      </c>
      <c r="I51" s="34" t="s">
        <v>3</v>
      </c>
      <c r="J51" s="42" t="s">
        <v>239</v>
      </c>
      <c r="K51" s="34" t="s">
        <v>21</v>
      </c>
      <c r="L51" s="34" t="s">
        <v>96</v>
      </c>
      <c r="M51" s="47" t="s">
        <v>236</v>
      </c>
      <c r="N51" s="34" t="s">
        <v>627</v>
      </c>
      <c r="O51" s="43">
        <v>44285</v>
      </c>
      <c r="P51" s="43" t="s">
        <v>25</v>
      </c>
      <c r="Q51" s="34" t="s">
        <v>952</v>
      </c>
      <c r="R51" s="34" t="s">
        <v>901</v>
      </c>
      <c r="S51" s="34"/>
      <c r="T51" t="s">
        <v>1187</v>
      </c>
      <c r="U51">
        <f t="shared" si="0"/>
        <v>3</v>
      </c>
      <c r="V51">
        <f>VLOOKUP(I51,Indicadores!$N$4:$Q$15,4,0)</f>
        <v>552.64</v>
      </c>
    </row>
    <row r="52" spans="1:22">
      <c r="A52" t="s">
        <v>899</v>
      </c>
      <c r="B52" t="s">
        <v>704</v>
      </c>
      <c r="C52" s="41" t="s">
        <v>923</v>
      </c>
      <c r="D52" s="34" t="s">
        <v>705</v>
      </c>
      <c r="E52" t="s">
        <v>924</v>
      </c>
      <c r="F52" s="41" t="s">
        <v>925</v>
      </c>
      <c r="G52" s="34" t="s">
        <v>625</v>
      </c>
      <c r="H52" s="34" t="s">
        <v>202</v>
      </c>
      <c r="I52" s="34" t="s">
        <v>5</v>
      </c>
      <c r="J52" s="42">
        <v>1394478</v>
      </c>
      <c r="K52" s="34" t="s">
        <v>21</v>
      </c>
      <c r="L52" s="34" t="s">
        <v>34</v>
      </c>
      <c r="M52" s="34" t="s">
        <v>236</v>
      </c>
      <c r="N52" s="34" t="s">
        <v>627</v>
      </c>
      <c r="O52" s="43">
        <v>44285</v>
      </c>
      <c r="P52" s="43" t="s">
        <v>25</v>
      </c>
      <c r="Q52" s="34" t="s">
        <v>953</v>
      </c>
      <c r="R52" s="34" t="s">
        <v>901</v>
      </c>
      <c r="S52" s="34"/>
      <c r="T52" t="s">
        <v>1187</v>
      </c>
      <c r="U52">
        <f t="shared" si="0"/>
        <v>3</v>
      </c>
      <c r="V52">
        <f>VLOOKUP(I52,Indicadores!$N$4:$Q$15,4,0)</f>
        <v>895.23</v>
      </c>
    </row>
    <row r="53" spans="1:22">
      <c r="A53" t="s">
        <v>899</v>
      </c>
      <c r="B53" t="s">
        <v>704</v>
      </c>
      <c r="C53" s="41" t="s">
        <v>923</v>
      </c>
      <c r="D53" s="34" t="s">
        <v>705</v>
      </c>
      <c r="E53" t="s">
        <v>924</v>
      </c>
      <c r="F53" s="41" t="s">
        <v>925</v>
      </c>
      <c r="G53" s="34" t="s">
        <v>625</v>
      </c>
      <c r="H53" s="34" t="s">
        <v>202</v>
      </c>
      <c r="I53" s="34" t="s">
        <v>9</v>
      </c>
      <c r="J53" s="45">
        <v>4396</v>
      </c>
      <c r="K53" s="34" t="s">
        <v>240</v>
      </c>
      <c r="L53" s="34" t="s">
        <v>241</v>
      </c>
      <c r="M53" s="34" t="s">
        <v>236</v>
      </c>
      <c r="N53" s="34" t="s">
        <v>627</v>
      </c>
      <c r="O53" s="43">
        <v>44285</v>
      </c>
      <c r="P53" s="43" t="s">
        <v>25</v>
      </c>
      <c r="Q53" s="34" t="s">
        <v>954</v>
      </c>
      <c r="R53" s="34" t="s">
        <v>901</v>
      </c>
      <c r="S53" s="34"/>
      <c r="T53" t="s">
        <v>1187</v>
      </c>
      <c r="U53">
        <f t="shared" si="0"/>
        <v>3</v>
      </c>
      <c r="V53">
        <f>VLOOKUP(I53,Indicadores!$N$4:$Q$15,4,0)</f>
        <v>521.79999999999995</v>
      </c>
    </row>
    <row r="54" spans="1:22">
      <c r="A54" t="s">
        <v>899</v>
      </c>
      <c r="B54" t="s">
        <v>378</v>
      </c>
      <c r="C54" s="41" t="s">
        <v>379</v>
      </c>
      <c r="D54" s="34" t="s">
        <v>380</v>
      </c>
      <c r="E54" t="s">
        <v>381</v>
      </c>
      <c r="F54" s="41" t="s">
        <v>382</v>
      </c>
      <c r="G54" s="34" t="s">
        <v>352</v>
      </c>
      <c r="H54" s="34" t="s">
        <v>202</v>
      </c>
      <c r="I54" s="38" t="s">
        <v>4</v>
      </c>
      <c r="J54" s="42">
        <v>4220739</v>
      </c>
      <c r="K54" s="34" t="s">
        <v>26</v>
      </c>
      <c r="L54" s="47" t="s">
        <v>27</v>
      </c>
      <c r="M54" s="34" t="s">
        <v>207</v>
      </c>
      <c r="N54" s="34" t="s">
        <v>384</v>
      </c>
      <c r="O54" s="43">
        <v>43979</v>
      </c>
      <c r="P54" s="43" t="s">
        <v>25</v>
      </c>
      <c r="Q54" s="42" t="s">
        <v>955</v>
      </c>
      <c r="R54" s="34" t="s">
        <v>901</v>
      </c>
      <c r="S54" s="34"/>
      <c r="T54" t="s">
        <v>1187</v>
      </c>
      <c r="U54">
        <f t="shared" si="0"/>
        <v>5</v>
      </c>
      <c r="V54">
        <f>VLOOKUP(I54,Indicadores!$N$4:$Q$15,4,0)</f>
        <v>329.87</v>
      </c>
    </row>
    <row r="55" spans="1:22">
      <c r="A55" t="s">
        <v>899</v>
      </c>
      <c r="B55" t="s">
        <v>378</v>
      </c>
      <c r="C55" s="41" t="s">
        <v>379</v>
      </c>
      <c r="D55" s="34" t="s">
        <v>380</v>
      </c>
      <c r="E55" t="s">
        <v>381</v>
      </c>
      <c r="F55" s="41" t="s">
        <v>382</v>
      </c>
      <c r="G55" s="34" t="s">
        <v>352</v>
      </c>
      <c r="H55" s="34" t="s">
        <v>202</v>
      </c>
      <c r="I55" s="38" t="s">
        <v>4</v>
      </c>
      <c r="J55" s="42">
        <v>4211535</v>
      </c>
      <c r="K55" s="34" t="s">
        <v>26</v>
      </c>
      <c r="L55" s="47" t="s">
        <v>27</v>
      </c>
      <c r="M55" s="34" t="s">
        <v>207</v>
      </c>
      <c r="N55" s="34" t="s">
        <v>384</v>
      </c>
      <c r="O55" s="43">
        <v>43979</v>
      </c>
      <c r="P55" s="43" t="s">
        <v>25</v>
      </c>
      <c r="Q55" s="42" t="s">
        <v>956</v>
      </c>
      <c r="R55" s="34" t="s">
        <v>901</v>
      </c>
      <c r="S55" s="34"/>
      <c r="T55" t="s">
        <v>1187</v>
      </c>
      <c r="U55">
        <f t="shared" si="0"/>
        <v>5</v>
      </c>
      <c r="V55">
        <f>VLOOKUP(I55,Indicadores!$N$4:$Q$15,4,0)</f>
        <v>329.87</v>
      </c>
    </row>
    <row r="56" spans="1:22">
      <c r="A56" t="s">
        <v>899</v>
      </c>
      <c r="B56" t="s">
        <v>378</v>
      </c>
      <c r="C56" s="41" t="s">
        <v>379</v>
      </c>
      <c r="D56" s="34" t="s">
        <v>380</v>
      </c>
      <c r="E56" t="s">
        <v>381</v>
      </c>
      <c r="F56" s="41" t="s">
        <v>382</v>
      </c>
      <c r="G56" s="34" t="s">
        <v>352</v>
      </c>
      <c r="H56" s="34" t="s">
        <v>202</v>
      </c>
      <c r="I56" s="38" t="s">
        <v>4</v>
      </c>
      <c r="J56" s="42">
        <v>6217524</v>
      </c>
      <c r="K56" s="34" t="s">
        <v>26</v>
      </c>
      <c r="L56" s="47" t="s">
        <v>84</v>
      </c>
      <c r="M56" s="34" t="s">
        <v>207</v>
      </c>
      <c r="N56" s="34" t="s">
        <v>384</v>
      </c>
      <c r="O56" s="43">
        <v>43979</v>
      </c>
      <c r="P56" s="43" t="s">
        <v>25</v>
      </c>
      <c r="Q56" s="42" t="s">
        <v>957</v>
      </c>
      <c r="R56" s="34" t="s">
        <v>901</v>
      </c>
      <c r="S56" s="34"/>
      <c r="T56" t="s">
        <v>1187</v>
      </c>
      <c r="U56">
        <f t="shared" si="0"/>
        <v>5</v>
      </c>
      <c r="V56">
        <f>VLOOKUP(I56,Indicadores!$N$4:$Q$15,4,0)</f>
        <v>329.87</v>
      </c>
    </row>
    <row r="57" spans="1:22">
      <c r="A57" t="s">
        <v>899</v>
      </c>
      <c r="B57" t="s">
        <v>378</v>
      </c>
      <c r="C57" s="41" t="s">
        <v>379</v>
      </c>
      <c r="D57" s="34" t="s">
        <v>380</v>
      </c>
      <c r="E57" t="s">
        <v>381</v>
      </c>
      <c r="F57" s="41" t="s">
        <v>382</v>
      </c>
      <c r="G57" s="34" t="s">
        <v>352</v>
      </c>
      <c r="H57" s="34" t="s">
        <v>202</v>
      </c>
      <c r="I57" s="34" t="s">
        <v>5</v>
      </c>
      <c r="J57" s="45">
        <v>1358800</v>
      </c>
      <c r="K57" s="34" t="s">
        <v>21</v>
      </c>
      <c r="L57" s="34" t="s">
        <v>34</v>
      </c>
      <c r="M57" s="34" t="s">
        <v>207</v>
      </c>
      <c r="N57" s="34" t="s">
        <v>384</v>
      </c>
      <c r="O57" s="43">
        <v>43979</v>
      </c>
      <c r="P57" s="43" t="s">
        <v>25</v>
      </c>
      <c r="Q57" s="42" t="s">
        <v>958</v>
      </c>
      <c r="R57" s="34" t="s">
        <v>901</v>
      </c>
      <c r="S57" s="34"/>
      <c r="T57" t="s">
        <v>1187</v>
      </c>
      <c r="U57">
        <f t="shared" si="0"/>
        <v>5</v>
      </c>
      <c r="V57">
        <f>VLOOKUP(I57,Indicadores!$N$4:$Q$15,4,0)</f>
        <v>895.23</v>
      </c>
    </row>
    <row r="58" spans="1:22">
      <c r="A58" t="s">
        <v>899</v>
      </c>
      <c r="B58" t="s">
        <v>378</v>
      </c>
      <c r="C58" s="41" t="s">
        <v>379</v>
      </c>
      <c r="D58" s="34" t="s">
        <v>380</v>
      </c>
      <c r="E58" t="s">
        <v>381</v>
      </c>
      <c r="F58" s="41" t="s">
        <v>382</v>
      </c>
      <c r="G58" s="34" t="s">
        <v>352</v>
      </c>
      <c r="H58" s="34" t="s">
        <v>202</v>
      </c>
      <c r="I58" s="34" t="s">
        <v>7</v>
      </c>
      <c r="J58" s="45">
        <v>612331</v>
      </c>
      <c r="K58" s="34" t="s">
        <v>56</v>
      </c>
      <c r="L58" s="34" t="s">
        <v>57</v>
      </c>
      <c r="M58" s="34" t="s">
        <v>207</v>
      </c>
      <c r="N58" s="34" t="s">
        <v>384</v>
      </c>
      <c r="O58" s="43">
        <v>43979</v>
      </c>
      <c r="P58" s="43" t="s">
        <v>25</v>
      </c>
      <c r="Q58" s="47" t="s">
        <v>959</v>
      </c>
      <c r="R58" s="34" t="s">
        <v>901</v>
      </c>
      <c r="S58" s="34"/>
      <c r="T58" t="s">
        <v>1187</v>
      </c>
      <c r="U58">
        <f t="shared" si="0"/>
        <v>5</v>
      </c>
      <c r="V58">
        <f>VLOOKUP(I58,Indicadores!$N$4:$Q$15,4,0)</f>
        <v>329.87</v>
      </c>
    </row>
    <row r="59" spans="1:22">
      <c r="A59" t="s">
        <v>899</v>
      </c>
      <c r="B59" s="49" t="s">
        <v>347</v>
      </c>
      <c r="C59" s="41" t="s">
        <v>348</v>
      </c>
      <c r="D59" s="34" t="s">
        <v>349</v>
      </c>
      <c r="E59" t="s">
        <v>350</v>
      </c>
      <c r="F59" s="41" t="s">
        <v>351</v>
      </c>
      <c r="G59" s="34" t="s">
        <v>352</v>
      </c>
      <c r="H59" s="34" t="s">
        <v>202</v>
      </c>
      <c r="I59" s="34" t="s">
        <v>3</v>
      </c>
      <c r="J59" s="45" t="s">
        <v>251</v>
      </c>
      <c r="K59" s="34" t="s">
        <v>21</v>
      </c>
      <c r="L59" s="34" t="s">
        <v>22</v>
      </c>
      <c r="M59" s="47" t="s">
        <v>250</v>
      </c>
      <c r="N59" s="34" t="s">
        <v>353</v>
      </c>
      <c r="O59" s="43">
        <v>44012</v>
      </c>
      <c r="P59" s="43" t="s">
        <v>25</v>
      </c>
      <c r="Q59" s="34" t="s">
        <v>960</v>
      </c>
      <c r="R59" s="34" t="s">
        <v>901</v>
      </c>
      <c r="S59" s="34"/>
      <c r="T59" t="s">
        <v>1187</v>
      </c>
      <c r="U59">
        <f t="shared" si="0"/>
        <v>6</v>
      </c>
      <c r="V59">
        <f>VLOOKUP(I59,Indicadores!$N$4:$Q$15,4,0)</f>
        <v>552.64</v>
      </c>
    </row>
    <row r="60" spans="1:22">
      <c r="A60" t="s">
        <v>899</v>
      </c>
      <c r="B60" s="49" t="s">
        <v>347</v>
      </c>
      <c r="C60" s="41" t="s">
        <v>348</v>
      </c>
      <c r="D60" s="34" t="s">
        <v>349</v>
      </c>
      <c r="E60" t="s">
        <v>350</v>
      </c>
      <c r="F60" s="41" t="s">
        <v>351</v>
      </c>
      <c r="G60" s="34" t="s">
        <v>352</v>
      </c>
      <c r="H60" s="34" t="s">
        <v>202</v>
      </c>
      <c r="I60" s="38" t="s">
        <v>4</v>
      </c>
      <c r="J60" s="45">
        <v>52395</v>
      </c>
      <c r="K60" s="34" t="s">
        <v>31</v>
      </c>
      <c r="L60" s="34" t="s">
        <v>74</v>
      </c>
      <c r="M60" s="34" t="s">
        <v>250</v>
      </c>
      <c r="N60" s="34" t="s">
        <v>353</v>
      </c>
      <c r="O60" s="43">
        <v>44012</v>
      </c>
      <c r="P60" s="43" t="s">
        <v>25</v>
      </c>
      <c r="Q60" s="34" t="s">
        <v>961</v>
      </c>
      <c r="R60" s="34" t="s">
        <v>901</v>
      </c>
      <c r="S60" s="34"/>
      <c r="T60" t="s">
        <v>1187</v>
      </c>
      <c r="U60">
        <f t="shared" si="0"/>
        <v>6</v>
      </c>
      <c r="V60">
        <f>VLOOKUP(I60,Indicadores!$N$4:$Q$15,4,0)</f>
        <v>329.87</v>
      </c>
    </row>
    <row r="61" spans="1:22">
      <c r="A61" t="s">
        <v>899</v>
      </c>
      <c r="B61" t="s">
        <v>717</v>
      </c>
      <c r="C61" s="41" t="s">
        <v>718</v>
      </c>
      <c r="D61" s="34" t="s">
        <v>719</v>
      </c>
      <c r="E61" t="s">
        <v>581</v>
      </c>
      <c r="F61" s="41" t="s">
        <v>582</v>
      </c>
      <c r="G61" s="34" t="s">
        <v>352</v>
      </c>
      <c r="H61" s="34" t="s">
        <v>202</v>
      </c>
      <c r="I61" s="34" t="s">
        <v>3</v>
      </c>
      <c r="J61" s="42" t="s">
        <v>257</v>
      </c>
      <c r="K61" s="34" t="s">
        <v>21</v>
      </c>
      <c r="L61" s="34" t="s">
        <v>22</v>
      </c>
      <c r="M61" s="34" t="s">
        <v>252</v>
      </c>
      <c r="N61" s="34" t="s">
        <v>720</v>
      </c>
      <c r="O61" s="43">
        <v>44021</v>
      </c>
      <c r="P61" s="43" t="s">
        <v>25</v>
      </c>
      <c r="Q61" s="34" t="s">
        <v>962</v>
      </c>
      <c r="R61" s="34" t="s">
        <v>901</v>
      </c>
      <c r="S61" s="34"/>
      <c r="T61" t="s">
        <v>1187</v>
      </c>
      <c r="U61">
        <f t="shared" si="0"/>
        <v>7</v>
      </c>
      <c r="V61">
        <f>VLOOKUP(I61,Indicadores!$N$4:$Q$15,4,0)</f>
        <v>552.64</v>
      </c>
    </row>
    <row r="62" spans="1:22">
      <c r="A62" t="s">
        <v>899</v>
      </c>
      <c r="B62" t="s">
        <v>717</v>
      </c>
      <c r="C62" s="41" t="s">
        <v>718</v>
      </c>
      <c r="D62" s="34" t="s">
        <v>719</v>
      </c>
      <c r="E62" t="s">
        <v>581</v>
      </c>
      <c r="F62" s="41" t="s">
        <v>582</v>
      </c>
      <c r="G62" s="34" t="s">
        <v>352</v>
      </c>
      <c r="H62" s="34" t="s">
        <v>202</v>
      </c>
      <c r="I62" s="38" t="s">
        <v>4</v>
      </c>
      <c r="J62" s="42" t="s">
        <v>259</v>
      </c>
      <c r="K62" s="34" t="s">
        <v>260</v>
      </c>
      <c r="L62" s="34" t="s">
        <v>261</v>
      </c>
      <c r="M62" s="34" t="s">
        <v>252</v>
      </c>
      <c r="N62" s="34" t="s">
        <v>720</v>
      </c>
      <c r="O62" s="43">
        <v>44021</v>
      </c>
      <c r="P62" s="43" t="s">
        <v>25</v>
      </c>
      <c r="Q62" s="34" t="s">
        <v>963</v>
      </c>
      <c r="R62" s="34" t="s">
        <v>901</v>
      </c>
      <c r="S62" s="34"/>
      <c r="T62" t="s">
        <v>1187</v>
      </c>
      <c r="U62">
        <f t="shared" si="0"/>
        <v>7</v>
      </c>
      <c r="V62">
        <f>VLOOKUP(I62,Indicadores!$N$4:$Q$15,4,0)</f>
        <v>329.87</v>
      </c>
    </row>
    <row r="63" spans="1:22">
      <c r="A63" t="s">
        <v>899</v>
      </c>
      <c r="B63" t="s">
        <v>717</v>
      </c>
      <c r="C63" s="41" t="s">
        <v>718</v>
      </c>
      <c r="D63" s="34" t="s">
        <v>719</v>
      </c>
      <c r="E63" t="s">
        <v>581</v>
      </c>
      <c r="F63" s="41" t="s">
        <v>582</v>
      </c>
      <c r="G63" s="34" t="s">
        <v>352</v>
      </c>
      <c r="H63" s="34" t="s">
        <v>202</v>
      </c>
      <c r="I63" s="38" t="s">
        <v>4</v>
      </c>
      <c r="J63" s="42">
        <v>5307</v>
      </c>
      <c r="K63" s="34" t="s">
        <v>66</v>
      </c>
      <c r="L63" s="34" t="s">
        <v>262</v>
      </c>
      <c r="M63" s="34" t="s">
        <v>252</v>
      </c>
      <c r="N63" s="34" t="s">
        <v>720</v>
      </c>
      <c r="O63" s="43">
        <v>44021</v>
      </c>
      <c r="P63" s="43" t="s">
        <v>25</v>
      </c>
      <c r="Q63" s="34" t="s">
        <v>964</v>
      </c>
      <c r="R63" s="34" t="s">
        <v>901</v>
      </c>
      <c r="S63" s="34"/>
      <c r="T63" t="s">
        <v>1187</v>
      </c>
      <c r="U63">
        <f t="shared" si="0"/>
        <v>7</v>
      </c>
      <c r="V63">
        <f>VLOOKUP(I63,Indicadores!$N$4:$Q$15,4,0)</f>
        <v>329.87</v>
      </c>
    </row>
    <row r="64" spans="1:22">
      <c r="A64" t="s">
        <v>899</v>
      </c>
      <c r="B64" t="s">
        <v>717</v>
      </c>
      <c r="C64" s="41" t="s">
        <v>718</v>
      </c>
      <c r="D64" s="34" t="s">
        <v>719</v>
      </c>
      <c r="E64" t="s">
        <v>581</v>
      </c>
      <c r="F64" s="41" t="s">
        <v>582</v>
      </c>
      <c r="G64" s="34" t="s">
        <v>352</v>
      </c>
      <c r="H64" s="34" t="s">
        <v>202</v>
      </c>
      <c r="I64" s="34" t="s">
        <v>5</v>
      </c>
      <c r="J64" s="45">
        <v>940600030283</v>
      </c>
      <c r="K64" s="34" t="s">
        <v>21</v>
      </c>
      <c r="L64" s="34" t="s">
        <v>258</v>
      </c>
      <c r="M64" s="34" t="s">
        <v>252</v>
      </c>
      <c r="N64" s="34" t="s">
        <v>720</v>
      </c>
      <c r="O64" s="43">
        <v>44021</v>
      </c>
      <c r="P64" s="43" t="s">
        <v>25</v>
      </c>
      <c r="Q64" s="34" t="s">
        <v>965</v>
      </c>
      <c r="R64" s="34" t="s">
        <v>901</v>
      </c>
      <c r="S64" s="34"/>
      <c r="T64" t="s">
        <v>1187</v>
      </c>
      <c r="U64">
        <f t="shared" si="0"/>
        <v>7</v>
      </c>
      <c r="V64">
        <f>VLOOKUP(I64,Indicadores!$N$4:$Q$15,4,0)</f>
        <v>895.23</v>
      </c>
    </row>
    <row r="65" spans="1:22">
      <c r="A65" t="s">
        <v>899</v>
      </c>
      <c r="B65" t="s">
        <v>717</v>
      </c>
      <c r="C65" s="41" t="s">
        <v>718</v>
      </c>
      <c r="D65" s="34" t="s">
        <v>719</v>
      </c>
      <c r="E65" t="s">
        <v>581</v>
      </c>
      <c r="F65" s="41" t="s">
        <v>582</v>
      </c>
      <c r="G65" s="34" t="s">
        <v>352</v>
      </c>
      <c r="H65" s="34" t="s">
        <v>202</v>
      </c>
      <c r="I65" s="34" t="s">
        <v>7</v>
      </c>
      <c r="J65" s="42">
        <v>2830186</v>
      </c>
      <c r="K65" s="34" t="s">
        <v>56</v>
      </c>
      <c r="L65" s="34" t="s">
        <v>57</v>
      </c>
      <c r="M65" s="34" t="s">
        <v>252</v>
      </c>
      <c r="N65" s="34" t="s">
        <v>720</v>
      </c>
      <c r="O65" s="43">
        <v>44021</v>
      </c>
      <c r="P65" s="43" t="s">
        <v>25</v>
      </c>
      <c r="Q65" s="34" t="s">
        <v>966</v>
      </c>
      <c r="R65" s="34" t="s">
        <v>901</v>
      </c>
      <c r="S65" s="34"/>
      <c r="T65" t="s">
        <v>1187</v>
      </c>
      <c r="U65">
        <f t="shared" si="0"/>
        <v>7</v>
      </c>
      <c r="V65">
        <f>VLOOKUP(I65,Indicadores!$N$4:$Q$15,4,0)</f>
        <v>329.87</v>
      </c>
    </row>
    <row r="66" spans="1:22">
      <c r="A66" t="s">
        <v>899</v>
      </c>
      <c r="B66" t="s">
        <v>578</v>
      </c>
      <c r="C66" s="41" t="s">
        <v>579</v>
      </c>
      <c r="D66" s="34" t="s">
        <v>580</v>
      </c>
      <c r="E66" t="s">
        <v>581</v>
      </c>
      <c r="F66" s="41" t="s">
        <v>582</v>
      </c>
      <c r="G66" s="34" t="s">
        <v>352</v>
      </c>
      <c r="H66" s="34" t="s">
        <v>202</v>
      </c>
      <c r="I66" s="34" t="s">
        <v>3</v>
      </c>
      <c r="J66" s="45" t="s">
        <v>272</v>
      </c>
      <c r="K66" s="34" t="s">
        <v>21</v>
      </c>
      <c r="L66" s="34" t="s">
        <v>22</v>
      </c>
      <c r="M66" s="47" t="s">
        <v>273</v>
      </c>
      <c r="N66" s="47" t="s">
        <v>583</v>
      </c>
      <c r="O66" s="43">
        <v>44067</v>
      </c>
      <c r="P66" s="43" t="s">
        <v>25</v>
      </c>
      <c r="Q66" s="34" t="s">
        <v>967</v>
      </c>
      <c r="R66" s="34" t="s">
        <v>901</v>
      </c>
      <c r="S66" s="47"/>
      <c r="T66" t="s">
        <v>1187</v>
      </c>
      <c r="U66">
        <f t="shared" si="0"/>
        <v>8</v>
      </c>
      <c r="V66">
        <f>VLOOKUP(I66,Indicadores!$N$4:$Q$15,4,0)</f>
        <v>552.64</v>
      </c>
    </row>
    <row r="67" spans="1:22">
      <c r="A67" s="49" t="s">
        <v>899</v>
      </c>
      <c r="B67" t="s">
        <v>578</v>
      </c>
      <c r="C67" s="41" t="s">
        <v>579</v>
      </c>
      <c r="D67" s="34" t="s">
        <v>580</v>
      </c>
      <c r="E67" t="s">
        <v>581</v>
      </c>
      <c r="F67" s="41" t="s">
        <v>582</v>
      </c>
      <c r="G67" s="34" t="s">
        <v>352</v>
      </c>
      <c r="H67" s="34" t="s">
        <v>202</v>
      </c>
      <c r="I67" s="38" t="s">
        <v>4</v>
      </c>
      <c r="J67" s="42">
        <v>4222088</v>
      </c>
      <c r="K67" s="34" t="s">
        <v>26</v>
      </c>
      <c r="L67" s="47" t="s">
        <v>27</v>
      </c>
      <c r="M67" s="47" t="s">
        <v>273</v>
      </c>
      <c r="N67" s="47" t="s">
        <v>583</v>
      </c>
      <c r="O67" s="43">
        <v>44067</v>
      </c>
      <c r="P67" s="43" t="s">
        <v>25</v>
      </c>
      <c r="Q67" s="34" t="s">
        <v>968</v>
      </c>
      <c r="R67" s="47" t="s">
        <v>901</v>
      </c>
      <c r="S67" s="47"/>
      <c r="T67" t="s">
        <v>1187</v>
      </c>
      <c r="U67">
        <f t="shared" ref="U67:U130" si="1">IF(O67&lt;&gt;"",MONTH(O67),"")</f>
        <v>8</v>
      </c>
      <c r="V67">
        <f>VLOOKUP(I67,Indicadores!$N$4:$Q$15,4,0)</f>
        <v>329.87</v>
      </c>
    </row>
    <row r="68" spans="1:22">
      <c r="A68" s="49" t="s">
        <v>899</v>
      </c>
      <c r="B68" t="s">
        <v>578</v>
      </c>
      <c r="C68" s="41" t="s">
        <v>579</v>
      </c>
      <c r="D68" s="34" t="s">
        <v>580</v>
      </c>
      <c r="E68" t="s">
        <v>581</v>
      </c>
      <c r="F68" s="41" t="s">
        <v>582</v>
      </c>
      <c r="G68" s="34" t="s">
        <v>352</v>
      </c>
      <c r="H68" s="34" t="s">
        <v>202</v>
      </c>
      <c r="I68" s="34" t="s">
        <v>5</v>
      </c>
      <c r="J68" s="42">
        <v>1314664</v>
      </c>
      <c r="K68" s="34" t="s">
        <v>21</v>
      </c>
      <c r="L68" s="34" t="s">
        <v>34</v>
      </c>
      <c r="M68" s="47" t="s">
        <v>273</v>
      </c>
      <c r="N68" s="47" t="s">
        <v>583</v>
      </c>
      <c r="O68" s="43">
        <v>44067</v>
      </c>
      <c r="P68" s="43" t="s">
        <v>25</v>
      </c>
      <c r="Q68" s="34" t="s">
        <v>969</v>
      </c>
      <c r="R68" s="34" t="s">
        <v>901</v>
      </c>
      <c r="S68" s="47"/>
      <c r="T68" t="s">
        <v>1187</v>
      </c>
      <c r="U68">
        <f t="shared" si="1"/>
        <v>8</v>
      </c>
      <c r="V68">
        <f>VLOOKUP(I68,Indicadores!$N$4:$Q$15,4,0)</f>
        <v>895.23</v>
      </c>
    </row>
    <row r="69" spans="1:22">
      <c r="A69" t="s">
        <v>899</v>
      </c>
      <c r="B69" t="s">
        <v>578</v>
      </c>
      <c r="C69" s="41" t="s">
        <v>579</v>
      </c>
      <c r="D69" s="34" t="s">
        <v>580</v>
      </c>
      <c r="E69" t="s">
        <v>581</v>
      </c>
      <c r="F69" s="41" t="s">
        <v>582</v>
      </c>
      <c r="G69" s="34" t="s">
        <v>352</v>
      </c>
      <c r="H69" s="34" t="s">
        <v>202</v>
      </c>
      <c r="I69" s="34" t="s">
        <v>5</v>
      </c>
      <c r="J69" s="42">
        <v>1378680</v>
      </c>
      <c r="K69" s="34" t="s">
        <v>21</v>
      </c>
      <c r="L69" s="34" t="s">
        <v>34</v>
      </c>
      <c r="M69" s="47" t="s">
        <v>273</v>
      </c>
      <c r="N69" s="47" t="s">
        <v>583</v>
      </c>
      <c r="O69" s="43">
        <v>44067</v>
      </c>
      <c r="P69" s="43" t="s">
        <v>25</v>
      </c>
      <c r="Q69" s="34" t="s">
        <v>970</v>
      </c>
      <c r="R69" s="34" t="s">
        <v>901</v>
      </c>
      <c r="S69" s="47"/>
      <c r="T69" t="s">
        <v>1187</v>
      </c>
      <c r="U69">
        <f t="shared" si="1"/>
        <v>8</v>
      </c>
      <c r="V69">
        <f>VLOOKUP(I69,Indicadores!$N$4:$Q$15,4,0)</f>
        <v>895.23</v>
      </c>
    </row>
    <row r="70" spans="1:22">
      <c r="A70" s="49" t="s">
        <v>899</v>
      </c>
      <c r="B70" t="s">
        <v>578</v>
      </c>
      <c r="C70" s="41" t="s">
        <v>579</v>
      </c>
      <c r="D70" s="34" t="s">
        <v>580</v>
      </c>
      <c r="E70" t="s">
        <v>581</v>
      </c>
      <c r="F70" s="41" t="s">
        <v>582</v>
      </c>
      <c r="G70" s="34" t="s">
        <v>352</v>
      </c>
      <c r="H70" s="34" t="s">
        <v>202</v>
      </c>
      <c r="I70" s="47" t="s">
        <v>7</v>
      </c>
      <c r="J70" s="42">
        <v>893757</v>
      </c>
      <c r="K70" s="34" t="s">
        <v>56</v>
      </c>
      <c r="L70" s="34" t="s">
        <v>57</v>
      </c>
      <c r="M70" s="47" t="s">
        <v>273</v>
      </c>
      <c r="N70" s="47" t="s">
        <v>583</v>
      </c>
      <c r="O70" s="43">
        <v>44067</v>
      </c>
      <c r="P70" s="43" t="s">
        <v>25</v>
      </c>
      <c r="Q70" s="34" t="s">
        <v>971</v>
      </c>
      <c r="R70" s="34" t="s">
        <v>901</v>
      </c>
      <c r="S70" s="47"/>
      <c r="T70" t="s">
        <v>1187</v>
      </c>
      <c r="U70">
        <f t="shared" si="1"/>
        <v>8</v>
      </c>
      <c r="V70">
        <f>VLOOKUP(I70,Indicadores!$N$4:$Q$15,4,0)</f>
        <v>329.87</v>
      </c>
    </row>
    <row r="71" spans="1:22">
      <c r="A71" t="s">
        <v>899</v>
      </c>
      <c r="B71" t="s">
        <v>505</v>
      </c>
      <c r="C71" s="41" t="s">
        <v>506</v>
      </c>
      <c r="D71" s="34" t="s">
        <v>349</v>
      </c>
      <c r="E71" t="s">
        <v>350</v>
      </c>
      <c r="F71" s="41" t="s">
        <v>351</v>
      </c>
      <c r="G71" s="34" t="s">
        <v>352</v>
      </c>
      <c r="H71" s="34" t="s">
        <v>202</v>
      </c>
      <c r="I71" s="34" t="s">
        <v>3</v>
      </c>
      <c r="J71" s="34" t="s">
        <v>246</v>
      </c>
      <c r="K71" s="34" t="s">
        <v>21</v>
      </c>
      <c r="L71" s="34" t="s">
        <v>22</v>
      </c>
      <c r="M71" s="34" t="s">
        <v>236</v>
      </c>
      <c r="N71" s="34" t="s">
        <v>507</v>
      </c>
      <c r="O71" s="43">
        <v>44068</v>
      </c>
      <c r="P71" s="43" t="s">
        <v>25</v>
      </c>
      <c r="Q71" s="34" t="s">
        <v>972</v>
      </c>
      <c r="R71" s="34" t="s">
        <v>901</v>
      </c>
      <c r="S71" s="34"/>
      <c r="T71" t="s">
        <v>1187</v>
      </c>
      <c r="U71">
        <f t="shared" si="1"/>
        <v>8</v>
      </c>
      <c r="V71">
        <f>VLOOKUP(I71,Indicadores!$N$4:$Q$15,4,0)</f>
        <v>552.64</v>
      </c>
    </row>
    <row r="72" spans="1:22">
      <c r="A72" t="s">
        <v>899</v>
      </c>
      <c r="B72" t="s">
        <v>505</v>
      </c>
      <c r="C72" s="41" t="s">
        <v>506</v>
      </c>
      <c r="D72" s="34" t="s">
        <v>349</v>
      </c>
      <c r="E72" t="s">
        <v>350</v>
      </c>
      <c r="F72" s="41" t="s">
        <v>351</v>
      </c>
      <c r="G72" s="34" t="s">
        <v>352</v>
      </c>
      <c r="H72" s="34" t="s">
        <v>202</v>
      </c>
      <c r="I72" s="38" t="s">
        <v>4</v>
      </c>
      <c r="J72" s="50">
        <v>49334</v>
      </c>
      <c r="K72" s="34" t="s">
        <v>31</v>
      </c>
      <c r="L72" s="34" t="s">
        <v>53</v>
      </c>
      <c r="M72" s="34" t="s">
        <v>236</v>
      </c>
      <c r="N72" s="34" t="s">
        <v>507</v>
      </c>
      <c r="O72" s="43">
        <v>44068</v>
      </c>
      <c r="P72" s="43" t="s">
        <v>25</v>
      </c>
      <c r="Q72" s="34" t="s">
        <v>973</v>
      </c>
      <c r="R72" s="34" t="s">
        <v>901</v>
      </c>
      <c r="S72" s="34"/>
      <c r="T72" t="s">
        <v>1187</v>
      </c>
      <c r="U72">
        <f t="shared" si="1"/>
        <v>8</v>
      </c>
      <c r="V72">
        <f>VLOOKUP(I72,Indicadores!$N$4:$Q$15,4,0)</f>
        <v>329.87</v>
      </c>
    </row>
    <row r="73" spans="1:22">
      <c r="A73" t="s">
        <v>899</v>
      </c>
      <c r="B73" t="s">
        <v>505</v>
      </c>
      <c r="C73" s="41" t="s">
        <v>506</v>
      </c>
      <c r="D73" s="34" t="s">
        <v>349</v>
      </c>
      <c r="E73" t="s">
        <v>350</v>
      </c>
      <c r="F73" s="41" t="s">
        <v>351</v>
      </c>
      <c r="G73" s="34" t="s">
        <v>352</v>
      </c>
      <c r="H73" s="34" t="s">
        <v>202</v>
      </c>
      <c r="I73" s="38" t="s">
        <v>4</v>
      </c>
      <c r="J73" s="50">
        <v>31520</v>
      </c>
      <c r="K73" s="34" t="s">
        <v>31</v>
      </c>
      <c r="L73" s="34" t="s">
        <v>242</v>
      </c>
      <c r="M73" s="34" t="s">
        <v>236</v>
      </c>
      <c r="N73" s="34" t="s">
        <v>507</v>
      </c>
      <c r="O73" s="43">
        <v>44068</v>
      </c>
      <c r="P73" s="43" t="s">
        <v>25</v>
      </c>
      <c r="Q73" s="42" t="s">
        <v>974</v>
      </c>
      <c r="R73" s="34" t="s">
        <v>901</v>
      </c>
      <c r="S73" s="34"/>
      <c r="T73" t="s">
        <v>1187</v>
      </c>
      <c r="U73">
        <f t="shared" si="1"/>
        <v>8</v>
      </c>
      <c r="V73">
        <f>VLOOKUP(I73,Indicadores!$N$4:$Q$15,4,0)</f>
        <v>329.87</v>
      </c>
    </row>
    <row r="74" spans="1:22">
      <c r="A74" t="s">
        <v>899</v>
      </c>
      <c r="B74" t="s">
        <v>505</v>
      </c>
      <c r="C74" s="41" t="s">
        <v>506</v>
      </c>
      <c r="D74" s="34" t="s">
        <v>349</v>
      </c>
      <c r="E74" t="s">
        <v>350</v>
      </c>
      <c r="F74" s="41" t="s">
        <v>351</v>
      </c>
      <c r="G74" s="34" t="s">
        <v>352</v>
      </c>
      <c r="H74" s="34" t="s">
        <v>202</v>
      </c>
      <c r="I74" s="38" t="s">
        <v>4</v>
      </c>
      <c r="J74" s="50">
        <v>12587</v>
      </c>
      <c r="K74" s="34" t="s">
        <v>244</v>
      </c>
      <c r="L74" s="34" t="s">
        <v>245</v>
      </c>
      <c r="M74" s="34" t="s">
        <v>236</v>
      </c>
      <c r="N74" s="34" t="s">
        <v>507</v>
      </c>
      <c r="O74" s="43">
        <v>44068</v>
      </c>
      <c r="P74" s="43" t="s">
        <v>25</v>
      </c>
      <c r="Q74" s="34" t="s">
        <v>975</v>
      </c>
      <c r="R74" s="34" t="s">
        <v>901</v>
      </c>
      <c r="S74" s="34"/>
      <c r="T74" t="s">
        <v>1187</v>
      </c>
      <c r="U74">
        <f t="shared" si="1"/>
        <v>8</v>
      </c>
      <c r="V74">
        <f>VLOOKUP(I74,Indicadores!$N$4:$Q$15,4,0)</f>
        <v>329.87</v>
      </c>
    </row>
    <row r="75" spans="1:22">
      <c r="A75" t="s">
        <v>899</v>
      </c>
      <c r="B75" t="s">
        <v>505</v>
      </c>
      <c r="C75" s="41" t="s">
        <v>506</v>
      </c>
      <c r="D75" s="34" t="s">
        <v>349</v>
      </c>
      <c r="E75" t="s">
        <v>350</v>
      </c>
      <c r="F75" s="41" t="s">
        <v>351</v>
      </c>
      <c r="G75" s="34" t="s">
        <v>352</v>
      </c>
      <c r="H75" s="34" t="s">
        <v>202</v>
      </c>
      <c r="I75" s="34" t="s">
        <v>5</v>
      </c>
      <c r="J75" s="45">
        <v>141490001004</v>
      </c>
      <c r="K75" s="34" t="s">
        <v>21</v>
      </c>
      <c r="L75" s="34" t="s">
        <v>80</v>
      </c>
      <c r="M75" s="34" t="s">
        <v>236</v>
      </c>
      <c r="N75" s="34" t="s">
        <v>507</v>
      </c>
      <c r="O75" s="43">
        <v>44068</v>
      </c>
      <c r="P75" s="43" t="s">
        <v>25</v>
      </c>
      <c r="Q75" s="34" t="s">
        <v>976</v>
      </c>
      <c r="R75" s="34" t="s">
        <v>901</v>
      </c>
      <c r="S75" s="34"/>
      <c r="T75" t="s">
        <v>1187</v>
      </c>
      <c r="U75">
        <f t="shared" si="1"/>
        <v>8</v>
      </c>
      <c r="V75">
        <f>VLOOKUP(I75,Indicadores!$N$4:$Q$15,4,0)</f>
        <v>895.23</v>
      </c>
    </row>
    <row r="76" spans="1:22">
      <c r="A76" t="s">
        <v>899</v>
      </c>
      <c r="B76" t="s">
        <v>505</v>
      </c>
      <c r="C76" s="41" t="s">
        <v>506</v>
      </c>
      <c r="D76" s="34" t="s">
        <v>349</v>
      </c>
      <c r="E76" t="s">
        <v>350</v>
      </c>
      <c r="F76" s="41" t="s">
        <v>351</v>
      </c>
      <c r="G76" s="34" t="s">
        <v>352</v>
      </c>
      <c r="H76" s="34" t="s">
        <v>202</v>
      </c>
      <c r="I76" s="38" t="s">
        <v>835</v>
      </c>
      <c r="J76" s="45">
        <v>6203838</v>
      </c>
      <c r="K76" s="34" t="s">
        <v>26</v>
      </c>
      <c r="L76" s="34" t="s">
        <v>84</v>
      </c>
      <c r="M76" s="34" t="s">
        <v>236</v>
      </c>
      <c r="N76" s="34" t="s">
        <v>305</v>
      </c>
      <c r="O76" s="43">
        <v>44068</v>
      </c>
      <c r="P76" s="43" t="s">
        <v>25</v>
      </c>
      <c r="Q76" s="34" t="s">
        <v>977</v>
      </c>
      <c r="R76" s="34" t="s">
        <v>901</v>
      </c>
      <c r="S76" s="34"/>
      <c r="T76" t="s">
        <v>1187</v>
      </c>
      <c r="U76">
        <f t="shared" si="1"/>
        <v>8</v>
      </c>
      <c r="V76">
        <f>VLOOKUP(I76,Indicadores!$N$4:$Q$15,4,0)</f>
        <v>546.79</v>
      </c>
    </row>
    <row r="77" spans="1:22">
      <c r="A77" t="s">
        <v>899</v>
      </c>
      <c r="B77" t="s">
        <v>505</v>
      </c>
      <c r="C77" s="41" t="s">
        <v>506</v>
      </c>
      <c r="D77" s="34" t="s">
        <v>349</v>
      </c>
      <c r="E77" t="s">
        <v>350</v>
      </c>
      <c r="F77" s="41" t="s">
        <v>351</v>
      </c>
      <c r="G77" s="34" t="s">
        <v>352</v>
      </c>
      <c r="H77" s="34" t="s">
        <v>202</v>
      </c>
      <c r="I77" s="34" t="s">
        <v>7</v>
      </c>
      <c r="J77" s="50">
        <v>768951</v>
      </c>
      <c r="K77" s="34" t="s">
        <v>21</v>
      </c>
      <c r="L77" s="34" t="s">
        <v>168</v>
      </c>
      <c r="M77" s="34" t="s">
        <v>236</v>
      </c>
      <c r="N77" s="34" t="s">
        <v>507</v>
      </c>
      <c r="O77" s="43">
        <v>44068</v>
      </c>
      <c r="P77" s="43" t="s">
        <v>25</v>
      </c>
      <c r="Q77" s="34" t="s">
        <v>978</v>
      </c>
      <c r="R77" s="34" t="s">
        <v>901</v>
      </c>
      <c r="S77" s="34"/>
      <c r="T77" t="s">
        <v>1187</v>
      </c>
      <c r="U77">
        <f t="shared" si="1"/>
        <v>8</v>
      </c>
      <c r="V77">
        <f>VLOOKUP(I77,Indicadores!$N$4:$Q$15,4,0)</f>
        <v>329.87</v>
      </c>
    </row>
    <row r="78" spans="1:22">
      <c r="A78" t="s">
        <v>899</v>
      </c>
      <c r="B78" t="s">
        <v>505</v>
      </c>
      <c r="C78" s="41" t="s">
        <v>506</v>
      </c>
      <c r="D78" s="34" t="s">
        <v>349</v>
      </c>
      <c r="E78" t="s">
        <v>350</v>
      </c>
      <c r="F78" s="41" t="s">
        <v>351</v>
      </c>
      <c r="G78" s="34" t="s">
        <v>352</v>
      </c>
      <c r="H78" s="34" t="s">
        <v>202</v>
      </c>
      <c r="I78" s="34" t="s">
        <v>8</v>
      </c>
      <c r="J78" s="50" t="s">
        <v>243</v>
      </c>
      <c r="K78" s="34" t="s">
        <v>21</v>
      </c>
      <c r="L78" s="34" t="s">
        <v>44</v>
      </c>
      <c r="M78" s="34" t="s">
        <v>236</v>
      </c>
      <c r="N78" s="34" t="s">
        <v>507</v>
      </c>
      <c r="O78" s="43">
        <v>44068</v>
      </c>
      <c r="P78" s="43" t="s">
        <v>25</v>
      </c>
      <c r="Q78" s="47" t="s">
        <v>979</v>
      </c>
      <c r="R78" s="34" t="s">
        <v>901</v>
      </c>
      <c r="S78" s="34"/>
      <c r="T78" t="s">
        <v>1187</v>
      </c>
      <c r="U78">
        <f t="shared" si="1"/>
        <v>8</v>
      </c>
      <c r="V78">
        <f>VLOOKUP(I78,Indicadores!$N$4:$Q$15,4,0)</f>
        <v>462.11</v>
      </c>
    </row>
    <row r="79" spans="1:22">
      <c r="A79" t="s">
        <v>899</v>
      </c>
      <c r="B79" t="s">
        <v>505</v>
      </c>
      <c r="C79" s="41" t="s">
        <v>506</v>
      </c>
      <c r="D79" s="34" t="s">
        <v>349</v>
      </c>
      <c r="E79" t="s">
        <v>350</v>
      </c>
      <c r="F79" s="41" t="s">
        <v>351</v>
      </c>
      <c r="G79" s="34" t="s">
        <v>352</v>
      </c>
      <c r="H79" s="34" t="s">
        <v>202</v>
      </c>
      <c r="I79" s="34" t="s">
        <v>7</v>
      </c>
      <c r="J79" s="45">
        <v>52328</v>
      </c>
      <c r="K79" s="34" t="s">
        <v>31</v>
      </c>
      <c r="L79" s="34" t="s">
        <v>53</v>
      </c>
      <c r="M79" s="34" t="s">
        <v>236</v>
      </c>
      <c r="N79" s="34" t="s">
        <v>980</v>
      </c>
      <c r="O79" s="43">
        <v>44147</v>
      </c>
      <c r="P79" s="43" t="s">
        <v>25</v>
      </c>
      <c r="Q79" s="34" t="s">
        <v>981</v>
      </c>
      <c r="R79" s="34" t="s">
        <v>901</v>
      </c>
      <c r="S79" s="34"/>
      <c r="T79" t="s">
        <v>1187</v>
      </c>
      <c r="U79">
        <f t="shared" si="1"/>
        <v>11</v>
      </c>
      <c r="V79">
        <f>VLOOKUP(I79,Indicadores!$N$4:$Q$15,4,0)</f>
        <v>329.87</v>
      </c>
    </row>
    <row r="80" spans="1:22">
      <c r="A80" t="s">
        <v>899</v>
      </c>
      <c r="B80" t="s">
        <v>505</v>
      </c>
      <c r="C80" s="41" t="s">
        <v>506</v>
      </c>
      <c r="D80" s="34" t="s">
        <v>349</v>
      </c>
      <c r="E80" t="s">
        <v>350</v>
      </c>
      <c r="F80" s="41" t="s">
        <v>351</v>
      </c>
      <c r="G80" s="34" t="s">
        <v>352</v>
      </c>
      <c r="H80" s="34" t="s">
        <v>202</v>
      </c>
      <c r="I80" s="38" t="s">
        <v>4</v>
      </c>
      <c r="J80" s="42">
        <v>52044</v>
      </c>
      <c r="K80" s="34" t="s">
        <v>31</v>
      </c>
      <c r="L80" s="34" t="s">
        <v>74</v>
      </c>
      <c r="M80" s="34" t="s">
        <v>236</v>
      </c>
      <c r="N80" s="34" t="s">
        <v>507</v>
      </c>
      <c r="O80" s="43">
        <v>44259</v>
      </c>
      <c r="P80" s="43" t="s">
        <v>25</v>
      </c>
      <c r="Q80" s="34" t="s">
        <v>982</v>
      </c>
      <c r="R80" s="34" t="s">
        <v>901</v>
      </c>
      <c r="S80" s="34"/>
      <c r="T80" t="s">
        <v>1187</v>
      </c>
      <c r="U80">
        <f t="shared" si="1"/>
        <v>3</v>
      </c>
      <c r="V80">
        <f>VLOOKUP(I80,Indicadores!$N$4:$Q$15,4,0)</f>
        <v>329.87</v>
      </c>
    </row>
    <row r="81" spans="1:22">
      <c r="A81" t="s">
        <v>899</v>
      </c>
      <c r="B81" t="s">
        <v>544</v>
      </c>
      <c r="C81" s="41" t="s">
        <v>545</v>
      </c>
      <c r="D81" s="34" t="s">
        <v>546</v>
      </c>
      <c r="E81" t="s">
        <v>452</v>
      </c>
      <c r="F81" s="41" t="s">
        <v>453</v>
      </c>
      <c r="G81" s="34" t="s">
        <v>289</v>
      </c>
      <c r="H81" s="34" t="s">
        <v>164</v>
      </c>
      <c r="I81" s="34" t="s">
        <v>2</v>
      </c>
      <c r="J81" s="42">
        <v>23409689</v>
      </c>
      <c r="K81" s="34" t="s">
        <v>173</v>
      </c>
      <c r="L81" s="34" t="s">
        <v>174</v>
      </c>
      <c r="M81" s="34" t="s">
        <v>983</v>
      </c>
      <c r="N81" s="34" t="s">
        <v>426</v>
      </c>
      <c r="O81" s="43">
        <v>43718</v>
      </c>
      <c r="P81" s="43" t="s">
        <v>46</v>
      </c>
      <c r="Q81" s="34" t="s">
        <v>984</v>
      </c>
      <c r="R81" s="34" t="s">
        <v>901</v>
      </c>
      <c r="S81" s="34"/>
      <c r="T81" t="s">
        <v>1187</v>
      </c>
      <c r="U81">
        <f t="shared" si="1"/>
        <v>9</v>
      </c>
      <c r="V81">
        <f>VLOOKUP(I81,Indicadores!$N$4:$Q$15,4,0)</f>
        <v>456.77</v>
      </c>
    </row>
    <row r="82" spans="1:22">
      <c r="A82" t="s">
        <v>899</v>
      </c>
      <c r="B82" t="s">
        <v>985</v>
      </c>
      <c r="C82" s="41" t="s">
        <v>986</v>
      </c>
      <c r="D82" s="34" t="s">
        <v>987</v>
      </c>
      <c r="E82" t="s">
        <v>322</v>
      </c>
      <c r="F82" s="41" t="s">
        <v>323</v>
      </c>
      <c r="G82" s="34" t="s">
        <v>289</v>
      </c>
      <c r="H82" s="34" t="s">
        <v>73</v>
      </c>
      <c r="I82" s="34" t="s">
        <v>2</v>
      </c>
      <c r="J82" s="42" t="s">
        <v>76</v>
      </c>
      <c r="K82" s="34" t="s">
        <v>48</v>
      </c>
      <c r="L82" s="34" t="s">
        <v>49</v>
      </c>
      <c r="M82" s="34" t="s">
        <v>77</v>
      </c>
      <c r="N82" s="34" t="s">
        <v>426</v>
      </c>
      <c r="O82" s="43">
        <v>43739</v>
      </c>
      <c r="P82" s="43" t="s">
        <v>46</v>
      </c>
      <c r="Q82" s="34" t="s">
        <v>988</v>
      </c>
      <c r="R82" s="34" t="s">
        <v>901</v>
      </c>
      <c r="S82" s="34"/>
      <c r="T82" t="s">
        <v>1187</v>
      </c>
      <c r="U82">
        <f t="shared" si="1"/>
        <v>10</v>
      </c>
      <c r="V82">
        <f>VLOOKUP(I82,Indicadores!$N$4:$Q$15,4,0)</f>
        <v>456.77</v>
      </c>
    </row>
    <row r="83" spans="1:22">
      <c r="A83" t="s">
        <v>899</v>
      </c>
      <c r="B83" s="49" t="s">
        <v>613</v>
      </c>
      <c r="C83" s="41" t="s">
        <v>614</v>
      </c>
      <c r="D83" s="34" t="s">
        <v>615</v>
      </c>
      <c r="E83" t="s">
        <v>452</v>
      </c>
      <c r="F83" s="41" t="s">
        <v>453</v>
      </c>
      <c r="G83" s="34" t="s">
        <v>289</v>
      </c>
      <c r="H83" s="34" t="s">
        <v>98</v>
      </c>
      <c r="I83" s="34" t="s">
        <v>9</v>
      </c>
      <c r="J83" s="42" t="s">
        <v>128</v>
      </c>
      <c r="K83" s="34" t="s">
        <v>21</v>
      </c>
      <c r="L83" s="34" t="s">
        <v>29</v>
      </c>
      <c r="M83" s="34" t="s">
        <v>120</v>
      </c>
      <c r="N83" s="34"/>
      <c r="O83" s="43">
        <v>43739</v>
      </c>
      <c r="P83" s="43" t="s">
        <v>46</v>
      </c>
      <c r="Q83" s="34" t="s">
        <v>989</v>
      </c>
      <c r="R83" s="34" t="s">
        <v>901</v>
      </c>
      <c r="S83" s="34"/>
      <c r="T83" t="s">
        <v>1187</v>
      </c>
      <c r="U83">
        <f t="shared" si="1"/>
        <v>10</v>
      </c>
      <c r="V83">
        <f>VLOOKUP(I83,Indicadores!$N$4:$Q$15,4,0)</f>
        <v>521.79999999999995</v>
      </c>
    </row>
    <row r="84" spans="1:22">
      <c r="A84" t="s">
        <v>899</v>
      </c>
      <c r="B84" t="s">
        <v>990</v>
      </c>
      <c r="C84" s="41" t="s">
        <v>991</v>
      </c>
      <c r="D84" s="34" t="s">
        <v>992</v>
      </c>
      <c r="E84" t="s">
        <v>322</v>
      </c>
      <c r="F84" s="41" t="s">
        <v>323</v>
      </c>
      <c r="G84" s="34" t="s">
        <v>289</v>
      </c>
      <c r="H84" s="34" t="s">
        <v>94</v>
      </c>
      <c r="I84" s="34" t="s">
        <v>3</v>
      </c>
      <c r="J84" s="45">
        <v>133510002009</v>
      </c>
      <c r="K84" s="34" t="s">
        <v>21</v>
      </c>
      <c r="L84" s="34" t="s">
        <v>96</v>
      </c>
      <c r="M84" s="34" t="s">
        <v>97</v>
      </c>
      <c r="N84" s="34"/>
      <c r="O84" s="43">
        <v>43818</v>
      </c>
      <c r="P84" s="43" t="s">
        <v>46</v>
      </c>
      <c r="Q84" s="34" t="s">
        <v>993</v>
      </c>
      <c r="R84" s="34" t="s">
        <v>901</v>
      </c>
      <c r="S84" s="34"/>
      <c r="T84" t="s">
        <v>1187</v>
      </c>
      <c r="U84">
        <f t="shared" si="1"/>
        <v>12</v>
      </c>
      <c r="V84">
        <f>VLOOKUP(I84,Indicadores!$N$4:$Q$15,4,0)</f>
        <v>552.64</v>
      </c>
    </row>
    <row r="85" spans="1:22">
      <c r="A85" t="s">
        <v>899</v>
      </c>
      <c r="B85" t="s">
        <v>558</v>
      </c>
      <c r="C85" s="41" t="s">
        <v>559</v>
      </c>
      <c r="D85" s="34" t="s">
        <v>560</v>
      </c>
      <c r="E85" t="s">
        <v>322</v>
      </c>
      <c r="F85" s="41" t="s">
        <v>323</v>
      </c>
      <c r="G85" s="34" t="s">
        <v>289</v>
      </c>
      <c r="H85" s="34" t="s">
        <v>151</v>
      </c>
      <c r="I85" s="34" t="s">
        <v>3</v>
      </c>
      <c r="J85" s="45">
        <v>182790001035</v>
      </c>
      <c r="K85" s="34" t="s">
        <v>21</v>
      </c>
      <c r="L85" s="47" t="s">
        <v>22</v>
      </c>
      <c r="M85" s="34" t="s">
        <v>152</v>
      </c>
      <c r="N85" s="34"/>
      <c r="O85" s="43">
        <v>43851</v>
      </c>
      <c r="P85" s="43" t="s">
        <v>46</v>
      </c>
      <c r="Q85" s="34" t="s">
        <v>994</v>
      </c>
      <c r="R85" s="34" t="s">
        <v>901</v>
      </c>
      <c r="S85" s="34"/>
      <c r="T85" t="s">
        <v>1187</v>
      </c>
      <c r="U85">
        <f t="shared" si="1"/>
        <v>1</v>
      </c>
      <c r="V85">
        <f>VLOOKUP(I85,Indicadores!$N$4:$Q$15,4,0)</f>
        <v>552.64</v>
      </c>
    </row>
    <row r="86" spans="1:22">
      <c r="A86" t="s">
        <v>899</v>
      </c>
      <c r="B86" t="s">
        <v>558</v>
      </c>
      <c r="C86" s="41" t="s">
        <v>559</v>
      </c>
      <c r="D86" s="34" t="s">
        <v>560</v>
      </c>
      <c r="E86" t="s">
        <v>322</v>
      </c>
      <c r="F86" s="41" t="s">
        <v>323</v>
      </c>
      <c r="G86" s="34" t="s">
        <v>289</v>
      </c>
      <c r="H86" s="34" t="s">
        <v>151</v>
      </c>
      <c r="I86" s="38" t="s">
        <v>4</v>
      </c>
      <c r="J86" s="42">
        <v>4227209</v>
      </c>
      <c r="K86" s="34" t="s">
        <v>26</v>
      </c>
      <c r="L86" s="47" t="s">
        <v>27</v>
      </c>
      <c r="M86" s="34" t="s">
        <v>152</v>
      </c>
      <c r="N86" s="34"/>
      <c r="O86" s="43">
        <v>43851</v>
      </c>
      <c r="P86" s="43" t="s">
        <v>46</v>
      </c>
      <c r="Q86" s="34" t="s">
        <v>995</v>
      </c>
      <c r="R86" s="34" t="s">
        <v>901</v>
      </c>
      <c r="S86" s="34"/>
      <c r="T86" t="s">
        <v>1187</v>
      </c>
      <c r="U86">
        <f t="shared" si="1"/>
        <v>1</v>
      </c>
      <c r="V86">
        <f>VLOOKUP(I86,Indicadores!$N$4:$Q$15,4,0)</f>
        <v>329.87</v>
      </c>
    </row>
    <row r="87" spans="1:22">
      <c r="A87" t="s">
        <v>899</v>
      </c>
      <c r="B87" t="s">
        <v>558</v>
      </c>
      <c r="C87" s="41" t="s">
        <v>559</v>
      </c>
      <c r="D87" s="34" t="s">
        <v>560</v>
      </c>
      <c r="E87" t="s">
        <v>322</v>
      </c>
      <c r="F87" s="41" t="s">
        <v>323</v>
      </c>
      <c r="G87" s="34" t="s">
        <v>289</v>
      </c>
      <c r="H87" s="34" t="s">
        <v>151</v>
      </c>
      <c r="I87" s="38" t="s">
        <v>4</v>
      </c>
      <c r="J87" s="42">
        <v>4227316</v>
      </c>
      <c r="K87" s="34" t="s">
        <v>26</v>
      </c>
      <c r="L87" s="47" t="s">
        <v>27</v>
      </c>
      <c r="M87" s="34" t="s">
        <v>152</v>
      </c>
      <c r="N87" s="34"/>
      <c r="O87" s="43">
        <v>43851</v>
      </c>
      <c r="P87" s="43" t="s">
        <v>46</v>
      </c>
      <c r="Q87" s="34" t="s">
        <v>996</v>
      </c>
      <c r="R87" s="34" t="s">
        <v>901</v>
      </c>
      <c r="S87" s="34"/>
      <c r="T87" t="s">
        <v>1187</v>
      </c>
      <c r="U87">
        <f t="shared" si="1"/>
        <v>1</v>
      </c>
      <c r="V87">
        <f>VLOOKUP(I87,Indicadores!$N$4:$Q$15,4,0)</f>
        <v>329.87</v>
      </c>
    </row>
    <row r="88" spans="1:22">
      <c r="A88" t="s">
        <v>899</v>
      </c>
      <c r="B88" t="s">
        <v>558</v>
      </c>
      <c r="C88" s="41" t="s">
        <v>559</v>
      </c>
      <c r="D88" s="34" t="s">
        <v>560</v>
      </c>
      <c r="E88" t="s">
        <v>322</v>
      </c>
      <c r="F88" s="41" t="s">
        <v>323</v>
      </c>
      <c r="G88" s="34" t="s">
        <v>289</v>
      </c>
      <c r="H88" s="34" t="s">
        <v>151</v>
      </c>
      <c r="I88" s="34" t="s">
        <v>5</v>
      </c>
      <c r="J88" s="45">
        <v>181790001011</v>
      </c>
      <c r="K88" s="34" t="s">
        <v>21</v>
      </c>
      <c r="L88" s="34" t="s">
        <v>80</v>
      </c>
      <c r="M88" s="34" t="s">
        <v>152</v>
      </c>
      <c r="N88" s="34"/>
      <c r="O88" s="43">
        <v>43851</v>
      </c>
      <c r="P88" s="43" t="s">
        <v>46</v>
      </c>
      <c r="Q88" s="34" t="s">
        <v>997</v>
      </c>
      <c r="R88" s="34" t="s">
        <v>901</v>
      </c>
      <c r="S88" s="34"/>
      <c r="T88" t="s">
        <v>1187</v>
      </c>
      <c r="U88">
        <f t="shared" si="1"/>
        <v>1</v>
      </c>
      <c r="V88">
        <f>VLOOKUP(I88,Indicadores!$N$4:$Q$15,4,0)</f>
        <v>895.23</v>
      </c>
    </row>
    <row r="89" spans="1:22">
      <c r="A89" t="s">
        <v>899</v>
      </c>
      <c r="B89" t="s">
        <v>558</v>
      </c>
      <c r="C89" s="41" t="s">
        <v>559</v>
      </c>
      <c r="D89" s="34" t="s">
        <v>560</v>
      </c>
      <c r="E89" t="s">
        <v>322</v>
      </c>
      <c r="F89" s="41" t="s">
        <v>323</v>
      </c>
      <c r="G89" s="34" t="s">
        <v>289</v>
      </c>
      <c r="H89" s="34" t="s">
        <v>151</v>
      </c>
      <c r="I89" s="34" t="s">
        <v>7</v>
      </c>
      <c r="J89" s="42">
        <v>2224264</v>
      </c>
      <c r="K89" s="34" t="s">
        <v>56</v>
      </c>
      <c r="L89" s="34" t="s">
        <v>57</v>
      </c>
      <c r="M89" s="34" t="s">
        <v>152</v>
      </c>
      <c r="N89" s="34"/>
      <c r="O89" s="43">
        <v>43851</v>
      </c>
      <c r="P89" s="43" t="s">
        <v>46</v>
      </c>
      <c r="Q89" s="34" t="s">
        <v>998</v>
      </c>
      <c r="R89" s="34" t="s">
        <v>901</v>
      </c>
      <c r="S89" s="34"/>
      <c r="T89" t="s">
        <v>1187</v>
      </c>
      <c r="U89">
        <f t="shared" si="1"/>
        <v>1</v>
      </c>
      <c r="V89">
        <f>VLOOKUP(I89,Indicadores!$N$4:$Q$15,4,0)</f>
        <v>329.87</v>
      </c>
    </row>
    <row r="90" spans="1:22">
      <c r="A90" t="s">
        <v>899</v>
      </c>
      <c r="B90" t="s">
        <v>558</v>
      </c>
      <c r="C90" s="41" t="s">
        <v>559</v>
      </c>
      <c r="D90" s="34" t="s">
        <v>560</v>
      </c>
      <c r="E90" t="s">
        <v>322</v>
      </c>
      <c r="F90" s="41" t="s">
        <v>323</v>
      </c>
      <c r="G90" s="34" t="s">
        <v>289</v>
      </c>
      <c r="H90" s="34" t="s">
        <v>151</v>
      </c>
      <c r="I90" s="34" t="s">
        <v>7</v>
      </c>
      <c r="J90" s="42">
        <v>2068798</v>
      </c>
      <c r="K90" s="34" t="s">
        <v>56</v>
      </c>
      <c r="L90" s="34" t="s">
        <v>57</v>
      </c>
      <c r="M90" s="34" t="s">
        <v>152</v>
      </c>
      <c r="N90" s="51"/>
      <c r="O90" s="43">
        <v>43851</v>
      </c>
      <c r="P90" s="43" t="s">
        <v>46</v>
      </c>
      <c r="Q90" s="34" t="s">
        <v>999</v>
      </c>
      <c r="R90" s="34" t="s">
        <v>901</v>
      </c>
      <c r="S90" s="34"/>
      <c r="T90" t="s">
        <v>1187</v>
      </c>
      <c r="U90">
        <f t="shared" si="1"/>
        <v>1</v>
      </c>
      <c r="V90">
        <f>VLOOKUP(I90,Indicadores!$N$4:$Q$15,4,0)</f>
        <v>329.87</v>
      </c>
    </row>
    <row r="91" spans="1:22">
      <c r="A91" t="s">
        <v>899</v>
      </c>
      <c r="B91" t="s">
        <v>558</v>
      </c>
      <c r="C91" s="41" t="s">
        <v>559</v>
      </c>
      <c r="D91" s="34" t="s">
        <v>560</v>
      </c>
      <c r="E91" t="s">
        <v>322</v>
      </c>
      <c r="F91" s="41" t="s">
        <v>323</v>
      </c>
      <c r="G91" s="34" t="s">
        <v>289</v>
      </c>
      <c r="H91" s="34" t="s">
        <v>151</v>
      </c>
      <c r="I91" s="34" t="s">
        <v>9</v>
      </c>
      <c r="J91" s="42" t="s">
        <v>154</v>
      </c>
      <c r="K91" s="34" t="s">
        <v>21</v>
      </c>
      <c r="L91" s="34" t="s">
        <v>155</v>
      </c>
      <c r="M91" s="34" t="s">
        <v>152</v>
      </c>
      <c r="N91" s="34"/>
      <c r="O91" s="43">
        <v>43851</v>
      </c>
      <c r="P91" s="43" t="s">
        <v>46</v>
      </c>
      <c r="Q91" s="34" t="s">
        <v>1000</v>
      </c>
      <c r="R91" s="34" t="s">
        <v>901</v>
      </c>
      <c r="S91" s="34"/>
      <c r="T91" t="s">
        <v>1187</v>
      </c>
      <c r="U91">
        <f t="shared" si="1"/>
        <v>1</v>
      </c>
      <c r="V91">
        <f>VLOOKUP(I91,Indicadores!$N$4:$Q$15,4,0)</f>
        <v>521.79999999999995</v>
      </c>
    </row>
    <row r="92" spans="1:22">
      <c r="A92" t="s">
        <v>899</v>
      </c>
      <c r="B92" t="s">
        <v>449</v>
      </c>
      <c r="C92" s="41" t="s">
        <v>450</v>
      </c>
      <c r="D92" s="34" t="s">
        <v>451</v>
      </c>
      <c r="E92" t="s">
        <v>452</v>
      </c>
      <c r="F92" s="41" t="s">
        <v>453</v>
      </c>
      <c r="G92" s="34" t="s">
        <v>289</v>
      </c>
      <c r="H92" s="34" t="s">
        <v>83</v>
      </c>
      <c r="I92" s="38" t="s">
        <v>4</v>
      </c>
      <c r="J92" s="45">
        <v>12199</v>
      </c>
      <c r="K92" s="34" t="s">
        <v>62</v>
      </c>
      <c r="L92" s="34" t="s">
        <v>63</v>
      </c>
      <c r="M92" s="34" t="s">
        <v>85</v>
      </c>
      <c r="N92" s="34" t="s">
        <v>455</v>
      </c>
      <c r="O92" s="43">
        <v>44013</v>
      </c>
      <c r="P92" s="43" t="s">
        <v>25</v>
      </c>
      <c r="Q92" s="34" t="s">
        <v>1001</v>
      </c>
      <c r="R92" s="34" t="s">
        <v>901</v>
      </c>
      <c r="S92" s="34"/>
      <c r="T92" t="s">
        <v>1187</v>
      </c>
      <c r="U92">
        <f t="shared" si="1"/>
        <v>7</v>
      </c>
      <c r="V92">
        <f>VLOOKUP(I92,Indicadores!$N$4:$Q$15,4,0)</f>
        <v>329.87</v>
      </c>
    </row>
    <row r="93" spans="1:22">
      <c r="A93" t="s">
        <v>899</v>
      </c>
      <c r="B93" t="s">
        <v>449</v>
      </c>
      <c r="C93" s="41" t="s">
        <v>450</v>
      </c>
      <c r="D93" s="34" t="s">
        <v>451</v>
      </c>
      <c r="E93" t="s">
        <v>452</v>
      </c>
      <c r="F93" s="41" t="s">
        <v>453</v>
      </c>
      <c r="G93" s="34" t="s">
        <v>289</v>
      </c>
      <c r="H93" s="34" t="s">
        <v>83</v>
      </c>
      <c r="I93" s="34" t="s">
        <v>5</v>
      </c>
      <c r="J93" s="45">
        <v>1199043</v>
      </c>
      <c r="K93" s="34" t="s">
        <v>21</v>
      </c>
      <c r="L93" s="34" t="s">
        <v>34</v>
      </c>
      <c r="M93" s="34" t="s">
        <v>85</v>
      </c>
      <c r="N93" s="34" t="s">
        <v>455</v>
      </c>
      <c r="O93" s="43">
        <v>44013</v>
      </c>
      <c r="P93" s="43" t="s">
        <v>25</v>
      </c>
      <c r="Q93" s="34" t="s">
        <v>1002</v>
      </c>
      <c r="R93" s="34" t="s">
        <v>901</v>
      </c>
      <c r="S93" s="34"/>
      <c r="T93" t="s">
        <v>1187</v>
      </c>
      <c r="U93">
        <f t="shared" si="1"/>
        <v>7</v>
      </c>
      <c r="V93">
        <f>VLOOKUP(I93,Indicadores!$N$4:$Q$15,4,0)</f>
        <v>895.23</v>
      </c>
    </row>
    <row r="94" spans="1:22">
      <c r="A94" t="s">
        <v>899</v>
      </c>
      <c r="B94" t="s">
        <v>449</v>
      </c>
      <c r="C94" s="41" t="s">
        <v>450</v>
      </c>
      <c r="D94" s="34" t="s">
        <v>451</v>
      </c>
      <c r="E94" t="s">
        <v>452</v>
      </c>
      <c r="F94" s="41" t="s">
        <v>453</v>
      </c>
      <c r="G94" s="34" t="s">
        <v>289</v>
      </c>
      <c r="H94" s="34" t="s">
        <v>83</v>
      </c>
      <c r="I94" s="38" t="s">
        <v>835</v>
      </c>
      <c r="J94" s="45">
        <v>6247839</v>
      </c>
      <c r="K94" s="34" t="s">
        <v>26</v>
      </c>
      <c r="L94" s="34" t="s">
        <v>84</v>
      </c>
      <c r="M94" s="34" t="s">
        <v>85</v>
      </c>
      <c r="N94" s="34" t="s">
        <v>455</v>
      </c>
      <c r="O94" s="43">
        <v>44013</v>
      </c>
      <c r="P94" s="43" t="s">
        <v>25</v>
      </c>
      <c r="Q94" s="34" t="s">
        <v>1003</v>
      </c>
      <c r="R94" s="34" t="s">
        <v>901</v>
      </c>
      <c r="S94" s="34"/>
      <c r="T94" t="s">
        <v>1187</v>
      </c>
      <c r="U94">
        <f t="shared" si="1"/>
        <v>7</v>
      </c>
      <c r="V94">
        <f>VLOOKUP(I94,Indicadores!$N$4:$Q$15,4,0)</f>
        <v>546.79</v>
      </c>
    </row>
    <row r="95" spans="1:22">
      <c r="A95" t="s">
        <v>899</v>
      </c>
      <c r="B95" t="s">
        <v>449</v>
      </c>
      <c r="C95" s="41" t="s">
        <v>450</v>
      </c>
      <c r="D95" s="34" t="s">
        <v>451</v>
      </c>
      <c r="E95" t="s">
        <v>452</v>
      </c>
      <c r="F95" s="41" t="s">
        <v>453</v>
      </c>
      <c r="G95" s="34" t="s">
        <v>289</v>
      </c>
      <c r="H95" s="34" t="s">
        <v>83</v>
      </c>
      <c r="I95" s="38" t="s">
        <v>835</v>
      </c>
      <c r="J95" s="45">
        <v>6261856</v>
      </c>
      <c r="K95" s="34" t="s">
        <v>26</v>
      </c>
      <c r="L95" s="34" t="s">
        <v>84</v>
      </c>
      <c r="M95" s="34" t="s">
        <v>85</v>
      </c>
      <c r="N95" s="34" t="s">
        <v>455</v>
      </c>
      <c r="O95" s="43">
        <v>44013</v>
      </c>
      <c r="P95" s="43" t="s">
        <v>25</v>
      </c>
      <c r="Q95" s="34" t="s">
        <v>1004</v>
      </c>
      <c r="R95" s="34" t="s">
        <v>901</v>
      </c>
      <c r="S95" s="34"/>
      <c r="T95" t="s">
        <v>1187</v>
      </c>
      <c r="U95">
        <f t="shared" si="1"/>
        <v>7</v>
      </c>
      <c r="V95">
        <f>VLOOKUP(I95,Indicadores!$N$4:$Q$15,4,0)</f>
        <v>546.79</v>
      </c>
    </row>
    <row r="96" spans="1:22">
      <c r="A96" t="s">
        <v>899</v>
      </c>
      <c r="B96" t="s">
        <v>449</v>
      </c>
      <c r="C96" s="41" t="s">
        <v>450</v>
      </c>
      <c r="D96" s="34" t="s">
        <v>451</v>
      </c>
      <c r="E96" t="s">
        <v>452</v>
      </c>
      <c r="F96" s="41" t="s">
        <v>453</v>
      </c>
      <c r="G96" s="34" t="s">
        <v>289</v>
      </c>
      <c r="H96" s="34" t="s">
        <v>83</v>
      </c>
      <c r="I96" s="34" t="s">
        <v>7</v>
      </c>
      <c r="J96" s="45">
        <v>48493</v>
      </c>
      <c r="K96" s="34" t="s">
        <v>31</v>
      </c>
      <c r="L96" s="34" t="s">
        <v>88</v>
      </c>
      <c r="M96" s="34" t="s">
        <v>85</v>
      </c>
      <c r="N96" s="34" t="s">
        <v>455</v>
      </c>
      <c r="O96" s="43">
        <v>44013</v>
      </c>
      <c r="P96" s="43" t="s">
        <v>25</v>
      </c>
      <c r="Q96" s="34" t="s">
        <v>1005</v>
      </c>
      <c r="R96" s="34" t="s">
        <v>901</v>
      </c>
      <c r="S96" s="34"/>
      <c r="T96" t="s">
        <v>1187</v>
      </c>
      <c r="U96">
        <f t="shared" si="1"/>
        <v>7</v>
      </c>
      <c r="V96">
        <f>VLOOKUP(I96,Indicadores!$N$4:$Q$15,4,0)</f>
        <v>329.87</v>
      </c>
    </row>
    <row r="97" spans="1:22">
      <c r="A97" t="s">
        <v>899</v>
      </c>
      <c r="B97" t="s">
        <v>449</v>
      </c>
      <c r="C97" s="41" t="s">
        <v>450</v>
      </c>
      <c r="D97" s="34" t="s">
        <v>451</v>
      </c>
      <c r="E97" t="s">
        <v>452</v>
      </c>
      <c r="F97" s="41" t="s">
        <v>453</v>
      </c>
      <c r="G97" s="34" t="s">
        <v>289</v>
      </c>
      <c r="H97" s="34" t="s">
        <v>83</v>
      </c>
      <c r="I97" s="34" t="s">
        <v>9</v>
      </c>
      <c r="J97" s="45">
        <v>1521</v>
      </c>
      <c r="K97" s="34" t="s">
        <v>54</v>
      </c>
      <c r="L97" s="34" t="s">
        <v>87</v>
      </c>
      <c r="M97" s="34" t="s">
        <v>85</v>
      </c>
      <c r="N97" s="34" t="s">
        <v>455</v>
      </c>
      <c r="O97" s="43">
        <v>44013</v>
      </c>
      <c r="P97" s="43" t="s">
        <v>25</v>
      </c>
      <c r="Q97" s="34" t="s">
        <v>1006</v>
      </c>
      <c r="R97" s="34" t="s">
        <v>901</v>
      </c>
      <c r="S97" s="34"/>
      <c r="T97" t="s">
        <v>1187</v>
      </c>
      <c r="U97">
        <f t="shared" si="1"/>
        <v>7</v>
      </c>
      <c r="V97">
        <f>VLOOKUP(I97,Indicadores!$N$4:$Q$15,4,0)</f>
        <v>521.79999999999995</v>
      </c>
    </row>
    <row r="98" spans="1:22">
      <c r="A98" t="s">
        <v>899</v>
      </c>
      <c r="B98" t="s">
        <v>449</v>
      </c>
      <c r="C98" s="41" t="s">
        <v>450</v>
      </c>
      <c r="D98" s="34" t="s">
        <v>451</v>
      </c>
      <c r="E98" t="s">
        <v>452</v>
      </c>
      <c r="F98" s="41" t="s">
        <v>453</v>
      </c>
      <c r="G98" s="34" t="s">
        <v>289</v>
      </c>
      <c r="H98" s="34" t="s">
        <v>83</v>
      </c>
      <c r="I98" s="34" t="s">
        <v>9</v>
      </c>
      <c r="J98" s="45">
        <v>68553</v>
      </c>
      <c r="K98" s="34" t="s">
        <v>31</v>
      </c>
      <c r="L98" s="34" t="s">
        <v>89</v>
      </c>
      <c r="M98" s="34" t="s">
        <v>85</v>
      </c>
      <c r="N98" s="34" t="s">
        <v>455</v>
      </c>
      <c r="O98" s="43">
        <v>44013</v>
      </c>
      <c r="P98" s="43" t="s">
        <v>25</v>
      </c>
      <c r="Q98" s="34" t="s">
        <v>1007</v>
      </c>
      <c r="R98" s="34" t="s">
        <v>901</v>
      </c>
      <c r="S98" s="34"/>
      <c r="T98" t="s">
        <v>1187</v>
      </c>
      <c r="U98">
        <f t="shared" si="1"/>
        <v>7</v>
      </c>
      <c r="V98">
        <f>VLOOKUP(I98,Indicadores!$N$4:$Q$15,4,0)</f>
        <v>521.79999999999995</v>
      </c>
    </row>
    <row r="99" spans="1:22">
      <c r="A99" t="s">
        <v>899</v>
      </c>
      <c r="B99" t="s">
        <v>1008</v>
      </c>
      <c r="C99" s="41" t="s">
        <v>1009</v>
      </c>
      <c r="D99" s="34" t="s">
        <v>679</v>
      </c>
      <c r="E99" t="s">
        <v>452</v>
      </c>
      <c r="F99" s="41" t="s">
        <v>453</v>
      </c>
      <c r="G99" s="34" t="s">
        <v>289</v>
      </c>
      <c r="H99" s="34" t="s">
        <v>83</v>
      </c>
      <c r="I99" s="34" t="s">
        <v>3</v>
      </c>
      <c r="J99" s="42" t="s">
        <v>90</v>
      </c>
      <c r="K99" s="34" t="s">
        <v>21</v>
      </c>
      <c r="L99" s="34" t="s">
        <v>22</v>
      </c>
      <c r="M99" s="34" t="s">
        <v>85</v>
      </c>
      <c r="N99" s="34" t="s">
        <v>455</v>
      </c>
      <c r="O99" s="43">
        <v>44013</v>
      </c>
      <c r="P99" s="43" t="s">
        <v>25</v>
      </c>
      <c r="Q99" s="34" t="s">
        <v>1010</v>
      </c>
      <c r="R99" s="34" t="s">
        <v>901</v>
      </c>
      <c r="S99" s="34"/>
      <c r="T99" t="s">
        <v>1187</v>
      </c>
      <c r="U99">
        <f t="shared" si="1"/>
        <v>7</v>
      </c>
      <c r="V99">
        <f>VLOOKUP(I99,Indicadores!$N$4:$Q$15,4,0)</f>
        <v>552.64</v>
      </c>
    </row>
    <row r="100" spans="1:22">
      <c r="A100" t="s">
        <v>899</v>
      </c>
      <c r="B100" t="s">
        <v>1011</v>
      </c>
      <c r="C100" s="41" t="s">
        <v>1012</v>
      </c>
      <c r="D100" s="34" t="s">
        <v>491</v>
      </c>
      <c r="E100" t="s">
        <v>487</v>
      </c>
      <c r="F100" s="41" t="s">
        <v>488</v>
      </c>
      <c r="G100" s="34" t="s">
        <v>289</v>
      </c>
      <c r="H100" s="34" t="s">
        <v>142</v>
      </c>
      <c r="I100" s="34" t="s">
        <v>2</v>
      </c>
      <c r="J100" s="45" t="s">
        <v>143</v>
      </c>
      <c r="K100" s="34" t="s">
        <v>48</v>
      </c>
      <c r="L100" s="34" t="s">
        <v>144</v>
      </c>
      <c r="M100" s="34" t="s">
        <v>145</v>
      </c>
      <c r="N100" s="34"/>
      <c r="O100" s="43">
        <v>44019</v>
      </c>
      <c r="P100" s="43" t="s">
        <v>25</v>
      </c>
      <c r="Q100" s="47" t="s">
        <v>1013</v>
      </c>
      <c r="R100" s="34" t="s">
        <v>901</v>
      </c>
      <c r="S100" s="34"/>
      <c r="T100" t="s">
        <v>1187</v>
      </c>
      <c r="U100">
        <f t="shared" si="1"/>
        <v>7</v>
      </c>
      <c r="V100">
        <f>VLOOKUP(I100,Indicadores!$N$4:$Q$15,4,0)</f>
        <v>456.77</v>
      </c>
    </row>
    <row r="101" spans="1:22">
      <c r="A101" t="s">
        <v>899</v>
      </c>
      <c r="B101" t="s">
        <v>1011</v>
      </c>
      <c r="C101" s="41" t="s">
        <v>1012</v>
      </c>
      <c r="D101" s="34" t="s">
        <v>491</v>
      </c>
      <c r="E101" t="s">
        <v>487</v>
      </c>
      <c r="F101" s="41" t="s">
        <v>488</v>
      </c>
      <c r="G101" s="34" t="s">
        <v>289</v>
      </c>
      <c r="H101" s="34" t="s">
        <v>142</v>
      </c>
      <c r="I101" s="38" t="s">
        <v>4</v>
      </c>
      <c r="J101" s="45" t="s">
        <v>149</v>
      </c>
      <c r="K101" s="34" t="s">
        <v>21</v>
      </c>
      <c r="L101" s="34" t="s">
        <v>150</v>
      </c>
      <c r="M101" s="34" t="s">
        <v>145</v>
      </c>
      <c r="N101" s="34"/>
      <c r="O101" s="43">
        <v>44019</v>
      </c>
      <c r="P101" s="43" t="s">
        <v>25</v>
      </c>
      <c r="Q101" s="47" t="s">
        <v>1014</v>
      </c>
      <c r="R101" s="34" t="s">
        <v>901</v>
      </c>
      <c r="S101" s="34"/>
      <c r="T101" t="s">
        <v>1187</v>
      </c>
      <c r="U101">
        <f t="shared" si="1"/>
        <v>7</v>
      </c>
      <c r="V101">
        <f>VLOOKUP(I101,Indicadores!$N$4:$Q$15,4,0)</f>
        <v>329.87</v>
      </c>
    </row>
    <row r="102" spans="1:22">
      <c r="A102" t="s">
        <v>899</v>
      </c>
      <c r="B102" t="s">
        <v>1011</v>
      </c>
      <c r="C102" s="41" t="s">
        <v>1012</v>
      </c>
      <c r="D102" s="34" t="s">
        <v>491</v>
      </c>
      <c r="E102" t="s">
        <v>487</v>
      </c>
      <c r="F102" s="41" t="s">
        <v>488</v>
      </c>
      <c r="G102" s="34" t="s">
        <v>289</v>
      </c>
      <c r="H102" s="34" t="s">
        <v>142</v>
      </c>
      <c r="I102" s="34" t="s">
        <v>5</v>
      </c>
      <c r="J102" s="45" t="s">
        <v>147</v>
      </c>
      <c r="K102" s="34" t="s">
        <v>21</v>
      </c>
      <c r="L102" s="34" t="s">
        <v>148</v>
      </c>
      <c r="M102" s="34" t="s">
        <v>145</v>
      </c>
      <c r="N102" s="34"/>
      <c r="O102" s="43">
        <v>44019</v>
      </c>
      <c r="P102" s="43" t="s">
        <v>25</v>
      </c>
      <c r="Q102" s="34" t="s">
        <v>1015</v>
      </c>
      <c r="R102" s="34" t="s">
        <v>901</v>
      </c>
      <c r="S102" s="34"/>
      <c r="T102" t="s">
        <v>1187</v>
      </c>
      <c r="U102">
        <f t="shared" si="1"/>
        <v>7</v>
      </c>
      <c r="V102">
        <f>VLOOKUP(I102,Indicadores!$N$4:$Q$15,4,0)</f>
        <v>895.23</v>
      </c>
    </row>
    <row r="103" spans="1:22">
      <c r="A103" t="s">
        <v>899</v>
      </c>
      <c r="B103" t="s">
        <v>1011</v>
      </c>
      <c r="C103" s="41" t="s">
        <v>1012</v>
      </c>
      <c r="D103" s="34" t="s">
        <v>491</v>
      </c>
      <c r="E103" t="s">
        <v>487</v>
      </c>
      <c r="F103" s="41" t="s">
        <v>488</v>
      </c>
      <c r="G103" s="34" t="s">
        <v>289</v>
      </c>
      <c r="H103" s="34" t="s">
        <v>142</v>
      </c>
      <c r="I103" s="34" t="s">
        <v>7</v>
      </c>
      <c r="J103" s="45" t="s">
        <v>146</v>
      </c>
      <c r="K103" s="34" t="s">
        <v>66</v>
      </c>
      <c r="L103" s="34" t="s">
        <v>63</v>
      </c>
      <c r="M103" s="34" t="s">
        <v>145</v>
      </c>
      <c r="N103" s="34"/>
      <c r="O103" s="43">
        <v>44019</v>
      </c>
      <c r="P103" s="43" t="s">
        <v>25</v>
      </c>
      <c r="Q103" s="47" t="s">
        <v>1016</v>
      </c>
      <c r="R103" s="34" t="s">
        <v>901</v>
      </c>
      <c r="S103" s="34"/>
      <c r="T103" t="s">
        <v>1187</v>
      </c>
      <c r="U103">
        <f t="shared" si="1"/>
        <v>7</v>
      </c>
      <c r="V103">
        <f>VLOOKUP(I103,Indicadores!$N$4:$Q$15,4,0)</f>
        <v>329.87</v>
      </c>
    </row>
    <row r="104" spans="1:22">
      <c r="A104" t="s">
        <v>899</v>
      </c>
      <c r="B104" t="s">
        <v>538</v>
      </c>
      <c r="C104" s="41" t="s">
        <v>539</v>
      </c>
      <c r="D104" s="34" t="s">
        <v>540</v>
      </c>
      <c r="E104" t="s">
        <v>452</v>
      </c>
      <c r="F104" s="41" t="s">
        <v>453</v>
      </c>
      <c r="G104" s="34" t="s">
        <v>289</v>
      </c>
      <c r="H104" s="34" t="s">
        <v>98</v>
      </c>
      <c r="I104" s="38" t="s">
        <v>835</v>
      </c>
      <c r="J104" s="42" t="s">
        <v>113</v>
      </c>
      <c r="K104" s="34" t="s">
        <v>21</v>
      </c>
      <c r="L104" s="34" t="s">
        <v>108</v>
      </c>
      <c r="M104" s="34" t="s">
        <v>114</v>
      </c>
      <c r="N104" s="34" t="s">
        <v>426</v>
      </c>
      <c r="O104" s="43">
        <v>44033</v>
      </c>
      <c r="P104" s="43" t="s">
        <v>25</v>
      </c>
      <c r="Q104" s="34" t="s">
        <v>1017</v>
      </c>
      <c r="R104" s="34" t="s">
        <v>901</v>
      </c>
      <c r="S104" s="34"/>
      <c r="T104" t="s">
        <v>1187</v>
      </c>
      <c r="U104">
        <f t="shared" si="1"/>
        <v>7</v>
      </c>
      <c r="V104">
        <f>VLOOKUP(I104,Indicadores!$N$4:$Q$15,4,0)</f>
        <v>546.79</v>
      </c>
    </row>
    <row r="105" spans="1:22">
      <c r="A105" t="s">
        <v>899</v>
      </c>
      <c r="B105" t="s">
        <v>538</v>
      </c>
      <c r="C105" s="41" t="s">
        <v>539</v>
      </c>
      <c r="D105" s="34" t="s">
        <v>540</v>
      </c>
      <c r="E105" t="s">
        <v>452</v>
      </c>
      <c r="F105" s="41" t="s">
        <v>453</v>
      </c>
      <c r="G105" s="34" t="s">
        <v>289</v>
      </c>
      <c r="H105" s="34" t="s">
        <v>98</v>
      </c>
      <c r="I105" s="34" t="s">
        <v>9</v>
      </c>
      <c r="J105" s="42" t="s">
        <v>115</v>
      </c>
      <c r="K105" s="34" t="s">
        <v>21</v>
      </c>
      <c r="L105" s="34" t="s">
        <v>29</v>
      </c>
      <c r="M105" s="34" t="s">
        <v>114</v>
      </c>
      <c r="N105" s="34" t="s">
        <v>426</v>
      </c>
      <c r="O105" s="43">
        <v>44033</v>
      </c>
      <c r="P105" s="43" t="s">
        <v>25</v>
      </c>
      <c r="Q105" s="34" t="s">
        <v>1018</v>
      </c>
      <c r="R105" s="34" t="s">
        <v>901</v>
      </c>
      <c r="S105" s="34"/>
      <c r="T105" t="s">
        <v>1187</v>
      </c>
      <c r="U105">
        <f t="shared" si="1"/>
        <v>7</v>
      </c>
      <c r="V105">
        <f>VLOOKUP(I105,Indicadores!$N$4:$Q$15,4,0)</f>
        <v>521.79999999999995</v>
      </c>
    </row>
    <row r="106" spans="1:22">
      <c r="A106" t="s">
        <v>899</v>
      </c>
      <c r="B106" t="s">
        <v>286</v>
      </c>
      <c r="C106" s="41" t="s">
        <v>287</v>
      </c>
      <c r="D106" s="34" t="s">
        <v>288</v>
      </c>
      <c r="E106" t="s">
        <v>286</v>
      </c>
      <c r="F106" s="41" t="s">
        <v>287</v>
      </c>
      <c r="G106" s="34" t="s">
        <v>289</v>
      </c>
      <c r="H106" s="34" t="s">
        <v>98</v>
      </c>
      <c r="I106" s="34" t="s">
        <v>3</v>
      </c>
      <c r="J106" s="42" t="s">
        <v>131</v>
      </c>
      <c r="K106" s="34" t="s">
        <v>21</v>
      </c>
      <c r="L106" s="34" t="s">
        <v>22</v>
      </c>
      <c r="M106" s="34" t="s">
        <v>132</v>
      </c>
      <c r="N106" s="34" t="s">
        <v>290</v>
      </c>
      <c r="O106" s="43">
        <v>44033</v>
      </c>
      <c r="P106" s="43" t="s">
        <v>25</v>
      </c>
      <c r="Q106" s="34" t="s">
        <v>1019</v>
      </c>
      <c r="R106" s="34" t="s">
        <v>901</v>
      </c>
      <c r="S106" s="34"/>
      <c r="T106" t="s">
        <v>1187</v>
      </c>
      <c r="U106">
        <f t="shared" si="1"/>
        <v>7</v>
      </c>
      <c r="V106">
        <f>VLOOKUP(I106,Indicadores!$N$4:$Q$15,4,0)</f>
        <v>552.64</v>
      </c>
    </row>
    <row r="107" spans="1:22">
      <c r="A107" t="s">
        <v>899</v>
      </c>
      <c r="B107" t="s">
        <v>286</v>
      </c>
      <c r="C107" s="41" t="s">
        <v>287</v>
      </c>
      <c r="D107" s="34" t="s">
        <v>288</v>
      </c>
      <c r="E107" t="s">
        <v>286</v>
      </c>
      <c r="F107" s="41" t="s">
        <v>287</v>
      </c>
      <c r="G107" s="34" t="s">
        <v>289</v>
      </c>
      <c r="H107" s="34" t="s">
        <v>98</v>
      </c>
      <c r="I107" s="38" t="s">
        <v>4</v>
      </c>
      <c r="J107" s="42">
        <v>8677501</v>
      </c>
      <c r="K107" s="34" t="s">
        <v>133</v>
      </c>
      <c r="L107" s="34" t="s">
        <v>134</v>
      </c>
      <c r="M107" s="34" t="s">
        <v>132</v>
      </c>
      <c r="N107" s="34" t="s">
        <v>290</v>
      </c>
      <c r="O107" s="43">
        <v>44033</v>
      </c>
      <c r="P107" s="43" t="s">
        <v>25</v>
      </c>
      <c r="Q107" s="34" t="s">
        <v>1020</v>
      </c>
      <c r="R107" s="34" t="s">
        <v>901</v>
      </c>
      <c r="S107" s="34"/>
      <c r="T107" t="s">
        <v>1187</v>
      </c>
      <c r="U107">
        <f t="shared" si="1"/>
        <v>7</v>
      </c>
      <c r="V107">
        <f>VLOOKUP(I107,Indicadores!$N$4:$Q$15,4,0)</f>
        <v>329.87</v>
      </c>
    </row>
    <row r="108" spans="1:22">
      <c r="A108" t="s">
        <v>899</v>
      </c>
      <c r="B108" t="s">
        <v>286</v>
      </c>
      <c r="C108" s="41" t="s">
        <v>287</v>
      </c>
      <c r="D108" s="34" t="s">
        <v>288</v>
      </c>
      <c r="E108" t="s">
        <v>286</v>
      </c>
      <c r="F108" s="41" t="s">
        <v>287</v>
      </c>
      <c r="G108" s="34" t="s">
        <v>289</v>
      </c>
      <c r="H108" s="34" t="s">
        <v>98</v>
      </c>
      <c r="I108" s="34" t="s">
        <v>7</v>
      </c>
      <c r="J108" s="42">
        <v>63259</v>
      </c>
      <c r="K108" s="34" t="s">
        <v>31</v>
      </c>
      <c r="L108" s="34" t="s">
        <v>129</v>
      </c>
      <c r="M108" s="34" t="s">
        <v>130</v>
      </c>
      <c r="N108" s="34" t="s">
        <v>290</v>
      </c>
      <c r="O108" s="43">
        <v>44033</v>
      </c>
      <c r="P108" s="43" t="s">
        <v>25</v>
      </c>
      <c r="Q108" s="47" t="s">
        <v>1021</v>
      </c>
      <c r="R108" s="34" t="s">
        <v>901</v>
      </c>
      <c r="S108" s="34"/>
      <c r="T108" t="s">
        <v>1187</v>
      </c>
      <c r="U108">
        <f t="shared" si="1"/>
        <v>7</v>
      </c>
      <c r="V108">
        <f>VLOOKUP(I108,Indicadores!$N$4:$Q$15,4,0)</f>
        <v>329.87</v>
      </c>
    </row>
    <row r="109" spans="1:22">
      <c r="A109" t="s">
        <v>899</v>
      </c>
      <c r="B109" t="s">
        <v>613</v>
      </c>
      <c r="C109" s="41" t="s">
        <v>614</v>
      </c>
      <c r="D109" s="34" t="s">
        <v>615</v>
      </c>
      <c r="E109" t="s">
        <v>452</v>
      </c>
      <c r="F109" s="41" t="s">
        <v>453</v>
      </c>
      <c r="G109" s="34" t="s">
        <v>289</v>
      </c>
      <c r="H109" s="34" t="s">
        <v>98</v>
      </c>
      <c r="I109" s="38" t="s">
        <v>4</v>
      </c>
      <c r="J109" s="42">
        <v>63442</v>
      </c>
      <c r="K109" s="34" t="s">
        <v>31</v>
      </c>
      <c r="L109" s="34" t="s">
        <v>119</v>
      </c>
      <c r="M109" s="34" t="s">
        <v>120</v>
      </c>
      <c r="N109" s="34" t="s">
        <v>426</v>
      </c>
      <c r="O109" s="43">
        <v>44034</v>
      </c>
      <c r="P109" s="43" t="s">
        <v>25</v>
      </c>
      <c r="Q109" s="42" t="s">
        <v>1022</v>
      </c>
      <c r="R109" s="34" t="s">
        <v>901</v>
      </c>
      <c r="S109" s="34"/>
      <c r="T109" t="s">
        <v>1187</v>
      </c>
      <c r="U109">
        <f t="shared" si="1"/>
        <v>7</v>
      </c>
      <c r="V109">
        <f>VLOOKUP(I109,Indicadores!$N$4:$Q$15,4,0)</f>
        <v>329.87</v>
      </c>
    </row>
    <row r="110" spans="1:22">
      <c r="A110" t="s">
        <v>899</v>
      </c>
      <c r="B110" s="49" t="s">
        <v>613</v>
      </c>
      <c r="C110" s="41" t="s">
        <v>614</v>
      </c>
      <c r="D110" s="34" t="s">
        <v>615</v>
      </c>
      <c r="E110" t="s">
        <v>452</v>
      </c>
      <c r="F110" s="41" t="s">
        <v>453</v>
      </c>
      <c r="G110" s="34" t="s">
        <v>289</v>
      </c>
      <c r="H110" s="34" t="s">
        <v>98</v>
      </c>
      <c r="I110" s="38" t="s">
        <v>4</v>
      </c>
      <c r="J110" s="42">
        <v>4212782</v>
      </c>
      <c r="K110" s="34" t="s">
        <v>26</v>
      </c>
      <c r="L110" s="47" t="s">
        <v>27</v>
      </c>
      <c r="M110" s="34" t="s">
        <v>120</v>
      </c>
      <c r="N110" s="34" t="s">
        <v>426</v>
      </c>
      <c r="O110" s="43">
        <v>44034</v>
      </c>
      <c r="P110" s="43" t="s">
        <v>25</v>
      </c>
      <c r="Q110" s="34" t="s">
        <v>1023</v>
      </c>
      <c r="R110" s="34" t="s">
        <v>901</v>
      </c>
      <c r="S110" s="34"/>
      <c r="T110" t="s">
        <v>1187</v>
      </c>
      <c r="U110">
        <f t="shared" si="1"/>
        <v>7</v>
      </c>
      <c r="V110">
        <f>VLOOKUP(I110,Indicadores!$N$4:$Q$15,4,0)</f>
        <v>329.87</v>
      </c>
    </row>
    <row r="111" spans="1:22">
      <c r="A111" t="s">
        <v>899</v>
      </c>
      <c r="B111" s="49" t="s">
        <v>613</v>
      </c>
      <c r="C111" s="41" t="s">
        <v>614</v>
      </c>
      <c r="D111" s="34" t="s">
        <v>615</v>
      </c>
      <c r="E111" t="s">
        <v>452</v>
      </c>
      <c r="F111" s="41" t="s">
        <v>453</v>
      </c>
      <c r="G111" s="34" t="s">
        <v>289</v>
      </c>
      <c r="H111" s="34" t="s">
        <v>98</v>
      </c>
      <c r="I111" s="34" t="s">
        <v>5</v>
      </c>
      <c r="J111" s="45">
        <v>150080001010</v>
      </c>
      <c r="K111" s="34" t="s">
        <v>21</v>
      </c>
      <c r="L111" s="34" t="s">
        <v>80</v>
      </c>
      <c r="M111" s="34" t="s">
        <v>120</v>
      </c>
      <c r="N111" s="34" t="s">
        <v>426</v>
      </c>
      <c r="O111" s="43">
        <v>44034</v>
      </c>
      <c r="P111" s="43" t="s">
        <v>25</v>
      </c>
      <c r="Q111" s="34" t="s">
        <v>1024</v>
      </c>
      <c r="R111" s="34" t="s">
        <v>901</v>
      </c>
      <c r="S111" s="34"/>
      <c r="T111" t="s">
        <v>1187</v>
      </c>
      <c r="U111">
        <f t="shared" si="1"/>
        <v>7</v>
      </c>
      <c r="V111">
        <f>VLOOKUP(I111,Indicadores!$N$4:$Q$15,4,0)</f>
        <v>895.23</v>
      </c>
    </row>
    <row r="112" spans="1:22">
      <c r="A112" t="s">
        <v>899</v>
      </c>
      <c r="B112" t="s">
        <v>613</v>
      </c>
      <c r="C112" s="41" t="s">
        <v>614</v>
      </c>
      <c r="D112" s="34" t="s">
        <v>615</v>
      </c>
      <c r="E112" t="s">
        <v>452</v>
      </c>
      <c r="F112" s="41" t="s">
        <v>453</v>
      </c>
      <c r="G112" s="34" t="s">
        <v>289</v>
      </c>
      <c r="H112" s="34" t="s">
        <v>98</v>
      </c>
      <c r="I112" s="34" t="s">
        <v>5</v>
      </c>
      <c r="J112" s="52" t="s">
        <v>122</v>
      </c>
      <c r="K112" s="34" t="s">
        <v>21</v>
      </c>
      <c r="L112" s="34" t="s">
        <v>123</v>
      </c>
      <c r="M112" s="34" t="s">
        <v>120</v>
      </c>
      <c r="N112" s="34" t="s">
        <v>426</v>
      </c>
      <c r="O112" s="43">
        <v>44034</v>
      </c>
      <c r="P112" s="43" t="s">
        <v>25</v>
      </c>
      <c r="Q112" s="34" t="s">
        <v>1025</v>
      </c>
      <c r="R112" s="34" t="s">
        <v>901</v>
      </c>
      <c r="S112" s="34"/>
      <c r="T112" t="s">
        <v>1187</v>
      </c>
      <c r="U112">
        <f t="shared" si="1"/>
        <v>7</v>
      </c>
      <c r="V112">
        <f>VLOOKUP(I112,Indicadores!$N$4:$Q$15,4,0)</f>
        <v>895.23</v>
      </c>
    </row>
    <row r="113" spans="1:22">
      <c r="A113" t="s">
        <v>899</v>
      </c>
      <c r="B113" t="s">
        <v>613</v>
      </c>
      <c r="C113" s="41" t="s">
        <v>614</v>
      </c>
      <c r="D113" s="34" t="s">
        <v>615</v>
      </c>
      <c r="E113" t="s">
        <v>452</v>
      </c>
      <c r="F113" s="41" t="s">
        <v>453</v>
      </c>
      <c r="G113" s="34" t="s">
        <v>289</v>
      </c>
      <c r="H113" s="34" t="s">
        <v>98</v>
      </c>
      <c r="I113" s="34" t="s">
        <v>5</v>
      </c>
      <c r="J113" s="45">
        <v>141480001016</v>
      </c>
      <c r="K113" s="34" t="s">
        <v>21</v>
      </c>
      <c r="L113" s="34" t="s">
        <v>80</v>
      </c>
      <c r="M113" s="34" t="s">
        <v>120</v>
      </c>
      <c r="N113" s="34" t="s">
        <v>426</v>
      </c>
      <c r="O113" s="43">
        <v>44034</v>
      </c>
      <c r="P113" s="43" t="s">
        <v>25</v>
      </c>
      <c r="Q113" s="34" t="s">
        <v>1026</v>
      </c>
      <c r="R113" s="34" t="s">
        <v>901</v>
      </c>
      <c r="S113" s="34"/>
      <c r="T113" t="s">
        <v>1187</v>
      </c>
      <c r="U113">
        <f t="shared" si="1"/>
        <v>7</v>
      </c>
      <c r="V113">
        <f>VLOOKUP(I113,Indicadores!$N$4:$Q$15,4,0)</f>
        <v>895.23</v>
      </c>
    </row>
    <row r="114" spans="1:22">
      <c r="A114" t="s">
        <v>899</v>
      </c>
      <c r="B114" s="49" t="s">
        <v>613</v>
      </c>
      <c r="C114" s="41" t="s">
        <v>614</v>
      </c>
      <c r="D114" s="34" t="s">
        <v>615</v>
      </c>
      <c r="E114" t="s">
        <v>452</v>
      </c>
      <c r="F114" s="41" t="s">
        <v>453</v>
      </c>
      <c r="G114" s="34" t="s">
        <v>289</v>
      </c>
      <c r="H114" s="34" t="s">
        <v>98</v>
      </c>
      <c r="I114" s="38" t="s">
        <v>835</v>
      </c>
      <c r="J114" s="42" t="s">
        <v>121</v>
      </c>
      <c r="K114" s="34" t="s">
        <v>21</v>
      </c>
      <c r="L114" s="34" t="s">
        <v>108</v>
      </c>
      <c r="M114" s="34" t="s">
        <v>120</v>
      </c>
      <c r="N114" s="34" t="s">
        <v>426</v>
      </c>
      <c r="O114" s="43">
        <v>44034</v>
      </c>
      <c r="P114" s="43" t="s">
        <v>25</v>
      </c>
      <c r="Q114" s="34" t="s">
        <v>1027</v>
      </c>
      <c r="R114" s="34" t="s">
        <v>901</v>
      </c>
      <c r="S114" s="34"/>
      <c r="T114" t="s">
        <v>1187</v>
      </c>
      <c r="U114">
        <f t="shared" si="1"/>
        <v>7</v>
      </c>
      <c r="V114">
        <f>VLOOKUP(I114,Indicadores!$N$4:$Q$15,4,0)</f>
        <v>546.79</v>
      </c>
    </row>
    <row r="115" spans="1:22">
      <c r="A115" t="s">
        <v>899</v>
      </c>
      <c r="B115" t="s">
        <v>613</v>
      </c>
      <c r="C115" s="41" t="s">
        <v>614</v>
      </c>
      <c r="D115" s="34" t="s">
        <v>615</v>
      </c>
      <c r="E115" t="s">
        <v>452</v>
      </c>
      <c r="F115" s="41" t="s">
        <v>453</v>
      </c>
      <c r="G115" s="34" t="s">
        <v>289</v>
      </c>
      <c r="H115" s="34" t="s">
        <v>98</v>
      </c>
      <c r="I115" s="34" t="s">
        <v>7</v>
      </c>
      <c r="J115" s="42">
        <v>688630</v>
      </c>
      <c r="K115" s="34" t="s">
        <v>56</v>
      </c>
      <c r="L115" s="34" t="s">
        <v>57</v>
      </c>
      <c r="M115" s="34" t="s">
        <v>120</v>
      </c>
      <c r="N115" s="34" t="s">
        <v>1028</v>
      </c>
      <c r="O115" s="43">
        <v>44034</v>
      </c>
      <c r="P115" s="43" t="s">
        <v>25</v>
      </c>
      <c r="Q115" s="34" t="s">
        <v>1029</v>
      </c>
      <c r="R115" s="34" t="s">
        <v>901</v>
      </c>
      <c r="S115" s="34"/>
      <c r="T115" t="s">
        <v>1187</v>
      </c>
      <c r="U115">
        <f t="shared" si="1"/>
        <v>7</v>
      </c>
      <c r="V115">
        <f>VLOOKUP(I115,Indicadores!$N$4:$Q$15,4,0)</f>
        <v>329.87</v>
      </c>
    </row>
    <row r="116" spans="1:22" s="48" customFormat="1">
      <c r="A116" t="s">
        <v>899</v>
      </c>
      <c r="B116" t="s">
        <v>567</v>
      </c>
      <c r="C116" s="41" t="s">
        <v>568</v>
      </c>
      <c r="D116" s="34" t="s">
        <v>569</v>
      </c>
      <c r="E116" t="s">
        <v>452</v>
      </c>
      <c r="F116" s="41" t="s">
        <v>453</v>
      </c>
      <c r="G116" s="34" t="s">
        <v>289</v>
      </c>
      <c r="H116" s="34" t="s">
        <v>98</v>
      </c>
      <c r="I116" s="34" t="s">
        <v>3</v>
      </c>
      <c r="J116" s="42" t="s">
        <v>117</v>
      </c>
      <c r="K116" s="34" t="s">
        <v>21</v>
      </c>
      <c r="L116" s="34" t="s">
        <v>22</v>
      </c>
      <c r="M116" s="34" t="s">
        <v>118</v>
      </c>
      <c r="N116" s="34" t="s">
        <v>570</v>
      </c>
      <c r="O116" s="43">
        <v>44034</v>
      </c>
      <c r="P116" s="43" t="s">
        <v>25</v>
      </c>
      <c r="Q116" s="34" t="s">
        <v>1030</v>
      </c>
      <c r="R116" s="34" t="s">
        <v>901</v>
      </c>
      <c r="S116" s="34"/>
      <c r="T116" t="s">
        <v>1187</v>
      </c>
      <c r="U116">
        <f t="shared" si="1"/>
        <v>7</v>
      </c>
      <c r="V116">
        <f>VLOOKUP(I116,Indicadores!$N$4:$Q$15,4,0)</f>
        <v>552.64</v>
      </c>
    </row>
    <row r="117" spans="1:22" s="48" customFormat="1">
      <c r="A117" t="s">
        <v>899</v>
      </c>
      <c r="B117" t="s">
        <v>567</v>
      </c>
      <c r="C117" s="41" t="s">
        <v>568</v>
      </c>
      <c r="D117" s="34" t="s">
        <v>569</v>
      </c>
      <c r="E117" t="s">
        <v>452</v>
      </c>
      <c r="F117" s="41" t="s">
        <v>453</v>
      </c>
      <c r="G117" s="34" t="s">
        <v>289</v>
      </c>
      <c r="H117" s="34" t="s">
        <v>98</v>
      </c>
      <c r="I117" s="38" t="s">
        <v>4</v>
      </c>
      <c r="J117" s="42">
        <v>4222111</v>
      </c>
      <c r="K117" s="34" t="s">
        <v>26</v>
      </c>
      <c r="L117" s="47" t="s">
        <v>27</v>
      </c>
      <c r="M117" s="34" t="s">
        <v>118</v>
      </c>
      <c r="N117" s="34" t="s">
        <v>570</v>
      </c>
      <c r="O117" s="43">
        <v>44034</v>
      </c>
      <c r="P117" s="43" t="s">
        <v>25</v>
      </c>
      <c r="Q117" s="34" t="s">
        <v>1031</v>
      </c>
      <c r="R117" s="34" t="s">
        <v>901</v>
      </c>
      <c r="S117" s="34"/>
      <c r="T117" t="s">
        <v>1187</v>
      </c>
      <c r="U117">
        <f t="shared" si="1"/>
        <v>7</v>
      </c>
      <c r="V117">
        <f>VLOOKUP(I117,Indicadores!$N$4:$Q$15,4,0)</f>
        <v>329.87</v>
      </c>
    </row>
    <row r="118" spans="1:22">
      <c r="A118" t="s">
        <v>899</v>
      </c>
      <c r="B118" t="s">
        <v>567</v>
      </c>
      <c r="C118" s="41" t="s">
        <v>568</v>
      </c>
      <c r="D118" s="34" t="s">
        <v>569</v>
      </c>
      <c r="E118" t="s">
        <v>452</v>
      </c>
      <c r="F118" s="41" t="s">
        <v>453</v>
      </c>
      <c r="G118" s="34" t="s">
        <v>289</v>
      </c>
      <c r="H118" s="34" t="s">
        <v>98</v>
      </c>
      <c r="I118" s="34" t="s">
        <v>9</v>
      </c>
      <c r="J118" s="42">
        <v>1646</v>
      </c>
      <c r="K118" s="34" t="s">
        <v>54</v>
      </c>
      <c r="L118" s="34" t="s">
        <v>87</v>
      </c>
      <c r="M118" s="34" t="s">
        <v>118</v>
      </c>
      <c r="N118" s="34" t="s">
        <v>570</v>
      </c>
      <c r="O118" s="43">
        <v>44034</v>
      </c>
      <c r="P118" s="43" t="s">
        <v>25</v>
      </c>
      <c r="Q118" s="34" t="s">
        <v>1032</v>
      </c>
      <c r="R118" s="34" t="s">
        <v>901</v>
      </c>
      <c r="S118" s="34"/>
      <c r="T118" t="s">
        <v>1187</v>
      </c>
      <c r="U118">
        <f t="shared" si="1"/>
        <v>7</v>
      </c>
      <c r="V118">
        <f>VLOOKUP(I118,Indicadores!$N$4:$Q$15,4,0)</f>
        <v>521.79999999999995</v>
      </c>
    </row>
    <row r="119" spans="1:22">
      <c r="A119" t="s">
        <v>899</v>
      </c>
      <c r="B119" t="s">
        <v>613</v>
      </c>
      <c r="C119" s="41" t="s">
        <v>614</v>
      </c>
      <c r="D119" s="34" t="s">
        <v>615</v>
      </c>
      <c r="E119" t="s">
        <v>452</v>
      </c>
      <c r="F119" s="41" t="s">
        <v>453</v>
      </c>
      <c r="G119" s="34" t="s">
        <v>289</v>
      </c>
      <c r="H119" s="34" t="s">
        <v>98</v>
      </c>
      <c r="I119" s="34" t="s">
        <v>2</v>
      </c>
      <c r="J119" s="53" t="s">
        <v>124</v>
      </c>
      <c r="K119" s="34" t="s">
        <v>125</v>
      </c>
      <c r="L119" s="34" t="s">
        <v>126</v>
      </c>
      <c r="M119" s="34" t="s">
        <v>120</v>
      </c>
      <c r="N119" s="54" t="s">
        <v>426</v>
      </c>
      <c r="O119" s="43">
        <v>44035</v>
      </c>
      <c r="P119" s="43" t="s">
        <v>25</v>
      </c>
      <c r="Q119" s="34" t="s">
        <v>1033</v>
      </c>
      <c r="R119" s="34" t="s">
        <v>901</v>
      </c>
      <c r="S119" s="34"/>
      <c r="T119" t="s">
        <v>1187</v>
      </c>
      <c r="U119">
        <f t="shared" si="1"/>
        <v>7</v>
      </c>
      <c r="V119">
        <f>VLOOKUP(I119,Indicadores!$N$4:$Q$15,4,0)</f>
        <v>456.77</v>
      </c>
    </row>
    <row r="120" spans="1:22">
      <c r="A120" t="s">
        <v>899</v>
      </c>
      <c r="B120" t="s">
        <v>613</v>
      </c>
      <c r="C120" s="41" t="s">
        <v>614</v>
      </c>
      <c r="D120" s="34" t="s">
        <v>615</v>
      </c>
      <c r="E120" t="s">
        <v>452</v>
      </c>
      <c r="F120" s="41" t="s">
        <v>453</v>
      </c>
      <c r="G120" s="34" t="s">
        <v>289</v>
      </c>
      <c r="H120" s="34" t="s">
        <v>98</v>
      </c>
      <c r="I120" s="34" t="s">
        <v>9</v>
      </c>
      <c r="J120" s="42" t="s">
        <v>127</v>
      </c>
      <c r="K120" s="34" t="s">
        <v>21</v>
      </c>
      <c r="L120" s="34" t="s">
        <v>29</v>
      </c>
      <c r="M120" s="34" t="s">
        <v>120</v>
      </c>
      <c r="N120" s="34" t="s">
        <v>426</v>
      </c>
      <c r="O120" s="43">
        <v>44035</v>
      </c>
      <c r="P120" s="43" t="s">
        <v>25</v>
      </c>
      <c r="Q120" s="34" t="s">
        <v>1034</v>
      </c>
      <c r="R120" s="34" t="s">
        <v>901</v>
      </c>
      <c r="S120" s="34"/>
      <c r="T120" t="s">
        <v>1187</v>
      </c>
      <c r="U120">
        <f t="shared" si="1"/>
        <v>7</v>
      </c>
      <c r="V120">
        <f>VLOOKUP(I120,Indicadores!$N$4:$Q$15,4,0)</f>
        <v>521.79999999999995</v>
      </c>
    </row>
    <row r="121" spans="1:22">
      <c r="A121" t="s">
        <v>899</v>
      </c>
      <c r="B121" t="s">
        <v>538</v>
      </c>
      <c r="C121" s="41" t="s">
        <v>539</v>
      </c>
      <c r="D121" s="34" t="s">
        <v>540</v>
      </c>
      <c r="E121" t="s">
        <v>452</v>
      </c>
      <c r="F121" s="41" t="s">
        <v>453</v>
      </c>
      <c r="G121" s="34" t="s">
        <v>289</v>
      </c>
      <c r="H121" s="34" t="s">
        <v>98</v>
      </c>
      <c r="I121" s="34" t="s">
        <v>3</v>
      </c>
      <c r="J121" s="45">
        <v>133510002005</v>
      </c>
      <c r="K121" s="34" t="s">
        <v>21</v>
      </c>
      <c r="L121" s="34" t="s">
        <v>96</v>
      </c>
      <c r="M121" s="34" t="s">
        <v>114</v>
      </c>
      <c r="N121" s="34" t="s">
        <v>426</v>
      </c>
      <c r="O121" s="43">
        <v>44035</v>
      </c>
      <c r="P121" s="43" t="s">
        <v>25</v>
      </c>
      <c r="Q121" s="34" t="s">
        <v>1035</v>
      </c>
      <c r="R121" s="34" t="s">
        <v>901</v>
      </c>
      <c r="S121" s="34"/>
      <c r="T121" t="s">
        <v>1187</v>
      </c>
      <c r="U121">
        <f t="shared" si="1"/>
        <v>7</v>
      </c>
      <c r="V121">
        <f>VLOOKUP(I121,Indicadores!$N$4:$Q$15,4,0)</f>
        <v>552.64</v>
      </c>
    </row>
    <row r="122" spans="1:22">
      <c r="A122" t="s">
        <v>899</v>
      </c>
      <c r="B122" t="s">
        <v>538</v>
      </c>
      <c r="C122" s="41" t="s">
        <v>539</v>
      </c>
      <c r="D122" s="34" t="s">
        <v>540</v>
      </c>
      <c r="E122" t="s">
        <v>452</v>
      </c>
      <c r="F122" s="41" t="s">
        <v>453</v>
      </c>
      <c r="G122" s="34" t="s">
        <v>289</v>
      </c>
      <c r="H122" s="34" t="s">
        <v>98</v>
      </c>
      <c r="I122" s="38" t="s">
        <v>4</v>
      </c>
      <c r="J122" s="45">
        <v>4226993</v>
      </c>
      <c r="K122" s="34" t="s">
        <v>26</v>
      </c>
      <c r="L122" s="34" t="s">
        <v>27</v>
      </c>
      <c r="M122" s="34" t="s">
        <v>114</v>
      </c>
      <c r="N122" s="34" t="s">
        <v>426</v>
      </c>
      <c r="O122" s="43">
        <v>44035</v>
      </c>
      <c r="P122" s="43" t="s">
        <v>25</v>
      </c>
      <c r="Q122" s="34" t="s">
        <v>1036</v>
      </c>
      <c r="R122" s="34" t="s">
        <v>901</v>
      </c>
      <c r="S122" s="34"/>
      <c r="T122" t="s">
        <v>1187</v>
      </c>
      <c r="U122">
        <f t="shared" si="1"/>
        <v>7</v>
      </c>
      <c r="V122">
        <f>VLOOKUP(I122,Indicadores!$N$4:$Q$15,4,0)</f>
        <v>329.87</v>
      </c>
    </row>
    <row r="123" spans="1:22">
      <c r="A123" t="s">
        <v>899</v>
      </c>
      <c r="B123" t="s">
        <v>538</v>
      </c>
      <c r="C123" s="41" t="s">
        <v>539</v>
      </c>
      <c r="D123" s="34" t="s">
        <v>540</v>
      </c>
      <c r="E123" t="s">
        <v>452</v>
      </c>
      <c r="F123" s="41" t="s">
        <v>453</v>
      </c>
      <c r="G123" s="34" t="s">
        <v>289</v>
      </c>
      <c r="H123" s="34" t="s">
        <v>98</v>
      </c>
      <c r="I123" s="38" t="s">
        <v>4</v>
      </c>
      <c r="J123" s="42">
        <v>4211939</v>
      </c>
      <c r="K123" s="34" t="s">
        <v>21</v>
      </c>
      <c r="L123" s="34" t="s">
        <v>116</v>
      </c>
      <c r="M123" s="34" t="s">
        <v>114</v>
      </c>
      <c r="N123" s="34" t="s">
        <v>426</v>
      </c>
      <c r="O123" s="43">
        <v>44035</v>
      </c>
      <c r="P123" s="43" t="s">
        <v>25</v>
      </c>
      <c r="Q123" s="34" t="s">
        <v>1037</v>
      </c>
      <c r="R123" s="34" t="s">
        <v>901</v>
      </c>
      <c r="S123" s="34"/>
      <c r="T123" t="s">
        <v>1187</v>
      </c>
      <c r="U123">
        <f t="shared" si="1"/>
        <v>7</v>
      </c>
      <c r="V123">
        <f>VLOOKUP(I123,Indicadores!$N$4:$Q$15,4,0)</f>
        <v>329.87</v>
      </c>
    </row>
    <row r="124" spans="1:22">
      <c r="A124" s="49" t="s">
        <v>899</v>
      </c>
      <c r="B124" s="49" t="s">
        <v>538</v>
      </c>
      <c r="C124" s="41" t="s">
        <v>539</v>
      </c>
      <c r="D124" s="34" t="s">
        <v>540</v>
      </c>
      <c r="E124" t="s">
        <v>452</v>
      </c>
      <c r="F124" s="41" t="s">
        <v>453</v>
      </c>
      <c r="G124" s="34" t="s">
        <v>289</v>
      </c>
      <c r="H124" s="47" t="s">
        <v>98</v>
      </c>
      <c r="I124" s="47" t="s">
        <v>5</v>
      </c>
      <c r="J124" s="45">
        <v>141750001017</v>
      </c>
      <c r="K124" s="47" t="s">
        <v>21</v>
      </c>
      <c r="L124" s="47" t="s">
        <v>80</v>
      </c>
      <c r="M124" s="47" t="s">
        <v>219</v>
      </c>
      <c r="N124" s="34" t="s">
        <v>426</v>
      </c>
      <c r="O124" s="43">
        <v>44035</v>
      </c>
      <c r="P124" s="43" t="s">
        <v>25</v>
      </c>
      <c r="Q124" s="47" t="s">
        <v>1038</v>
      </c>
      <c r="R124" s="47" t="s">
        <v>901</v>
      </c>
      <c r="S124" s="47"/>
      <c r="T124" t="s">
        <v>1187</v>
      </c>
      <c r="U124">
        <f t="shared" si="1"/>
        <v>7</v>
      </c>
      <c r="V124">
        <f>VLOOKUP(I124,Indicadores!$N$4:$Q$15,4,0)</f>
        <v>895.23</v>
      </c>
    </row>
    <row r="125" spans="1:22">
      <c r="A125" t="s">
        <v>899</v>
      </c>
      <c r="B125" t="s">
        <v>538</v>
      </c>
      <c r="C125" s="41" t="s">
        <v>539</v>
      </c>
      <c r="D125" s="34" t="s">
        <v>540</v>
      </c>
      <c r="E125" t="s">
        <v>452</v>
      </c>
      <c r="F125" s="41" t="s">
        <v>453</v>
      </c>
      <c r="G125" s="34" t="s">
        <v>289</v>
      </c>
      <c r="H125" s="34" t="s">
        <v>98</v>
      </c>
      <c r="I125" s="38" t="s">
        <v>835</v>
      </c>
      <c r="J125" s="45">
        <v>6247841</v>
      </c>
      <c r="K125" s="34" t="s">
        <v>26</v>
      </c>
      <c r="L125" s="34" t="s">
        <v>84</v>
      </c>
      <c r="M125" s="34" t="s">
        <v>114</v>
      </c>
      <c r="N125" s="34" t="s">
        <v>426</v>
      </c>
      <c r="O125" s="43">
        <v>44035</v>
      </c>
      <c r="P125" s="43" t="s">
        <v>25</v>
      </c>
      <c r="Q125" s="34" t="s">
        <v>1039</v>
      </c>
      <c r="R125" s="34" t="s">
        <v>901</v>
      </c>
      <c r="S125" s="34"/>
      <c r="T125" t="s">
        <v>1187</v>
      </c>
      <c r="U125">
        <f t="shared" si="1"/>
        <v>7</v>
      </c>
      <c r="V125">
        <f>VLOOKUP(I125,Indicadores!$N$4:$Q$15,4,0)</f>
        <v>546.79</v>
      </c>
    </row>
    <row r="126" spans="1:22">
      <c r="A126" t="s">
        <v>899</v>
      </c>
      <c r="B126" t="s">
        <v>319</v>
      </c>
      <c r="C126" s="41" t="s">
        <v>320</v>
      </c>
      <c r="D126" s="34" t="s">
        <v>321</v>
      </c>
      <c r="E126" t="s">
        <v>322</v>
      </c>
      <c r="F126" s="41" t="s">
        <v>323</v>
      </c>
      <c r="G126" s="34" t="s">
        <v>289</v>
      </c>
      <c r="H126" s="34" t="s">
        <v>40</v>
      </c>
      <c r="I126" s="34" t="s">
        <v>2</v>
      </c>
      <c r="J126" s="42" t="s">
        <v>47</v>
      </c>
      <c r="K126" s="34" t="s">
        <v>48</v>
      </c>
      <c r="L126" s="34" t="s">
        <v>49</v>
      </c>
      <c r="M126" s="47" t="s">
        <v>41</v>
      </c>
      <c r="N126" s="34" t="s">
        <v>324</v>
      </c>
      <c r="O126" s="43">
        <v>44068</v>
      </c>
      <c r="P126" s="43" t="s">
        <v>25</v>
      </c>
      <c r="Q126" s="47" t="s">
        <v>1040</v>
      </c>
      <c r="R126" s="34" t="s">
        <v>901</v>
      </c>
      <c r="S126" s="34"/>
      <c r="T126" t="s">
        <v>1187</v>
      </c>
      <c r="U126">
        <f t="shared" si="1"/>
        <v>8</v>
      </c>
      <c r="V126">
        <f>VLOOKUP(I126,Indicadores!$N$4:$Q$15,4,0)</f>
        <v>456.77</v>
      </c>
    </row>
    <row r="127" spans="1:22">
      <c r="A127" t="s">
        <v>899</v>
      </c>
      <c r="B127" t="s">
        <v>319</v>
      </c>
      <c r="C127" s="41" t="s">
        <v>320</v>
      </c>
      <c r="D127" s="34" t="s">
        <v>321</v>
      </c>
      <c r="E127" t="s">
        <v>322</v>
      </c>
      <c r="F127" s="41" t="s">
        <v>323</v>
      </c>
      <c r="G127" s="34" t="s">
        <v>289</v>
      </c>
      <c r="H127" s="34" t="s">
        <v>40</v>
      </c>
      <c r="I127" s="34" t="s">
        <v>3</v>
      </c>
      <c r="J127" s="42" t="s">
        <v>51</v>
      </c>
      <c r="K127" s="34" t="s">
        <v>21</v>
      </c>
      <c r="L127" s="34" t="s">
        <v>22</v>
      </c>
      <c r="M127" s="47" t="s">
        <v>41</v>
      </c>
      <c r="N127" s="34" t="s">
        <v>324</v>
      </c>
      <c r="O127" s="43">
        <v>44068</v>
      </c>
      <c r="P127" s="43" t="s">
        <v>25</v>
      </c>
      <c r="Q127" s="47" t="s">
        <v>1041</v>
      </c>
      <c r="R127" s="34" t="s">
        <v>901</v>
      </c>
      <c r="S127" s="34"/>
      <c r="T127" t="s">
        <v>1187</v>
      </c>
      <c r="U127">
        <f t="shared" si="1"/>
        <v>8</v>
      </c>
      <c r="V127">
        <f>VLOOKUP(I127,Indicadores!$N$4:$Q$15,4,0)</f>
        <v>552.64</v>
      </c>
    </row>
    <row r="128" spans="1:22">
      <c r="A128" t="s">
        <v>899</v>
      </c>
      <c r="B128" t="s">
        <v>319</v>
      </c>
      <c r="C128" s="41" t="s">
        <v>320</v>
      </c>
      <c r="D128" s="34" t="s">
        <v>321</v>
      </c>
      <c r="E128" t="s">
        <v>322</v>
      </c>
      <c r="F128" s="41" t="s">
        <v>323</v>
      </c>
      <c r="G128" s="34" t="s">
        <v>289</v>
      </c>
      <c r="H128" s="34" t="s">
        <v>40</v>
      </c>
      <c r="I128" s="34" t="s">
        <v>7</v>
      </c>
      <c r="J128" s="42">
        <v>49483</v>
      </c>
      <c r="K128" s="34" t="s">
        <v>31</v>
      </c>
      <c r="L128" s="34" t="s">
        <v>53</v>
      </c>
      <c r="M128" s="47" t="s">
        <v>41</v>
      </c>
      <c r="N128" s="34" t="s">
        <v>324</v>
      </c>
      <c r="O128" s="43">
        <v>44068</v>
      </c>
      <c r="P128" s="43" t="s">
        <v>25</v>
      </c>
      <c r="Q128" s="47" t="s">
        <v>1042</v>
      </c>
      <c r="R128" s="34" t="s">
        <v>901</v>
      </c>
      <c r="S128" s="34"/>
      <c r="T128" t="s">
        <v>1187</v>
      </c>
      <c r="U128">
        <f t="shared" si="1"/>
        <v>8</v>
      </c>
      <c r="V128">
        <f>VLOOKUP(I128,Indicadores!$N$4:$Q$15,4,0)</f>
        <v>329.87</v>
      </c>
    </row>
    <row r="129" spans="1:22" s="48" customFormat="1">
      <c r="A129" t="s">
        <v>899</v>
      </c>
      <c r="B129" t="s">
        <v>319</v>
      </c>
      <c r="C129" s="41" t="s">
        <v>320</v>
      </c>
      <c r="D129" s="34" t="s">
        <v>321</v>
      </c>
      <c r="E129" t="s">
        <v>322</v>
      </c>
      <c r="F129" s="41" t="s">
        <v>323</v>
      </c>
      <c r="G129" s="34" t="s">
        <v>289</v>
      </c>
      <c r="H129" s="34" t="s">
        <v>40</v>
      </c>
      <c r="I129" s="34" t="s">
        <v>8</v>
      </c>
      <c r="J129" s="50" t="s">
        <v>43</v>
      </c>
      <c r="K129" s="34" t="s">
        <v>21</v>
      </c>
      <c r="L129" s="34" t="s">
        <v>44</v>
      </c>
      <c r="M129" s="34" t="s">
        <v>41</v>
      </c>
      <c r="N129" s="34" t="s">
        <v>324</v>
      </c>
      <c r="O129" s="43">
        <v>44068</v>
      </c>
      <c r="P129" s="43" t="s">
        <v>25</v>
      </c>
      <c r="Q129" s="34" t="s">
        <v>1043</v>
      </c>
      <c r="R129" s="34" t="s">
        <v>901</v>
      </c>
      <c r="S129" s="34"/>
      <c r="T129" t="s">
        <v>1187</v>
      </c>
      <c r="U129">
        <f t="shared" si="1"/>
        <v>8</v>
      </c>
      <c r="V129">
        <f>VLOOKUP(I129,Indicadores!$N$4:$Q$15,4,0)</f>
        <v>462.11</v>
      </c>
    </row>
    <row r="130" spans="1:22" s="49" customFormat="1">
      <c r="A130" t="s">
        <v>899</v>
      </c>
      <c r="B130" t="s">
        <v>319</v>
      </c>
      <c r="C130" s="41" t="s">
        <v>320</v>
      </c>
      <c r="D130" s="34" t="s">
        <v>321</v>
      </c>
      <c r="E130" t="s">
        <v>322</v>
      </c>
      <c r="F130" s="41" t="s">
        <v>323</v>
      </c>
      <c r="G130" s="34" t="s">
        <v>289</v>
      </c>
      <c r="H130" s="34" t="s">
        <v>40</v>
      </c>
      <c r="I130" s="34" t="s">
        <v>9</v>
      </c>
      <c r="J130" s="50" t="s">
        <v>45</v>
      </c>
      <c r="K130" s="34" t="s">
        <v>21</v>
      </c>
      <c r="L130" s="34" t="s">
        <v>29</v>
      </c>
      <c r="M130" s="47" t="s">
        <v>41</v>
      </c>
      <c r="N130" s="34" t="s">
        <v>324</v>
      </c>
      <c r="O130" s="43">
        <v>44068</v>
      </c>
      <c r="P130" s="43" t="s">
        <v>46</v>
      </c>
      <c r="Q130" s="34" t="s">
        <v>1044</v>
      </c>
      <c r="R130" s="34" t="s">
        <v>901</v>
      </c>
      <c r="S130" s="34"/>
      <c r="T130" t="s">
        <v>1187</v>
      </c>
      <c r="U130">
        <f t="shared" si="1"/>
        <v>8</v>
      </c>
      <c r="V130">
        <f>VLOOKUP(I130,Indicadores!$N$4:$Q$15,4,0)</f>
        <v>521.79999999999995</v>
      </c>
    </row>
    <row r="131" spans="1:22" s="49" customFormat="1">
      <c r="A131" t="s">
        <v>899</v>
      </c>
      <c r="B131" t="s">
        <v>319</v>
      </c>
      <c r="C131" s="41" t="s">
        <v>320</v>
      </c>
      <c r="D131" s="34" t="s">
        <v>321</v>
      </c>
      <c r="E131" t="s">
        <v>322</v>
      </c>
      <c r="F131" s="41" t="s">
        <v>323</v>
      </c>
      <c r="G131" s="34" t="s">
        <v>289</v>
      </c>
      <c r="H131" s="34" t="s">
        <v>40</v>
      </c>
      <c r="I131" s="34" t="s">
        <v>9</v>
      </c>
      <c r="J131" s="34" t="s">
        <v>52</v>
      </c>
      <c r="K131" s="34" t="s">
        <v>21</v>
      </c>
      <c r="L131" s="34" t="s">
        <v>29</v>
      </c>
      <c r="M131" s="47" t="s">
        <v>41</v>
      </c>
      <c r="N131" s="34" t="s">
        <v>324</v>
      </c>
      <c r="O131" s="43">
        <v>44068</v>
      </c>
      <c r="P131" s="43" t="s">
        <v>46</v>
      </c>
      <c r="Q131" s="47" t="s">
        <v>1045</v>
      </c>
      <c r="R131" s="34" t="s">
        <v>901</v>
      </c>
      <c r="S131" s="34"/>
      <c r="T131" t="s">
        <v>1187</v>
      </c>
      <c r="U131">
        <f t="shared" ref="U131:U194" si="2">IF(O131&lt;&gt;"",MONTH(O131),"")</f>
        <v>8</v>
      </c>
      <c r="V131">
        <f>VLOOKUP(I131,Indicadores!$N$4:$Q$15,4,0)</f>
        <v>521.79999999999995</v>
      </c>
    </row>
    <row r="132" spans="1:22" s="48" customFormat="1">
      <c r="A132" t="s">
        <v>899</v>
      </c>
      <c r="B132" t="s">
        <v>319</v>
      </c>
      <c r="C132" s="41" t="s">
        <v>320</v>
      </c>
      <c r="D132" s="34" t="s">
        <v>321</v>
      </c>
      <c r="E132" t="s">
        <v>322</v>
      </c>
      <c r="F132" s="41" t="s">
        <v>323</v>
      </c>
      <c r="G132" s="34" t="s">
        <v>289</v>
      </c>
      <c r="H132" s="34" t="s">
        <v>40</v>
      </c>
      <c r="I132" s="34" t="s">
        <v>5</v>
      </c>
      <c r="J132" s="45">
        <v>1426206</v>
      </c>
      <c r="K132" s="34" t="s">
        <v>21</v>
      </c>
      <c r="L132" s="34" t="s">
        <v>34</v>
      </c>
      <c r="M132" s="47" t="s">
        <v>41</v>
      </c>
      <c r="N132" s="34" t="s">
        <v>324</v>
      </c>
      <c r="O132" s="43">
        <v>44068</v>
      </c>
      <c r="P132" s="43" t="s">
        <v>25</v>
      </c>
      <c r="Q132" s="47" t="s">
        <v>1046</v>
      </c>
      <c r="R132" s="34" t="s">
        <v>901</v>
      </c>
      <c r="S132" s="34"/>
      <c r="T132" t="s">
        <v>1187</v>
      </c>
      <c r="U132">
        <f t="shared" si="2"/>
        <v>8</v>
      </c>
      <c r="V132">
        <f>VLOOKUP(I132,Indicadores!$N$4:$Q$15,4,0)</f>
        <v>895.23</v>
      </c>
    </row>
    <row r="133" spans="1:22">
      <c r="A133" t="s">
        <v>899</v>
      </c>
      <c r="B133" t="s">
        <v>319</v>
      </c>
      <c r="C133" s="41" t="s">
        <v>320</v>
      </c>
      <c r="D133" s="34" t="s">
        <v>321</v>
      </c>
      <c r="E133" t="s">
        <v>322</v>
      </c>
      <c r="F133" s="41" t="s">
        <v>323</v>
      </c>
      <c r="G133" s="34" t="s">
        <v>289</v>
      </c>
      <c r="H133" s="34" t="s">
        <v>40</v>
      </c>
      <c r="I133" s="34" t="s">
        <v>2</v>
      </c>
      <c r="J133" s="42" t="s">
        <v>64</v>
      </c>
      <c r="K133" s="34" t="s">
        <v>48</v>
      </c>
      <c r="L133" s="34" t="s">
        <v>49</v>
      </c>
      <c r="M133" s="47" t="s">
        <v>41</v>
      </c>
      <c r="N133" s="34" t="s">
        <v>324</v>
      </c>
      <c r="O133" s="43">
        <v>44069</v>
      </c>
      <c r="P133" s="43" t="s">
        <v>25</v>
      </c>
      <c r="Q133" s="47" t="s">
        <v>1047</v>
      </c>
      <c r="R133" s="34" t="s">
        <v>901</v>
      </c>
      <c r="S133" s="34"/>
      <c r="T133" t="s">
        <v>1187</v>
      </c>
      <c r="U133">
        <f t="shared" si="2"/>
        <v>8</v>
      </c>
      <c r="V133">
        <f>VLOOKUP(I133,Indicadores!$N$4:$Q$15,4,0)</f>
        <v>456.77</v>
      </c>
    </row>
    <row r="134" spans="1:22">
      <c r="A134" t="s">
        <v>899</v>
      </c>
      <c r="B134" t="s">
        <v>319</v>
      </c>
      <c r="C134" s="41" t="s">
        <v>320</v>
      </c>
      <c r="D134" s="34" t="s">
        <v>321</v>
      </c>
      <c r="E134" t="s">
        <v>322</v>
      </c>
      <c r="F134" s="41" t="s">
        <v>323</v>
      </c>
      <c r="G134" s="34" t="s">
        <v>289</v>
      </c>
      <c r="H134" s="34" t="s">
        <v>40</v>
      </c>
      <c r="I134" s="38" t="s">
        <v>4</v>
      </c>
      <c r="J134" s="42">
        <v>4223997</v>
      </c>
      <c r="K134" s="34" t="s">
        <v>26</v>
      </c>
      <c r="L134" s="47" t="s">
        <v>27</v>
      </c>
      <c r="M134" s="47" t="s">
        <v>41</v>
      </c>
      <c r="N134" s="34" t="s">
        <v>324</v>
      </c>
      <c r="O134" s="43">
        <v>44069</v>
      </c>
      <c r="P134" s="43" t="s">
        <v>25</v>
      </c>
      <c r="Q134" s="47" t="s">
        <v>1048</v>
      </c>
      <c r="R134" s="34" t="s">
        <v>901</v>
      </c>
      <c r="S134" s="34"/>
      <c r="T134" t="s">
        <v>1187</v>
      </c>
      <c r="U134">
        <f t="shared" si="2"/>
        <v>8</v>
      </c>
      <c r="V134">
        <f>VLOOKUP(I134,Indicadores!$N$4:$Q$15,4,0)</f>
        <v>329.87</v>
      </c>
    </row>
    <row r="135" spans="1:22">
      <c r="A135" t="s">
        <v>899</v>
      </c>
      <c r="B135" t="s">
        <v>319</v>
      </c>
      <c r="C135" s="41" t="s">
        <v>320</v>
      </c>
      <c r="D135" s="34" t="s">
        <v>321</v>
      </c>
      <c r="E135" t="s">
        <v>322</v>
      </c>
      <c r="F135" s="41" t="s">
        <v>323</v>
      </c>
      <c r="G135" s="34" t="s">
        <v>289</v>
      </c>
      <c r="H135" s="34" t="s">
        <v>40</v>
      </c>
      <c r="I135" s="38" t="s">
        <v>4</v>
      </c>
      <c r="J135" s="42" t="s">
        <v>61</v>
      </c>
      <c r="K135" s="34" t="s">
        <v>62</v>
      </c>
      <c r="L135" s="34" t="s">
        <v>63</v>
      </c>
      <c r="M135" s="47" t="s">
        <v>41</v>
      </c>
      <c r="N135" s="34" t="s">
        <v>324</v>
      </c>
      <c r="O135" s="43">
        <v>44069</v>
      </c>
      <c r="P135" s="43" t="s">
        <v>25</v>
      </c>
      <c r="Q135" s="47" t="s">
        <v>1049</v>
      </c>
      <c r="R135" s="34" t="s">
        <v>901</v>
      </c>
      <c r="S135" s="34"/>
      <c r="T135" t="s">
        <v>1187</v>
      </c>
      <c r="U135">
        <f t="shared" si="2"/>
        <v>8</v>
      </c>
      <c r="V135">
        <f>VLOOKUP(I135,Indicadores!$N$4:$Q$15,4,0)</f>
        <v>329.87</v>
      </c>
    </row>
    <row r="136" spans="1:22">
      <c r="A136" t="s">
        <v>899</v>
      </c>
      <c r="B136" t="s">
        <v>319</v>
      </c>
      <c r="C136" s="41" t="s">
        <v>320</v>
      </c>
      <c r="D136" s="34" t="s">
        <v>321</v>
      </c>
      <c r="E136" t="s">
        <v>322</v>
      </c>
      <c r="F136" s="41" t="s">
        <v>323</v>
      </c>
      <c r="G136" s="34" t="s">
        <v>289</v>
      </c>
      <c r="H136" s="34" t="s">
        <v>40</v>
      </c>
      <c r="I136" s="38" t="s">
        <v>4</v>
      </c>
      <c r="J136" s="42" t="s">
        <v>68</v>
      </c>
      <c r="K136" s="34" t="s">
        <v>62</v>
      </c>
      <c r="L136" s="34" t="s">
        <v>63</v>
      </c>
      <c r="M136" s="47" t="s">
        <v>41</v>
      </c>
      <c r="N136" s="34" t="s">
        <v>324</v>
      </c>
      <c r="O136" s="43">
        <v>44069</v>
      </c>
      <c r="P136" s="43" t="s">
        <v>25</v>
      </c>
      <c r="Q136" s="47" t="s">
        <v>1050</v>
      </c>
      <c r="R136" s="34" t="s">
        <v>901</v>
      </c>
      <c r="S136" s="34"/>
      <c r="T136" t="s">
        <v>1187</v>
      </c>
      <c r="U136">
        <f t="shared" si="2"/>
        <v>8</v>
      </c>
      <c r="V136">
        <f>VLOOKUP(I136,Indicadores!$N$4:$Q$15,4,0)</f>
        <v>329.87</v>
      </c>
    </row>
    <row r="137" spans="1:22">
      <c r="A137" t="s">
        <v>899</v>
      </c>
      <c r="B137" t="s">
        <v>319</v>
      </c>
      <c r="C137" s="41" t="s">
        <v>320</v>
      </c>
      <c r="D137" s="34" t="s">
        <v>321</v>
      </c>
      <c r="E137" t="s">
        <v>322</v>
      </c>
      <c r="F137" s="41" t="s">
        <v>323</v>
      </c>
      <c r="G137" s="34" t="s">
        <v>289</v>
      </c>
      <c r="H137" s="34" t="s">
        <v>40</v>
      </c>
      <c r="I137" s="34" t="s">
        <v>7</v>
      </c>
      <c r="J137" s="42">
        <v>893769</v>
      </c>
      <c r="K137" s="34" t="s">
        <v>56</v>
      </c>
      <c r="L137" s="34" t="s">
        <v>57</v>
      </c>
      <c r="M137" s="47" t="s">
        <v>41</v>
      </c>
      <c r="N137" s="34" t="s">
        <v>324</v>
      </c>
      <c r="O137" s="43">
        <v>44069</v>
      </c>
      <c r="P137" s="43" t="s">
        <v>25</v>
      </c>
      <c r="Q137" s="47" t="s">
        <v>1051</v>
      </c>
      <c r="R137" s="34" t="s">
        <v>901</v>
      </c>
      <c r="S137" s="34"/>
      <c r="T137" t="s">
        <v>1187</v>
      </c>
      <c r="U137">
        <f t="shared" si="2"/>
        <v>8</v>
      </c>
      <c r="V137">
        <f>VLOOKUP(I137,Indicadores!$N$4:$Q$15,4,0)</f>
        <v>329.87</v>
      </c>
    </row>
    <row r="138" spans="1:22">
      <c r="A138" t="s">
        <v>899</v>
      </c>
      <c r="B138" t="s">
        <v>319</v>
      </c>
      <c r="C138" s="41" t="s">
        <v>320</v>
      </c>
      <c r="D138" s="34" t="s">
        <v>321</v>
      </c>
      <c r="E138" t="s">
        <v>322</v>
      </c>
      <c r="F138" s="41" t="s">
        <v>323</v>
      </c>
      <c r="G138" s="34" t="s">
        <v>289</v>
      </c>
      <c r="H138" s="34" t="s">
        <v>40</v>
      </c>
      <c r="I138" s="34" t="s">
        <v>7</v>
      </c>
      <c r="J138" s="42">
        <v>51302520</v>
      </c>
      <c r="K138" s="34" t="s">
        <v>58</v>
      </c>
      <c r="L138" s="34" t="s">
        <v>59</v>
      </c>
      <c r="M138" s="47" t="s">
        <v>41</v>
      </c>
      <c r="N138" s="34" t="s">
        <v>324</v>
      </c>
      <c r="O138" s="43">
        <v>44069</v>
      </c>
      <c r="P138" s="43" t="s">
        <v>25</v>
      </c>
      <c r="Q138" s="47" t="s">
        <v>1052</v>
      </c>
      <c r="R138" s="34" t="s">
        <v>901</v>
      </c>
      <c r="S138" s="34"/>
      <c r="T138" t="s">
        <v>1187</v>
      </c>
      <c r="U138">
        <f t="shared" si="2"/>
        <v>8</v>
      </c>
      <c r="V138">
        <f>VLOOKUP(I138,Indicadores!$N$4:$Q$15,4,0)</f>
        <v>329.87</v>
      </c>
    </row>
    <row r="139" spans="1:22">
      <c r="A139" t="s">
        <v>899</v>
      </c>
      <c r="B139" t="s">
        <v>319</v>
      </c>
      <c r="C139" s="41" t="s">
        <v>320</v>
      </c>
      <c r="D139" s="34" t="s">
        <v>321</v>
      </c>
      <c r="E139" t="s">
        <v>322</v>
      </c>
      <c r="F139" s="41" t="s">
        <v>323</v>
      </c>
      <c r="G139" s="34" t="s">
        <v>289</v>
      </c>
      <c r="H139" s="34" t="s">
        <v>40</v>
      </c>
      <c r="I139" s="34" t="s">
        <v>7</v>
      </c>
      <c r="J139" s="42" t="s">
        <v>65</v>
      </c>
      <c r="K139" s="34" t="s">
        <v>66</v>
      </c>
      <c r="L139" s="34" t="s">
        <v>67</v>
      </c>
      <c r="M139" s="34" t="s">
        <v>41</v>
      </c>
      <c r="N139" s="34" t="s">
        <v>324</v>
      </c>
      <c r="O139" s="43">
        <v>44069</v>
      </c>
      <c r="P139" s="43" t="s">
        <v>25</v>
      </c>
      <c r="Q139" s="47" t="s">
        <v>1053</v>
      </c>
      <c r="R139" s="34" t="s">
        <v>901</v>
      </c>
      <c r="S139" s="34"/>
      <c r="T139" t="s">
        <v>1187</v>
      </c>
      <c r="U139">
        <f t="shared" si="2"/>
        <v>8</v>
      </c>
      <c r="V139">
        <f>VLOOKUP(I139,Indicadores!$N$4:$Q$15,4,0)</f>
        <v>329.87</v>
      </c>
    </row>
    <row r="140" spans="1:22">
      <c r="A140" t="s">
        <v>899</v>
      </c>
      <c r="B140" t="s">
        <v>319</v>
      </c>
      <c r="C140" s="41" t="s">
        <v>320</v>
      </c>
      <c r="D140" s="34" t="s">
        <v>321</v>
      </c>
      <c r="E140" t="s">
        <v>322</v>
      </c>
      <c r="F140" s="41" t="s">
        <v>323</v>
      </c>
      <c r="G140" s="34" t="s">
        <v>289</v>
      </c>
      <c r="H140" s="34" t="s">
        <v>40</v>
      </c>
      <c r="I140" s="34" t="s">
        <v>7</v>
      </c>
      <c r="J140" s="42">
        <v>1308011</v>
      </c>
      <c r="K140" s="34" t="s">
        <v>31</v>
      </c>
      <c r="L140" s="34" t="s">
        <v>69</v>
      </c>
      <c r="M140" s="47" t="s">
        <v>41</v>
      </c>
      <c r="N140" s="34" t="s">
        <v>324</v>
      </c>
      <c r="O140" s="43">
        <v>44069</v>
      </c>
      <c r="P140" s="43" t="s">
        <v>25</v>
      </c>
      <c r="Q140" s="47" t="s">
        <v>1054</v>
      </c>
      <c r="R140" s="34" t="s">
        <v>901</v>
      </c>
      <c r="S140" s="34"/>
      <c r="T140" t="s">
        <v>1187</v>
      </c>
      <c r="U140">
        <f t="shared" si="2"/>
        <v>8</v>
      </c>
      <c r="V140">
        <f>VLOOKUP(I140,Indicadores!$N$4:$Q$15,4,0)</f>
        <v>329.87</v>
      </c>
    </row>
    <row r="141" spans="1:22" s="48" customFormat="1">
      <c r="A141" t="s">
        <v>899</v>
      </c>
      <c r="B141" t="s">
        <v>319</v>
      </c>
      <c r="C141" s="41" t="s">
        <v>320</v>
      </c>
      <c r="D141" s="34" t="s">
        <v>321</v>
      </c>
      <c r="E141" t="s">
        <v>322</v>
      </c>
      <c r="F141" s="41" t="s">
        <v>323</v>
      </c>
      <c r="G141" s="34" t="s">
        <v>289</v>
      </c>
      <c r="H141" s="34" t="s">
        <v>40</v>
      </c>
      <c r="I141" s="34" t="s">
        <v>8</v>
      </c>
      <c r="J141" s="42">
        <v>306</v>
      </c>
      <c r="K141" s="34" t="s">
        <v>54</v>
      </c>
      <c r="L141" s="34" t="s">
        <v>55</v>
      </c>
      <c r="M141" s="47" t="s">
        <v>41</v>
      </c>
      <c r="N141" s="34" t="s">
        <v>324</v>
      </c>
      <c r="O141" s="43">
        <v>44069</v>
      </c>
      <c r="P141" s="43" t="s">
        <v>25</v>
      </c>
      <c r="Q141" s="47" t="s">
        <v>1055</v>
      </c>
      <c r="R141" s="34" t="s">
        <v>901</v>
      </c>
      <c r="S141" s="34"/>
      <c r="T141" t="s">
        <v>1187</v>
      </c>
      <c r="U141">
        <f t="shared" si="2"/>
        <v>8</v>
      </c>
      <c r="V141">
        <f>VLOOKUP(I141,Indicadores!$N$4:$Q$15,4,0)</f>
        <v>462.11</v>
      </c>
    </row>
    <row r="142" spans="1:22" s="48" customFormat="1">
      <c r="A142" t="s">
        <v>899</v>
      </c>
      <c r="B142" t="s">
        <v>319</v>
      </c>
      <c r="C142" s="41" t="s">
        <v>320</v>
      </c>
      <c r="D142" s="34" t="s">
        <v>321</v>
      </c>
      <c r="E142" t="s">
        <v>322</v>
      </c>
      <c r="F142" s="41" t="s">
        <v>323</v>
      </c>
      <c r="G142" s="34" t="s">
        <v>289</v>
      </c>
      <c r="H142" s="34" t="s">
        <v>40</v>
      </c>
      <c r="I142" s="34" t="s">
        <v>9</v>
      </c>
      <c r="J142" s="42" t="s">
        <v>60</v>
      </c>
      <c r="K142" s="47" t="s">
        <v>21</v>
      </c>
      <c r="L142" s="47" t="s">
        <v>29</v>
      </c>
      <c r="M142" s="47" t="s">
        <v>41</v>
      </c>
      <c r="N142" s="34" t="s">
        <v>324</v>
      </c>
      <c r="O142" s="43">
        <v>44069</v>
      </c>
      <c r="P142" s="43" t="s">
        <v>25</v>
      </c>
      <c r="Q142" s="47" t="s">
        <v>1056</v>
      </c>
      <c r="R142" s="34" t="s">
        <v>901</v>
      </c>
      <c r="S142" s="34"/>
      <c r="T142" t="s">
        <v>1187</v>
      </c>
      <c r="U142">
        <f t="shared" si="2"/>
        <v>8</v>
      </c>
      <c r="V142">
        <f>VLOOKUP(I142,Indicadores!$N$4:$Q$15,4,0)</f>
        <v>521.79999999999995</v>
      </c>
    </row>
    <row r="143" spans="1:22" s="48" customFormat="1">
      <c r="A143" t="s">
        <v>899</v>
      </c>
      <c r="B143" t="s">
        <v>484</v>
      </c>
      <c r="C143" s="41" t="s">
        <v>485</v>
      </c>
      <c r="D143" s="34" t="s">
        <v>486</v>
      </c>
      <c r="E143" t="s">
        <v>487</v>
      </c>
      <c r="F143" s="41" t="s">
        <v>488</v>
      </c>
      <c r="G143" s="34" t="s">
        <v>289</v>
      </c>
      <c r="H143" s="34" t="s">
        <v>19</v>
      </c>
      <c r="I143" s="34" t="s">
        <v>8</v>
      </c>
      <c r="J143" s="42">
        <v>3652</v>
      </c>
      <c r="K143" s="34" t="s">
        <v>30</v>
      </c>
      <c r="L143" s="34" t="s">
        <v>8</v>
      </c>
      <c r="M143" s="34" t="s">
        <v>23</v>
      </c>
      <c r="N143" s="34" t="s">
        <v>305</v>
      </c>
      <c r="O143" s="43">
        <v>44078</v>
      </c>
      <c r="P143" s="43" t="s">
        <v>25</v>
      </c>
      <c r="Q143" s="34" t="s">
        <v>1057</v>
      </c>
      <c r="R143" s="34" t="s">
        <v>901</v>
      </c>
      <c r="S143" s="34"/>
      <c r="T143" t="s">
        <v>1187</v>
      </c>
      <c r="U143">
        <f t="shared" si="2"/>
        <v>9</v>
      </c>
      <c r="V143">
        <f>VLOOKUP(I143,Indicadores!$N$4:$Q$15,4,0)</f>
        <v>462.11</v>
      </c>
    </row>
    <row r="144" spans="1:22" s="48" customFormat="1">
      <c r="A144" t="s">
        <v>899</v>
      </c>
      <c r="B144" t="s">
        <v>484</v>
      </c>
      <c r="C144" s="41" t="s">
        <v>485</v>
      </c>
      <c r="D144" s="34" t="s">
        <v>486</v>
      </c>
      <c r="E144" t="s">
        <v>487</v>
      </c>
      <c r="F144" s="41" t="s">
        <v>488</v>
      </c>
      <c r="G144" s="34" t="s">
        <v>289</v>
      </c>
      <c r="H144" s="34" t="s">
        <v>19</v>
      </c>
      <c r="I144" s="34" t="s">
        <v>3</v>
      </c>
      <c r="J144" s="42" t="s">
        <v>20</v>
      </c>
      <c r="K144" s="34" t="s">
        <v>21</v>
      </c>
      <c r="L144" s="34" t="s">
        <v>22</v>
      </c>
      <c r="M144" s="34" t="s">
        <v>23</v>
      </c>
      <c r="N144" s="34" t="s">
        <v>305</v>
      </c>
      <c r="O144" s="43">
        <v>44078</v>
      </c>
      <c r="P144" s="43" t="s">
        <v>25</v>
      </c>
      <c r="Q144" s="47" t="s">
        <v>1058</v>
      </c>
      <c r="R144" s="34" t="s">
        <v>901</v>
      </c>
      <c r="S144" s="34"/>
      <c r="T144" t="s">
        <v>1187</v>
      </c>
      <c r="U144">
        <f t="shared" si="2"/>
        <v>9</v>
      </c>
      <c r="V144">
        <f>VLOOKUP(I144,Indicadores!$N$4:$Q$15,4,0)</f>
        <v>552.64</v>
      </c>
    </row>
    <row r="145" spans="1:22">
      <c r="A145" t="s">
        <v>899</v>
      </c>
      <c r="B145" t="s">
        <v>484</v>
      </c>
      <c r="C145" s="41" t="s">
        <v>485</v>
      </c>
      <c r="D145" s="34" t="s">
        <v>486</v>
      </c>
      <c r="E145" t="s">
        <v>487</v>
      </c>
      <c r="F145" s="41" t="s">
        <v>488</v>
      </c>
      <c r="G145" s="34" t="s">
        <v>289</v>
      </c>
      <c r="H145" s="34" t="s">
        <v>19</v>
      </c>
      <c r="I145" s="38" t="s">
        <v>4</v>
      </c>
      <c r="J145" s="42">
        <v>4210981</v>
      </c>
      <c r="K145" s="34" t="s">
        <v>26</v>
      </c>
      <c r="L145" s="47" t="s">
        <v>27</v>
      </c>
      <c r="M145" s="34" t="s">
        <v>23</v>
      </c>
      <c r="N145" s="34" t="s">
        <v>305</v>
      </c>
      <c r="O145" s="43">
        <v>44078</v>
      </c>
      <c r="P145" s="43" t="s">
        <v>25</v>
      </c>
      <c r="Q145" s="42" t="s">
        <v>1059</v>
      </c>
      <c r="R145" s="34" t="s">
        <v>901</v>
      </c>
      <c r="S145" s="34"/>
      <c r="T145" t="s">
        <v>1187</v>
      </c>
      <c r="U145">
        <f t="shared" si="2"/>
        <v>9</v>
      </c>
      <c r="V145">
        <f>VLOOKUP(I145,Indicadores!$N$4:$Q$15,4,0)</f>
        <v>329.87</v>
      </c>
    </row>
    <row r="146" spans="1:22">
      <c r="A146" t="s">
        <v>899</v>
      </c>
      <c r="B146" t="s">
        <v>484</v>
      </c>
      <c r="C146" s="41" t="s">
        <v>485</v>
      </c>
      <c r="D146" s="34" t="s">
        <v>486</v>
      </c>
      <c r="E146" t="s">
        <v>487</v>
      </c>
      <c r="F146" s="41" t="s">
        <v>488</v>
      </c>
      <c r="G146" s="34" t="s">
        <v>289</v>
      </c>
      <c r="H146" s="34" t="s">
        <v>19</v>
      </c>
      <c r="I146" s="34" t="s">
        <v>7</v>
      </c>
      <c r="J146" s="42">
        <v>49433</v>
      </c>
      <c r="K146" s="34" t="s">
        <v>31</v>
      </c>
      <c r="L146" s="34" t="s">
        <v>32</v>
      </c>
      <c r="M146" s="34" t="s">
        <v>23</v>
      </c>
      <c r="N146" s="34" t="s">
        <v>305</v>
      </c>
      <c r="O146" s="43">
        <v>44078</v>
      </c>
      <c r="P146" s="43" t="s">
        <v>25</v>
      </c>
      <c r="Q146" s="42" t="s">
        <v>1060</v>
      </c>
      <c r="R146" s="34" t="s">
        <v>901</v>
      </c>
      <c r="S146" s="34"/>
      <c r="T146" t="s">
        <v>1187</v>
      </c>
      <c r="U146">
        <f t="shared" si="2"/>
        <v>9</v>
      </c>
      <c r="V146">
        <f>VLOOKUP(I146,Indicadores!$N$4:$Q$15,4,0)</f>
        <v>329.87</v>
      </c>
    </row>
    <row r="147" spans="1:22">
      <c r="A147" t="s">
        <v>899</v>
      </c>
      <c r="B147" t="s">
        <v>484</v>
      </c>
      <c r="C147" s="41" t="s">
        <v>485</v>
      </c>
      <c r="D147" s="34" t="s">
        <v>486</v>
      </c>
      <c r="E147" t="s">
        <v>487</v>
      </c>
      <c r="F147" s="41" t="s">
        <v>488</v>
      </c>
      <c r="G147" s="34" t="s">
        <v>289</v>
      </c>
      <c r="H147" s="34" t="s">
        <v>19</v>
      </c>
      <c r="I147" s="34" t="s">
        <v>9</v>
      </c>
      <c r="J147" s="34" t="s">
        <v>28</v>
      </c>
      <c r="K147" s="34" t="s">
        <v>21</v>
      </c>
      <c r="L147" s="34" t="s">
        <v>29</v>
      </c>
      <c r="M147" s="34" t="s">
        <v>23</v>
      </c>
      <c r="N147" s="34" t="s">
        <v>305</v>
      </c>
      <c r="O147" s="43">
        <v>44078</v>
      </c>
      <c r="P147" s="43" t="s">
        <v>25</v>
      </c>
      <c r="Q147" s="47" t="s">
        <v>1061</v>
      </c>
      <c r="R147" s="34" t="s">
        <v>901</v>
      </c>
      <c r="S147" s="34"/>
      <c r="T147" t="s">
        <v>1187</v>
      </c>
      <c r="U147">
        <f t="shared" si="2"/>
        <v>9</v>
      </c>
      <c r="V147">
        <f>VLOOKUP(I147,Indicadores!$N$4:$Q$15,4,0)</f>
        <v>521.79999999999995</v>
      </c>
    </row>
    <row r="148" spans="1:22">
      <c r="A148" t="s">
        <v>899</v>
      </c>
      <c r="B148" t="s">
        <v>985</v>
      </c>
      <c r="C148" s="41" t="s">
        <v>986</v>
      </c>
      <c r="D148" s="34" t="s">
        <v>987</v>
      </c>
      <c r="E148" t="s">
        <v>322</v>
      </c>
      <c r="F148" s="41" t="s">
        <v>323</v>
      </c>
      <c r="G148" s="34" t="s">
        <v>289</v>
      </c>
      <c r="H148" s="34" t="s">
        <v>73</v>
      </c>
      <c r="I148" s="38" t="s">
        <v>4</v>
      </c>
      <c r="J148" s="42">
        <v>59331</v>
      </c>
      <c r="K148" s="34" t="s">
        <v>31</v>
      </c>
      <c r="L148" s="34" t="s">
        <v>74</v>
      </c>
      <c r="M148" s="34" t="s">
        <v>75</v>
      </c>
      <c r="N148" s="34" t="s">
        <v>305</v>
      </c>
      <c r="O148" s="43">
        <v>44105</v>
      </c>
      <c r="P148" s="43" t="s">
        <v>25</v>
      </c>
      <c r="Q148" s="34" t="s">
        <v>1062</v>
      </c>
      <c r="R148" s="34" t="s">
        <v>901</v>
      </c>
      <c r="S148" s="34"/>
      <c r="T148" t="s">
        <v>1187</v>
      </c>
      <c r="U148">
        <f t="shared" si="2"/>
        <v>10</v>
      </c>
      <c r="V148">
        <f>VLOOKUP(I148,Indicadores!$N$4:$Q$15,4,0)</f>
        <v>329.87</v>
      </c>
    </row>
    <row r="149" spans="1:22">
      <c r="A149" t="s">
        <v>899</v>
      </c>
      <c r="B149" t="s">
        <v>985</v>
      </c>
      <c r="C149" s="41" t="s">
        <v>986</v>
      </c>
      <c r="D149" s="34" t="s">
        <v>987</v>
      </c>
      <c r="E149" t="s">
        <v>322</v>
      </c>
      <c r="F149" s="41" t="s">
        <v>323</v>
      </c>
      <c r="G149" s="34" t="s">
        <v>289</v>
      </c>
      <c r="H149" s="34" t="s">
        <v>73</v>
      </c>
      <c r="I149" s="34" t="s">
        <v>5</v>
      </c>
      <c r="J149" s="42">
        <v>1788818</v>
      </c>
      <c r="K149" s="34" t="s">
        <v>21</v>
      </c>
      <c r="L149" s="34" t="s">
        <v>78</v>
      </c>
      <c r="M149" s="34" t="s">
        <v>75</v>
      </c>
      <c r="N149" s="34" t="s">
        <v>305</v>
      </c>
      <c r="O149" s="43">
        <v>44105</v>
      </c>
      <c r="P149" s="43" t="s">
        <v>25</v>
      </c>
      <c r="Q149" s="47" t="s">
        <v>1063</v>
      </c>
      <c r="R149" s="34" t="s">
        <v>901</v>
      </c>
      <c r="S149" s="34"/>
      <c r="T149" t="s">
        <v>1187</v>
      </c>
      <c r="U149">
        <f t="shared" si="2"/>
        <v>10</v>
      </c>
      <c r="V149">
        <f>VLOOKUP(I149,Indicadores!$N$4:$Q$15,4,0)</f>
        <v>895.23</v>
      </c>
    </row>
    <row r="150" spans="1:22">
      <c r="A150" t="s">
        <v>899</v>
      </c>
      <c r="B150" t="s">
        <v>985</v>
      </c>
      <c r="C150" s="41" t="s">
        <v>986</v>
      </c>
      <c r="D150" s="34" t="s">
        <v>987</v>
      </c>
      <c r="E150" t="s">
        <v>322</v>
      </c>
      <c r="F150" s="41" t="s">
        <v>323</v>
      </c>
      <c r="G150" s="34" t="s">
        <v>289</v>
      </c>
      <c r="H150" s="34" t="s">
        <v>73</v>
      </c>
      <c r="I150" s="34" t="s">
        <v>5</v>
      </c>
      <c r="J150" s="45">
        <v>150060001017</v>
      </c>
      <c r="K150" s="34" t="s">
        <v>21</v>
      </c>
      <c r="L150" s="34" t="s">
        <v>80</v>
      </c>
      <c r="M150" s="34" t="s">
        <v>81</v>
      </c>
      <c r="N150" s="34" t="s">
        <v>429</v>
      </c>
      <c r="O150" s="43">
        <v>44105</v>
      </c>
      <c r="P150" s="43" t="s">
        <v>25</v>
      </c>
      <c r="Q150" s="34" t="s">
        <v>1064</v>
      </c>
      <c r="R150" s="34" t="s">
        <v>901</v>
      </c>
      <c r="S150" s="34"/>
      <c r="T150" t="s">
        <v>1187</v>
      </c>
      <c r="U150">
        <f t="shared" si="2"/>
        <v>10</v>
      </c>
      <c r="V150">
        <f>VLOOKUP(I150,Indicadores!$N$4:$Q$15,4,0)</f>
        <v>895.23</v>
      </c>
    </row>
    <row r="151" spans="1:22">
      <c r="A151" t="s">
        <v>899</v>
      </c>
      <c r="B151" t="s">
        <v>985</v>
      </c>
      <c r="C151" s="41" t="s">
        <v>986</v>
      </c>
      <c r="D151" s="34" t="s">
        <v>987</v>
      </c>
      <c r="E151" t="s">
        <v>322</v>
      </c>
      <c r="F151" s="41" t="s">
        <v>323</v>
      </c>
      <c r="G151" s="34" t="s">
        <v>289</v>
      </c>
      <c r="H151" s="34" t="s">
        <v>73</v>
      </c>
      <c r="I151" s="34" t="s">
        <v>7</v>
      </c>
      <c r="J151" s="42">
        <v>59343</v>
      </c>
      <c r="K151" s="34" t="s">
        <v>31</v>
      </c>
      <c r="L151" s="34" t="s">
        <v>53</v>
      </c>
      <c r="M151" s="34" t="s">
        <v>75</v>
      </c>
      <c r="N151" s="34" t="s">
        <v>305</v>
      </c>
      <c r="O151" s="43">
        <v>44105</v>
      </c>
      <c r="P151" s="43" t="s">
        <v>25</v>
      </c>
      <c r="Q151" s="34" t="s">
        <v>1065</v>
      </c>
      <c r="R151" s="34" t="s">
        <v>31</v>
      </c>
      <c r="S151" s="34"/>
      <c r="T151" t="s">
        <v>1187</v>
      </c>
      <c r="U151">
        <f t="shared" si="2"/>
        <v>10</v>
      </c>
      <c r="V151">
        <f>VLOOKUP(I151,Indicadores!$N$4:$Q$15,4,0)</f>
        <v>329.87</v>
      </c>
    </row>
    <row r="152" spans="1:22">
      <c r="A152" t="s">
        <v>899</v>
      </c>
      <c r="B152" t="s">
        <v>985</v>
      </c>
      <c r="C152" s="41" t="s">
        <v>986</v>
      </c>
      <c r="D152" s="34" t="s">
        <v>987</v>
      </c>
      <c r="E152" t="s">
        <v>322</v>
      </c>
      <c r="F152" s="41" t="s">
        <v>323</v>
      </c>
      <c r="G152" s="34" t="s">
        <v>289</v>
      </c>
      <c r="H152" s="34" t="s">
        <v>73</v>
      </c>
      <c r="I152" s="34" t="s">
        <v>9</v>
      </c>
      <c r="J152" s="42">
        <v>59792</v>
      </c>
      <c r="K152" s="34" t="s">
        <v>31</v>
      </c>
      <c r="L152" s="34" t="s">
        <v>82</v>
      </c>
      <c r="M152" s="34" t="s">
        <v>75</v>
      </c>
      <c r="N152" s="34" t="s">
        <v>305</v>
      </c>
      <c r="O152" s="43">
        <v>44105</v>
      </c>
      <c r="P152" s="43" t="s">
        <v>25</v>
      </c>
      <c r="Q152" s="34" t="s">
        <v>1066</v>
      </c>
      <c r="R152" s="34" t="s">
        <v>901</v>
      </c>
      <c r="S152" s="34"/>
      <c r="T152" t="s">
        <v>1187</v>
      </c>
      <c r="U152">
        <f t="shared" si="2"/>
        <v>10</v>
      </c>
      <c r="V152">
        <f>VLOOKUP(I152,Indicadores!$N$4:$Q$15,4,0)</f>
        <v>521.79999999999995</v>
      </c>
    </row>
    <row r="153" spans="1:22">
      <c r="A153" t="s">
        <v>899</v>
      </c>
      <c r="B153" t="s">
        <v>449</v>
      </c>
      <c r="C153" s="41" t="s">
        <v>450</v>
      </c>
      <c r="D153" s="34" t="s">
        <v>451</v>
      </c>
      <c r="E153" t="s">
        <v>452</v>
      </c>
      <c r="F153" s="41" t="s">
        <v>453</v>
      </c>
      <c r="G153" s="34" t="s">
        <v>289</v>
      </c>
      <c r="H153" s="34" t="s">
        <v>83</v>
      </c>
      <c r="I153" s="34" t="s">
        <v>2</v>
      </c>
      <c r="J153" s="45" t="s">
        <v>91</v>
      </c>
      <c r="K153" s="34" t="s">
        <v>92</v>
      </c>
      <c r="L153" s="34" t="s">
        <v>93</v>
      </c>
      <c r="M153" s="34" t="s">
        <v>85</v>
      </c>
      <c r="N153" s="34" t="s">
        <v>455</v>
      </c>
      <c r="O153" s="43">
        <v>44118</v>
      </c>
      <c r="P153" s="43" t="s">
        <v>25</v>
      </c>
      <c r="Q153" s="34" t="s">
        <v>1067</v>
      </c>
      <c r="R153" s="34" t="s">
        <v>901</v>
      </c>
      <c r="S153" s="34"/>
      <c r="T153" t="s">
        <v>1187</v>
      </c>
      <c r="U153">
        <f t="shared" si="2"/>
        <v>10</v>
      </c>
      <c r="V153">
        <f>VLOOKUP(I153,Indicadores!$N$4:$Q$15,4,0)</f>
        <v>456.77</v>
      </c>
    </row>
    <row r="154" spans="1:22">
      <c r="A154" t="s">
        <v>899</v>
      </c>
      <c r="B154" s="55" t="s">
        <v>664</v>
      </c>
      <c r="C154" s="41" t="s">
        <v>665</v>
      </c>
      <c r="D154" s="34" t="s">
        <v>666</v>
      </c>
      <c r="E154" t="s">
        <v>640</v>
      </c>
      <c r="F154" s="41" t="s">
        <v>641</v>
      </c>
      <c r="G154" s="34" t="s">
        <v>289</v>
      </c>
      <c r="H154" s="34" t="s">
        <v>164</v>
      </c>
      <c r="I154" s="38" t="s">
        <v>4</v>
      </c>
      <c r="J154" s="45" t="s">
        <v>165</v>
      </c>
      <c r="K154" s="34" t="s">
        <v>62</v>
      </c>
      <c r="L154" s="34" t="s">
        <v>63</v>
      </c>
      <c r="M154" s="34" t="s">
        <v>166</v>
      </c>
      <c r="N154" s="34" t="s">
        <v>426</v>
      </c>
      <c r="O154" s="43">
        <v>44229</v>
      </c>
      <c r="P154" s="43" t="s">
        <v>25</v>
      </c>
      <c r="Q154" s="34" t="s">
        <v>1068</v>
      </c>
      <c r="R154" s="34" t="s">
        <v>901</v>
      </c>
      <c r="S154" s="34"/>
      <c r="T154" t="s">
        <v>1187</v>
      </c>
      <c r="U154">
        <f t="shared" si="2"/>
        <v>2</v>
      </c>
      <c r="V154">
        <f>VLOOKUP(I154,Indicadores!$N$4:$Q$15,4,0)</f>
        <v>329.87</v>
      </c>
    </row>
    <row r="155" spans="1:22">
      <c r="A155" t="s">
        <v>899</v>
      </c>
      <c r="B155" s="55" t="s">
        <v>664</v>
      </c>
      <c r="C155" s="41" t="s">
        <v>665</v>
      </c>
      <c r="D155" s="34" t="s">
        <v>666</v>
      </c>
      <c r="E155" t="s">
        <v>640</v>
      </c>
      <c r="F155" s="41" t="s">
        <v>641</v>
      </c>
      <c r="G155" s="34" t="s">
        <v>289</v>
      </c>
      <c r="H155" s="34" t="s">
        <v>164</v>
      </c>
      <c r="I155" s="34" t="s">
        <v>5</v>
      </c>
      <c r="J155" s="45">
        <v>143160001033</v>
      </c>
      <c r="K155" s="34" t="s">
        <v>21</v>
      </c>
      <c r="L155" s="34" t="s">
        <v>96</v>
      </c>
      <c r="M155" s="34" t="s">
        <v>166</v>
      </c>
      <c r="N155" s="34" t="s">
        <v>426</v>
      </c>
      <c r="O155" s="43">
        <v>44229</v>
      </c>
      <c r="P155" s="43" t="s">
        <v>25</v>
      </c>
      <c r="Q155" s="34" t="s">
        <v>1069</v>
      </c>
      <c r="R155" s="34" t="s">
        <v>901</v>
      </c>
      <c r="S155" s="34"/>
      <c r="T155" t="s">
        <v>1187</v>
      </c>
      <c r="U155">
        <f t="shared" si="2"/>
        <v>2</v>
      </c>
      <c r="V155">
        <f>VLOOKUP(I155,Indicadores!$N$4:$Q$15,4,0)</f>
        <v>895.23</v>
      </c>
    </row>
    <row r="156" spans="1:22" s="48" customFormat="1">
      <c r="A156" t="s">
        <v>899</v>
      </c>
      <c r="B156" s="55" t="s">
        <v>664</v>
      </c>
      <c r="C156" s="41" t="s">
        <v>665</v>
      </c>
      <c r="D156" s="34" t="s">
        <v>666</v>
      </c>
      <c r="E156" t="s">
        <v>640</v>
      </c>
      <c r="F156" s="41" t="s">
        <v>641</v>
      </c>
      <c r="G156" s="34" t="s">
        <v>289</v>
      </c>
      <c r="H156" s="34" t="s">
        <v>164</v>
      </c>
      <c r="I156" s="34" t="s">
        <v>7</v>
      </c>
      <c r="J156" s="45">
        <v>782590</v>
      </c>
      <c r="K156" s="34" t="s">
        <v>21</v>
      </c>
      <c r="L156" s="34" t="s">
        <v>168</v>
      </c>
      <c r="M156" s="34" t="s">
        <v>166</v>
      </c>
      <c r="N156" s="34" t="s">
        <v>426</v>
      </c>
      <c r="O156" s="43">
        <v>44229</v>
      </c>
      <c r="P156" s="43" t="s">
        <v>25</v>
      </c>
      <c r="Q156" s="34" t="s">
        <v>1070</v>
      </c>
      <c r="R156" s="34" t="s">
        <v>901</v>
      </c>
      <c r="S156" s="34"/>
      <c r="T156" t="s">
        <v>1187</v>
      </c>
      <c r="U156">
        <f t="shared" si="2"/>
        <v>2</v>
      </c>
      <c r="V156">
        <f>VLOOKUP(I156,Indicadores!$N$4:$Q$15,4,0)</f>
        <v>329.87</v>
      </c>
    </row>
    <row r="157" spans="1:22">
      <c r="A157" t="s">
        <v>899</v>
      </c>
      <c r="B157" s="55" t="s">
        <v>664</v>
      </c>
      <c r="C157" s="41" t="s">
        <v>665</v>
      </c>
      <c r="D157" s="34" t="s">
        <v>666</v>
      </c>
      <c r="E157" t="s">
        <v>640</v>
      </c>
      <c r="F157" s="41" t="s">
        <v>641</v>
      </c>
      <c r="G157" s="34" t="s">
        <v>289</v>
      </c>
      <c r="H157" s="34" t="s">
        <v>164</v>
      </c>
      <c r="I157" s="34" t="s">
        <v>9</v>
      </c>
      <c r="J157" s="42" t="s">
        <v>169</v>
      </c>
      <c r="K157" s="34" t="s">
        <v>21</v>
      </c>
      <c r="L157" s="34" t="s">
        <v>29</v>
      </c>
      <c r="M157" s="34" t="s">
        <v>166</v>
      </c>
      <c r="N157" s="34" t="s">
        <v>426</v>
      </c>
      <c r="O157" s="43">
        <v>44229</v>
      </c>
      <c r="P157" s="43" t="s">
        <v>25</v>
      </c>
      <c r="Q157" s="34" t="s">
        <v>1071</v>
      </c>
      <c r="R157" s="34" t="s">
        <v>901</v>
      </c>
      <c r="S157" s="34"/>
      <c r="T157" t="s">
        <v>1187</v>
      </c>
      <c r="U157">
        <f t="shared" si="2"/>
        <v>2</v>
      </c>
      <c r="V157">
        <f>VLOOKUP(I157,Indicadores!$N$4:$Q$15,4,0)</f>
        <v>521.79999999999995</v>
      </c>
    </row>
    <row r="158" spans="1:22">
      <c r="A158" t="s">
        <v>899</v>
      </c>
      <c r="B158" s="55" t="s">
        <v>664</v>
      </c>
      <c r="C158" s="41" t="s">
        <v>665</v>
      </c>
      <c r="D158" s="34" t="s">
        <v>666</v>
      </c>
      <c r="E158" t="s">
        <v>355</v>
      </c>
      <c r="F158" s="41" t="s">
        <v>356</v>
      </c>
      <c r="G158" s="34" t="s">
        <v>289</v>
      </c>
      <c r="H158" s="34" t="s">
        <v>164</v>
      </c>
      <c r="I158" s="38" t="s">
        <v>4</v>
      </c>
      <c r="J158" s="42">
        <v>4211933</v>
      </c>
      <c r="K158" s="34" t="s">
        <v>26</v>
      </c>
      <c r="L158" s="47" t="s">
        <v>27</v>
      </c>
      <c r="M158" s="34" t="s">
        <v>166</v>
      </c>
      <c r="N158" s="34" t="s">
        <v>426</v>
      </c>
      <c r="O158" s="43">
        <v>44229</v>
      </c>
      <c r="P158" s="43" t="s">
        <v>25</v>
      </c>
      <c r="Q158" s="34" t="s">
        <v>1072</v>
      </c>
      <c r="R158" s="34" t="s">
        <v>901</v>
      </c>
      <c r="S158" s="34"/>
      <c r="T158" t="s">
        <v>1187</v>
      </c>
      <c r="U158">
        <f t="shared" si="2"/>
        <v>2</v>
      </c>
      <c r="V158">
        <f>VLOOKUP(I158,Indicadores!$N$4:$Q$15,4,0)</f>
        <v>329.87</v>
      </c>
    </row>
    <row r="159" spans="1:22">
      <c r="A159" t="s">
        <v>899</v>
      </c>
      <c r="B159" s="55" t="s">
        <v>664</v>
      </c>
      <c r="C159" s="41" t="s">
        <v>665</v>
      </c>
      <c r="D159" s="34" t="s">
        <v>666</v>
      </c>
      <c r="E159" t="s">
        <v>355</v>
      </c>
      <c r="F159" s="41" t="s">
        <v>356</v>
      </c>
      <c r="G159" s="34" t="s">
        <v>289</v>
      </c>
      <c r="H159" s="34" t="s">
        <v>164</v>
      </c>
      <c r="I159" s="34" t="s">
        <v>5</v>
      </c>
      <c r="J159" s="42">
        <v>1512638</v>
      </c>
      <c r="K159" s="34" t="s">
        <v>21</v>
      </c>
      <c r="L159" s="34" t="s">
        <v>78</v>
      </c>
      <c r="M159" s="34" t="s">
        <v>166</v>
      </c>
      <c r="N159" s="34" t="s">
        <v>426</v>
      </c>
      <c r="O159" s="43">
        <v>44229</v>
      </c>
      <c r="P159" s="43" t="s">
        <v>25</v>
      </c>
      <c r="Q159" s="34" t="s">
        <v>1073</v>
      </c>
      <c r="R159" s="34" t="s">
        <v>901</v>
      </c>
      <c r="S159" s="34"/>
      <c r="T159" t="s">
        <v>1187</v>
      </c>
      <c r="U159">
        <f t="shared" si="2"/>
        <v>2</v>
      </c>
      <c r="V159">
        <f>VLOOKUP(I159,Indicadores!$N$4:$Q$15,4,0)</f>
        <v>895.23</v>
      </c>
    </row>
    <row r="160" spans="1:22">
      <c r="A160" t="s">
        <v>899</v>
      </c>
      <c r="B160" s="55" t="s">
        <v>664</v>
      </c>
      <c r="C160" s="41" t="s">
        <v>665</v>
      </c>
      <c r="D160" s="34" t="s">
        <v>666</v>
      </c>
      <c r="E160" t="s">
        <v>355</v>
      </c>
      <c r="F160" s="41" t="s">
        <v>356</v>
      </c>
      <c r="G160" s="34" t="s">
        <v>289</v>
      </c>
      <c r="H160" s="34" t="s">
        <v>164</v>
      </c>
      <c r="I160" s="38" t="s">
        <v>835</v>
      </c>
      <c r="J160" s="42">
        <v>6244344</v>
      </c>
      <c r="K160" s="34" t="s">
        <v>26</v>
      </c>
      <c r="L160" s="47" t="s">
        <v>84</v>
      </c>
      <c r="M160" s="34" t="s">
        <v>166</v>
      </c>
      <c r="N160" s="34" t="s">
        <v>426</v>
      </c>
      <c r="O160" s="43">
        <v>44229</v>
      </c>
      <c r="P160" s="43" t="s">
        <v>25</v>
      </c>
      <c r="Q160" s="34" t="s">
        <v>1074</v>
      </c>
      <c r="R160" s="34" t="s">
        <v>901</v>
      </c>
      <c r="S160" s="34"/>
      <c r="T160" t="s">
        <v>1187</v>
      </c>
      <c r="U160">
        <f t="shared" si="2"/>
        <v>2</v>
      </c>
      <c r="V160">
        <f>VLOOKUP(I160,Indicadores!$N$4:$Q$15,4,0)</f>
        <v>546.79</v>
      </c>
    </row>
    <row r="161" spans="1:22">
      <c r="A161" t="s">
        <v>899</v>
      </c>
      <c r="B161" s="55" t="s">
        <v>664</v>
      </c>
      <c r="C161" s="41" t="s">
        <v>665</v>
      </c>
      <c r="D161" s="34" t="s">
        <v>666</v>
      </c>
      <c r="E161" t="s">
        <v>355</v>
      </c>
      <c r="F161" s="41" t="s">
        <v>356</v>
      </c>
      <c r="G161" s="34" t="s">
        <v>289</v>
      </c>
      <c r="H161" s="34" t="s">
        <v>164</v>
      </c>
      <c r="I161" s="34" t="s">
        <v>7</v>
      </c>
      <c r="J161" s="42">
        <v>1518977</v>
      </c>
      <c r="K161" s="34" t="s">
        <v>56</v>
      </c>
      <c r="L161" s="34" t="s">
        <v>57</v>
      </c>
      <c r="M161" s="34" t="s">
        <v>166</v>
      </c>
      <c r="N161" s="34" t="s">
        <v>426</v>
      </c>
      <c r="O161" s="43">
        <v>44229</v>
      </c>
      <c r="P161" s="43" t="s">
        <v>25</v>
      </c>
      <c r="Q161" s="34" t="s">
        <v>1075</v>
      </c>
      <c r="R161" s="34" t="s">
        <v>901</v>
      </c>
      <c r="S161" s="34"/>
      <c r="T161" t="s">
        <v>1187</v>
      </c>
      <c r="U161">
        <f t="shared" si="2"/>
        <v>2</v>
      </c>
      <c r="V161">
        <f>VLOOKUP(I161,Indicadores!$N$4:$Q$15,4,0)</f>
        <v>329.87</v>
      </c>
    </row>
    <row r="162" spans="1:22">
      <c r="A162" t="s">
        <v>899</v>
      </c>
      <c r="B162" t="s">
        <v>544</v>
      </c>
      <c r="C162" s="41" t="s">
        <v>545</v>
      </c>
      <c r="D162" s="34" t="s">
        <v>546</v>
      </c>
      <c r="E162" t="s">
        <v>452</v>
      </c>
      <c r="F162" s="41" t="s">
        <v>453</v>
      </c>
      <c r="G162" s="34" t="s">
        <v>289</v>
      </c>
      <c r="H162" s="34" t="s">
        <v>164</v>
      </c>
      <c r="I162" s="34" t="s">
        <v>2</v>
      </c>
      <c r="J162" s="42" t="s">
        <v>170</v>
      </c>
      <c r="K162" s="34" t="s">
        <v>48</v>
      </c>
      <c r="L162" s="34" t="s">
        <v>171</v>
      </c>
      <c r="M162" s="34" t="s">
        <v>1076</v>
      </c>
      <c r="N162" s="34" t="s">
        <v>426</v>
      </c>
      <c r="O162" s="43">
        <v>44229</v>
      </c>
      <c r="P162" s="43" t="s">
        <v>25</v>
      </c>
      <c r="Q162" s="34" t="s">
        <v>1077</v>
      </c>
      <c r="R162" s="34" t="s">
        <v>901</v>
      </c>
      <c r="S162" s="34"/>
      <c r="T162" t="s">
        <v>1187</v>
      </c>
      <c r="U162">
        <f t="shared" si="2"/>
        <v>2</v>
      </c>
      <c r="V162">
        <f>VLOOKUP(I162,Indicadores!$N$4:$Q$15,4,0)</f>
        <v>456.77</v>
      </c>
    </row>
    <row r="163" spans="1:22">
      <c r="A163" t="s">
        <v>899</v>
      </c>
      <c r="B163" t="s">
        <v>544</v>
      </c>
      <c r="C163" s="41" t="s">
        <v>545</v>
      </c>
      <c r="D163" s="34" t="s">
        <v>546</v>
      </c>
      <c r="E163" t="s">
        <v>452</v>
      </c>
      <c r="F163" s="41" t="s">
        <v>453</v>
      </c>
      <c r="G163" s="34" t="s">
        <v>289</v>
      </c>
      <c r="H163" s="34" t="s">
        <v>164</v>
      </c>
      <c r="I163" s="34" t="s">
        <v>3</v>
      </c>
      <c r="J163" s="42">
        <v>13285002046</v>
      </c>
      <c r="K163" s="34" t="s">
        <v>21</v>
      </c>
      <c r="L163" s="34" t="s">
        <v>96</v>
      </c>
      <c r="M163" s="34" t="s">
        <v>172</v>
      </c>
      <c r="N163" s="34" t="s">
        <v>552</v>
      </c>
      <c r="O163" s="43">
        <v>44279</v>
      </c>
      <c r="P163" s="43" t="s">
        <v>25</v>
      </c>
      <c r="Q163" s="34" t="s">
        <v>1078</v>
      </c>
      <c r="R163" s="34" t="s">
        <v>901</v>
      </c>
      <c r="S163" s="34"/>
      <c r="T163" t="s">
        <v>1187</v>
      </c>
      <c r="U163">
        <f t="shared" si="2"/>
        <v>3</v>
      </c>
      <c r="V163">
        <f>VLOOKUP(I163,Indicadores!$N$4:$Q$15,4,0)</f>
        <v>552.64</v>
      </c>
    </row>
    <row r="164" spans="1:22">
      <c r="A164" t="s">
        <v>899</v>
      </c>
      <c r="B164" t="s">
        <v>544</v>
      </c>
      <c r="C164" s="41" t="s">
        <v>545</v>
      </c>
      <c r="D164" s="34" t="s">
        <v>546</v>
      </c>
      <c r="E164" t="s">
        <v>452</v>
      </c>
      <c r="F164" s="41" t="s">
        <v>453</v>
      </c>
      <c r="G164" s="34" t="s">
        <v>289</v>
      </c>
      <c r="H164" s="34" t="s">
        <v>177</v>
      </c>
      <c r="I164" s="38" t="s">
        <v>4</v>
      </c>
      <c r="J164" s="42">
        <v>4224380</v>
      </c>
      <c r="K164" s="34" t="s">
        <v>26</v>
      </c>
      <c r="L164" s="47" t="s">
        <v>27</v>
      </c>
      <c r="M164" s="34" t="s">
        <v>172</v>
      </c>
      <c r="N164" s="34" t="s">
        <v>552</v>
      </c>
      <c r="O164" s="43">
        <v>44279</v>
      </c>
      <c r="P164" s="43" t="s">
        <v>25</v>
      </c>
      <c r="Q164" s="34" t="s">
        <v>1079</v>
      </c>
      <c r="R164" s="34" t="s">
        <v>901</v>
      </c>
      <c r="S164" s="34"/>
      <c r="T164" t="s">
        <v>1187</v>
      </c>
      <c r="U164">
        <f t="shared" si="2"/>
        <v>3</v>
      </c>
      <c r="V164">
        <f>VLOOKUP(I164,Indicadores!$N$4:$Q$15,4,0)</f>
        <v>329.87</v>
      </c>
    </row>
    <row r="165" spans="1:22">
      <c r="A165" t="s">
        <v>899</v>
      </c>
      <c r="B165" t="s">
        <v>544</v>
      </c>
      <c r="C165" s="41" t="s">
        <v>545</v>
      </c>
      <c r="D165" s="34" t="s">
        <v>546</v>
      </c>
      <c r="E165" t="s">
        <v>452</v>
      </c>
      <c r="F165" s="41" t="s">
        <v>453</v>
      </c>
      <c r="G165" s="34" t="s">
        <v>289</v>
      </c>
      <c r="H165" s="34" t="s">
        <v>164</v>
      </c>
      <c r="I165" s="38" t="s">
        <v>4</v>
      </c>
      <c r="J165" s="42">
        <v>4226194</v>
      </c>
      <c r="K165" s="34" t="s">
        <v>26</v>
      </c>
      <c r="L165" s="47" t="s">
        <v>27</v>
      </c>
      <c r="M165" s="34" t="s">
        <v>172</v>
      </c>
      <c r="N165" s="34" t="s">
        <v>552</v>
      </c>
      <c r="O165" s="43">
        <v>44279</v>
      </c>
      <c r="P165" s="43" t="s">
        <v>25</v>
      </c>
      <c r="Q165" s="34" t="s">
        <v>1080</v>
      </c>
      <c r="R165" s="34" t="s">
        <v>901</v>
      </c>
      <c r="S165" s="34"/>
      <c r="T165" t="s">
        <v>1187</v>
      </c>
      <c r="U165">
        <f t="shared" si="2"/>
        <v>3</v>
      </c>
      <c r="V165">
        <f>VLOOKUP(I165,Indicadores!$N$4:$Q$15,4,0)</f>
        <v>329.87</v>
      </c>
    </row>
    <row r="166" spans="1:22">
      <c r="A166" t="s">
        <v>899</v>
      </c>
      <c r="B166" t="s">
        <v>544</v>
      </c>
      <c r="C166" s="41" t="s">
        <v>545</v>
      </c>
      <c r="D166" s="34" t="s">
        <v>546</v>
      </c>
      <c r="E166" t="s">
        <v>452</v>
      </c>
      <c r="F166" s="41" t="s">
        <v>453</v>
      </c>
      <c r="G166" s="34" t="s">
        <v>289</v>
      </c>
      <c r="H166" s="34" t="s">
        <v>164</v>
      </c>
      <c r="I166" s="34" t="s">
        <v>7</v>
      </c>
      <c r="J166" s="42">
        <v>1518973</v>
      </c>
      <c r="K166" s="34" t="s">
        <v>56</v>
      </c>
      <c r="L166" s="34" t="s">
        <v>57</v>
      </c>
      <c r="M166" s="34" t="s">
        <v>172</v>
      </c>
      <c r="N166" s="34" t="s">
        <v>552</v>
      </c>
      <c r="O166" s="43">
        <v>44279</v>
      </c>
      <c r="P166" s="43" t="s">
        <v>25</v>
      </c>
      <c r="Q166" s="34" t="s">
        <v>1081</v>
      </c>
      <c r="R166" s="34" t="s">
        <v>901</v>
      </c>
      <c r="S166" s="34"/>
      <c r="T166" t="s">
        <v>1187</v>
      </c>
      <c r="U166">
        <f t="shared" si="2"/>
        <v>3</v>
      </c>
      <c r="V166">
        <f>VLOOKUP(I166,Indicadores!$N$4:$Q$15,4,0)</f>
        <v>329.87</v>
      </c>
    </row>
    <row r="167" spans="1:22">
      <c r="A167" t="s">
        <v>899</v>
      </c>
      <c r="B167" t="s">
        <v>544</v>
      </c>
      <c r="C167" s="41" t="s">
        <v>545</v>
      </c>
      <c r="D167" s="34" t="s">
        <v>546</v>
      </c>
      <c r="E167" t="s">
        <v>452</v>
      </c>
      <c r="F167" s="41" t="s">
        <v>453</v>
      </c>
      <c r="G167" s="34" t="s">
        <v>289</v>
      </c>
      <c r="H167" s="34" t="s">
        <v>164</v>
      </c>
      <c r="I167" s="34" t="s">
        <v>3</v>
      </c>
      <c r="J167" s="45">
        <v>133510002007</v>
      </c>
      <c r="K167" s="34" t="s">
        <v>21</v>
      </c>
      <c r="L167" s="34" t="s">
        <v>96</v>
      </c>
      <c r="M167" s="34" t="s">
        <v>172</v>
      </c>
      <c r="N167" s="34" t="s">
        <v>552</v>
      </c>
      <c r="O167" s="43">
        <v>44284</v>
      </c>
      <c r="P167" s="43" t="s">
        <v>25</v>
      </c>
      <c r="Q167" s="34" t="s">
        <v>1082</v>
      </c>
      <c r="R167" s="34" t="s">
        <v>901</v>
      </c>
      <c r="S167" s="34"/>
      <c r="T167" t="s">
        <v>1187</v>
      </c>
      <c r="U167">
        <f t="shared" si="2"/>
        <v>3</v>
      </c>
      <c r="V167">
        <f>VLOOKUP(I167,Indicadores!$N$4:$Q$15,4,0)</f>
        <v>552.64</v>
      </c>
    </row>
    <row r="168" spans="1:22">
      <c r="A168" t="s">
        <v>899</v>
      </c>
      <c r="B168" t="s">
        <v>388</v>
      </c>
      <c r="C168" s="56" t="s">
        <v>389</v>
      </c>
      <c r="D168" s="34" t="s">
        <v>390</v>
      </c>
      <c r="E168" t="s">
        <v>391</v>
      </c>
      <c r="F168" s="41" t="s">
        <v>392</v>
      </c>
      <c r="G168" s="34" t="s">
        <v>318</v>
      </c>
      <c r="H168" s="34" t="s">
        <v>138</v>
      </c>
      <c r="I168" s="34" t="s">
        <v>7</v>
      </c>
      <c r="J168" s="42">
        <v>1563933</v>
      </c>
      <c r="K168" s="34" t="s">
        <v>56</v>
      </c>
      <c r="L168" s="34" t="s">
        <v>57</v>
      </c>
      <c r="M168" s="34" t="s">
        <v>139</v>
      </c>
      <c r="N168" s="34" t="s">
        <v>394</v>
      </c>
      <c r="O168" s="43">
        <v>43739</v>
      </c>
      <c r="P168" s="43" t="s">
        <v>46</v>
      </c>
      <c r="Q168" s="34" t="s">
        <v>1083</v>
      </c>
      <c r="R168" s="57" t="s">
        <v>901</v>
      </c>
      <c r="T168" t="s">
        <v>1187</v>
      </c>
      <c r="U168">
        <f t="shared" si="2"/>
        <v>10</v>
      </c>
      <c r="V168">
        <f>VLOOKUP(I168,Indicadores!$N$4:$Q$15,4,0)</f>
        <v>329.87</v>
      </c>
    </row>
    <row r="169" spans="1:22">
      <c r="A169" t="s">
        <v>899</v>
      </c>
      <c r="B169" t="s">
        <v>388</v>
      </c>
      <c r="C169" s="56" t="s">
        <v>389</v>
      </c>
      <c r="D169" s="34" t="s">
        <v>390</v>
      </c>
      <c r="E169" t="s">
        <v>391</v>
      </c>
      <c r="F169" s="41" t="s">
        <v>392</v>
      </c>
      <c r="G169" s="34" t="s">
        <v>318</v>
      </c>
      <c r="H169" s="34" t="s">
        <v>138</v>
      </c>
      <c r="I169" s="34" t="s">
        <v>7</v>
      </c>
      <c r="J169" s="42">
        <v>417246</v>
      </c>
      <c r="K169" s="34" t="s">
        <v>21</v>
      </c>
      <c r="L169" s="34" t="s">
        <v>141</v>
      </c>
      <c r="M169" s="34" t="s">
        <v>139</v>
      </c>
      <c r="N169" s="34" t="s">
        <v>394</v>
      </c>
      <c r="O169" s="43">
        <v>43739</v>
      </c>
      <c r="P169" s="43" t="s">
        <v>46</v>
      </c>
      <c r="Q169" s="34" t="s">
        <v>1084</v>
      </c>
      <c r="R169" s="57" t="s">
        <v>901</v>
      </c>
      <c r="S169" s="34"/>
      <c r="T169" t="s">
        <v>1187</v>
      </c>
      <c r="U169">
        <f t="shared" si="2"/>
        <v>10</v>
      </c>
      <c r="V169">
        <f>VLOOKUP(I169,Indicadores!$N$4:$Q$15,4,0)</f>
        <v>329.87</v>
      </c>
    </row>
    <row r="170" spans="1:22">
      <c r="A170" t="s">
        <v>899</v>
      </c>
      <c r="B170" t="s">
        <v>1085</v>
      </c>
      <c r="C170" s="41" t="s">
        <v>1086</v>
      </c>
      <c r="D170" s="34" t="s">
        <v>1087</v>
      </c>
      <c r="E170" t="s">
        <v>1085</v>
      </c>
      <c r="F170" s="41" t="s">
        <v>1086</v>
      </c>
      <c r="G170" s="34" t="s">
        <v>318</v>
      </c>
      <c r="H170" s="34" t="s">
        <v>156</v>
      </c>
      <c r="I170" s="34" t="s">
        <v>3</v>
      </c>
      <c r="J170" s="42" t="s">
        <v>163</v>
      </c>
      <c r="K170" s="34" t="s">
        <v>21</v>
      </c>
      <c r="L170" s="34" t="s">
        <v>22</v>
      </c>
      <c r="M170" s="34" t="s">
        <v>159</v>
      </c>
      <c r="N170" s="34" t="s">
        <v>468</v>
      </c>
      <c r="O170" s="43">
        <v>43805</v>
      </c>
      <c r="P170" s="43" t="s">
        <v>46</v>
      </c>
      <c r="Q170" s="34" t="s">
        <v>1088</v>
      </c>
      <c r="R170" s="34" t="s">
        <v>901</v>
      </c>
      <c r="S170" s="47"/>
      <c r="T170" t="s">
        <v>1187</v>
      </c>
      <c r="U170">
        <f t="shared" si="2"/>
        <v>12</v>
      </c>
      <c r="V170">
        <f>VLOOKUP(I170,Indicadores!$N$4:$Q$15,4,0)</f>
        <v>552.64</v>
      </c>
    </row>
    <row r="171" spans="1:22">
      <c r="A171" t="s">
        <v>899</v>
      </c>
      <c r="B171" t="s">
        <v>391</v>
      </c>
      <c r="C171" s="41" t="s">
        <v>392</v>
      </c>
      <c r="D171" s="34" t="s">
        <v>403</v>
      </c>
      <c r="E171" t="s">
        <v>391</v>
      </c>
      <c r="F171" s="41" t="s">
        <v>392</v>
      </c>
      <c r="G171" s="34" t="s">
        <v>318</v>
      </c>
      <c r="H171" s="47" t="s">
        <v>156</v>
      </c>
      <c r="I171" s="38" t="s">
        <v>835</v>
      </c>
      <c r="J171" s="42">
        <v>6263667</v>
      </c>
      <c r="K171" s="34" t="s">
        <v>26</v>
      </c>
      <c r="L171" s="34" t="s">
        <v>84</v>
      </c>
      <c r="M171" s="34" t="s">
        <v>157</v>
      </c>
      <c r="N171" s="34" t="s">
        <v>405</v>
      </c>
      <c r="O171" s="43">
        <v>43888</v>
      </c>
      <c r="P171" s="43" t="s">
        <v>46</v>
      </c>
      <c r="Q171" s="34" t="s">
        <v>1089</v>
      </c>
      <c r="R171" s="34" t="s">
        <v>901</v>
      </c>
      <c r="S171" s="58"/>
      <c r="T171" t="s">
        <v>1187</v>
      </c>
      <c r="U171">
        <f t="shared" si="2"/>
        <v>2</v>
      </c>
      <c r="V171">
        <f>VLOOKUP(I171,Indicadores!$N$4:$Q$15,4,0)</f>
        <v>546.79</v>
      </c>
    </row>
    <row r="172" spans="1:22">
      <c r="A172" s="49" t="s">
        <v>899</v>
      </c>
      <c r="B172" s="49" t="s">
        <v>469</v>
      </c>
      <c r="C172" s="41" t="s">
        <v>470</v>
      </c>
      <c r="D172" s="34" t="s">
        <v>471</v>
      </c>
      <c r="E172" t="s">
        <v>391</v>
      </c>
      <c r="F172" s="41" t="s">
        <v>392</v>
      </c>
      <c r="G172" s="34" t="s">
        <v>318</v>
      </c>
      <c r="H172" s="34" t="s">
        <v>195</v>
      </c>
      <c r="I172" s="47" t="s">
        <v>3</v>
      </c>
      <c r="J172" s="42" t="s">
        <v>199</v>
      </c>
      <c r="K172" s="34" t="s">
        <v>21</v>
      </c>
      <c r="L172" s="34" t="s">
        <v>22</v>
      </c>
      <c r="M172" s="47" t="s">
        <v>200</v>
      </c>
      <c r="N172" s="47" t="s">
        <v>472</v>
      </c>
      <c r="O172" s="43">
        <v>43999</v>
      </c>
      <c r="P172" s="43" t="s">
        <v>25</v>
      </c>
      <c r="Q172" s="34" t="s">
        <v>1090</v>
      </c>
      <c r="R172" s="34" t="s">
        <v>901</v>
      </c>
      <c r="S172" s="47"/>
      <c r="T172" t="s">
        <v>1187</v>
      </c>
      <c r="U172">
        <f t="shared" si="2"/>
        <v>6</v>
      </c>
      <c r="V172">
        <f>VLOOKUP(I172,Indicadores!$N$4:$Q$15,4,0)</f>
        <v>552.64</v>
      </c>
    </row>
    <row r="173" spans="1:22">
      <c r="A173" t="s">
        <v>899</v>
      </c>
      <c r="B173" t="s">
        <v>469</v>
      </c>
      <c r="C173" s="41" t="s">
        <v>470</v>
      </c>
      <c r="D173" s="34" t="s">
        <v>471</v>
      </c>
      <c r="E173" t="s">
        <v>391</v>
      </c>
      <c r="F173" s="41" t="s">
        <v>392</v>
      </c>
      <c r="G173" s="34" t="s">
        <v>318</v>
      </c>
      <c r="H173" s="34" t="s">
        <v>195</v>
      </c>
      <c r="I173" s="34" t="s">
        <v>3</v>
      </c>
      <c r="J173" s="45">
        <v>192330001025</v>
      </c>
      <c r="K173" s="34" t="s">
        <v>21</v>
      </c>
      <c r="L173" s="34" t="s">
        <v>96</v>
      </c>
      <c r="M173" s="47" t="s">
        <v>200</v>
      </c>
      <c r="N173" s="34" t="s">
        <v>472</v>
      </c>
      <c r="O173" s="43">
        <v>43999</v>
      </c>
      <c r="P173" s="43" t="s">
        <v>25</v>
      </c>
      <c r="Q173" s="34" t="s">
        <v>1091</v>
      </c>
      <c r="R173" s="34" t="s">
        <v>901</v>
      </c>
      <c r="S173" s="34"/>
      <c r="T173" t="s">
        <v>1187</v>
      </c>
      <c r="U173">
        <f t="shared" si="2"/>
        <v>6</v>
      </c>
      <c r="V173">
        <f>VLOOKUP(I173,Indicadores!$N$4:$Q$15,4,0)</f>
        <v>552.64</v>
      </c>
    </row>
    <row r="174" spans="1:22">
      <c r="A174" t="s">
        <v>899</v>
      </c>
      <c r="B174" t="s">
        <v>469</v>
      </c>
      <c r="C174" s="41" t="s">
        <v>470</v>
      </c>
      <c r="D174" s="34" t="s">
        <v>471</v>
      </c>
      <c r="E174" t="s">
        <v>391</v>
      </c>
      <c r="F174" s="41" t="s">
        <v>392</v>
      </c>
      <c r="G174" s="34" t="s">
        <v>318</v>
      </c>
      <c r="H174" s="34" t="s">
        <v>195</v>
      </c>
      <c r="I174" s="38" t="s">
        <v>835</v>
      </c>
      <c r="J174" s="45">
        <v>4212780</v>
      </c>
      <c r="K174" s="34" t="s">
        <v>26</v>
      </c>
      <c r="L174" s="34" t="s">
        <v>84</v>
      </c>
      <c r="M174" s="47" t="s">
        <v>200</v>
      </c>
      <c r="N174" s="34" t="s">
        <v>472</v>
      </c>
      <c r="O174" s="43">
        <v>43999</v>
      </c>
      <c r="P174" s="43" t="s">
        <v>25</v>
      </c>
      <c r="Q174" s="34" t="s">
        <v>1092</v>
      </c>
      <c r="R174" s="34" t="s">
        <v>901</v>
      </c>
      <c r="S174" s="34"/>
      <c r="T174" t="s">
        <v>1187</v>
      </c>
      <c r="U174">
        <f t="shared" si="2"/>
        <v>6</v>
      </c>
      <c r="V174">
        <f>VLOOKUP(I174,Indicadores!$N$4:$Q$15,4,0)</f>
        <v>546.79</v>
      </c>
    </row>
    <row r="175" spans="1:22">
      <c r="A175" t="s">
        <v>899</v>
      </c>
      <c r="B175" t="s">
        <v>469</v>
      </c>
      <c r="C175" s="41" t="s">
        <v>470</v>
      </c>
      <c r="D175" s="34" t="s">
        <v>471</v>
      </c>
      <c r="E175" t="s">
        <v>391</v>
      </c>
      <c r="F175" s="41" t="s">
        <v>392</v>
      </c>
      <c r="G175" s="34" t="s">
        <v>318</v>
      </c>
      <c r="H175" s="34" t="s">
        <v>195</v>
      </c>
      <c r="I175" s="38" t="s">
        <v>835</v>
      </c>
      <c r="J175" s="45">
        <v>6253769</v>
      </c>
      <c r="K175" s="34" t="s">
        <v>26</v>
      </c>
      <c r="L175" s="34" t="s">
        <v>84</v>
      </c>
      <c r="M175" s="47" t="s">
        <v>200</v>
      </c>
      <c r="N175" s="34" t="s">
        <v>472</v>
      </c>
      <c r="O175" s="43">
        <v>43999</v>
      </c>
      <c r="P175" s="43" t="s">
        <v>25</v>
      </c>
      <c r="Q175" s="34" t="s">
        <v>1093</v>
      </c>
      <c r="R175" s="34" t="s">
        <v>901</v>
      </c>
      <c r="S175" s="34"/>
      <c r="T175" t="s">
        <v>1187</v>
      </c>
      <c r="U175">
        <f t="shared" si="2"/>
        <v>6</v>
      </c>
      <c r="V175">
        <f>VLOOKUP(I175,Indicadores!$N$4:$Q$15,4,0)</f>
        <v>546.79</v>
      </c>
    </row>
    <row r="176" spans="1:22">
      <c r="A176" t="s">
        <v>899</v>
      </c>
      <c r="B176" t="s">
        <v>469</v>
      </c>
      <c r="C176" s="41" t="s">
        <v>470</v>
      </c>
      <c r="D176" s="34" t="s">
        <v>471</v>
      </c>
      <c r="E176" t="s">
        <v>391</v>
      </c>
      <c r="F176" s="41" t="s">
        <v>392</v>
      </c>
      <c r="G176" s="34" t="s">
        <v>318</v>
      </c>
      <c r="H176" s="34" t="s">
        <v>195</v>
      </c>
      <c r="I176" s="38" t="s">
        <v>835</v>
      </c>
      <c r="J176" s="45">
        <v>6251804</v>
      </c>
      <c r="K176" s="34" t="s">
        <v>26</v>
      </c>
      <c r="L176" s="34" t="s">
        <v>84</v>
      </c>
      <c r="M176" s="47" t="s">
        <v>200</v>
      </c>
      <c r="N176" s="34" t="s">
        <v>472</v>
      </c>
      <c r="O176" s="43">
        <v>43999</v>
      </c>
      <c r="P176" s="43" t="s">
        <v>25</v>
      </c>
      <c r="Q176" s="34" t="s">
        <v>1094</v>
      </c>
      <c r="R176" s="34" t="s">
        <v>901</v>
      </c>
      <c r="S176" s="34"/>
      <c r="T176" t="s">
        <v>1187</v>
      </c>
      <c r="U176">
        <f t="shared" si="2"/>
        <v>6</v>
      </c>
      <c r="V176">
        <f>VLOOKUP(I176,Indicadores!$N$4:$Q$15,4,0)</f>
        <v>546.79</v>
      </c>
    </row>
    <row r="177" spans="1:22">
      <c r="A177" t="s">
        <v>899</v>
      </c>
      <c r="B177" t="s">
        <v>469</v>
      </c>
      <c r="C177" s="41" t="s">
        <v>470</v>
      </c>
      <c r="D177" s="34" t="s">
        <v>471</v>
      </c>
      <c r="E177" t="s">
        <v>391</v>
      </c>
      <c r="F177" s="41" t="s">
        <v>392</v>
      </c>
      <c r="G177" s="34" t="s">
        <v>318</v>
      </c>
      <c r="H177" s="34" t="s">
        <v>195</v>
      </c>
      <c r="I177" s="38" t="s">
        <v>835</v>
      </c>
      <c r="J177" s="45">
        <v>6247091</v>
      </c>
      <c r="K177" s="34" t="s">
        <v>26</v>
      </c>
      <c r="L177" s="34" t="s">
        <v>84</v>
      </c>
      <c r="M177" s="47" t="s">
        <v>200</v>
      </c>
      <c r="N177" s="34" t="s">
        <v>472</v>
      </c>
      <c r="O177" s="43">
        <v>43999</v>
      </c>
      <c r="P177" s="43" t="s">
        <v>25</v>
      </c>
      <c r="Q177" s="34" t="s">
        <v>1095</v>
      </c>
      <c r="R177" s="34" t="s">
        <v>901</v>
      </c>
      <c r="S177" s="34"/>
      <c r="T177" t="s">
        <v>1187</v>
      </c>
      <c r="U177">
        <f t="shared" si="2"/>
        <v>6</v>
      </c>
      <c r="V177">
        <f>VLOOKUP(I177,Indicadores!$N$4:$Q$15,4,0)</f>
        <v>546.79</v>
      </c>
    </row>
    <row r="178" spans="1:22">
      <c r="A178" t="s">
        <v>899</v>
      </c>
      <c r="B178" t="s">
        <v>469</v>
      </c>
      <c r="C178" s="41" t="s">
        <v>470</v>
      </c>
      <c r="D178" s="34" t="s">
        <v>471</v>
      </c>
      <c r="E178" t="s">
        <v>391</v>
      </c>
      <c r="F178" s="41" t="s">
        <v>392</v>
      </c>
      <c r="G178" s="34" t="s">
        <v>318</v>
      </c>
      <c r="H178" s="34" t="s">
        <v>195</v>
      </c>
      <c r="I178" s="38" t="s">
        <v>835</v>
      </c>
      <c r="J178" s="45">
        <v>6258650</v>
      </c>
      <c r="K178" s="34" t="s">
        <v>26</v>
      </c>
      <c r="L178" s="34" t="s">
        <v>84</v>
      </c>
      <c r="M178" s="47" t="s">
        <v>200</v>
      </c>
      <c r="N178" s="34" t="s">
        <v>472</v>
      </c>
      <c r="O178" s="43">
        <v>43999</v>
      </c>
      <c r="P178" s="43" t="s">
        <v>25</v>
      </c>
      <c r="Q178" s="34" t="s">
        <v>1096</v>
      </c>
      <c r="R178" s="34" t="s">
        <v>901</v>
      </c>
      <c r="S178" s="34"/>
      <c r="T178" t="s">
        <v>1187</v>
      </c>
      <c r="U178">
        <f t="shared" si="2"/>
        <v>6</v>
      </c>
      <c r="V178">
        <f>VLOOKUP(I178,Indicadores!$N$4:$Q$15,4,0)</f>
        <v>546.79</v>
      </c>
    </row>
    <row r="179" spans="1:22">
      <c r="A179" t="s">
        <v>899</v>
      </c>
      <c r="B179" t="s">
        <v>469</v>
      </c>
      <c r="C179" s="41" t="s">
        <v>470</v>
      </c>
      <c r="D179" s="34" t="s">
        <v>471</v>
      </c>
      <c r="E179" t="s">
        <v>391</v>
      </c>
      <c r="F179" s="41" t="s">
        <v>392</v>
      </c>
      <c r="G179" s="34" t="s">
        <v>318</v>
      </c>
      <c r="H179" s="34" t="s">
        <v>195</v>
      </c>
      <c r="I179" s="38" t="s">
        <v>835</v>
      </c>
      <c r="J179" s="45">
        <v>6247093</v>
      </c>
      <c r="K179" s="34" t="s">
        <v>26</v>
      </c>
      <c r="L179" s="34" t="s">
        <v>84</v>
      </c>
      <c r="M179" s="47" t="s">
        <v>200</v>
      </c>
      <c r="N179" s="34" t="s">
        <v>472</v>
      </c>
      <c r="O179" s="43">
        <v>43999</v>
      </c>
      <c r="P179" s="43" t="s">
        <v>25</v>
      </c>
      <c r="Q179" s="34" t="s">
        <v>1097</v>
      </c>
      <c r="R179" s="34" t="s">
        <v>901</v>
      </c>
      <c r="S179" s="34"/>
      <c r="T179" t="s">
        <v>1187</v>
      </c>
      <c r="U179">
        <f t="shared" si="2"/>
        <v>6</v>
      </c>
      <c r="V179">
        <f>VLOOKUP(I179,Indicadores!$N$4:$Q$15,4,0)</f>
        <v>546.79</v>
      </c>
    </row>
    <row r="180" spans="1:22">
      <c r="A180" t="s">
        <v>899</v>
      </c>
      <c r="B180" t="s">
        <v>469</v>
      </c>
      <c r="C180" s="41" t="s">
        <v>470</v>
      </c>
      <c r="D180" s="34" t="s">
        <v>471</v>
      </c>
      <c r="E180" t="s">
        <v>391</v>
      </c>
      <c r="F180" s="41" t="s">
        <v>392</v>
      </c>
      <c r="G180" s="34" t="s">
        <v>318</v>
      </c>
      <c r="H180" s="34" t="s">
        <v>195</v>
      </c>
      <c r="I180" s="38" t="s">
        <v>835</v>
      </c>
      <c r="J180" s="45">
        <v>6247088</v>
      </c>
      <c r="K180" s="34" t="s">
        <v>26</v>
      </c>
      <c r="L180" s="34" t="s">
        <v>84</v>
      </c>
      <c r="M180" s="47" t="s">
        <v>200</v>
      </c>
      <c r="N180" s="34" t="s">
        <v>472</v>
      </c>
      <c r="O180" s="43">
        <v>43999</v>
      </c>
      <c r="P180" s="43" t="s">
        <v>25</v>
      </c>
      <c r="Q180" s="34" t="s">
        <v>1098</v>
      </c>
      <c r="R180" s="34" t="s">
        <v>901</v>
      </c>
      <c r="S180" s="34"/>
      <c r="T180" t="s">
        <v>1187</v>
      </c>
      <c r="U180">
        <f t="shared" si="2"/>
        <v>6</v>
      </c>
      <c r="V180">
        <f>VLOOKUP(I180,Indicadores!$N$4:$Q$15,4,0)</f>
        <v>546.79</v>
      </c>
    </row>
    <row r="181" spans="1:22">
      <c r="A181" t="s">
        <v>899</v>
      </c>
      <c r="B181" t="s">
        <v>391</v>
      </c>
      <c r="C181" s="41" t="s">
        <v>392</v>
      </c>
      <c r="D181" s="34" t="s">
        <v>403</v>
      </c>
      <c r="E181" t="s">
        <v>391</v>
      </c>
      <c r="F181" s="41" t="s">
        <v>392</v>
      </c>
      <c r="G181" s="34" t="s">
        <v>318</v>
      </c>
      <c r="H181" s="47" t="s">
        <v>156</v>
      </c>
      <c r="I181" s="34" t="s">
        <v>5</v>
      </c>
      <c r="J181" s="45">
        <v>150750001006</v>
      </c>
      <c r="K181" s="34" t="s">
        <v>21</v>
      </c>
      <c r="L181" s="47" t="s">
        <v>80</v>
      </c>
      <c r="M181" s="34" t="s">
        <v>157</v>
      </c>
      <c r="N181" s="34" t="s">
        <v>405</v>
      </c>
      <c r="O181" s="43">
        <v>44019</v>
      </c>
      <c r="P181" s="43" t="s">
        <v>25</v>
      </c>
      <c r="Q181" s="34" t="s">
        <v>1099</v>
      </c>
      <c r="R181" s="34" t="s">
        <v>901</v>
      </c>
      <c r="S181" s="34"/>
      <c r="T181" t="s">
        <v>1187</v>
      </c>
      <c r="U181">
        <f t="shared" si="2"/>
        <v>7</v>
      </c>
      <c r="V181">
        <f>VLOOKUP(I181,Indicadores!$N$4:$Q$15,4,0)</f>
        <v>895.23</v>
      </c>
    </row>
    <row r="182" spans="1:22">
      <c r="A182" t="s">
        <v>899</v>
      </c>
      <c r="B182" t="s">
        <v>391</v>
      </c>
      <c r="C182" s="41" t="s">
        <v>392</v>
      </c>
      <c r="D182" s="34" t="s">
        <v>403</v>
      </c>
      <c r="E182" t="s">
        <v>391</v>
      </c>
      <c r="F182" s="41" t="s">
        <v>392</v>
      </c>
      <c r="G182" s="34" t="s">
        <v>318</v>
      </c>
      <c r="H182" s="47" t="s">
        <v>156</v>
      </c>
      <c r="I182" s="34" t="s">
        <v>5</v>
      </c>
      <c r="J182" s="45">
        <v>150700001005</v>
      </c>
      <c r="K182" s="34" t="s">
        <v>21</v>
      </c>
      <c r="L182" s="34" t="s">
        <v>80</v>
      </c>
      <c r="M182" s="34" t="s">
        <v>157</v>
      </c>
      <c r="N182" s="34" t="s">
        <v>405</v>
      </c>
      <c r="O182" s="43">
        <v>44019</v>
      </c>
      <c r="P182" s="43" t="s">
        <v>25</v>
      </c>
      <c r="Q182" s="34" t="s">
        <v>1100</v>
      </c>
      <c r="R182" s="34" t="s">
        <v>901</v>
      </c>
      <c r="S182" s="34"/>
      <c r="T182" t="s">
        <v>1187</v>
      </c>
      <c r="U182">
        <f t="shared" si="2"/>
        <v>7</v>
      </c>
      <c r="V182">
        <f>VLOOKUP(I182,Indicadores!$N$4:$Q$15,4,0)</f>
        <v>895.23</v>
      </c>
    </row>
    <row r="183" spans="1:22">
      <c r="A183" t="s">
        <v>899</v>
      </c>
      <c r="B183" t="s">
        <v>391</v>
      </c>
      <c r="C183" s="41" t="s">
        <v>392</v>
      </c>
      <c r="D183" s="34" t="s">
        <v>403</v>
      </c>
      <c r="E183" t="s">
        <v>391</v>
      </c>
      <c r="F183" s="41" t="s">
        <v>392</v>
      </c>
      <c r="G183" s="34" t="s">
        <v>318</v>
      </c>
      <c r="H183" s="47" t="s">
        <v>156</v>
      </c>
      <c r="I183" s="34" t="s">
        <v>5</v>
      </c>
      <c r="J183" s="45">
        <v>1483375</v>
      </c>
      <c r="K183" s="34" t="s">
        <v>21</v>
      </c>
      <c r="L183" s="34" t="s">
        <v>78</v>
      </c>
      <c r="M183" s="34" t="s">
        <v>157</v>
      </c>
      <c r="N183" s="34" t="s">
        <v>405</v>
      </c>
      <c r="O183" s="43">
        <v>44019</v>
      </c>
      <c r="P183" s="43" t="s">
        <v>25</v>
      </c>
      <c r="Q183" s="34" t="s">
        <v>1101</v>
      </c>
      <c r="R183" s="34" t="s">
        <v>901</v>
      </c>
      <c r="S183" s="34"/>
      <c r="T183" t="s">
        <v>1187</v>
      </c>
      <c r="U183">
        <f t="shared" si="2"/>
        <v>7</v>
      </c>
      <c r="V183">
        <f>VLOOKUP(I183,Indicadores!$N$4:$Q$15,4,0)</f>
        <v>895.23</v>
      </c>
    </row>
    <row r="184" spans="1:22">
      <c r="A184" t="s">
        <v>899</v>
      </c>
      <c r="B184" t="s">
        <v>391</v>
      </c>
      <c r="C184" s="41" t="s">
        <v>392</v>
      </c>
      <c r="D184" s="34" t="s">
        <v>403</v>
      </c>
      <c r="E184" t="s">
        <v>391</v>
      </c>
      <c r="F184" s="41" t="s">
        <v>392</v>
      </c>
      <c r="G184" s="34" t="s">
        <v>318</v>
      </c>
      <c r="H184" s="47" t="s">
        <v>156</v>
      </c>
      <c r="I184" s="38" t="s">
        <v>835</v>
      </c>
      <c r="J184" s="42">
        <v>6252724</v>
      </c>
      <c r="K184" s="34" t="s">
        <v>26</v>
      </c>
      <c r="L184" s="47" t="s">
        <v>84</v>
      </c>
      <c r="M184" s="34" t="s">
        <v>157</v>
      </c>
      <c r="N184" s="34" t="s">
        <v>405</v>
      </c>
      <c r="O184" s="43">
        <v>44019</v>
      </c>
      <c r="P184" s="43" t="s">
        <v>25</v>
      </c>
      <c r="Q184" s="34" t="s">
        <v>1102</v>
      </c>
      <c r="R184" s="34" t="s">
        <v>901</v>
      </c>
      <c r="S184" s="34"/>
      <c r="T184" t="s">
        <v>1187</v>
      </c>
      <c r="U184">
        <f t="shared" si="2"/>
        <v>7</v>
      </c>
      <c r="V184">
        <f>VLOOKUP(I184,Indicadores!$N$4:$Q$15,4,0)</f>
        <v>546.79</v>
      </c>
    </row>
    <row r="185" spans="1:22">
      <c r="A185" t="s">
        <v>899</v>
      </c>
      <c r="B185" t="s">
        <v>391</v>
      </c>
      <c r="C185" s="41" t="s">
        <v>392</v>
      </c>
      <c r="D185" s="34" t="s">
        <v>403</v>
      </c>
      <c r="E185" t="s">
        <v>391</v>
      </c>
      <c r="F185" s="41" t="s">
        <v>392</v>
      </c>
      <c r="G185" s="34" t="s">
        <v>318</v>
      </c>
      <c r="H185" s="34" t="s">
        <v>156</v>
      </c>
      <c r="I185" s="34" t="s">
        <v>9</v>
      </c>
      <c r="J185" s="42" t="s">
        <v>158</v>
      </c>
      <c r="K185" s="34" t="s">
        <v>21</v>
      </c>
      <c r="L185" s="34" t="s">
        <v>29</v>
      </c>
      <c r="M185" s="34" t="s">
        <v>157</v>
      </c>
      <c r="N185" s="34" t="s">
        <v>405</v>
      </c>
      <c r="O185" s="43">
        <v>44019</v>
      </c>
      <c r="P185" s="43" t="s">
        <v>25</v>
      </c>
      <c r="Q185" s="34" t="s">
        <v>1103</v>
      </c>
      <c r="R185" s="34" t="s">
        <v>901</v>
      </c>
      <c r="S185" s="34"/>
      <c r="T185" t="s">
        <v>1187</v>
      </c>
      <c r="U185">
        <f t="shared" si="2"/>
        <v>7</v>
      </c>
      <c r="V185">
        <f>VLOOKUP(I185,Indicadores!$N$4:$Q$15,4,0)</f>
        <v>521.79999999999995</v>
      </c>
    </row>
    <row r="186" spans="1:22">
      <c r="A186" t="s">
        <v>899</v>
      </c>
      <c r="B186" t="s">
        <v>391</v>
      </c>
      <c r="C186" s="41" t="s">
        <v>392</v>
      </c>
      <c r="D186" s="34" t="s">
        <v>403</v>
      </c>
      <c r="E186" t="s">
        <v>391</v>
      </c>
      <c r="F186" s="41" t="s">
        <v>392</v>
      </c>
      <c r="G186" s="34" t="s">
        <v>318</v>
      </c>
      <c r="H186" s="34" t="s">
        <v>156</v>
      </c>
      <c r="I186" s="34" t="s">
        <v>9</v>
      </c>
      <c r="J186" s="42">
        <v>4220749</v>
      </c>
      <c r="K186" s="34" t="s">
        <v>26</v>
      </c>
      <c r="L186" s="34" t="s">
        <v>27</v>
      </c>
      <c r="M186" s="34" t="s">
        <v>157</v>
      </c>
      <c r="N186" s="34" t="s">
        <v>405</v>
      </c>
      <c r="O186" s="43">
        <v>44019</v>
      </c>
      <c r="P186" s="43" t="s">
        <v>25</v>
      </c>
      <c r="Q186" s="34" t="s">
        <v>1104</v>
      </c>
      <c r="R186" s="34" t="s">
        <v>901</v>
      </c>
      <c r="S186" s="34"/>
      <c r="T186" t="s">
        <v>1187</v>
      </c>
      <c r="U186">
        <f t="shared" si="2"/>
        <v>7</v>
      </c>
      <c r="V186">
        <f>VLOOKUP(I186,Indicadores!$N$4:$Q$15,4,0)</f>
        <v>521.79999999999995</v>
      </c>
    </row>
    <row r="187" spans="1:22">
      <c r="A187" t="s">
        <v>899</v>
      </c>
      <c r="B187" t="s">
        <v>391</v>
      </c>
      <c r="C187" s="41" t="s">
        <v>392</v>
      </c>
      <c r="D187" s="34" t="s">
        <v>403</v>
      </c>
      <c r="E187" t="s">
        <v>391</v>
      </c>
      <c r="F187" s="41" t="s">
        <v>392</v>
      </c>
      <c r="G187" s="34" t="s">
        <v>318</v>
      </c>
      <c r="H187" s="34" t="s">
        <v>156</v>
      </c>
      <c r="I187" s="34" t="s">
        <v>3</v>
      </c>
      <c r="J187" s="45">
        <v>182180001013</v>
      </c>
      <c r="K187" s="34" t="s">
        <v>21</v>
      </c>
      <c r="L187" s="34" t="s">
        <v>96</v>
      </c>
      <c r="M187" s="34" t="s">
        <v>157</v>
      </c>
      <c r="N187" s="34" t="s">
        <v>405</v>
      </c>
      <c r="O187" s="43">
        <v>44021</v>
      </c>
      <c r="P187" s="43" t="s">
        <v>25</v>
      </c>
      <c r="Q187" s="34" t="s">
        <v>1105</v>
      </c>
      <c r="R187" s="34" t="s">
        <v>901</v>
      </c>
      <c r="S187" s="34"/>
      <c r="T187" t="s">
        <v>1187</v>
      </c>
      <c r="U187">
        <f t="shared" si="2"/>
        <v>7</v>
      </c>
      <c r="V187">
        <f>VLOOKUP(I187,Indicadores!$N$4:$Q$15,4,0)</f>
        <v>552.64</v>
      </c>
    </row>
    <row r="188" spans="1:22">
      <c r="A188" t="s">
        <v>899</v>
      </c>
      <c r="B188" t="s">
        <v>391</v>
      </c>
      <c r="C188" s="41" t="s">
        <v>392</v>
      </c>
      <c r="D188" s="34" t="s">
        <v>403</v>
      </c>
      <c r="E188" t="s">
        <v>391</v>
      </c>
      <c r="F188" s="41" t="s">
        <v>392</v>
      </c>
      <c r="G188" s="34" t="s">
        <v>318</v>
      </c>
      <c r="H188" s="47" t="s">
        <v>156</v>
      </c>
      <c r="I188" s="38" t="s">
        <v>835</v>
      </c>
      <c r="J188" s="42">
        <v>6264737</v>
      </c>
      <c r="K188" s="34" t="s">
        <v>26</v>
      </c>
      <c r="L188" s="47" t="s">
        <v>84</v>
      </c>
      <c r="M188" s="34" t="s">
        <v>157</v>
      </c>
      <c r="N188" s="34" t="s">
        <v>405</v>
      </c>
      <c r="O188" s="43">
        <v>44021</v>
      </c>
      <c r="P188" s="43" t="s">
        <v>25</v>
      </c>
      <c r="Q188" s="34" t="s">
        <v>1106</v>
      </c>
      <c r="R188" s="34" t="s">
        <v>901</v>
      </c>
      <c r="S188" s="34"/>
      <c r="T188" t="s">
        <v>1187</v>
      </c>
      <c r="U188">
        <f t="shared" si="2"/>
        <v>7</v>
      </c>
      <c r="V188">
        <f>VLOOKUP(I188,Indicadores!$N$4:$Q$15,4,0)</f>
        <v>546.79</v>
      </c>
    </row>
    <row r="189" spans="1:22">
      <c r="A189" t="s">
        <v>899</v>
      </c>
      <c r="B189" t="s">
        <v>1085</v>
      </c>
      <c r="C189" s="41" t="s">
        <v>1086</v>
      </c>
      <c r="D189" s="34" t="s">
        <v>1087</v>
      </c>
      <c r="E189" t="s">
        <v>1085</v>
      </c>
      <c r="F189" s="41" t="s">
        <v>1086</v>
      </c>
      <c r="G189" s="34" t="s">
        <v>318</v>
      </c>
      <c r="H189" s="34" t="s">
        <v>156</v>
      </c>
      <c r="I189" s="34" t="s">
        <v>3</v>
      </c>
      <c r="J189" s="45">
        <v>182190001001</v>
      </c>
      <c r="K189" s="34" t="s">
        <v>21</v>
      </c>
      <c r="L189" s="34" t="s">
        <v>96</v>
      </c>
      <c r="M189" s="34" t="s">
        <v>159</v>
      </c>
      <c r="N189" s="34" t="s">
        <v>468</v>
      </c>
      <c r="O189" s="43">
        <v>44022</v>
      </c>
      <c r="P189" s="43" t="s">
        <v>25</v>
      </c>
      <c r="Q189" s="34" t="s">
        <v>1107</v>
      </c>
      <c r="R189" s="34" t="s">
        <v>901</v>
      </c>
      <c r="S189" s="47"/>
      <c r="T189" t="s">
        <v>1187</v>
      </c>
      <c r="U189">
        <f t="shared" si="2"/>
        <v>7</v>
      </c>
      <c r="V189">
        <f>VLOOKUP(I189,Indicadores!$N$4:$Q$15,4,0)</f>
        <v>552.64</v>
      </c>
    </row>
    <row r="190" spans="1:22">
      <c r="A190" t="s">
        <v>899</v>
      </c>
      <c r="B190" t="s">
        <v>1085</v>
      </c>
      <c r="C190" s="41" t="s">
        <v>1086</v>
      </c>
      <c r="D190" s="34" t="s">
        <v>1087</v>
      </c>
      <c r="E190" t="s">
        <v>1085</v>
      </c>
      <c r="F190" s="41" t="s">
        <v>1086</v>
      </c>
      <c r="G190" s="34" t="s">
        <v>318</v>
      </c>
      <c r="H190" s="34" t="s">
        <v>156</v>
      </c>
      <c r="I190" s="38" t="s">
        <v>4</v>
      </c>
      <c r="J190" s="45">
        <v>17121575001016</v>
      </c>
      <c r="K190" s="34" t="s">
        <v>100</v>
      </c>
      <c r="L190" s="34" t="s">
        <v>104</v>
      </c>
      <c r="M190" s="34" t="s">
        <v>159</v>
      </c>
      <c r="N190" s="34" t="s">
        <v>468</v>
      </c>
      <c r="O190" s="43">
        <v>44022</v>
      </c>
      <c r="P190" s="43" t="s">
        <v>25</v>
      </c>
      <c r="Q190" s="34" t="s">
        <v>1108</v>
      </c>
      <c r="R190" s="34" t="s">
        <v>901</v>
      </c>
      <c r="S190" s="47"/>
      <c r="T190" t="s">
        <v>1187</v>
      </c>
      <c r="U190">
        <f t="shared" si="2"/>
        <v>7</v>
      </c>
      <c r="V190">
        <f>VLOOKUP(I190,Indicadores!$N$4:$Q$15,4,0)</f>
        <v>329.87</v>
      </c>
    </row>
    <row r="191" spans="1:22">
      <c r="A191" t="s">
        <v>899</v>
      </c>
      <c r="B191" t="s">
        <v>1085</v>
      </c>
      <c r="C191" s="41" t="s">
        <v>1086</v>
      </c>
      <c r="D191" s="34" t="s">
        <v>1087</v>
      </c>
      <c r="E191" t="s">
        <v>1085</v>
      </c>
      <c r="F191" s="41" t="s">
        <v>1086</v>
      </c>
      <c r="G191" s="34" t="s">
        <v>318</v>
      </c>
      <c r="H191" s="34" t="s">
        <v>156</v>
      </c>
      <c r="I191" s="38" t="s">
        <v>835</v>
      </c>
      <c r="J191" s="42">
        <v>6247637</v>
      </c>
      <c r="K191" s="34" t="s">
        <v>26</v>
      </c>
      <c r="L191" s="34" t="s">
        <v>84</v>
      </c>
      <c r="M191" s="34" t="s">
        <v>159</v>
      </c>
      <c r="N191" s="34" t="s">
        <v>468</v>
      </c>
      <c r="O191" s="43">
        <v>44022</v>
      </c>
      <c r="P191" s="43" t="s">
        <v>25</v>
      </c>
      <c r="Q191" s="34" t="s">
        <v>1109</v>
      </c>
      <c r="R191" s="34" t="s">
        <v>901</v>
      </c>
      <c r="S191" s="47"/>
      <c r="T191" t="s">
        <v>1187</v>
      </c>
      <c r="U191">
        <f t="shared" si="2"/>
        <v>7</v>
      </c>
      <c r="V191">
        <f>VLOOKUP(I191,Indicadores!$N$4:$Q$15,4,0)</f>
        <v>546.79</v>
      </c>
    </row>
    <row r="192" spans="1:22">
      <c r="A192" t="s">
        <v>899</v>
      </c>
      <c r="B192" t="s">
        <v>1085</v>
      </c>
      <c r="C192" s="41" t="s">
        <v>1086</v>
      </c>
      <c r="D192" s="34" t="s">
        <v>1087</v>
      </c>
      <c r="E192" t="s">
        <v>1085</v>
      </c>
      <c r="F192" s="41" t="s">
        <v>1086</v>
      </c>
      <c r="G192" s="34" t="s">
        <v>318</v>
      </c>
      <c r="H192" s="34" t="s">
        <v>156</v>
      </c>
      <c r="I192" s="38" t="s">
        <v>835</v>
      </c>
      <c r="J192" s="42" t="s">
        <v>161</v>
      </c>
      <c r="K192" s="34" t="s">
        <v>100</v>
      </c>
      <c r="L192" s="34" t="s">
        <v>101</v>
      </c>
      <c r="M192" s="34" t="s">
        <v>159</v>
      </c>
      <c r="N192" s="34" t="s">
        <v>468</v>
      </c>
      <c r="O192" s="43">
        <v>44022</v>
      </c>
      <c r="P192" s="43" t="s">
        <v>25</v>
      </c>
      <c r="Q192" s="34" t="s">
        <v>1110</v>
      </c>
      <c r="R192" s="34" t="s">
        <v>901</v>
      </c>
      <c r="S192" s="47"/>
      <c r="T192" t="s">
        <v>1187</v>
      </c>
      <c r="U192">
        <f t="shared" si="2"/>
        <v>7</v>
      </c>
      <c r="V192">
        <f>VLOOKUP(I192,Indicadores!$N$4:$Q$15,4,0)</f>
        <v>546.79</v>
      </c>
    </row>
    <row r="193" spans="1:22">
      <c r="A193" t="s">
        <v>899</v>
      </c>
      <c r="B193" t="s">
        <v>313</v>
      </c>
      <c r="C193" s="41" t="s">
        <v>314</v>
      </c>
      <c r="D193" s="34" t="s">
        <v>315</v>
      </c>
      <c r="E193" t="s">
        <v>316</v>
      </c>
      <c r="F193" s="41" t="s">
        <v>317</v>
      </c>
      <c r="G193" s="34" t="s">
        <v>318</v>
      </c>
      <c r="H193" s="34" t="s">
        <v>177</v>
      </c>
      <c r="I193" s="34" t="s">
        <v>3</v>
      </c>
      <c r="J193" s="45" t="s">
        <v>179</v>
      </c>
      <c r="K193" s="34" t="s">
        <v>21</v>
      </c>
      <c r="L193" s="34" t="s">
        <v>22</v>
      </c>
      <c r="M193" s="34" t="s">
        <v>178</v>
      </c>
      <c r="N193" s="34" t="s">
        <v>305</v>
      </c>
      <c r="O193" s="43">
        <v>44035</v>
      </c>
      <c r="P193" s="43" t="s">
        <v>25</v>
      </c>
      <c r="Q193" s="34" t="s">
        <v>1111</v>
      </c>
      <c r="R193" s="34" t="s">
        <v>901</v>
      </c>
      <c r="S193" s="34"/>
      <c r="T193" t="s">
        <v>1187</v>
      </c>
      <c r="U193">
        <f t="shared" si="2"/>
        <v>7</v>
      </c>
      <c r="V193">
        <f>VLOOKUP(I193,Indicadores!$N$4:$Q$15,4,0)</f>
        <v>552.64</v>
      </c>
    </row>
    <row r="194" spans="1:22">
      <c r="A194" t="s">
        <v>899</v>
      </c>
      <c r="B194" t="s">
        <v>313</v>
      </c>
      <c r="C194" s="41" t="s">
        <v>314</v>
      </c>
      <c r="D194" s="34" t="s">
        <v>315</v>
      </c>
      <c r="E194" t="s">
        <v>316</v>
      </c>
      <c r="F194" s="41" t="s">
        <v>317</v>
      </c>
      <c r="G194" s="34" t="s">
        <v>318</v>
      </c>
      <c r="H194" s="34" t="s">
        <v>177</v>
      </c>
      <c r="I194" s="34" t="s">
        <v>3</v>
      </c>
      <c r="J194" s="42" t="s">
        <v>180</v>
      </c>
      <c r="K194" s="34" t="s">
        <v>21</v>
      </c>
      <c r="L194" s="34" t="s">
        <v>22</v>
      </c>
      <c r="M194" s="34" t="s">
        <v>178</v>
      </c>
      <c r="N194" s="34" t="s">
        <v>305</v>
      </c>
      <c r="O194" s="43">
        <v>44035</v>
      </c>
      <c r="P194" s="43" t="s">
        <v>25</v>
      </c>
      <c r="Q194" s="34" t="s">
        <v>1112</v>
      </c>
      <c r="R194" s="34" t="s">
        <v>901</v>
      </c>
      <c r="S194" s="34"/>
      <c r="T194" t="s">
        <v>1187</v>
      </c>
      <c r="U194">
        <f t="shared" si="2"/>
        <v>7</v>
      </c>
      <c r="V194">
        <f>VLOOKUP(I194,Indicadores!$N$4:$Q$15,4,0)</f>
        <v>552.64</v>
      </c>
    </row>
    <row r="195" spans="1:22">
      <c r="A195" t="s">
        <v>899</v>
      </c>
      <c r="B195" t="s">
        <v>313</v>
      </c>
      <c r="C195" s="41" t="s">
        <v>314</v>
      </c>
      <c r="D195" s="34" t="s">
        <v>315</v>
      </c>
      <c r="E195" t="s">
        <v>316</v>
      </c>
      <c r="F195" s="41" t="s">
        <v>317</v>
      </c>
      <c r="G195" s="34" t="s">
        <v>318</v>
      </c>
      <c r="H195" s="34" t="s">
        <v>177</v>
      </c>
      <c r="I195" s="34" t="s">
        <v>3</v>
      </c>
      <c r="J195" s="42" t="s">
        <v>181</v>
      </c>
      <c r="K195" s="34" t="s">
        <v>21</v>
      </c>
      <c r="L195" s="34" t="s">
        <v>22</v>
      </c>
      <c r="M195" s="34" t="s">
        <v>178</v>
      </c>
      <c r="N195" s="34" t="s">
        <v>305</v>
      </c>
      <c r="O195" s="43">
        <v>44035</v>
      </c>
      <c r="P195" s="43" t="s">
        <v>25</v>
      </c>
      <c r="Q195" s="34" t="s">
        <v>1113</v>
      </c>
      <c r="R195" s="34" t="s">
        <v>901</v>
      </c>
      <c r="S195" s="34"/>
      <c r="T195" t="s">
        <v>1187</v>
      </c>
      <c r="U195">
        <f t="shared" ref="U195:U258" si="3">IF(O195&lt;&gt;"",MONTH(O195),"")</f>
        <v>7</v>
      </c>
      <c r="V195">
        <f>VLOOKUP(I195,Indicadores!$N$4:$Q$15,4,0)</f>
        <v>552.64</v>
      </c>
    </row>
    <row r="196" spans="1:22" ht="15.75" customHeight="1">
      <c r="A196" t="s">
        <v>899</v>
      </c>
      <c r="B196" t="s">
        <v>313</v>
      </c>
      <c r="C196" s="41" t="s">
        <v>314</v>
      </c>
      <c r="D196" s="34" t="s">
        <v>315</v>
      </c>
      <c r="E196" t="s">
        <v>316</v>
      </c>
      <c r="F196" s="41" t="s">
        <v>317</v>
      </c>
      <c r="G196" s="34" t="s">
        <v>318</v>
      </c>
      <c r="H196" s="34" t="s">
        <v>177</v>
      </c>
      <c r="I196" s="34" t="s">
        <v>5</v>
      </c>
      <c r="J196" s="45">
        <v>1282924</v>
      </c>
      <c r="K196" s="34" t="s">
        <v>21</v>
      </c>
      <c r="L196" s="34" t="s">
        <v>34</v>
      </c>
      <c r="M196" s="34" t="s">
        <v>178</v>
      </c>
      <c r="N196" s="34" t="s">
        <v>305</v>
      </c>
      <c r="O196" s="43">
        <v>44035</v>
      </c>
      <c r="P196" s="43" t="s">
        <v>25</v>
      </c>
      <c r="Q196" s="34" t="s">
        <v>1114</v>
      </c>
      <c r="R196" s="34" t="s">
        <v>901</v>
      </c>
      <c r="S196" s="34"/>
      <c r="T196" t="s">
        <v>1187</v>
      </c>
      <c r="U196">
        <f t="shared" si="3"/>
        <v>7</v>
      </c>
      <c r="V196">
        <f>VLOOKUP(I196,Indicadores!$N$4:$Q$15,4,0)</f>
        <v>895.23</v>
      </c>
    </row>
    <row r="197" spans="1:22">
      <c r="A197" t="s">
        <v>899</v>
      </c>
      <c r="B197" t="s">
        <v>313</v>
      </c>
      <c r="C197" s="41" t="s">
        <v>314</v>
      </c>
      <c r="D197" s="34" t="s">
        <v>315</v>
      </c>
      <c r="E197" t="s">
        <v>316</v>
      </c>
      <c r="F197" s="41" t="s">
        <v>317</v>
      </c>
      <c r="G197" s="34" t="s">
        <v>318</v>
      </c>
      <c r="H197" s="34" t="s">
        <v>177</v>
      </c>
      <c r="I197" s="38" t="s">
        <v>835</v>
      </c>
      <c r="J197" s="42">
        <v>6553970</v>
      </c>
      <c r="K197" s="34" t="s">
        <v>26</v>
      </c>
      <c r="L197" s="34" t="s">
        <v>84</v>
      </c>
      <c r="M197" s="34" t="s">
        <v>178</v>
      </c>
      <c r="N197" s="34" t="s">
        <v>305</v>
      </c>
      <c r="O197" s="43">
        <v>44035</v>
      </c>
      <c r="P197" s="43" t="s">
        <v>25</v>
      </c>
      <c r="Q197" s="34" t="s">
        <v>1115</v>
      </c>
      <c r="R197" s="34" t="s">
        <v>901</v>
      </c>
      <c r="S197" s="34"/>
      <c r="T197" t="s">
        <v>1187</v>
      </c>
      <c r="U197">
        <f t="shared" si="3"/>
        <v>7</v>
      </c>
      <c r="V197">
        <f>VLOOKUP(I197,Indicadores!$N$4:$Q$15,4,0)</f>
        <v>546.79</v>
      </c>
    </row>
    <row r="198" spans="1:22">
      <c r="A198" t="s">
        <v>899</v>
      </c>
      <c r="B198" t="s">
        <v>313</v>
      </c>
      <c r="C198" s="41" t="s">
        <v>314</v>
      </c>
      <c r="D198" s="34" t="s">
        <v>315</v>
      </c>
      <c r="E198" t="s">
        <v>316</v>
      </c>
      <c r="F198" s="41" t="s">
        <v>317</v>
      </c>
      <c r="G198" s="34" t="s">
        <v>318</v>
      </c>
      <c r="H198" s="34" t="s">
        <v>177</v>
      </c>
      <c r="I198" s="38" t="s">
        <v>835</v>
      </c>
      <c r="J198" s="42">
        <v>4212773</v>
      </c>
      <c r="K198" s="34" t="s">
        <v>26</v>
      </c>
      <c r="L198" s="34" t="s">
        <v>84</v>
      </c>
      <c r="M198" s="34" t="s">
        <v>178</v>
      </c>
      <c r="N198" s="34" t="s">
        <v>305</v>
      </c>
      <c r="O198" s="43">
        <v>44035</v>
      </c>
      <c r="P198" s="43" t="s">
        <v>25</v>
      </c>
      <c r="Q198" s="34" t="s">
        <v>1116</v>
      </c>
      <c r="R198" s="34" t="s">
        <v>901</v>
      </c>
      <c r="S198" s="34"/>
      <c r="T198" t="s">
        <v>1187</v>
      </c>
      <c r="U198">
        <f t="shared" si="3"/>
        <v>7</v>
      </c>
      <c r="V198">
        <f>VLOOKUP(I198,Indicadores!$N$4:$Q$15,4,0)</f>
        <v>546.79</v>
      </c>
    </row>
    <row r="199" spans="1:22">
      <c r="A199" t="s">
        <v>899</v>
      </c>
      <c r="B199" t="s">
        <v>313</v>
      </c>
      <c r="C199" s="41" t="s">
        <v>314</v>
      </c>
      <c r="D199" s="34" t="s">
        <v>315</v>
      </c>
      <c r="E199" t="s">
        <v>316</v>
      </c>
      <c r="F199" s="41" t="s">
        <v>317</v>
      </c>
      <c r="G199" s="34" t="s">
        <v>318</v>
      </c>
      <c r="H199" s="34" t="s">
        <v>177</v>
      </c>
      <c r="I199" s="34" t="s">
        <v>7</v>
      </c>
      <c r="J199" s="45">
        <v>1526469</v>
      </c>
      <c r="K199" s="34" t="s">
        <v>56</v>
      </c>
      <c r="L199" s="34" t="s">
        <v>57</v>
      </c>
      <c r="M199" s="34" t="s">
        <v>178</v>
      </c>
      <c r="N199" s="34" t="s">
        <v>305</v>
      </c>
      <c r="O199" s="43">
        <v>44035</v>
      </c>
      <c r="P199" s="43" t="s">
        <v>25</v>
      </c>
      <c r="Q199" s="34" t="s">
        <v>1117</v>
      </c>
      <c r="R199" s="34" t="s">
        <v>901</v>
      </c>
      <c r="S199" s="34"/>
      <c r="T199" t="s">
        <v>1187</v>
      </c>
      <c r="U199">
        <f t="shared" si="3"/>
        <v>7</v>
      </c>
      <c r="V199">
        <f>VLOOKUP(I199,Indicadores!$N$4:$Q$15,4,0)</f>
        <v>329.87</v>
      </c>
    </row>
    <row r="200" spans="1:22">
      <c r="A200" t="s">
        <v>899</v>
      </c>
      <c r="B200" t="s">
        <v>656</v>
      </c>
      <c r="C200" s="41" t="s">
        <v>657</v>
      </c>
      <c r="D200" s="34" t="s">
        <v>658</v>
      </c>
      <c r="E200" t="s">
        <v>355</v>
      </c>
      <c r="F200" s="41" t="s">
        <v>356</v>
      </c>
      <c r="G200" s="34" t="s">
        <v>318</v>
      </c>
      <c r="H200" s="34" t="s">
        <v>202</v>
      </c>
      <c r="I200" s="34" t="s">
        <v>5</v>
      </c>
      <c r="J200" s="45">
        <v>150080001029</v>
      </c>
      <c r="K200" s="34" t="s">
        <v>21</v>
      </c>
      <c r="L200" s="34" t="s">
        <v>80</v>
      </c>
      <c r="M200" s="47" t="s">
        <v>234</v>
      </c>
      <c r="N200" s="34" t="s">
        <v>660</v>
      </c>
      <c r="O200" s="43">
        <v>44053</v>
      </c>
      <c r="P200" s="43" t="s">
        <v>25</v>
      </c>
      <c r="Q200" s="34" t="s">
        <v>1118</v>
      </c>
      <c r="R200" s="34" t="s">
        <v>901</v>
      </c>
      <c r="S200" s="34"/>
      <c r="T200" t="s">
        <v>1187</v>
      </c>
      <c r="U200">
        <f t="shared" si="3"/>
        <v>8</v>
      </c>
      <c r="V200">
        <f>VLOOKUP(I200,Indicadores!$N$4:$Q$15,4,0)</f>
        <v>895.23</v>
      </c>
    </row>
    <row r="201" spans="1:22">
      <c r="A201" t="s">
        <v>899</v>
      </c>
      <c r="B201" t="s">
        <v>656</v>
      </c>
      <c r="C201" s="41" t="s">
        <v>657</v>
      </c>
      <c r="D201" s="34" t="s">
        <v>658</v>
      </c>
      <c r="E201" t="s">
        <v>355</v>
      </c>
      <c r="F201" s="41" t="s">
        <v>356</v>
      </c>
      <c r="G201" s="34" t="s">
        <v>318</v>
      </c>
      <c r="H201" s="34" t="s">
        <v>202</v>
      </c>
      <c r="I201" s="34" t="s">
        <v>5</v>
      </c>
      <c r="J201" s="45">
        <v>40400007670</v>
      </c>
      <c r="K201" s="34" t="s">
        <v>21</v>
      </c>
      <c r="L201" s="34" t="s">
        <v>123</v>
      </c>
      <c r="M201" s="47" t="s">
        <v>234</v>
      </c>
      <c r="N201" s="34" t="s">
        <v>660</v>
      </c>
      <c r="O201" s="43">
        <v>44053</v>
      </c>
      <c r="P201" s="43" t="s">
        <v>25</v>
      </c>
      <c r="Q201" s="34" t="s">
        <v>1119</v>
      </c>
      <c r="R201" s="34" t="s">
        <v>901</v>
      </c>
      <c r="S201" s="34"/>
      <c r="T201" t="s">
        <v>1187</v>
      </c>
      <c r="U201">
        <f t="shared" si="3"/>
        <v>8</v>
      </c>
      <c r="V201">
        <f>VLOOKUP(I201,Indicadores!$N$4:$Q$15,4,0)</f>
        <v>895.23</v>
      </c>
    </row>
    <row r="202" spans="1:22">
      <c r="A202" t="s">
        <v>899</v>
      </c>
      <c r="B202" t="s">
        <v>656</v>
      </c>
      <c r="C202" s="41" t="s">
        <v>657</v>
      </c>
      <c r="D202" s="34" t="s">
        <v>658</v>
      </c>
      <c r="E202" t="s">
        <v>355</v>
      </c>
      <c r="F202" s="41" t="s">
        <v>356</v>
      </c>
      <c r="G202" s="34" t="s">
        <v>318</v>
      </c>
      <c r="H202" s="34" t="s">
        <v>202</v>
      </c>
      <c r="I202" s="38" t="s">
        <v>835</v>
      </c>
      <c r="J202" s="45">
        <v>6257535</v>
      </c>
      <c r="K202" s="34" t="s">
        <v>26</v>
      </c>
      <c r="L202" s="34" t="s">
        <v>84</v>
      </c>
      <c r="M202" s="47" t="s">
        <v>234</v>
      </c>
      <c r="N202" s="34" t="s">
        <v>660</v>
      </c>
      <c r="O202" s="43">
        <v>44053</v>
      </c>
      <c r="P202" s="43" t="s">
        <v>25</v>
      </c>
      <c r="Q202" s="34" t="s">
        <v>1120</v>
      </c>
      <c r="R202" s="34" t="s">
        <v>901</v>
      </c>
      <c r="S202" s="34"/>
      <c r="T202" t="s">
        <v>1187</v>
      </c>
      <c r="U202">
        <f t="shared" si="3"/>
        <v>8</v>
      </c>
      <c r="V202">
        <f>VLOOKUP(I202,Indicadores!$N$4:$Q$15,4,0)</f>
        <v>546.79</v>
      </c>
    </row>
    <row r="203" spans="1:22">
      <c r="A203" t="s">
        <v>899</v>
      </c>
      <c r="B203" t="s">
        <v>656</v>
      </c>
      <c r="C203" s="41" t="s">
        <v>657</v>
      </c>
      <c r="D203" s="34" t="s">
        <v>658</v>
      </c>
      <c r="E203" s="49" t="s">
        <v>355</v>
      </c>
      <c r="F203" s="41" t="s">
        <v>356</v>
      </c>
      <c r="G203" s="34" t="s">
        <v>318</v>
      </c>
      <c r="H203" s="34" t="s">
        <v>202</v>
      </c>
      <c r="I203" s="34" t="s">
        <v>7</v>
      </c>
      <c r="J203" s="45">
        <v>50009</v>
      </c>
      <c r="K203" s="34" t="s">
        <v>31</v>
      </c>
      <c r="L203" s="34" t="s">
        <v>129</v>
      </c>
      <c r="M203" s="34" t="s">
        <v>234</v>
      </c>
      <c r="N203" s="34" t="s">
        <v>660</v>
      </c>
      <c r="O203" s="43">
        <v>44053</v>
      </c>
      <c r="P203" s="43" t="s">
        <v>25</v>
      </c>
      <c r="Q203" s="47" t="s">
        <v>1121</v>
      </c>
      <c r="R203" s="34" t="s">
        <v>901</v>
      </c>
      <c r="S203" s="34"/>
      <c r="T203" t="s">
        <v>1187</v>
      </c>
      <c r="U203">
        <f t="shared" si="3"/>
        <v>8</v>
      </c>
      <c r="V203">
        <f>VLOOKUP(I203,Indicadores!$N$4:$Q$15,4,0)</f>
        <v>329.87</v>
      </c>
    </row>
    <row r="204" spans="1:22">
      <c r="A204" t="s">
        <v>899</v>
      </c>
      <c r="B204" t="s">
        <v>656</v>
      </c>
      <c r="C204" s="41" t="s">
        <v>657</v>
      </c>
      <c r="D204" s="34" t="s">
        <v>658</v>
      </c>
      <c r="E204" t="s">
        <v>355</v>
      </c>
      <c r="F204" s="41" t="s">
        <v>356</v>
      </c>
      <c r="G204" s="34" t="s">
        <v>318</v>
      </c>
      <c r="H204" s="34" t="s">
        <v>202</v>
      </c>
      <c r="I204" s="34" t="s">
        <v>9</v>
      </c>
      <c r="J204" s="45" t="s">
        <v>235</v>
      </c>
      <c r="K204" s="34" t="s">
        <v>21</v>
      </c>
      <c r="L204" s="34" t="s">
        <v>29</v>
      </c>
      <c r="M204" s="47" t="s">
        <v>234</v>
      </c>
      <c r="N204" s="34" t="s">
        <v>660</v>
      </c>
      <c r="O204" s="43">
        <v>44053</v>
      </c>
      <c r="P204" s="43" t="s">
        <v>25</v>
      </c>
      <c r="Q204" s="34" t="s">
        <v>1122</v>
      </c>
      <c r="R204" s="34" t="s">
        <v>901</v>
      </c>
      <c r="S204" s="34"/>
      <c r="T204" t="s">
        <v>1187</v>
      </c>
      <c r="U204">
        <f t="shared" si="3"/>
        <v>8</v>
      </c>
      <c r="V204">
        <f>VLOOKUP(I204,Indicadores!$N$4:$Q$15,4,0)</f>
        <v>521.79999999999995</v>
      </c>
    </row>
    <row r="205" spans="1:22">
      <c r="A205" t="s">
        <v>899</v>
      </c>
      <c r="B205" t="s">
        <v>391</v>
      </c>
      <c r="C205" s="41" t="s">
        <v>392</v>
      </c>
      <c r="D205" s="34" t="s">
        <v>403</v>
      </c>
      <c r="E205" t="s">
        <v>391</v>
      </c>
      <c r="F205" s="41" t="s">
        <v>392</v>
      </c>
      <c r="G205" s="34" t="s">
        <v>318</v>
      </c>
      <c r="H205" s="34" t="s">
        <v>195</v>
      </c>
      <c r="I205" s="34" t="s">
        <v>3</v>
      </c>
      <c r="J205" s="42">
        <v>203166601040</v>
      </c>
      <c r="K205" s="34" t="s">
        <v>21</v>
      </c>
      <c r="L205" s="34" t="s">
        <v>96</v>
      </c>
      <c r="M205" s="47" t="s">
        <v>197</v>
      </c>
      <c r="N205" s="34" t="s">
        <v>305</v>
      </c>
      <c r="O205" s="43">
        <v>44239</v>
      </c>
      <c r="P205" s="43" t="s">
        <v>25</v>
      </c>
      <c r="Q205" s="34" t="s">
        <v>1123</v>
      </c>
      <c r="R205" s="34" t="s">
        <v>901</v>
      </c>
      <c r="S205" s="34"/>
      <c r="T205" t="s">
        <v>1187</v>
      </c>
      <c r="U205">
        <f t="shared" si="3"/>
        <v>2</v>
      </c>
      <c r="V205">
        <f>VLOOKUP(I205,Indicadores!$N$4:$Q$15,4,0)</f>
        <v>552.64</v>
      </c>
    </row>
    <row r="206" spans="1:22">
      <c r="A206" t="s">
        <v>899</v>
      </c>
      <c r="B206" t="s">
        <v>696</v>
      </c>
      <c r="C206" s="41" t="s">
        <v>310</v>
      </c>
      <c r="D206" s="34" t="s">
        <v>697</v>
      </c>
      <c r="E206" t="s">
        <v>309</v>
      </c>
      <c r="F206" s="41" t="s">
        <v>310</v>
      </c>
      <c r="G206" s="34" t="s">
        <v>298</v>
      </c>
      <c r="H206" s="34" t="s">
        <v>202</v>
      </c>
      <c r="I206" s="38" t="s">
        <v>4</v>
      </c>
      <c r="J206" s="42">
        <v>4212786</v>
      </c>
      <c r="K206" s="34" t="s">
        <v>26</v>
      </c>
      <c r="L206" s="47" t="s">
        <v>27</v>
      </c>
      <c r="M206" s="34" t="s">
        <v>252</v>
      </c>
      <c r="N206" s="34" t="s">
        <v>305</v>
      </c>
      <c r="O206" s="43">
        <v>43977</v>
      </c>
      <c r="P206" s="43" t="s">
        <v>25</v>
      </c>
      <c r="Q206" s="42" t="s">
        <v>1124</v>
      </c>
      <c r="R206" s="34" t="s">
        <v>901</v>
      </c>
      <c r="S206" s="34"/>
      <c r="T206" t="s">
        <v>1187</v>
      </c>
      <c r="U206">
        <f t="shared" si="3"/>
        <v>5</v>
      </c>
      <c r="V206">
        <f>VLOOKUP(I206,Indicadores!$N$4:$Q$15,4,0)</f>
        <v>329.87</v>
      </c>
    </row>
    <row r="207" spans="1:22">
      <c r="A207" t="s">
        <v>899</v>
      </c>
      <c r="B207" t="s">
        <v>306</v>
      </c>
      <c r="C207" s="41" t="s">
        <v>307</v>
      </c>
      <c r="D207" s="34" t="s">
        <v>308</v>
      </c>
      <c r="E207" t="s">
        <v>309</v>
      </c>
      <c r="F207" s="41" t="s">
        <v>310</v>
      </c>
      <c r="G207" s="34" t="s">
        <v>298</v>
      </c>
      <c r="H207" s="34" t="s">
        <v>202</v>
      </c>
      <c r="I207" s="38" t="s">
        <v>4</v>
      </c>
      <c r="J207" s="42">
        <v>410580</v>
      </c>
      <c r="K207" s="34" t="s">
        <v>26</v>
      </c>
      <c r="L207" s="47" t="s">
        <v>27</v>
      </c>
      <c r="M207" s="34" t="s">
        <v>312</v>
      </c>
      <c r="N207" s="34" t="s">
        <v>305</v>
      </c>
      <c r="O207" s="43">
        <v>43977</v>
      </c>
      <c r="P207" s="43" t="s">
        <v>25</v>
      </c>
      <c r="Q207" s="42"/>
      <c r="R207" s="34" t="s">
        <v>901</v>
      </c>
      <c r="S207" s="34"/>
      <c r="T207" t="s">
        <v>1187</v>
      </c>
      <c r="U207">
        <f t="shared" si="3"/>
        <v>5</v>
      </c>
      <c r="V207">
        <f>VLOOKUP(I207,Indicadores!$N$4:$Q$15,4,0)</f>
        <v>329.87</v>
      </c>
    </row>
    <row r="208" spans="1:22">
      <c r="A208" t="s">
        <v>899</v>
      </c>
      <c r="B208" t="s">
        <v>701</v>
      </c>
      <c r="C208" s="41" t="s">
        <v>702</v>
      </c>
      <c r="D208" s="34" t="s">
        <v>703</v>
      </c>
      <c r="E208" t="s">
        <v>309</v>
      </c>
      <c r="F208" s="41" t="s">
        <v>310</v>
      </c>
      <c r="G208" s="34" t="s">
        <v>298</v>
      </c>
      <c r="H208" s="34" t="s">
        <v>202</v>
      </c>
      <c r="I208" s="34" t="s">
        <v>3</v>
      </c>
      <c r="J208" s="45">
        <v>142240001031</v>
      </c>
      <c r="K208" s="34" t="s">
        <v>21</v>
      </c>
      <c r="L208" s="34" t="s">
        <v>96</v>
      </c>
      <c r="M208" s="34" t="s">
        <v>252</v>
      </c>
      <c r="N208" s="34" t="s">
        <v>305</v>
      </c>
      <c r="O208" s="43">
        <v>43978</v>
      </c>
      <c r="P208" s="43" t="s">
        <v>25</v>
      </c>
      <c r="Q208" s="42" t="s">
        <v>1125</v>
      </c>
      <c r="R208" s="34" t="s">
        <v>901</v>
      </c>
      <c r="S208" s="34"/>
      <c r="T208" t="s">
        <v>1187</v>
      </c>
      <c r="U208">
        <f t="shared" si="3"/>
        <v>5</v>
      </c>
      <c r="V208">
        <f>VLOOKUP(I208,Indicadores!$N$4:$Q$15,4,0)</f>
        <v>552.64</v>
      </c>
    </row>
    <row r="209" spans="1:22">
      <c r="A209" t="s">
        <v>899</v>
      </c>
      <c r="B209" t="s">
        <v>696</v>
      </c>
      <c r="C209" s="41" t="s">
        <v>310</v>
      </c>
      <c r="D209" s="34" t="s">
        <v>697</v>
      </c>
      <c r="E209" t="s">
        <v>309</v>
      </c>
      <c r="F209" s="41" t="s">
        <v>310</v>
      </c>
      <c r="G209" s="34" t="s">
        <v>298</v>
      </c>
      <c r="H209" s="34" t="s">
        <v>202</v>
      </c>
      <c r="I209" s="34" t="s">
        <v>3</v>
      </c>
      <c r="J209" s="45">
        <v>182190001002</v>
      </c>
      <c r="K209" s="34" t="s">
        <v>21</v>
      </c>
      <c r="L209" s="34" t="s">
        <v>96</v>
      </c>
      <c r="M209" s="34" t="s">
        <v>252</v>
      </c>
      <c r="N209" s="34" t="s">
        <v>305</v>
      </c>
      <c r="O209" s="43">
        <v>43978</v>
      </c>
      <c r="P209" s="43" t="s">
        <v>25</v>
      </c>
      <c r="Q209" s="42" t="s">
        <v>1126</v>
      </c>
      <c r="R209" s="34" t="s">
        <v>901</v>
      </c>
      <c r="S209" s="34"/>
      <c r="T209" t="s">
        <v>1187</v>
      </c>
      <c r="U209">
        <f t="shared" si="3"/>
        <v>5</v>
      </c>
      <c r="V209">
        <f>VLOOKUP(I209,Indicadores!$N$4:$Q$15,4,0)</f>
        <v>552.64</v>
      </c>
    </row>
    <row r="210" spans="1:22">
      <c r="A210" t="s">
        <v>899</v>
      </c>
      <c r="B210" t="s">
        <v>696</v>
      </c>
      <c r="C210" s="41" t="s">
        <v>310</v>
      </c>
      <c r="D210" s="34" t="s">
        <v>697</v>
      </c>
      <c r="E210" t="s">
        <v>309</v>
      </c>
      <c r="F210" s="41" t="s">
        <v>310</v>
      </c>
      <c r="G210" s="34" t="s">
        <v>298</v>
      </c>
      <c r="H210" s="34" t="s">
        <v>202</v>
      </c>
      <c r="I210" s="34" t="s">
        <v>9</v>
      </c>
      <c r="J210" s="42" t="s">
        <v>254</v>
      </c>
      <c r="K210" s="34" t="s">
        <v>21</v>
      </c>
      <c r="L210" s="34" t="s">
        <v>29</v>
      </c>
      <c r="M210" s="34" t="s">
        <v>252</v>
      </c>
      <c r="N210" s="34" t="s">
        <v>305</v>
      </c>
      <c r="O210" s="43">
        <v>43978</v>
      </c>
      <c r="P210" s="43" t="s">
        <v>25</v>
      </c>
      <c r="Q210" s="42" t="s">
        <v>1127</v>
      </c>
      <c r="R210" s="34" t="s">
        <v>901</v>
      </c>
      <c r="S210" s="34"/>
      <c r="T210" t="s">
        <v>1187</v>
      </c>
      <c r="U210">
        <f t="shared" si="3"/>
        <v>5</v>
      </c>
      <c r="V210">
        <f>VLOOKUP(I210,Indicadores!$N$4:$Q$15,4,0)</f>
        <v>521.79999999999995</v>
      </c>
    </row>
    <row r="211" spans="1:22">
      <c r="A211" t="s">
        <v>899</v>
      </c>
      <c r="B211" t="s">
        <v>696</v>
      </c>
      <c r="C211" s="41" t="s">
        <v>310</v>
      </c>
      <c r="D211" s="34" t="s">
        <v>697</v>
      </c>
      <c r="E211" t="s">
        <v>309</v>
      </c>
      <c r="F211" s="41" t="s">
        <v>310</v>
      </c>
      <c r="G211" s="34" t="s">
        <v>298</v>
      </c>
      <c r="H211" s="34" t="s">
        <v>202</v>
      </c>
      <c r="I211" s="38" t="s">
        <v>4</v>
      </c>
      <c r="J211" s="42">
        <v>48564</v>
      </c>
      <c r="K211" s="34" t="s">
        <v>31</v>
      </c>
      <c r="L211" s="34" t="s">
        <v>256</v>
      </c>
      <c r="M211" s="34" t="s">
        <v>252</v>
      </c>
      <c r="N211" s="34" t="s">
        <v>305</v>
      </c>
      <c r="O211" s="43">
        <v>43979</v>
      </c>
      <c r="P211" s="43" t="s">
        <v>25</v>
      </c>
      <c r="Q211" s="42" t="s">
        <v>1128</v>
      </c>
      <c r="R211" s="34" t="s">
        <v>901</v>
      </c>
      <c r="S211" s="34"/>
      <c r="T211" t="s">
        <v>1187</v>
      </c>
      <c r="U211">
        <f t="shared" si="3"/>
        <v>5</v>
      </c>
      <c r="V211">
        <f>VLOOKUP(I211,Indicadores!$N$4:$Q$15,4,0)</f>
        <v>329.87</v>
      </c>
    </row>
    <row r="212" spans="1:22">
      <c r="A212" t="s">
        <v>899</v>
      </c>
      <c r="B212" t="s">
        <v>696</v>
      </c>
      <c r="C212" s="41" t="s">
        <v>310</v>
      </c>
      <c r="D212" s="34" t="s">
        <v>697</v>
      </c>
      <c r="E212" t="s">
        <v>309</v>
      </c>
      <c r="F212" s="41" t="s">
        <v>310</v>
      </c>
      <c r="G212" s="34" t="s">
        <v>298</v>
      </c>
      <c r="H212" s="34" t="s">
        <v>202</v>
      </c>
      <c r="I212" s="34" t="s">
        <v>7</v>
      </c>
      <c r="J212" s="45">
        <v>2901955</v>
      </c>
      <c r="K212" s="34" t="s">
        <v>56</v>
      </c>
      <c r="L212" s="34" t="s">
        <v>57</v>
      </c>
      <c r="M212" s="34" t="s">
        <v>252</v>
      </c>
      <c r="N212" s="34" t="s">
        <v>305</v>
      </c>
      <c r="O212" s="43">
        <v>43979</v>
      </c>
      <c r="P212" s="43" t="s">
        <v>25</v>
      </c>
      <c r="Q212" s="42" t="s">
        <v>1129</v>
      </c>
      <c r="R212" s="34" t="s">
        <v>901</v>
      </c>
      <c r="S212" s="34"/>
      <c r="T212" t="s">
        <v>1187</v>
      </c>
      <c r="U212">
        <f t="shared" si="3"/>
        <v>5</v>
      </c>
      <c r="V212">
        <f>VLOOKUP(I212,Indicadores!$N$4:$Q$15,4,0)</f>
        <v>329.87</v>
      </c>
    </row>
    <row r="213" spans="1:22" ht="15.75" customHeight="1">
      <c r="A213" t="s">
        <v>899</v>
      </c>
      <c r="B213" t="s">
        <v>696</v>
      </c>
      <c r="C213" s="41" t="s">
        <v>310</v>
      </c>
      <c r="D213" s="34" t="s">
        <v>697</v>
      </c>
      <c r="E213" t="s">
        <v>309</v>
      </c>
      <c r="F213" s="41" t="s">
        <v>310</v>
      </c>
      <c r="G213" s="34" t="s">
        <v>298</v>
      </c>
      <c r="H213" s="34" t="s">
        <v>202</v>
      </c>
      <c r="I213" s="34" t="s">
        <v>7</v>
      </c>
      <c r="J213" s="45">
        <v>2901959</v>
      </c>
      <c r="K213" s="34" t="s">
        <v>56</v>
      </c>
      <c r="L213" s="34" t="s">
        <v>57</v>
      </c>
      <c r="M213" s="34" t="s">
        <v>252</v>
      </c>
      <c r="N213" s="34" t="s">
        <v>305</v>
      </c>
      <c r="O213" s="43">
        <v>43979</v>
      </c>
      <c r="P213" s="43" t="s">
        <v>25</v>
      </c>
      <c r="Q213" s="42" t="s">
        <v>1130</v>
      </c>
      <c r="R213" s="34" t="s">
        <v>901</v>
      </c>
      <c r="S213" s="34"/>
      <c r="T213" t="s">
        <v>1187</v>
      </c>
      <c r="U213">
        <f t="shared" si="3"/>
        <v>5</v>
      </c>
      <c r="V213">
        <f>VLOOKUP(I213,Indicadores!$N$4:$Q$15,4,0)</f>
        <v>329.87</v>
      </c>
    </row>
    <row r="214" spans="1:22">
      <c r="A214" t="s">
        <v>899</v>
      </c>
      <c r="B214" t="s">
        <v>306</v>
      </c>
      <c r="C214" s="41" t="s">
        <v>307</v>
      </c>
      <c r="D214" s="34" t="s">
        <v>308</v>
      </c>
      <c r="E214" t="s">
        <v>309</v>
      </c>
      <c r="F214" s="41" t="s">
        <v>310</v>
      </c>
      <c r="G214" s="34" t="s">
        <v>298</v>
      </c>
      <c r="H214" s="34" t="s">
        <v>202</v>
      </c>
      <c r="I214" s="34" t="s">
        <v>7</v>
      </c>
      <c r="J214" s="42">
        <v>585193</v>
      </c>
      <c r="K214" s="34" t="s">
        <v>56</v>
      </c>
      <c r="L214" s="34" t="s">
        <v>57</v>
      </c>
      <c r="M214" s="34" t="s">
        <v>312</v>
      </c>
      <c r="N214" s="34" t="s">
        <v>305</v>
      </c>
      <c r="O214" s="43">
        <v>43980</v>
      </c>
      <c r="P214" s="43" t="s">
        <v>25</v>
      </c>
      <c r="Q214" s="42"/>
      <c r="R214" s="34" t="s">
        <v>901</v>
      </c>
      <c r="S214" s="34"/>
      <c r="T214" t="s">
        <v>1187</v>
      </c>
      <c r="U214">
        <f t="shared" si="3"/>
        <v>5</v>
      </c>
      <c r="V214">
        <f>VLOOKUP(I214,Indicadores!$N$4:$Q$15,4,0)</f>
        <v>329.87</v>
      </c>
    </row>
    <row r="215" spans="1:22">
      <c r="A215" t="s">
        <v>899</v>
      </c>
      <c r="B215" t="s">
        <v>588</v>
      </c>
      <c r="C215" s="41" t="s">
        <v>589</v>
      </c>
      <c r="D215" s="34" t="s">
        <v>590</v>
      </c>
      <c r="E215" t="s">
        <v>591</v>
      </c>
      <c r="F215" s="41" t="s">
        <v>592</v>
      </c>
      <c r="G215" s="34" t="s">
        <v>298</v>
      </c>
      <c r="H215" s="34" t="s">
        <v>73</v>
      </c>
      <c r="I215" s="34" t="s">
        <v>3</v>
      </c>
      <c r="J215" s="50">
        <v>140690002033</v>
      </c>
      <c r="K215" s="34" t="s">
        <v>21</v>
      </c>
      <c r="L215" s="34" t="s">
        <v>22</v>
      </c>
      <c r="M215" s="34" t="s">
        <v>75</v>
      </c>
      <c r="N215" s="34" t="s">
        <v>594</v>
      </c>
      <c r="O215" s="43">
        <v>44049</v>
      </c>
      <c r="P215" s="43" t="s">
        <v>25</v>
      </c>
      <c r="Q215" s="34"/>
      <c r="R215" s="34" t="s">
        <v>901</v>
      </c>
      <c r="S215" s="34"/>
      <c r="T215" t="s">
        <v>1187</v>
      </c>
      <c r="U215">
        <f t="shared" si="3"/>
        <v>8</v>
      </c>
      <c r="V215">
        <f>VLOOKUP(I215,Indicadores!$N$4:$Q$15,4,0)</f>
        <v>552.64</v>
      </c>
    </row>
    <row r="216" spans="1:22">
      <c r="A216" t="s">
        <v>899</v>
      </c>
      <c r="B216" t="s">
        <v>588</v>
      </c>
      <c r="C216" s="41" t="s">
        <v>589</v>
      </c>
      <c r="D216" s="34" t="s">
        <v>590</v>
      </c>
      <c r="E216" t="s">
        <v>591</v>
      </c>
      <c r="F216" s="41" t="s">
        <v>592</v>
      </c>
      <c r="G216" s="34" t="s">
        <v>298</v>
      </c>
      <c r="H216" s="34" t="s">
        <v>73</v>
      </c>
      <c r="I216" s="38" t="s">
        <v>4</v>
      </c>
      <c r="J216" s="42">
        <v>67108</v>
      </c>
      <c r="K216" s="34" t="s">
        <v>31</v>
      </c>
      <c r="L216" s="34" t="s">
        <v>74</v>
      </c>
      <c r="M216" s="34" t="s">
        <v>75</v>
      </c>
      <c r="N216" s="34" t="s">
        <v>594</v>
      </c>
      <c r="O216" s="43">
        <v>44049</v>
      </c>
      <c r="P216" s="43" t="s">
        <v>25</v>
      </c>
      <c r="Q216" s="34"/>
      <c r="R216" s="34" t="s">
        <v>901</v>
      </c>
      <c r="S216" s="34"/>
      <c r="T216" t="s">
        <v>1187</v>
      </c>
      <c r="U216">
        <f t="shared" si="3"/>
        <v>8</v>
      </c>
      <c r="V216">
        <f>VLOOKUP(I216,Indicadores!$N$4:$Q$15,4,0)</f>
        <v>329.87</v>
      </c>
    </row>
    <row r="217" spans="1:22">
      <c r="A217" t="s">
        <v>899</v>
      </c>
      <c r="B217" t="s">
        <v>588</v>
      </c>
      <c r="C217" s="41" t="s">
        <v>589</v>
      </c>
      <c r="D217" s="34" t="s">
        <v>590</v>
      </c>
      <c r="E217" t="s">
        <v>591</v>
      </c>
      <c r="F217" s="41" t="s">
        <v>592</v>
      </c>
      <c r="G217" s="34" t="s">
        <v>298</v>
      </c>
      <c r="H217" s="34" t="s">
        <v>73</v>
      </c>
      <c r="I217" s="34" t="s">
        <v>7</v>
      </c>
      <c r="J217" s="42">
        <v>68352</v>
      </c>
      <c r="K217" s="34" t="s">
        <v>31</v>
      </c>
      <c r="L217" s="34" t="s">
        <v>53</v>
      </c>
      <c r="M217" s="34" t="s">
        <v>75</v>
      </c>
      <c r="N217" s="34" t="s">
        <v>594</v>
      </c>
      <c r="O217" s="43">
        <v>44049</v>
      </c>
      <c r="P217" s="43" t="s">
        <v>25</v>
      </c>
      <c r="Q217" s="34"/>
      <c r="R217" s="34" t="s">
        <v>901</v>
      </c>
      <c r="S217" s="34"/>
      <c r="T217" t="s">
        <v>1187</v>
      </c>
      <c r="U217">
        <f t="shared" si="3"/>
        <v>8</v>
      </c>
      <c r="V217">
        <f>VLOOKUP(I217,Indicadores!$N$4:$Q$15,4,0)</f>
        <v>329.87</v>
      </c>
    </row>
    <row r="218" spans="1:22">
      <c r="A218" s="49" t="s">
        <v>899</v>
      </c>
      <c r="B218" s="49" t="s">
        <v>335</v>
      </c>
      <c r="C218" s="41" t="s">
        <v>336</v>
      </c>
      <c r="D218" s="34" t="s">
        <v>337</v>
      </c>
      <c r="E218" s="49" t="s">
        <v>338</v>
      </c>
      <c r="F218" s="41" t="s">
        <v>339</v>
      </c>
      <c r="G218" s="34" t="s">
        <v>298</v>
      </c>
      <c r="H218" s="34" t="s">
        <v>33</v>
      </c>
      <c r="I218" s="38" t="s">
        <v>4</v>
      </c>
      <c r="J218" s="42">
        <v>4222730</v>
      </c>
      <c r="K218" s="34" t="s">
        <v>26</v>
      </c>
      <c r="L218" s="47" t="s">
        <v>27</v>
      </c>
      <c r="M218" s="34" t="s">
        <v>35</v>
      </c>
      <c r="N218" s="34" t="s">
        <v>340</v>
      </c>
      <c r="O218" s="43">
        <v>44089</v>
      </c>
      <c r="P218" s="43" t="s">
        <v>25</v>
      </c>
      <c r="Q218" s="47"/>
      <c r="R218" s="47" t="s">
        <v>901</v>
      </c>
      <c r="S218" s="47"/>
      <c r="T218" t="s">
        <v>1187</v>
      </c>
      <c r="U218">
        <f t="shared" si="3"/>
        <v>9</v>
      </c>
      <c r="V218">
        <f>VLOOKUP(I218,Indicadores!$N$4:$Q$15,4,0)</f>
        <v>329.87</v>
      </c>
    </row>
    <row r="219" spans="1:22">
      <c r="A219" t="s">
        <v>899</v>
      </c>
      <c r="B219" s="49" t="s">
        <v>335</v>
      </c>
      <c r="C219" s="41" t="s">
        <v>336</v>
      </c>
      <c r="D219" s="34" t="s">
        <v>337</v>
      </c>
      <c r="E219" s="49" t="s">
        <v>338</v>
      </c>
      <c r="F219" s="41" t="s">
        <v>339</v>
      </c>
      <c r="G219" s="34" t="s">
        <v>298</v>
      </c>
      <c r="H219" s="34" t="s">
        <v>33</v>
      </c>
      <c r="I219" s="34" t="s">
        <v>5</v>
      </c>
      <c r="J219" s="42">
        <v>1264624</v>
      </c>
      <c r="K219" s="34" t="s">
        <v>21</v>
      </c>
      <c r="L219" s="34" t="s">
        <v>34</v>
      </c>
      <c r="M219" s="34" t="s">
        <v>35</v>
      </c>
      <c r="N219" s="34" t="s">
        <v>340</v>
      </c>
      <c r="O219" s="43">
        <v>44089</v>
      </c>
      <c r="P219" s="43" t="s">
        <v>25</v>
      </c>
      <c r="Q219" s="34"/>
      <c r="R219" s="34" t="s">
        <v>901</v>
      </c>
      <c r="S219" s="34"/>
      <c r="T219" t="s">
        <v>1187</v>
      </c>
      <c r="U219">
        <f t="shared" si="3"/>
        <v>9</v>
      </c>
      <c r="V219">
        <f>VLOOKUP(I219,Indicadores!$N$4:$Q$15,4,0)</f>
        <v>895.23</v>
      </c>
    </row>
    <row r="220" spans="1:22">
      <c r="A220" t="s">
        <v>899</v>
      </c>
      <c r="B220" t="s">
        <v>335</v>
      </c>
      <c r="C220" s="41" t="s">
        <v>336</v>
      </c>
      <c r="D220" s="34" t="s">
        <v>337</v>
      </c>
      <c r="E220" s="49" t="s">
        <v>338</v>
      </c>
      <c r="F220" s="41" t="s">
        <v>339</v>
      </c>
      <c r="G220" s="34" t="s">
        <v>298</v>
      </c>
      <c r="H220" s="34" t="s">
        <v>33</v>
      </c>
      <c r="I220" s="34" t="s">
        <v>7</v>
      </c>
      <c r="J220" s="45">
        <v>414013</v>
      </c>
      <c r="K220" s="34" t="s">
        <v>21</v>
      </c>
      <c r="L220" s="34" t="s">
        <v>37</v>
      </c>
      <c r="M220" s="34" t="s">
        <v>35</v>
      </c>
      <c r="N220" s="34" t="s">
        <v>340</v>
      </c>
      <c r="O220" s="43">
        <v>44089</v>
      </c>
      <c r="P220" s="43" t="s">
        <v>25</v>
      </c>
      <c r="Q220" s="34"/>
      <c r="R220" s="34" t="s">
        <v>901</v>
      </c>
      <c r="S220" s="34"/>
      <c r="T220" t="s">
        <v>1187</v>
      </c>
      <c r="U220">
        <f t="shared" si="3"/>
        <v>9</v>
      </c>
      <c r="V220">
        <f>VLOOKUP(I220,Indicadores!$N$4:$Q$15,4,0)</f>
        <v>329.87</v>
      </c>
    </row>
    <row r="221" spans="1:22">
      <c r="A221" t="s">
        <v>899</v>
      </c>
      <c r="B221" t="s">
        <v>335</v>
      </c>
      <c r="C221" s="41" t="s">
        <v>336</v>
      </c>
      <c r="D221" s="34" t="s">
        <v>337</v>
      </c>
      <c r="E221" s="49" t="s">
        <v>338</v>
      </c>
      <c r="F221" s="41" t="s">
        <v>339</v>
      </c>
      <c r="G221" s="34" t="s">
        <v>298</v>
      </c>
      <c r="H221" s="34" t="s">
        <v>33</v>
      </c>
      <c r="I221" s="47" t="s">
        <v>7</v>
      </c>
      <c r="J221" s="45">
        <v>8101742</v>
      </c>
      <c r="K221" s="47" t="s">
        <v>38</v>
      </c>
      <c r="L221" s="47" t="s">
        <v>39</v>
      </c>
      <c r="M221" s="34" t="s">
        <v>35</v>
      </c>
      <c r="N221" s="34" t="s">
        <v>340</v>
      </c>
      <c r="O221" s="43">
        <v>44089</v>
      </c>
      <c r="P221" s="43" t="s">
        <v>25</v>
      </c>
      <c r="Q221" s="47"/>
      <c r="R221" s="47" t="s">
        <v>901</v>
      </c>
      <c r="S221" s="51"/>
      <c r="T221" t="s">
        <v>1187</v>
      </c>
      <c r="U221">
        <f t="shared" si="3"/>
        <v>9</v>
      </c>
      <c r="V221">
        <f>VLOOKUP(I221,Indicadores!$N$4:$Q$15,4,0)</f>
        <v>329.87</v>
      </c>
    </row>
    <row r="222" spans="1:22">
      <c r="A222" t="s">
        <v>899</v>
      </c>
      <c r="B222" s="49" t="s">
        <v>335</v>
      </c>
      <c r="C222" s="41" t="s">
        <v>336</v>
      </c>
      <c r="D222" s="34" t="s">
        <v>337</v>
      </c>
      <c r="E222" t="s">
        <v>338</v>
      </c>
      <c r="F222" s="41" t="s">
        <v>339</v>
      </c>
      <c r="G222" s="34" t="s">
        <v>298</v>
      </c>
      <c r="H222" s="34" t="s">
        <v>33</v>
      </c>
      <c r="I222" s="34" t="s">
        <v>5</v>
      </c>
      <c r="J222" s="42">
        <v>1378445</v>
      </c>
      <c r="K222" s="34" t="s">
        <v>21</v>
      </c>
      <c r="L222" s="34" t="s">
        <v>34</v>
      </c>
      <c r="M222" s="34" t="s">
        <v>35</v>
      </c>
      <c r="N222" s="34" t="s">
        <v>340</v>
      </c>
      <c r="O222" s="43">
        <v>44089</v>
      </c>
      <c r="P222" s="43" t="s">
        <v>25</v>
      </c>
      <c r="Q222" s="34" t="s">
        <v>1131</v>
      </c>
      <c r="R222" s="34" t="s">
        <v>901</v>
      </c>
      <c r="S222" s="34"/>
      <c r="T222" t="s">
        <v>1187</v>
      </c>
      <c r="U222">
        <f t="shared" si="3"/>
        <v>9</v>
      </c>
      <c r="V222">
        <f>VLOOKUP(I222,Indicadores!$N$4:$Q$15,4,0)</f>
        <v>895.23</v>
      </c>
    </row>
    <row r="223" spans="1:22">
      <c r="A223" t="s">
        <v>899</v>
      </c>
      <c r="B223" s="49" t="s">
        <v>335</v>
      </c>
      <c r="C223" s="41" t="s">
        <v>336</v>
      </c>
      <c r="D223" s="34" t="s">
        <v>337</v>
      </c>
      <c r="E223" t="s">
        <v>338</v>
      </c>
      <c r="F223" s="41" t="s">
        <v>339</v>
      </c>
      <c r="G223" s="34" t="s">
        <v>298</v>
      </c>
      <c r="H223" s="34" t="s">
        <v>33</v>
      </c>
      <c r="I223" s="38" t="s">
        <v>4</v>
      </c>
      <c r="J223" s="45">
        <v>343250</v>
      </c>
      <c r="K223" s="34" t="s">
        <v>21</v>
      </c>
      <c r="L223" s="34" t="s">
        <v>36</v>
      </c>
      <c r="M223" s="34" t="s">
        <v>35</v>
      </c>
      <c r="N223" s="34" t="s">
        <v>340</v>
      </c>
      <c r="O223" s="43">
        <v>44089</v>
      </c>
      <c r="P223" s="43" t="s">
        <v>25</v>
      </c>
      <c r="Q223" s="34" t="s">
        <v>1132</v>
      </c>
      <c r="R223" s="34" t="s">
        <v>901</v>
      </c>
      <c r="S223" s="34"/>
      <c r="T223" t="s">
        <v>1187</v>
      </c>
      <c r="U223">
        <f t="shared" si="3"/>
        <v>9</v>
      </c>
      <c r="V223">
        <f>VLOOKUP(I223,Indicadores!$N$4:$Q$15,4,0)</f>
        <v>329.87</v>
      </c>
    </row>
    <row r="224" spans="1:22">
      <c r="A224" s="49" t="s">
        <v>899</v>
      </c>
      <c r="B224" s="49" t="s">
        <v>479</v>
      </c>
      <c r="C224" s="41" t="s">
        <v>480</v>
      </c>
      <c r="D224" s="34" t="s">
        <v>295</v>
      </c>
      <c r="E224" t="s">
        <v>296</v>
      </c>
      <c r="F224" s="41" t="s">
        <v>297</v>
      </c>
      <c r="G224" s="34" t="s">
        <v>298</v>
      </c>
      <c r="H224" s="34" t="s">
        <v>98</v>
      </c>
      <c r="I224" s="34" t="s">
        <v>3</v>
      </c>
      <c r="J224" s="45">
        <v>182180001049</v>
      </c>
      <c r="K224" s="34" t="s">
        <v>21</v>
      </c>
      <c r="L224" s="34" t="s">
        <v>96</v>
      </c>
      <c r="M224" s="34" t="s">
        <v>135</v>
      </c>
      <c r="N224" s="34" t="s">
        <v>483</v>
      </c>
      <c r="O224" s="43">
        <v>44173</v>
      </c>
      <c r="P224" s="43" t="s">
        <v>25</v>
      </c>
      <c r="Q224" s="47"/>
      <c r="R224" s="34" t="s">
        <v>901</v>
      </c>
      <c r="S224" s="34"/>
      <c r="T224" t="s">
        <v>1187</v>
      </c>
      <c r="U224">
        <f t="shared" si="3"/>
        <v>12</v>
      </c>
      <c r="V224">
        <f>VLOOKUP(I224,Indicadores!$N$4:$Q$15,4,0)</f>
        <v>552.64</v>
      </c>
    </row>
    <row r="225" spans="1:22">
      <c r="A225" s="49" t="s">
        <v>899</v>
      </c>
      <c r="B225" s="49" t="s">
        <v>479</v>
      </c>
      <c r="C225" s="41" t="s">
        <v>480</v>
      </c>
      <c r="D225" s="34" t="s">
        <v>295</v>
      </c>
      <c r="E225" t="s">
        <v>296</v>
      </c>
      <c r="F225" s="41" t="s">
        <v>297</v>
      </c>
      <c r="G225" s="34" t="s">
        <v>298</v>
      </c>
      <c r="H225" s="34" t="s">
        <v>98</v>
      </c>
      <c r="I225" s="34" t="s">
        <v>3</v>
      </c>
      <c r="J225" s="50">
        <v>9301589</v>
      </c>
      <c r="K225" s="34" t="s">
        <v>56</v>
      </c>
      <c r="L225" s="34" t="s">
        <v>136</v>
      </c>
      <c r="M225" s="34" t="s">
        <v>137</v>
      </c>
      <c r="N225" s="34" t="s">
        <v>1133</v>
      </c>
      <c r="O225" s="43">
        <v>44173</v>
      </c>
      <c r="P225" s="43" t="s">
        <v>25</v>
      </c>
      <c r="Q225" s="47"/>
      <c r="R225" s="34" t="s">
        <v>901</v>
      </c>
      <c r="S225" s="34"/>
      <c r="T225" t="s">
        <v>1187</v>
      </c>
      <c r="U225">
        <f t="shared" si="3"/>
        <v>12</v>
      </c>
      <c r="V225">
        <f>VLOOKUP(I225,Indicadores!$N$4:$Q$15,4,0)</f>
        <v>552.64</v>
      </c>
    </row>
    <row r="226" spans="1:22">
      <c r="A226" t="s">
        <v>899</v>
      </c>
      <c r="B226" t="s">
        <v>465</v>
      </c>
      <c r="C226" s="41" t="s">
        <v>466</v>
      </c>
      <c r="D226" s="34" t="s">
        <v>1134</v>
      </c>
      <c r="E226" t="s">
        <v>465</v>
      </c>
      <c r="F226" s="41" t="s">
        <v>466</v>
      </c>
      <c r="G226" s="34" t="s">
        <v>298</v>
      </c>
      <c r="H226" s="34" t="s">
        <v>164</v>
      </c>
      <c r="I226" s="34" t="s">
        <v>3</v>
      </c>
      <c r="J226" s="45">
        <v>203176601025</v>
      </c>
      <c r="K226" s="34" t="s">
        <v>21</v>
      </c>
      <c r="L226" s="34" t="s">
        <v>96</v>
      </c>
      <c r="M226" s="34" t="s">
        <v>467</v>
      </c>
      <c r="N226" s="34" t="s">
        <v>468</v>
      </c>
      <c r="O226" s="43">
        <v>44180</v>
      </c>
      <c r="P226" s="43" t="s">
        <v>25</v>
      </c>
      <c r="Q226" s="34"/>
      <c r="R226" s="34" t="s">
        <v>901</v>
      </c>
      <c r="S226" s="34"/>
      <c r="T226" t="s">
        <v>1187</v>
      </c>
      <c r="U226">
        <f t="shared" si="3"/>
        <v>12</v>
      </c>
      <c r="V226">
        <f>VLOOKUP(I226,Indicadores!$N$4:$Q$15,4,0)</f>
        <v>552.64</v>
      </c>
    </row>
    <row r="227" spans="1:22">
      <c r="A227" t="s">
        <v>899</v>
      </c>
      <c r="B227" t="s">
        <v>723</v>
      </c>
      <c r="C227" s="41" t="s">
        <v>724</v>
      </c>
      <c r="D227" s="34" t="s">
        <v>725</v>
      </c>
      <c r="E227" t="s">
        <v>726</v>
      </c>
      <c r="F227" s="41" t="s">
        <v>727</v>
      </c>
      <c r="G227" s="34" t="s">
        <v>298</v>
      </c>
      <c r="H227" s="34" t="s">
        <v>40</v>
      </c>
      <c r="I227" s="34" t="s">
        <v>3</v>
      </c>
      <c r="J227" s="42" t="s">
        <v>72</v>
      </c>
      <c r="K227" s="34" t="s">
        <v>21</v>
      </c>
      <c r="L227" s="34" t="s">
        <v>22</v>
      </c>
      <c r="M227" s="34" t="s">
        <v>70</v>
      </c>
      <c r="N227" s="34" t="s">
        <v>728</v>
      </c>
      <c r="O227" s="43">
        <v>44194</v>
      </c>
      <c r="P227" s="43" t="s">
        <v>25</v>
      </c>
      <c r="Q227" s="34" t="s">
        <v>1135</v>
      </c>
      <c r="R227" s="34" t="s">
        <v>901</v>
      </c>
      <c r="S227" s="34"/>
      <c r="T227" t="s">
        <v>1187</v>
      </c>
      <c r="U227">
        <f t="shared" si="3"/>
        <v>12</v>
      </c>
      <c r="V227">
        <f>VLOOKUP(I227,Indicadores!$N$4:$Q$15,4,0)</f>
        <v>552.64</v>
      </c>
    </row>
    <row r="228" spans="1:22">
      <c r="A228" t="s">
        <v>899</v>
      </c>
      <c r="B228" t="s">
        <v>723</v>
      </c>
      <c r="C228" s="41" t="s">
        <v>724</v>
      </c>
      <c r="D228" s="34" t="s">
        <v>725</v>
      </c>
      <c r="E228" t="s">
        <v>726</v>
      </c>
      <c r="F228" s="41" t="s">
        <v>727</v>
      </c>
      <c r="G228" s="34" t="s">
        <v>298</v>
      </c>
      <c r="H228" s="34" t="s">
        <v>40</v>
      </c>
      <c r="I228" s="38" t="s">
        <v>4</v>
      </c>
      <c r="J228" s="42">
        <v>4212228</v>
      </c>
      <c r="K228" s="34" t="s">
        <v>26</v>
      </c>
      <c r="L228" s="47" t="s">
        <v>27</v>
      </c>
      <c r="M228" s="34" t="s">
        <v>70</v>
      </c>
      <c r="N228" s="34" t="s">
        <v>728</v>
      </c>
      <c r="O228" s="43">
        <v>44194</v>
      </c>
      <c r="P228" s="43" t="s">
        <v>25</v>
      </c>
      <c r="Q228" s="34" t="s">
        <v>1136</v>
      </c>
      <c r="R228" s="34" t="s">
        <v>901</v>
      </c>
      <c r="S228" s="34"/>
      <c r="T228" t="s">
        <v>1187</v>
      </c>
      <c r="U228">
        <f t="shared" si="3"/>
        <v>12</v>
      </c>
      <c r="V228">
        <f>VLOOKUP(I228,Indicadores!$N$4:$Q$15,4,0)</f>
        <v>329.87</v>
      </c>
    </row>
    <row r="229" spans="1:22">
      <c r="A229" t="s">
        <v>899</v>
      </c>
      <c r="B229" t="s">
        <v>723</v>
      </c>
      <c r="C229" s="41" t="s">
        <v>724</v>
      </c>
      <c r="D229" s="34" t="s">
        <v>725</v>
      </c>
      <c r="E229" t="s">
        <v>726</v>
      </c>
      <c r="F229" s="41" t="s">
        <v>727</v>
      </c>
      <c r="G229" s="34" t="s">
        <v>298</v>
      </c>
      <c r="H229" s="34" t="s">
        <v>40</v>
      </c>
      <c r="I229" s="34" t="s">
        <v>7</v>
      </c>
      <c r="J229" s="42">
        <v>799046</v>
      </c>
      <c r="K229" s="34" t="s">
        <v>56</v>
      </c>
      <c r="L229" s="34" t="s">
        <v>57</v>
      </c>
      <c r="M229" s="34" t="s">
        <v>70</v>
      </c>
      <c r="N229" s="34" t="s">
        <v>728</v>
      </c>
      <c r="O229" s="43">
        <v>44194</v>
      </c>
      <c r="P229" s="43" t="s">
        <v>25</v>
      </c>
      <c r="Q229" s="34" t="s">
        <v>1137</v>
      </c>
      <c r="R229" s="34" t="s">
        <v>901</v>
      </c>
      <c r="S229" s="34"/>
      <c r="T229" t="s">
        <v>1187</v>
      </c>
      <c r="U229">
        <f t="shared" si="3"/>
        <v>12</v>
      </c>
      <c r="V229">
        <f>VLOOKUP(I229,Indicadores!$N$4:$Q$15,4,0)</f>
        <v>329.87</v>
      </c>
    </row>
    <row r="230" spans="1:22">
      <c r="A230" t="s">
        <v>899</v>
      </c>
      <c r="B230" t="s">
        <v>293</v>
      </c>
      <c r="C230" s="41" t="s">
        <v>294</v>
      </c>
      <c r="D230" s="34" t="s">
        <v>295</v>
      </c>
      <c r="E230" t="s">
        <v>296</v>
      </c>
      <c r="F230" s="41" t="s">
        <v>297</v>
      </c>
      <c r="G230" s="34" t="s">
        <v>298</v>
      </c>
      <c r="H230" s="34" t="s">
        <v>98</v>
      </c>
      <c r="I230" s="38" t="s">
        <v>4</v>
      </c>
      <c r="J230" s="45">
        <v>17121575001003</v>
      </c>
      <c r="K230" s="34" t="s">
        <v>100</v>
      </c>
      <c r="L230" s="34" t="s">
        <v>104</v>
      </c>
      <c r="M230" s="34" t="s">
        <v>102</v>
      </c>
      <c r="N230" s="34" t="s">
        <v>300</v>
      </c>
      <c r="O230" s="43">
        <v>44259</v>
      </c>
      <c r="P230" s="43" t="s">
        <v>25</v>
      </c>
      <c r="Q230" s="34"/>
      <c r="R230" s="34" t="s">
        <v>901</v>
      </c>
      <c r="S230" s="34"/>
      <c r="T230" t="s">
        <v>1187</v>
      </c>
      <c r="U230">
        <f t="shared" si="3"/>
        <v>3</v>
      </c>
      <c r="V230">
        <f>VLOOKUP(I230,Indicadores!$N$4:$Q$15,4,0)</f>
        <v>329.87</v>
      </c>
    </row>
    <row r="231" spans="1:22" s="60" customFormat="1">
      <c r="A231" t="s">
        <v>899</v>
      </c>
      <c r="B231" t="s">
        <v>293</v>
      </c>
      <c r="C231" s="41" t="s">
        <v>294</v>
      </c>
      <c r="D231" s="34" t="s">
        <v>295</v>
      </c>
      <c r="E231" t="s">
        <v>296</v>
      </c>
      <c r="F231" s="41" t="s">
        <v>297</v>
      </c>
      <c r="G231" s="34" t="s">
        <v>298</v>
      </c>
      <c r="H231" s="34" t="s">
        <v>98</v>
      </c>
      <c r="I231" s="38" t="s">
        <v>835</v>
      </c>
      <c r="J231" s="42">
        <v>6271336</v>
      </c>
      <c r="K231" s="34" t="s">
        <v>26</v>
      </c>
      <c r="L231" s="34" t="s">
        <v>84</v>
      </c>
      <c r="M231" s="34" t="s">
        <v>102</v>
      </c>
      <c r="N231" s="34" t="s">
        <v>300</v>
      </c>
      <c r="O231" s="43">
        <v>44259</v>
      </c>
      <c r="P231" s="43" t="s">
        <v>25</v>
      </c>
      <c r="Q231" s="59"/>
      <c r="R231" s="34" t="s">
        <v>901</v>
      </c>
      <c r="S231" s="58"/>
      <c r="T231" t="s">
        <v>1187</v>
      </c>
      <c r="U231">
        <f t="shared" si="3"/>
        <v>3</v>
      </c>
      <c r="V231">
        <f>VLOOKUP(I231,Indicadores!$N$4:$Q$15,4,0)</f>
        <v>546.79</v>
      </c>
    </row>
    <row r="232" spans="1:22">
      <c r="A232" t="s">
        <v>899</v>
      </c>
      <c r="B232" t="s">
        <v>293</v>
      </c>
      <c r="C232" s="41" t="s">
        <v>294</v>
      </c>
      <c r="D232" s="34" t="s">
        <v>295</v>
      </c>
      <c r="E232" t="s">
        <v>296</v>
      </c>
      <c r="F232" s="41" t="s">
        <v>297</v>
      </c>
      <c r="G232" s="34" t="s">
        <v>298</v>
      </c>
      <c r="H232" s="34" t="s">
        <v>98</v>
      </c>
      <c r="I232" s="34" t="s">
        <v>7</v>
      </c>
      <c r="J232" s="42" t="s">
        <v>99</v>
      </c>
      <c r="K232" s="34" t="s">
        <v>100</v>
      </c>
      <c r="L232" s="34" t="s">
        <v>101</v>
      </c>
      <c r="M232" s="34" t="s">
        <v>102</v>
      </c>
      <c r="N232" s="34" t="s">
        <v>300</v>
      </c>
      <c r="O232" s="43">
        <v>44259</v>
      </c>
      <c r="P232" s="43" t="s">
        <v>25</v>
      </c>
      <c r="Q232" s="34"/>
      <c r="R232" s="34" t="s">
        <v>901</v>
      </c>
      <c r="S232" s="34"/>
      <c r="T232" t="s">
        <v>1187</v>
      </c>
      <c r="U232">
        <f t="shared" si="3"/>
        <v>3</v>
      </c>
      <c r="V232">
        <f>VLOOKUP(I232,Indicadores!$N$4:$Q$15,4,0)</f>
        <v>329.87</v>
      </c>
    </row>
    <row r="233" spans="1:22">
      <c r="A233" t="s">
        <v>899</v>
      </c>
      <c r="B233" t="s">
        <v>1138</v>
      </c>
      <c r="C233" s="41" t="s">
        <v>1139</v>
      </c>
      <c r="D233" s="34" t="s">
        <v>1140</v>
      </c>
      <c r="E233" t="s">
        <v>1138</v>
      </c>
      <c r="F233" s="41" t="s">
        <v>1139</v>
      </c>
      <c r="G233" s="34" t="s">
        <v>298</v>
      </c>
      <c r="H233" s="34" t="s">
        <v>202</v>
      </c>
      <c r="I233" s="34" t="s">
        <v>3</v>
      </c>
      <c r="J233" s="45">
        <v>203166601039</v>
      </c>
      <c r="K233" s="34" t="s">
        <v>21</v>
      </c>
      <c r="L233" s="34" t="s">
        <v>96</v>
      </c>
      <c r="M233" s="34" t="s">
        <v>214</v>
      </c>
      <c r="N233" s="34" t="s">
        <v>305</v>
      </c>
      <c r="O233" s="43">
        <v>44263</v>
      </c>
      <c r="P233" s="43" t="s">
        <v>25</v>
      </c>
      <c r="Q233" s="34"/>
      <c r="R233" s="34" t="s">
        <v>901</v>
      </c>
      <c r="S233" s="34"/>
      <c r="T233" t="s">
        <v>1187</v>
      </c>
      <c r="U233">
        <f t="shared" si="3"/>
        <v>3</v>
      </c>
      <c r="V233">
        <f>VLOOKUP(I233,Indicadores!$N$4:$Q$15,4,0)</f>
        <v>552.64</v>
      </c>
    </row>
    <row r="234" spans="1:22">
      <c r="A234" t="s">
        <v>899</v>
      </c>
      <c r="B234" t="s">
        <v>293</v>
      </c>
      <c r="C234" s="41" t="s">
        <v>294</v>
      </c>
      <c r="D234" s="34" t="s">
        <v>295</v>
      </c>
      <c r="E234" t="s">
        <v>296</v>
      </c>
      <c r="F234" s="41" t="s">
        <v>297</v>
      </c>
      <c r="G234" s="34" t="s">
        <v>298</v>
      </c>
      <c r="H234" s="34" t="s">
        <v>98</v>
      </c>
      <c r="I234" s="34" t="s">
        <v>5</v>
      </c>
      <c r="J234" s="45">
        <v>142870001022</v>
      </c>
      <c r="K234" s="34" t="s">
        <v>105</v>
      </c>
      <c r="L234" s="34" t="s">
        <v>96</v>
      </c>
      <c r="M234" s="34" t="s">
        <v>102</v>
      </c>
      <c r="N234" s="34" t="s">
        <v>300</v>
      </c>
      <c r="O234" s="43">
        <v>44264</v>
      </c>
      <c r="P234" s="43" t="s">
        <v>25</v>
      </c>
      <c r="Q234" s="34"/>
      <c r="R234" s="34" t="s">
        <v>901</v>
      </c>
      <c r="S234" s="34"/>
      <c r="T234" t="s">
        <v>1187</v>
      </c>
      <c r="U234">
        <f t="shared" si="3"/>
        <v>3</v>
      </c>
      <c r="V234">
        <f>VLOOKUP(I234,Indicadores!$N$4:$Q$15,4,0)</f>
        <v>895.23</v>
      </c>
    </row>
    <row r="235" spans="1:22" s="60" customFormat="1">
      <c r="A235" t="s">
        <v>899</v>
      </c>
      <c r="B235" t="s">
        <v>293</v>
      </c>
      <c r="C235" s="41" t="s">
        <v>294</v>
      </c>
      <c r="D235" s="34" t="s">
        <v>295</v>
      </c>
      <c r="E235" t="s">
        <v>296</v>
      </c>
      <c r="F235" s="41" t="s">
        <v>297</v>
      </c>
      <c r="G235" s="34" t="s">
        <v>298</v>
      </c>
      <c r="H235" s="34" t="s">
        <v>98</v>
      </c>
      <c r="I235" s="34" t="s">
        <v>5</v>
      </c>
      <c r="J235" s="42" t="s">
        <v>106</v>
      </c>
      <c r="K235" s="34" t="s">
        <v>105</v>
      </c>
      <c r="L235" s="34" t="s">
        <v>22</v>
      </c>
      <c r="M235" s="34" t="s">
        <v>102</v>
      </c>
      <c r="N235" s="34" t="s">
        <v>300</v>
      </c>
      <c r="O235" s="43">
        <v>44264</v>
      </c>
      <c r="P235" s="43" t="s">
        <v>25</v>
      </c>
      <c r="Q235" s="34"/>
      <c r="R235" s="34" t="s">
        <v>901</v>
      </c>
      <c r="S235" s="34"/>
      <c r="T235" t="s">
        <v>1187</v>
      </c>
      <c r="U235">
        <f t="shared" si="3"/>
        <v>3</v>
      </c>
      <c r="V235">
        <f>VLOOKUP(I235,Indicadores!$N$4:$Q$15,4,0)</f>
        <v>895.23</v>
      </c>
    </row>
    <row r="236" spans="1:22">
      <c r="A236" t="s">
        <v>899</v>
      </c>
      <c r="B236" t="s">
        <v>301</v>
      </c>
      <c r="C236" s="41" t="s">
        <v>302</v>
      </c>
      <c r="D236" s="34" t="s">
        <v>295</v>
      </c>
      <c r="E236" t="s">
        <v>296</v>
      </c>
      <c r="F236" s="41" t="s">
        <v>297</v>
      </c>
      <c r="G236" s="34" t="s">
        <v>298</v>
      </c>
      <c r="H236" s="34" t="s">
        <v>98</v>
      </c>
      <c r="I236" s="34" t="s">
        <v>3</v>
      </c>
      <c r="J236" s="50">
        <v>210266601021</v>
      </c>
      <c r="K236" s="34" t="s">
        <v>21</v>
      </c>
      <c r="L236" s="34" t="s">
        <v>96</v>
      </c>
      <c r="M236" s="34" t="s">
        <v>304</v>
      </c>
      <c r="N236" s="34" t="s">
        <v>305</v>
      </c>
      <c r="O236" s="43">
        <v>44306</v>
      </c>
      <c r="P236" s="43" t="s">
        <v>25</v>
      </c>
      <c r="Q236" s="34"/>
      <c r="R236" s="34" t="s">
        <v>901</v>
      </c>
      <c r="T236" t="s">
        <v>1187</v>
      </c>
      <c r="U236">
        <f t="shared" si="3"/>
        <v>4</v>
      </c>
      <c r="V236">
        <f>VLOOKUP(I236,Indicadores!$N$4:$Q$15,4,0)</f>
        <v>552.64</v>
      </c>
    </row>
    <row r="237" spans="1:22">
      <c r="A237" t="s">
        <v>899</v>
      </c>
      <c r="B237" t="s">
        <v>1141</v>
      </c>
      <c r="C237" s="41" t="s">
        <v>1142</v>
      </c>
      <c r="D237" s="34" t="s">
        <v>1143</v>
      </c>
      <c r="E237" t="s">
        <v>735</v>
      </c>
      <c r="F237" s="41" t="s">
        <v>736</v>
      </c>
      <c r="G237" s="34" t="s">
        <v>330</v>
      </c>
      <c r="H237" s="34" t="s">
        <v>202</v>
      </c>
      <c r="I237" s="34" t="s">
        <v>7</v>
      </c>
      <c r="J237" s="42">
        <v>570687</v>
      </c>
      <c r="K237" s="34" t="s">
        <v>56</v>
      </c>
      <c r="L237" s="34" t="s">
        <v>57</v>
      </c>
      <c r="M237" s="34" t="s">
        <v>211</v>
      </c>
      <c r="N237" s="34" t="s">
        <v>358</v>
      </c>
      <c r="O237" s="43">
        <v>43766</v>
      </c>
      <c r="P237" s="43" t="s">
        <v>46</v>
      </c>
      <c r="Q237" s="47" t="s">
        <v>1144</v>
      </c>
      <c r="R237" s="34" t="s">
        <v>901</v>
      </c>
      <c r="T237" t="s">
        <v>1187</v>
      </c>
      <c r="U237">
        <f t="shared" si="3"/>
        <v>10</v>
      </c>
      <c r="V237">
        <f>VLOOKUP(I237,Indicadores!$N$4:$Q$15,4,0)</f>
        <v>329.87</v>
      </c>
    </row>
    <row r="238" spans="1:22">
      <c r="A238" t="s">
        <v>899</v>
      </c>
      <c r="B238" t="s">
        <v>1145</v>
      </c>
      <c r="C238" s="41" t="s">
        <v>1146</v>
      </c>
      <c r="D238" s="34" t="s">
        <v>1147</v>
      </c>
      <c r="E238" t="s">
        <v>1145</v>
      </c>
      <c r="F238" s="41" t="s">
        <v>1146</v>
      </c>
      <c r="G238" s="34" t="s">
        <v>330</v>
      </c>
      <c r="H238" s="34" t="s">
        <v>202</v>
      </c>
      <c r="I238" s="34" t="s">
        <v>7</v>
      </c>
      <c r="J238" s="42">
        <v>1518994</v>
      </c>
      <c r="K238" s="34" t="s">
        <v>56</v>
      </c>
      <c r="L238" s="34" t="s">
        <v>57</v>
      </c>
      <c r="M238" s="34" t="s">
        <v>211</v>
      </c>
      <c r="N238" s="34" t="s">
        <v>358</v>
      </c>
      <c r="O238" s="43">
        <v>43767</v>
      </c>
      <c r="P238" s="43" t="s">
        <v>46</v>
      </c>
      <c r="Q238" s="34" t="s">
        <v>1148</v>
      </c>
      <c r="R238" s="34" t="s">
        <v>901</v>
      </c>
      <c r="S238" s="34"/>
      <c r="T238" t="s">
        <v>1187</v>
      </c>
      <c r="U238">
        <f t="shared" si="3"/>
        <v>10</v>
      </c>
      <c r="V238">
        <f>VLOOKUP(I238,Indicadores!$N$4:$Q$15,4,0)</f>
        <v>329.87</v>
      </c>
    </row>
    <row r="239" spans="1:22">
      <c r="A239" t="s">
        <v>899</v>
      </c>
      <c r="B239" t="s">
        <v>1149</v>
      </c>
      <c r="C239" s="41" t="s">
        <v>1150</v>
      </c>
      <c r="D239" s="34" t="s">
        <v>1151</v>
      </c>
      <c r="E239" t="s">
        <v>735</v>
      </c>
      <c r="F239" s="41" t="s">
        <v>736</v>
      </c>
      <c r="G239" s="34" t="s">
        <v>330</v>
      </c>
      <c r="H239" s="34" t="s">
        <v>202</v>
      </c>
      <c r="I239" s="34" t="s">
        <v>7</v>
      </c>
      <c r="J239" s="45">
        <v>2902019</v>
      </c>
      <c r="K239" s="34" t="s">
        <v>56</v>
      </c>
      <c r="L239" s="34" t="s">
        <v>57</v>
      </c>
      <c r="M239" s="34" t="s">
        <v>211</v>
      </c>
      <c r="N239" s="34" t="s">
        <v>305</v>
      </c>
      <c r="O239" s="43">
        <v>43875</v>
      </c>
      <c r="P239" s="43" t="s">
        <v>46</v>
      </c>
      <c r="Q239" s="34" t="s">
        <v>1152</v>
      </c>
      <c r="R239" s="34" t="s">
        <v>901</v>
      </c>
      <c r="S239" s="34"/>
      <c r="T239" t="s">
        <v>1187</v>
      </c>
      <c r="U239">
        <f t="shared" si="3"/>
        <v>2</v>
      </c>
      <c r="V239">
        <f>VLOOKUP(I239,Indicadores!$N$4:$Q$15,4,0)</f>
        <v>329.87</v>
      </c>
    </row>
    <row r="240" spans="1:22">
      <c r="A240" t="s">
        <v>899</v>
      </c>
      <c r="B240" t="s">
        <v>1149</v>
      </c>
      <c r="C240" s="41" t="s">
        <v>1150</v>
      </c>
      <c r="D240" s="34" t="s">
        <v>1151</v>
      </c>
      <c r="E240" t="s">
        <v>735</v>
      </c>
      <c r="F240" s="41" t="s">
        <v>736</v>
      </c>
      <c r="G240" s="34" t="s">
        <v>330</v>
      </c>
      <c r="H240" s="34" t="s">
        <v>202</v>
      </c>
      <c r="I240" s="38" t="s">
        <v>4</v>
      </c>
      <c r="J240" s="42">
        <v>4229146</v>
      </c>
      <c r="K240" s="34" t="s">
        <v>26</v>
      </c>
      <c r="L240" s="47" t="s">
        <v>27</v>
      </c>
      <c r="M240" s="34" t="s">
        <v>211</v>
      </c>
      <c r="N240" s="34" t="s">
        <v>305</v>
      </c>
      <c r="O240" s="43">
        <v>43978</v>
      </c>
      <c r="P240" s="43" t="s">
        <v>25</v>
      </c>
      <c r="Q240" s="42" t="s">
        <v>1153</v>
      </c>
      <c r="R240" s="34" t="s">
        <v>901</v>
      </c>
      <c r="S240" s="34"/>
      <c r="T240" t="s">
        <v>1187</v>
      </c>
      <c r="U240">
        <f t="shared" si="3"/>
        <v>5</v>
      </c>
      <c r="V240">
        <f>VLOOKUP(I240,Indicadores!$N$4:$Q$15,4,0)</f>
        <v>329.87</v>
      </c>
    </row>
    <row r="241" spans="1:22">
      <c r="A241" t="s">
        <v>899</v>
      </c>
      <c r="B241" t="s">
        <v>673</v>
      </c>
      <c r="C241" s="41" t="s">
        <v>674</v>
      </c>
      <c r="D241" s="34" t="s">
        <v>1154</v>
      </c>
      <c r="E241" t="s">
        <v>673</v>
      </c>
      <c r="F241" s="41" t="s">
        <v>674</v>
      </c>
      <c r="G241" s="34" t="s">
        <v>330</v>
      </c>
      <c r="H241" s="34" t="s">
        <v>202</v>
      </c>
      <c r="I241" s="38" t="s">
        <v>4</v>
      </c>
      <c r="J241" s="42">
        <v>179</v>
      </c>
      <c r="K241" s="34" t="s">
        <v>62</v>
      </c>
      <c r="L241" s="34" t="s">
        <v>206</v>
      </c>
      <c r="M241" s="34" t="s">
        <v>204</v>
      </c>
      <c r="N241" s="34" t="s">
        <v>468</v>
      </c>
      <c r="O241" s="43">
        <v>44001</v>
      </c>
      <c r="P241" s="43" t="s">
        <v>25</v>
      </c>
      <c r="Q241" s="34" t="s">
        <v>1155</v>
      </c>
      <c r="R241" s="34" t="s">
        <v>901</v>
      </c>
      <c r="S241" s="34"/>
      <c r="T241" t="s">
        <v>1187</v>
      </c>
      <c r="U241">
        <f t="shared" si="3"/>
        <v>6</v>
      </c>
      <c r="V241">
        <f>VLOOKUP(I241,Indicadores!$N$4:$Q$15,4,0)</f>
        <v>329.87</v>
      </c>
    </row>
    <row r="242" spans="1:22" s="60" customFormat="1">
      <c r="A242" t="s">
        <v>899</v>
      </c>
      <c r="B242" t="s">
        <v>673</v>
      </c>
      <c r="C242" s="41" t="s">
        <v>674</v>
      </c>
      <c r="D242" s="34" t="s">
        <v>1154</v>
      </c>
      <c r="E242" t="s">
        <v>673</v>
      </c>
      <c r="F242" s="41" t="s">
        <v>674</v>
      </c>
      <c r="G242" s="34" t="s">
        <v>330</v>
      </c>
      <c r="H242" s="34" t="s">
        <v>202</v>
      </c>
      <c r="I242" s="34" t="s">
        <v>5</v>
      </c>
      <c r="J242" s="45">
        <v>142380001002</v>
      </c>
      <c r="K242" s="34" t="s">
        <v>21</v>
      </c>
      <c r="L242" s="34" t="s">
        <v>80</v>
      </c>
      <c r="M242" s="34" t="s">
        <v>204</v>
      </c>
      <c r="N242" s="34" t="s">
        <v>468</v>
      </c>
      <c r="O242" s="43">
        <v>44001</v>
      </c>
      <c r="P242" s="43" t="s">
        <v>25</v>
      </c>
      <c r="Q242" s="34" t="s">
        <v>1156</v>
      </c>
      <c r="R242" s="34" t="s">
        <v>901</v>
      </c>
      <c r="S242" s="34"/>
      <c r="T242" t="s">
        <v>1187</v>
      </c>
      <c r="U242">
        <f t="shared" si="3"/>
        <v>6</v>
      </c>
      <c r="V242">
        <f>VLOOKUP(I242,Indicadores!$N$4:$Q$15,4,0)</f>
        <v>895.23</v>
      </c>
    </row>
    <row r="243" spans="1:22" s="60" customFormat="1">
      <c r="A243" t="s">
        <v>899</v>
      </c>
      <c r="B243" t="s">
        <v>640</v>
      </c>
      <c r="C243" s="41" t="s">
        <v>641</v>
      </c>
      <c r="D243" s="34" t="s">
        <v>642</v>
      </c>
      <c r="E243" t="s">
        <v>640</v>
      </c>
      <c r="F243" s="41" t="s">
        <v>641</v>
      </c>
      <c r="G243" s="34" t="s">
        <v>330</v>
      </c>
      <c r="H243" s="34" t="s">
        <v>98</v>
      </c>
      <c r="I243" s="34" t="s">
        <v>3</v>
      </c>
      <c r="J243" s="45" t="s">
        <v>111</v>
      </c>
      <c r="K243" s="34" t="s">
        <v>21</v>
      </c>
      <c r="L243" s="34" t="s">
        <v>22</v>
      </c>
      <c r="M243" s="34" t="s">
        <v>109</v>
      </c>
      <c r="N243" s="34" t="s">
        <v>643</v>
      </c>
      <c r="O243" s="43">
        <v>44040</v>
      </c>
      <c r="P243" s="43" t="s">
        <v>25</v>
      </c>
      <c r="Q243" s="34" t="s">
        <v>1157</v>
      </c>
      <c r="R243" s="34" t="s">
        <v>901</v>
      </c>
      <c r="S243"/>
      <c r="T243" t="s">
        <v>1187</v>
      </c>
      <c r="U243">
        <f t="shared" si="3"/>
        <v>7</v>
      </c>
      <c r="V243">
        <f>VLOOKUP(I243,Indicadores!$N$4:$Q$15,4,0)</f>
        <v>552.64</v>
      </c>
    </row>
    <row r="244" spans="1:22" s="60" customFormat="1">
      <c r="A244" t="s">
        <v>899</v>
      </c>
      <c r="B244" t="s">
        <v>640</v>
      </c>
      <c r="C244" s="41" t="s">
        <v>641</v>
      </c>
      <c r="D244" s="34" t="s">
        <v>642</v>
      </c>
      <c r="E244" t="s">
        <v>640</v>
      </c>
      <c r="F244" s="41" t="s">
        <v>641</v>
      </c>
      <c r="G244" s="34" t="s">
        <v>330</v>
      </c>
      <c r="H244" s="34" t="s">
        <v>98</v>
      </c>
      <c r="I244" s="34" t="s">
        <v>5</v>
      </c>
      <c r="J244" s="45">
        <v>141980001025</v>
      </c>
      <c r="K244" s="34" t="s">
        <v>21</v>
      </c>
      <c r="L244" s="34" t="s">
        <v>80</v>
      </c>
      <c r="M244" s="34" t="s">
        <v>109</v>
      </c>
      <c r="N244" s="34" t="s">
        <v>643</v>
      </c>
      <c r="O244" s="43">
        <v>44040</v>
      </c>
      <c r="P244" s="43" t="s">
        <v>25</v>
      </c>
      <c r="Q244" s="34" t="s">
        <v>1158</v>
      </c>
      <c r="R244" s="34" t="s">
        <v>901</v>
      </c>
      <c r="S244" s="34"/>
      <c r="T244" t="s">
        <v>1187</v>
      </c>
      <c r="U244">
        <f t="shared" si="3"/>
        <v>7</v>
      </c>
      <c r="V244">
        <f>VLOOKUP(I244,Indicadores!$N$4:$Q$15,4,0)</f>
        <v>895.23</v>
      </c>
    </row>
    <row r="245" spans="1:22">
      <c r="A245" t="s">
        <v>899</v>
      </c>
      <c r="B245" t="s">
        <v>640</v>
      </c>
      <c r="C245" s="41" t="s">
        <v>641</v>
      </c>
      <c r="D245" s="34" t="s">
        <v>642</v>
      </c>
      <c r="E245" t="s">
        <v>640</v>
      </c>
      <c r="F245" s="41" t="s">
        <v>641</v>
      </c>
      <c r="G245" s="34" t="s">
        <v>330</v>
      </c>
      <c r="H245" s="34" t="s">
        <v>98</v>
      </c>
      <c r="I245" s="38" t="s">
        <v>835</v>
      </c>
      <c r="J245" s="45">
        <v>6255192</v>
      </c>
      <c r="K245" s="34" t="s">
        <v>26</v>
      </c>
      <c r="L245" s="34" t="s">
        <v>84</v>
      </c>
      <c r="M245" s="34" t="s">
        <v>109</v>
      </c>
      <c r="N245" s="34" t="s">
        <v>643</v>
      </c>
      <c r="O245" s="43">
        <v>44040</v>
      </c>
      <c r="P245" s="43" t="s">
        <v>25</v>
      </c>
      <c r="Q245" s="34" t="s">
        <v>1159</v>
      </c>
      <c r="R245" s="34" t="s">
        <v>901</v>
      </c>
      <c r="S245" s="34"/>
      <c r="T245" t="s">
        <v>1187</v>
      </c>
      <c r="U245">
        <f t="shared" si="3"/>
        <v>7</v>
      </c>
      <c r="V245">
        <f>VLOOKUP(I245,Indicadores!$N$4:$Q$15,4,0)</f>
        <v>546.79</v>
      </c>
    </row>
    <row r="246" spans="1:22">
      <c r="A246" t="s">
        <v>899</v>
      </c>
      <c r="B246" t="s">
        <v>640</v>
      </c>
      <c r="C246" s="41" t="s">
        <v>641</v>
      </c>
      <c r="D246" s="34" t="s">
        <v>642</v>
      </c>
      <c r="E246" t="s">
        <v>640</v>
      </c>
      <c r="F246" s="41" t="s">
        <v>641</v>
      </c>
      <c r="G246" s="34" t="s">
        <v>330</v>
      </c>
      <c r="H246" s="34" t="s">
        <v>98</v>
      </c>
      <c r="I246" s="34" t="s">
        <v>7</v>
      </c>
      <c r="J246" s="45" t="s">
        <v>107</v>
      </c>
      <c r="K246" s="34" t="s">
        <v>21</v>
      </c>
      <c r="L246" s="34" t="s">
        <v>108</v>
      </c>
      <c r="M246" s="34" t="s">
        <v>109</v>
      </c>
      <c r="N246" s="34" t="s">
        <v>643</v>
      </c>
      <c r="O246" s="43">
        <v>44040</v>
      </c>
      <c r="P246" s="43" t="s">
        <v>25</v>
      </c>
      <c r="Q246" s="34" t="s">
        <v>1160</v>
      </c>
      <c r="R246" s="34" t="s">
        <v>901</v>
      </c>
      <c r="S246" s="34"/>
      <c r="T246" t="s">
        <v>1187</v>
      </c>
      <c r="U246">
        <f t="shared" si="3"/>
        <v>7</v>
      </c>
      <c r="V246">
        <f>VLOOKUP(I246,Indicadores!$N$4:$Q$15,4,0)</f>
        <v>329.87</v>
      </c>
    </row>
    <row r="247" spans="1:22">
      <c r="A247" t="s">
        <v>899</v>
      </c>
      <c r="B247" t="s">
        <v>327</v>
      </c>
      <c r="C247" s="41" t="s">
        <v>328</v>
      </c>
      <c r="D247" s="34" t="s">
        <v>329</v>
      </c>
      <c r="E247" t="s">
        <v>327</v>
      </c>
      <c r="F247" s="41" t="s">
        <v>328</v>
      </c>
      <c r="G247" s="34" t="s">
        <v>330</v>
      </c>
      <c r="H247" s="34" t="s">
        <v>202</v>
      </c>
      <c r="I247" s="34" t="s">
        <v>5</v>
      </c>
      <c r="J247" s="45">
        <v>1532591</v>
      </c>
      <c r="K247" s="34" t="s">
        <v>21</v>
      </c>
      <c r="L247" s="34" t="s">
        <v>78</v>
      </c>
      <c r="M247" s="34" t="s">
        <v>211</v>
      </c>
      <c r="N247" s="34" t="s">
        <v>305</v>
      </c>
      <c r="O247" s="43">
        <v>44043</v>
      </c>
      <c r="P247" s="43" t="s">
        <v>25</v>
      </c>
      <c r="Q247" s="34" t="s">
        <v>1161</v>
      </c>
      <c r="R247" s="34" t="s">
        <v>901</v>
      </c>
      <c r="S247" s="34"/>
      <c r="T247" t="s">
        <v>1187</v>
      </c>
      <c r="U247">
        <f t="shared" si="3"/>
        <v>7</v>
      </c>
      <c r="V247">
        <f>VLOOKUP(I247,Indicadores!$N$4:$Q$15,4,0)</f>
        <v>895.23</v>
      </c>
    </row>
    <row r="248" spans="1:22">
      <c r="A248" t="s">
        <v>899</v>
      </c>
      <c r="B248" t="s">
        <v>327</v>
      </c>
      <c r="C248" s="41" t="s">
        <v>328</v>
      </c>
      <c r="D248" s="34" t="s">
        <v>329</v>
      </c>
      <c r="E248" t="s">
        <v>327</v>
      </c>
      <c r="F248" s="41" t="s">
        <v>328</v>
      </c>
      <c r="G248" s="34" t="s">
        <v>330</v>
      </c>
      <c r="H248" s="34" t="s">
        <v>202</v>
      </c>
      <c r="I248" s="38" t="s">
        <v>835</v>
      </c>
      <c r="J248" s="42">
        <v>6227214</v>
      </c>
      <c r="K248" s="34" t="s">
        <v>26</v>
      </c>
      <c r="L248" s="34" t="s">
        <v>84</v>
      </c>
      <c r="M248" s="34" t="s">
        <v>211</v>
      </c>
      <c r="N248" s="34" t="s">
        <v>305</v>
      </c>
      <c r="O248" s="43">
        <v>44043</v>
      </c>
      <c r="P248" s="43" t="s">
        <v>25</v>
      </c>
      <c r="Q248" s="47" t="s">
        <v>1162</v>
      </c>
      <c r="R248" s="34" t="s">
        <v>1163</v>
      </c>
      <c r="S248" s="34"/>
      <c r="T248" t="s">
        <v>1187</v>
      </c>
      <c r="U248">
        <f t="shared" si="3"/>
        <v>7</v>
      </c>
      <c r="V248">
        <f>VLOOKUP(I248,Indicadores!$N$4:$Q$15,4,0)</f>
        <v>546.79</v>
      </c>
    </row>
    <row r="249" spans="1:22">
      <c r="A249" t="s">
        <v>899</v>
      </c>
      <c r="B249" t="s">
        <v>327</v>
      </c>
      <c r="C249" s="41" t="s">
        <v>328</v>
      </c>
      <c r="D249" s="34" t="s">
        <v>329</v>
      </c>
      <c r="E249" t="s">
        <v>327</v>
      </c>
      <c r="F249" s="41" t="s">
        <v>328</v>
      </c>
      <c r="G249" s="34" t="s">
        <v>330</v>
      </c>
      <c r="H249" s="34" t="s">
        <v>202</v>
      </c>
      <c r="I249" s="34" t="s">
        <v>7</v>
      </c>
      <c r="J249" s="45">
        <v>50008</v>
      </c>
      <c r="K249" s="34" t="s">
        <v>31</v>
      </c>
      <c r="L249" s="34" t="s">
        <v>129</v>
      </c>
      <c r="M249" s="34" t="s">
        <v>211</v>
      </c>
      <c r="N249" s="34" t="s">
        <v>305</v>
      </c>
      <c r="O249" s="43">
        <v>44043</v>
      </c>
      <c r="P249" s="43" t="s">
        <v>25</v>
      </c>
      <c r="Q249" s="47" t="s">
        <v>1164</v>
      </c>
      <c r="R249" s="34" t="s">
        <v>901</v>
      </c>
      <c r="S249" s="34"/>
      <c r="T249" t="s">
        <v>1187</v>
      </c>
      <c r="U249">
        <f t="shared" si="3"/>
        <v>7</v>
      </c>
      <c r="V249">
        <f>VLOOKUP(I249,Indicadores!$N$4:$Q$15,4,0)</f>
        <v>329.87</v>
      </c>
    </row>
    <row r="250" spans="1:22">
      <c r="A250" t="s">
        <v>899</v>
      </c>
      <c r="B250" t="s">
        <v>355</v>
      </c>
      <c r="C250" s="41" t="s">
        <v>356</v>
      </c>
      <c r="D250" s="34" t="s">
        <v>357</v>
      </c>
      <c r="E250" t="s">
        <v>355</v>
      </c>
      <c r="F250" s="41" t="s">
        <v>356</v>
      </c>
      <c r="G250" s="34" t="s">
        <v>330</v>
      </c>
      <c r="H250" s="34" t="s">
        <v>202</v>
      </c>
      <c r="I250" s="34" t="s">
        <v>2</v>
      </c>
      <c r="J250" s="45" t="s">
        <v>231</v>
      </c>
      <c r="K250" s="34" t="s">
        <v>232</v>
      </c>
      <c r="L250" s="34" t="s">
        <v>93</v>
      </c>
      <c r="M250" s="34" t="s">
        <v>230</v>
      </c>
      <c r="N250" s="34" t="s">
        <v>358</v>
      </c>
      <c r="O250" s="43">
        <v>44173</v>
      </c>
      <c r="P250" s="43" t="s">
        <v>25</v>
      </c>
      <c r="Q250" s="34" t="s">
        <v>1165</v>
      </c>
      <c r="R250" s="34" t="s">
        <v>901</v>
      </c>
      <c r="S250" s="34"/>
      <c r="T250" t="s">
        <v>1187</v>
      </c>
      <c r="U250">
        <f t="shared" si="3"/>
        <v>12</v>
      </c>
      <c r="V250">
        <f>VLOOKUP(I250,Indicadores!$N$4:$Q$15,4,0)</f>
        <v>456.77</v>
      </c>
    </row>
    <row r="251" spans="1:22">
      <c r="A251" t="s">
        <v>899</v>
      </c>
      <c r="B251" t="s">
        <v>355</v>
      </c>
      <c r="C251" s="41" t="s">
        <v>356</v>
      </c>
      <c r="D251" s="34" t="s">
        <v>357</v>
      </c>
      <c r="E251" t="s">
        <v>355</v>
      </c>
      <c r="F251" s="41" t="s">
        <v>356</v>
      </c>
      <c r="G251" s="34" t="s">
        <v>330</v>
      </c>
      <c r="H251" s="34" t="s">
        <v>202</v>
      </c>
      <c r="I251" s="38" t="s">
        <v>4</v>
      </c>
      <c r="J251" s="45">
        <v>53253</v>
      </c>
      <c r="K251" s="34" t="s">
        <v>31</v>
      </c>
      <c r="L251" s="34" t="s">
        <v>74</v>
      </c>
      <c r="M251" s="34" t="s">
        <v>230</v>
      </c>
      <c r="N251" s="34" t="s">
        <v>358</v>
      </c>
      <c r="O251" s="43">
        <v>44173</v>
      </c>
      <c r="P251" s="43" t="s">
        <v>25</v>
      </c>
      <c r="Q251" s="34" t="s">
        <v>1166</v>
      </c>
      <c r="R251" s="34" t="s">
        <v>901</v>
      </c>
      <c r="S251" s="34"/>
      <c r="T251" t="s">
        <v>1187</v>
      </c>
      <c r="U251">
        <f t="shared" si="3"/>
        <v>12</v>
      </c>
      <c r="V251">
        <f>VLOOKUP(I251,Indicadores!$N$4:$Q$15,4,0)</f>
        <v>329.87</v>
      </c>
    </row>
    <row r="252" spans="1:22">
      <c r="A252" t="s">
        <v>899</v>
      </c>
      <c r="B252" t="s">
        <v>355</v>
      </c>
      <c r="C252" s="41" t="s">
        <v>356</v>
      </c>
      <c r="D252" s="34" t="s">
        <v>357</v>
      </c>
      <c r="E252" t="s">
        <v>355</v>
      </c>
      <c r="F252" s="41" t="s">
        <v>356</v>
      </c>
      <c r="G252" s="34" t="s">
        <v>330</v>
      </c>
      <c r="H252" s="34" t="s">
        <v>202</v>
      </c>
      <c r="I252" s="38" t="s">
        <v>4</v>
      </c>
      <c r="J252" s="42">
        <v>4220742</v>
      </c>
      <c r="K252" s="34" t="s">
        <v>26</v>
      </c>
      <c r="L252" s="47" t="s">
        <v>27</v>
      </c>
      <c r="M252" s="34" t="s">
        <v>230</v>
      </c>
      <c r="N252" s="34" t="s">
        <v>358</v>
      </c>
      <c r="O252" s="43">
        <v>44173</v>
      </c>
      <c r="P252" s="43" t="s">
        <v>25</v>
      </c>
      <c r="Q252" s="47" t="s">
        <v>1167</v>
      </c>
      <c r="R252" s="34" t="s">
        <v>901</v>
      </c>
      <c r="S252" s="34"/>
      <c r="T252" t="s">
        <v>1187</v>
      </c>
      <c r="U252">
        <f t="shared" si="3"/>
        <v>12</v>
      </c>
      <c r="V252">
        <f>VLOOKUP(I252,Indicadores!$N$4:$Q$15,4,0)</f>
        <v>329.87</v>
      </c>
    </row>
    <row r="253" spans="1:22">
      <c r="A253" t="s">
        <v>899</v>
      </c>
      <c r="B253" t="s">
        <v>355</v>
      </c>
      <c r="C253" s="41" t="s">
        <v>356</v>
      </c>
      <c r="D253" s="34" t="s">
        <v>357</v>
      </c>
      <c r="E253" t="s">
        <v>355</v>
      </c>
      <c r="F253" s="41" t="s">
        <v>356</v>
      </c>
      <c r="G253" s="34" t="s">
        <v>330</v>
      </c>
      <c r="H253" s="34" t="s">
        <v>202</v>
      </c>
      <c r="I253" s="34" t="s">
        <v>5</v>
      </c>
      <c r="J253" s="45">
        <v>1562954</v>
      </c>
      <c r="K253" s="34" t="s">
        <v>21</v>
      </c>
      <c r="L253" s="34" t="s">
        <v>78</v>
      </c>
      <c r="M253" s="34" t="s">
        <v>230</v>
      </c>
      <c r="N253" s="34" t="s">
        <v>358</v>
      </c>
      <c r="O253" s="43">
        <v>44173</v>
      </c>
      <c r="P253" s="43" t="s">
        <v>25</v>
      </c>
      <c r="Q253" s="47" t="s">
        <v>1168</v>
      </c>
      <c r="R253" s="34" t="s">
        <v>901</v>
      </c>
      <c r="T253" t="s">
        <v>1187</v>
      </c>
      <c r="U253">
        <f t="shared" si="3"/>
        <v>12</v>
      </c>
      <c r="V253">
        <f>VLOOKUP(I253,Indicadores!$N$4:$Q$15,4,0)</f>
        <v>895.23</v>
      </c>
    </row>
    <row r="254" spans="1:22">
      <c r="A254" t="s">
        <v>899</v>
      </c>
      <c r="B254" t="s">
        <v>355</v>
      </c>
      <c r="C254" s="41" t="s">
        <v>356</v>
      </c>
      <c r="D254" s="34" t="s">
        <v>357</v>
      </c>
      <c r="E254" t="s">
        <v>355</v>
      </c>
      <c r="F254" s="41" t="s">
        <v>356</v>
      </c>
      <c r="G254" s="34" t="s">
        <v>330</v>
      </c>
      <c r="H254" s="34" t="s">
        <v>202</v>
      </c>
      <c r="I254" s="34" t="s">
        <v>5</v>
      </c>
      <c r="J254" s="45">
        <v>142380001005</v>
      </c>
      <c r="K254" s="34" t="s">
        <v>21</v>
      </c>
      <c r="L254" s="34" t="s">
        <v>80</v>
      </c>
      <c r="M254" s="34" t="s">
        <v>230</v>
      </c>
      <c r="N254" s="34" t="s">
        <v>358</v>
      </c>
      <c r="O254" s="43">
        <v>44173</v>
      </c>
      <c r="P254" s="43" t="s">
        <v>25</v>
      </c>
      <c r="Q254" s="47" t="s">
        <v>1169</v>
      </c>
      <c r="R254" s="34" t="s">
        <v>901</v>
      </c>
      <c r="S254" s="34"/>
      <c r="T254" t="s">
        <v>1187</v>
      </c>
      <c r="U254">
        <f t="shared" si="3"/>
        <v>12</v>
      </c>
      <c r="V254">
        <f>VLOOKUP(I254,Indicadores!$N$4:$Q$15,4,0)</f>
        <v>895.23</v>
      </c>
    </row>
    <row r="255" spans="1:22">
      <c r="A255" s="49" t="s">
        <v>899</v>
      </c>
      <c r="B255" s="49" t="s">
        <v>355</v>
      </c>
      <c r="C255" s="41" t="s">
        <v>356</v>
      </c>
      <c r="D255" s="34" t="s">
        <v>357</v>
      </c>
      <c r="E255" s="49" t="s">
        <v>355</v>
      </c>
      <c r="F255" s="41" t="s">
        <v>356</v>
      </c>
      <c r="G255" s="34" t="s">
        <v>330</v>
      </c>
      <c r="H255" s="34" t="s">
        <v>202</v>
      </c>
      <c r="I255" s="34" t="s">
        <v>5</v>
      </c>
      <c r="J255" s="45">
        <v>142380001014</v>
      </c>
      <c r="K255" s="34" t="s">
        <v>21</v>
      </c>
      <c r="L255" s="34" t="s">
        <v>80</v>
      </c>
      <c r="M255" s="34" t="s">
        <v>230</v>
      </c>
      <c r="N255" s="34" t="s">
        <v>358</v>
      </c>
      <c r="O255" s="43">
        <v>44173</v>
      </c>
      <c r="P255" s="43" t="s">
        <v>25</v>
      </c>
      <c r="Q255" s="47" t="s">
        <v>1170</v>
      </c>
      <c r="R255" s="34" t="s">
        <v>901</v>
      </c>
      <c r="S255" s="34"/>
      <c r="T255" t="s">
        <v>1187</v>
      </c>
      <c r="U255">
        <f t="shared" si="3"/>
        <v>12</v>
      </c>
      <c r="V255">
        <f>VLOOKUP(I255,Indicadores!$N$4:$Q$15,4,0)</f>
        <v>895.23</v>
      </c>
    </row>
    <row r="256" spans="1:22">
      <c r="A256" t="s">
        <v>899</v>
      </c>
      <c r="B256" t="s">
        <v>355</v>
      </c>
      <c r="C256" s="41" t="s">
        <v>356</v>
      </c>
      <c r="D256" s="34" t="s">
        <v>357</v>
      </c>
      <c r="E256" t="s">
        <v>355</v>
      </c>
      <c r="F256" s="41" t="s">
        <v>356</v>
      </c>
      <c r="G256" s="34" t="s">
        <v>330</v>
      </c>
      <c r="H256" s="34" t="s">
        <v>202</v>
      </c>
      <c r="I256" s="38" t="s">
        <v>835</v>
      </c>
      <c r="J256" s="45">
        <v>6261862</v>
      </c>
      <c r="K256" s="34" t="s">
        <v>26</v>
      </c>
      <c r="L256" s="34" t="s">
        <v>84</v>
      </c>
      <c r="M256" s="34" t="s">
        <v>230</v>
      </c>
      <c r="N256" s="34" t="s">
        <v>358</v>
      </c>
      <c r="O256" s="43">
        <v>44173</v>
      </c>
      <c r="P256" s="43" t="s">
        <v>25</v>
      </c>
      <c r="Q256" s="47" t="s">
        <v>1171</v>
      </c>
      <c r="R256" s="34" t="s">
        <v>901</v>
      </c>
      <c r="S256" s="34"/>
      <c r="T256" t="s">
        <v>1187</v>
      </c>
      <c r="U256">
        <f t="shared" si="3"/>
        <v>12</v>
      </c>
      <c r="V256">
        <f>VLOOKUP(I256,Indicadores!$N$4:$Q$15,4,0)</f>
        <v>546.79</v>
      </c>
    </row>
    <row r="257" spans="1:22">
      <c r="A257" t="s">
        <v>899</v>
      </c>
      <c r="B257" t="s">
        <v>355</v>
      </c>
      <c r="C257" s="41" t="s">
        <v>356</v>
      </c>
      <c r="D257" s="34" t="s">
        <v>357</v>
      </c>
      <c r="E257" t="s">
        <v>355</v>
      </c>
      <c r="F257" s="41" t="s">
        <v>356</v>
      </c>
      <c r="G257" s="34" t="s">
        <v>330</v>
      </c>
      <c r="H257" s="34" t="s">
        <v>202</v>
      </c>
      <c r="I257" s="38" t="s">
        <v>835</v>
      </c>
      <c r="J257" s="42">
        <v>6213434</v>
      </c>
      <c r="K257" s="34" t="s">
        <v>26</v>
      </c>
      <c r="L257" s="34" t="s">
        <v>84</v>
      </c>
      <c r="M257" s="34" t="s">
        <v>230</v>
      </c>
      <c r="N257" s="34" t="s">
        <v>358</v>
      </c>
      <c r="O257" s="43">
        <v>44173</v>
      </c>
      <c r="P257" s="43" t="s">
        <v>25</v>
      </c>
      <c r="Q257" s="47" t="s">
        <v>1172</v>
      </c>
      <c r="R257" s="34" t="s">
        <v>901</v>
      </c>
      <c r="S257" s="34"/>
      <c r="T257" t="s">
        <v>1187</v>
      </c>
      <c r="U257">
        <f t="shared" si="3"/>
        <v>12</v>
      </c>
      <c r="V257">
        <f>VLOOKUP(I257,Indicadores!$N$4:$Q$15,4,0)</f>
        <v>546.79</v>
      </c>
    </row>
    <row r="258" spans="1:22">
      <c r="A258" s="49" t="s">
        <v>899</v>
      </c>
      <c r="B258" s="49" t="s">
        <v>355</v>
      </c>
      <c r="C258" s="41" t="s">
        <v>356</v>
      </c>
      <c r="D258" s="34" t="s">
        <v>357</v>
      </c>
      <c r="E258" s="49" t="s">
        <v>355</v>
      </c>
      <c r="F258" s="41" t="s">
        <v>356</v>
      </c>
      <c r="G258" s="34" t="s">
        <v>330</v>
      </c>
      <c r="H258" s="34" t="s">
        <v>202</v>
      </c>
      <c r="I258" s="38" t="s">
        <v>835</v>
      </c>
      <c r="J258" s="45">
        <v>6264735</v>
      </c>
      <c r="K258" s="34" t="s">
        <v>26</v>
      </c>
      <c r="L258" s="34" t="s">
        <v>84</v>
      </c>
      <c r="M258" s="34" t="s">
        <v>230</v>
      </c>
      <c r="N258" s="34" t="s">
        <v>358</v>
      </c>
      <c r="O258" s="43">
        <v>44173</v>
      </c>
      <c r="P258" s="43" t="s">
        <v>25</v>
      </c>
      <c r="Q258" s="47" t="s">
        <v>1173</v>
      </c>
      <c r="R258" s="34" t="s">
        <v>901</v>
      </c>
      <c r="S258" s="34"/>
      <c r="T258" t="s">
        <v>1187</v>
      </c>
      <c r="U258">
        <f t="shared" si="3"/>
        <v>12</v>
      </c>
      <c r="V258">
        <f>VLOOKUP(I258,Indicadores!$N$4:$Q$15,4,0)</f>
        <v>546.79</v>
      </c>
    </row>
    <row r="259" spans="1:22">
      <c r="A259" t="s">
        <v>899</v>
      </c>
      <c r="B259" t="s">
        <v>355</v>
      </c>
      <c r="C259" s="41" t="s">
        <v>356</v>
      </c>
      <c r="D259" s="34" t="s">
        <v>357</v>
      </c>
      <c r="E259" t="s">
        <v>355</v>
      </c>
      <c r="F259" s="41" t="s">
        <v>356</v>
      </c>
      <c r="G259" s="34" t="s">
        <v>330</v>
      </c>
      <c r="H259" s="34" t="s">
        <v>202</v>
      </c>
      <c r="I259" s="34" t="s">
        <v>7</v>
      </c>
      <c r="J259" s="47">
        <v>53320</v>
      </c>
      <c r="K259" s="34" t="s">
        <v>31</v>
      </c>
      <c r="L259" s="34" t="s">
        <v>53</v>
      </c>
      <c r="M259" s="34" t="s">
        <v>230</v>
      </c>
      <c r="N259" s="34" t="s">
        <v>358</v>
      </c>
      <c r="O259" s="43">
        <v>44173</v>
      </c>
      <c r="P259" s="43" t="s">
        <v>25</v>
      </c>
      <c r="Q259" s="34" t="s">
        <v>1174</v>
      </c>
      <c r="R259" s="34" t="s">
        <v>901</v>
      </c>
      <c r="S259" s="47"/>
      <c r="T259" t="s">
        <v>1187</v>
      </c>
      <c r="U259">
        <f t="shared" ref="U259:U271" si="4">IF(O259&lt;&gt;"",MONTH(O259),"")</f>
        <v>12</v>
      </c>
      <c r="V259">
        <f>VLOOKUP(I259,Indicadores!$N$4:$Q$15,4,0)</f>
        <v>329.87</v>
      </c>
    </row>
    <row r="260" spans="1:22">
      <c r="A260" t="s">
        <v>899</v>
      </c>
      <c r="B260" t="s">
        <v>355</v>
      </c>
      <c r="C260" s="41" t="s">
        <v>356</v>
      </c>
      <c r="D260" s="34" t="s">
        <v>357</v>
      </c>
      <c r="E260" t="s">
        <v>355</v>
      </c>
      <c r="F260" s="41" t="s">
        <v>356</v>
      </c>
      <c r="G260" s="34" t="s">
        <v>330</v>
      </c>
      <c r="H260" s="34" t="s">
        <v>202</v>
      </c>
      <c r="I260" s="34" t="s">
        <v>7</v>
      </c>
      <c r="J260" s="45">
        <v>538624</v>
      </c>
      <c r="K260" s="34" t="s">
        <v>56</v>
      </c>
      <c r="L260" s="34" t="s">
        <v>57</v>
      </c>
      <c r="M260" s="34" t="s">
        <v>230</v>
      </c>
      <c r="N260" s="34" t="s">
        <v>358</v>
      </c>
      <c r="O260" s="43">
        <v>44173</v>
      </c>
      <c r="P260" s="43" t="s">
        <v>25</v>
      </c>
      <c r="Q260" s="34" t="s">
        <v>1175</v>
      </c>
      <c r="R260" s="34" t="s">
        <v>901</v>
      </c>
      <c r="S260" s="34"/>
      <c r="T260" t="s">
        <v>1187</v>
      </c>
      <c r="U260">
        <f t="shared" si="4"/>
        <v>12</v>
      </c>
      <c r="V260">
        <f>VLOOKUP(I260,Indicadores!$N$4:$Q$15,4,0)</f>
        <v>329.87</v>
      </c>
    </row>
    <row r="261" spans="1:22">
      <c r="A261" s="49" t="s">
        <v>899</v>
      </c>
      <c r="B261" s="49" t="s">
        <v>355</v>
      </c>
      <c r="C261" s="41" t="s">
        <v>356</v>
      </c>
      <c r="D261" s="34" t="s">
        <v>357</v>
      </c>
      <c r="E261" s="49" t="s">
        <v>355</v>
      </c>
      <c r="F261" s="41" t="s">
        <v>356</v>
      </c>
      <c r="G261" s="34" t="s">
        <v>330</v>
      </c>
      <c r="H261" s="34" t="s">
        <v>202</v>
      </c>
      <c r="I261" s="34" t="s">
        <v>7</v>
      </c>
      <c r="J261" s="45">
        <v>2905640</v>
      </c>
      <c r="K261" s="34" t="s">
        <v>56</v>
      </c>
      <c r="L261" s="34" t="s">
        <v>57</v>
      </c>
      <c r="M261" s="34" t="s">
        <v>230</v>
      </c>
      <c r="N261" s="34" t="s">
        <v>358</v>
      </c>
      <c r="O261" s="43">
        <v>44173</v>
      </c>
      <c r="P261" s="43" t="s">
        <v>25</v>
      </c>
      <c r="Q261" s="47" t="s">
        <v>1176</v>
      </c>
      <c r="R261" s="34" t="s">
        <v>901</v>
      </c>
      <c r="S261" s="34"/>
      <c r="T261" t="s">
        <v>1187</v>
      </c>
      <c r="U261">
        <f t="shared" si="4"/>
        <v>12</v>
      </c>
      <c r="V261">
        <f>VLOOKUP(I261,Indicadores!$N$4:$Q$15,4,0)</f>
        <v>329.87</v>
      </c>
    </row>
    <row r="262" spans="1:22">
      <c r="A262" t="s">
        <v>899</v>
      </c>
      <c r="B262" t="s">
        <v>355</v>
      </c>
      <c r="C262" s="41" t="s">
        <v>356</v>
      </c>
      <c r="D262" s="34" t="s">
        <v>357</v>
      </c>
      <c r="E262" t="s">
        <v>355</v>
      </c>
      <c r="F262" s="41" t="s">
        <v>356</v>
      </c>
      <c r="G262" s="34" t="s">
        <v>330</v>
      </c>
      <c r="H262" s="34" t="s">
        <v>202</v>
      </c>
      <c r="I262" s="34" t="s">
        <v>7</v>
      </c>
      <c r="J262" s="45">
        <v>2848909</v>
      </c>
      <c r="K262" s="34" t="s">
        <v>56</v>
      </c>
      <c r="L262" s="34" t="s">
        <v>57</v>
      </c>
      <c r="M262" s="34" t="s">
        <v>230</v>
      </c>
      <c r="N262" s="34" t="s">
        <v>358</v>
      </c>
      <c r="O262" s="43">
        <v>44173</v>
      </c>
      <c r="P262" s="43" t="s">
        <v>25</v>
      </c>
      <c r="Q262" s="34" t="s">
        <v>1177</v>
      </c>
      <c r="R262" s="34" t="s">
        <v>901</v>
      </c>
      <c r="S262" s="34"/>
      <c r="T262" t="s">
        <v>1187</v>
      </c>
      <c r="U262">
        <f t="shared" si="4"/>
        <v>12</v>
      </c>
      <c r="V262">
        <f>VLOOKUP(I262,Indicadores!$N$4:$Q$15,4,0)</f>
        <v>329.87</v>
      </c>
    </row>
    <row r="263" spans="1:22">
      <c r="A263" t="s">
        <v>899</v>
      </c>
      <c r="B263" t="s">
        <v>355</v>
      </c>
      <c r="C263" s="41" t="s">
        <v>356</v>
      </c>
      <c r="D263" s="34" t="s">
        <v>357</v>
      </c>
      <c r="E263" t="s">
        <v>355</v>
      </c>
      <c r="F263" s="41" t="s">
        <v>356</v>
      </c>
      <c r="G263" s="34" t="s">
        <v>330</v>
      </c>
      <c r="H263" s="34" t="s">
        <v>202</v>
      </c>
      <c r="I263" s="34" t="s">
        <v>9</v>
      </c>
      <c r="J263" s="45" t="s">
        <v>233</v>
      </c>
      <c r="K263" s="34" t="s">
        <v>21</v>
      </c>
      <c r="L263" s="34" t="s">
        <v>29</v>
      </c>
      <c r="M263" s="34" t="s">
        <v>230</v>
      </c>
      <c r="N263" s="34" t="s">
        <v>358</v>
      </c>
      <c r="O263" s="43">
        <v>44173</v>
      </c>
      <c r="P263" s="43" t="s">
        <v>25</v>
      </c>
      <c r="Q263" s="47" t="s">
        <v>1178</v>
      </c>
      <c r="R263" s="34" t="s">
        <v>901</v>
      </c>
      <c r="S263" s="34"/>
      <c r="T263" t="s">
        <v>1187</v>
      </c>
      <c r="U263">
        <f t="shared" si="4"/>
        <v>12</v>
      </c>
      <c r="V263">
        <f>VLOOKUP(I263,Indicadores!$N$4:$Q$15,4,0)</f>
        <v>521.79999999999995</v>
      </c>
    </row>
    <row r="264" spans="1:22">
      <c r="A264" t="s">
        <v>899</v>
      </c>
      <c r="B264" t="s">
        <v>603</v>
      </c>
      <c r="C264" s="41" t="s">
        <v>604</v>
      </c>
      <c r="D264" s="34" t="s">
        <v>605</v>
      </c>
      <c r="E264" t="s">
        <v>606</v>
      </c>
      <c r="F264" s="41" t="s">
        <v>607</v>
      </c>
      <c r="G264" s="34" t="s">
        <v>608</v>
      </c>
      <c r="H264" s="34" t="s">
        <v>202</v>
      </c>
      <c r="I264" s="34" t="s">
        <v>9</v>
      </c>
      <c r="J264" s="45" t="s">
        <v>267</v>
      </c>
      <c r="K264" s="34" t="s">
        <v>21</v>
      </c>
      <c r="L264" s="34" t="s">
        <v>29</v>
      </c>
      <c r="M264" s="34" t="s">
        <v>265</v>
      </c>
      <c r="N264" s="34" t="s">
        <v>332</v>
      </c>
      <c r="O264" s="43">
        <v>44007</v>
      </c>
      <c r="P264" s="43" t="s">
        <v>25</v>
      </c>
      <c r="Q264" s="47" t="s">
        <v>1179</v>
      </c>
      <c r="R264" s="34" t="s">
        <v>901</v>
      </c>
      <c r="S264" s="34"/>
      <c r="T264" t="s">
        <v>1187</v>
      </c>
      <c r="U264">
        <f t="shared" si="4"/>
        <v>6</v>
      </c>
      <c r="V264">
        <f>VLOOKUP(I264,Indicadores!$N$4:$Q$15,4,0)</f>
        <v>521.79999999999995</v>
      </c>
    </row>
    <row r="265" spans="1:22">
      <c r="A265" t="s">
        <v>899</v>
      </c>
      <c r="B265" t="s">
        <v>603</v>
      </c>
      <c r="C265" s="41" t="s">
        <v>604</v>
      </c>
      <c r="D265" s="34" t="s">
        <v>605</v>
      </c>
      <c r="E265" t="s">
        <v>606</v>
      </c>
      <c r="F265" s="41" t="s">
        <v>607</v>
      </c>
      <c r="G265" s="34" t="s">
        <v>608</v>
      </c>
      <c r="H265" s="34" t="s">
        <v>202</v>
      </c>
      <c r="I265" s="38" t="s">
        <v>4</v>
      </c>
      <c r="J265" s="45">
        <v>1912001002164</v>
      </c>
      <c r="K265" s="34" t="s">
        <v>225</v>
      </c>
      <c r="L265" s="34">
        <v>912</v>
      </c>
      <c r="M265" s="34" t="s">
        <v>265</v>
      </c>
      <c r="N265" s="34" t="s">
        <v>332</v>
      </c>
      <c r="O265" s="43">
        <v>44007</v>
      </c>
      <c r="P265" s="43" t="s">
        <v>25</v>
      </c>
      <c r="Q265" s="47" t="s">
        <v>1180</v>
      </c>
      <c r="R265" s="34" t="s">
        <v>901</v>
      </c>
      <c r="S265" s="34"/>
      <c r="T265" t="s">
        <v>1187</v>
      </c>
      <c r="U265">
        <f t="shared" si="4"/>
        <v>6</v>
      </c>
      <c r="V265">
        <f>VLOOKUP(I265,Indicadores!$N$4:$Q$15,4,0)</f>
        <v>329.87</v>
      </c>
    </row>
    <row r="266" spans="1:22">
      <c r="A266" t="s">
        <v>899</v>
      </c>
      <c r="B266" t="s">
        <v>603</v>
      </c>
      <c r="C266" s="41" t="s">
        <v>604</v>
      </c>
      <c r="D266" s="34" t="s">
        <v>605</v>
      </c>
      <c r="E266" t="s">
        <v>606</v>
      </c>
      <c r="F266" s="41" t="s">
        <v>607</v>
      </c>
      <c r="G266" s="34" t="s">
        <v>608</v>
      </c>
      <c r="H266" s="34" t="s">
        <v>202</v>
      </c>
      <c r="I266" s="34" t="s">
        <v>5</v>
      </c>
      <c r="J266" s="45" t="s">
        <v>263</v>
      </c>
      <c r="K266" s="34" t="s">
        <v>217</v>
      </c>
      <c r="L266" s="34" t="s">
        <v>264</v>
      </c>
      <c r="M266" s="34" t="s">
        <v>265</v>
      </c>
      <c r="N266" s="34" t="s">
        <v>332</v>
      </c>
      <c r="O266" s="43">
        <v>44007</v>
      </c>
      <c r="P266" s="43" t="s">
        <v>25</v>
      </c>
      <c r="Q266" s="47" t="s">
        <v>1181</v>
      </c>
      <c r="R266" s="34" t="s">
        <v>901</v>
      </c>
      <c r="S266" s="34"/>
      <c r="T266" t="s">
        <v>1187</v>
      </c>
      <c r="U266">
        <f t="shared" si="4"/>
        <v>6</v>
      </c>
      <c r="V266">
        <f>VLOOKUP(I266,Indicadores!$N$4:$Q$15,4,0)</f>
        <v>895.23</v>
      </c>
    </row>
    <row r="267" spans="1:22">
      <c r="A267" t="s">
        <v>899</v>
      </c>
      <c r="B267" t="s">
        <v>603</v>
      </c>
      <c r="C267" s="41" t="s">
        <v>604</v>
      </c>
      <c r="D267" s="34" t="s">
        <v>605</v>
      </c>
      <c r="E267" t="s">
        <v>606</v>
      </c>
      <c r="F267" s="41" t="s">
        <v>607</v>
      </c>
      <c r="G267" s="34" t="s">
        <v>608</v>
      </c>
      <c r="H267" s="34" t="s">
        <v>202</v>
      </c>
      <c r="I267" s="34" t="s">
        <v>5</v>
      </c>
      <c r="J267" s="45">
        <v>1420968</v>
      </c>
      <c r="K267" s="34" t="s">
        <v>21</v>
      </c>
      <c r="L267" s="34" t="s">
        <v>266</v>
      </c>
      <c r="M267" s="34" t="s">
        <v>265</v>
      </c>
      <c r="N267" s="34" t="s">
        <v>332</v>
      </c>
      <c r="O267" s="43">
        <v>44007</v>
      </c>
      <c r="P267" s="43" t="s">
        <v>25</v>
      </c>
      <c r="Q267" s="47" t="s">
        <v>1182</v>
      </c>
      <c r="R267" s="34" t="s">
        <v>901</v>
      </c>
      <c r="S267" s="34"/>
      <c r="T267" t="s">
        <v>1187</v>
      </c>
      <c r="U267">
        <f t="shared" si="4"/>
        <v>6</v>
      </c>
      <c r="V267">
        <f>VLOOKUP(I267,Indicadores!$N$4:$Q$15,4,0)</f>
        <v>895.23</v>
      </c>
    </row>
    <row r="268" spans="1:22">
      <c r="A268" t="s">
        <v>899</v>
      </c>
      <c r="B268" t="s">
        <v>603</v>
      </c>
      <c r="C268" s="41" t="s">
        <v>604</v>
      </c>
      <c r="D268" s="34" t="s">
        <v>605</v>
      </c>
      <c r="E268" t="s">
        <v>606</v>
      </c>
      <c r="F268" s="41" t="s">
        <v>607</v>
      </c>
      <c r="G268" s="34" t="s">
        <v>608</v>
      </c>
      <c r="H268" s="34" t="s">
        <v>202</v>
      </c>
      <c r="I268" s="34" t="s">
        <v>7</v>
      </c>
      <c r="J268" s="45">
        <v>96115</v>
      </c>
      <c r="K268" s="34" t="s">
        <v>217</v>
      </c>
      <c r="L268" s="34" t="s">
        <v>268</v>
      </c>
      <c r="M268" s="34" t="s">
        <v>265</v>
      </c>
      <c r="N268" s="34" t="s">
        <v>332</v>
      </c>
      <c r="O268" s="43">
        <v>44007</v>
      </c>
      <c r="P268" s="43" t="s">
        <v>25</v>
      </c>
      <c r="Q268" s="47" t="s">
        <v>1183</v>
      </c>
      <c r="R268" s="34" t="s">
        <v>901</v>
      </c>
      <c r="S268" s="34"/>
      <c r="T268" t="s">
        <v>1187</v>
      </c>
      <c r="U268">
        <f t="shared" si="4"/>
        <v>6</v>
      </c>
      <c r="V268">
        <f>VLOOKUP(I268,Indicadores!$N$4:$Q$15,4,0)</f>
        <v>329.87</v>
      </c>
    </row>
    <row r="269" spans="1:22">
      <c r="A269" t="s">
        <v>899</v>
      </c>
      <c r="B269" t="s">
        <v>603</v>
      </c>
      <c r="C269" s="41" t="s">
        <v>604</v>
      </c>
      <c r="D269" s="34" t="s">
        <v>605</v>
      </c>
      <c r="E269" t="s">
        <v>606</v>
      </c>
      <c r="F269" s="41" t="s">
        <v>607</v>
      </c>
      <c r="G269" s="34" t="s">
        <v>608</v>
      </c>
      <c r="H269" s="34" t="s">
        <v>202</v>
      </c>
      <c r="I269" s="34" t="s">
        <v>7</v>
      </c>
      <c r="J269" s="45" t="s">
        <v>269</v>
      </c>
      <c r="K269" s="34" t="s">
        <v>48</v>
      </c>
      <c r="L269" s="34" t="s">
        <v>270</v>
      </c>
      <c r="M269" s="34" t="s">
        <v>265</v>
      </c>
      <c r="N269" s="34" t="s">
        <v>332</v>
      </c>
      <c r="O269" s="43">
        <v>44007</v>
      </c>
      <c r="P269" s="43" t="s">
        <v>25</v>
      </c>
      <c r="Q269" s="47" t="s">
        <v>1184</v>
      </c>
      <c r="R269" s="34" t="s">
        <v>901</v>
      </c>
      <c r="S269" s="34"/>
      <c r="T269" t="s">
        <v>1187</v>
      </c>
      <c r="U269">
        <f t="shared" si="4"/>
        <v>6</v>
      </c>
      <c r="V269">
        <f>VLOOKUP(I269,Indicadores!$N$4:$Q$15,4,0)</f>
        <v>329.87</v>
      </c>
    </row>
    <row r="270" spans="1:22">
      <c r="A270" t="s">
        <v>899</v>
      </c>
      <c r="B270" t="s">
        <v>603</v>
      </c>
      <c r="C270" s="41" t="s">
        <v>604</v>
      </c>
      <c r="D270" s="34" t="s">
        <v>605</v>
      </c>
      <c r="E270" t="s">
        <v>606</v>
      </c>
      <c r="F270" s="41" t="s">
        <v>607</v>
      </c>
      <c r="G270" s="34" t="s">
        <v>608</v>
      </c>
      <c r="H270" s="34" t="s">
        <v>202</v>
      </c>
      <c r="I270" s="34" t="s">
        <v>7</v>
      </c>
      <c r="J270" s="45">
        <v>1827001034317</v>
      </c>
      <c r="K270" s="34" t="s">
        <v>225</v>
      </c>
      <c r="L270" s="34" t="s">
        <v>226</v>
      </c>
      <c r="M270" s="34" t="s">
        <v>265</v>
      </c>
      <c r="N270" s="34" t="s">
        <v>332</v>
      </c>
      <c r="O270" s="43">
        <v>44007</v>
      </c>
      <c r="P270" s="43" t="s">
        <v>25</v>
      </c>
      <c r="Q270" s="47" t="s">
        <v>1185</v>
      </c>
      <c r="R270" s="34" t="s">
        <v>901</v>
      </c>
      <c r="S270" s="34"/>
      <c r="T270" t="s">
        <v>1187</v>
      </c>
      <c r="U270">
        <f t="shared" si="4"/>
        <v>6</v>
      </c>
      <c r="V270">
        <f>VLOOKUP(I270,Indicadores!$N$4:$Q$15,4,0)</f>
        <v>329.87</v>
      </c>
    </row>
    <row r="271" spans="1:22">
      <c r="A271" t="s">
        <v>899</v>
      </c>
      <c r="B271" t="s">
        <v>603</v>
      </c>
      <c r="C271" s="41" t="s">
        <v>604</v>
      </c>
      <c r="D271" s="34" t="s">
        <v>605</v>
      </c>
      <c r="E271" t="s">
        <v>606</v>
      </c>
      <c r="F271" s="41" t="s">
        <v>607</v>
      </c>
      <c r="G271" s="34" t="s">
        <v>608</v>
      </c>
      <c r="H271" s="34" t="s">
        <v>202</v>
      </c>
      <c r="I271" s="34" t="s">
        <v>7</v>
      </c>
      <c r="J271" s="45">
        <v>1827001034324</v>
      </c>
      <c r="K271" s="34" t="s">
        <v>225</v>
      </c>
      <c r="L271" s="34" t="s">
        <v>226</v>
      </c>
      <c r="M271" s="34" t="s">
        <v>265</v>
      </c>
      <c r="N271" s="34" t="s">
        <v>332</v>
      </c>
      <c r="O271" s="43">
        <v>44007</v>
      </c>
      <c r="P271" s="43" t="s">
        <v>25</v>
      </c>
      <c r="Q271" s="47" t="s">
        <v>1186</v>
      </c>
      <c r="R271" s="34" t="s">
        <v>901</v>
      </c>
      <c r="S271" s="34"/>
      <c r="U271">
        <f t="shared" si="4"/>
        <v>6</v>
      </c>
      <c r="V271">
        <f>VLOOKUP(I271,Indicadores!$N$4:$Q$15,4,0)</f>
        <v>329.87</v>
      </c>
    </row>
  </sheetData>
  <autoFilter ref="A1:V271" xr:uid="{66389553-EB49-4FEE-B96F-ACFFFB87C8BE}"/>
  <conditionalFormatting sqref="O271 O208:O216 O187 O192 O194 O197:O202 O180:O182 O2:O34 O36:O175">
    <cfRule type="expression" dxfId="770" priority="280">
      <formula>IF(O2&lt;=TODAY()-365,TRUE)</formula>
    </cfRule>
    <cfRule type="expression" dxfId="769" priority="281">
      <formula>IF(O2&lt;(TODAY())-320,TRUE)</formula>
    </cfRule>
    <cfRule type="expression" dxfId="768" priority="282">
      <formula>IF(O2&lt;(TODAY())+0,TRUE)</formula>
    </cfRule>
  </conditionalFormatting>
  <conditionalFormatting sqref="P271 P236 P253 P262 P269 P208:P216 P184 P187 P189:P206 P180:P182 P2:P34 P36:P178">
    <cfRule type="expression" dxfId="767" priority="277">
      <formula>IF(O2&lt;=TODAY()-365,TRUE)</formula>
    </cfRule>
    <cfRule type="expression" dxfId="766" priority="278">
      <formula>IF(O2&lt;(TODAY())-320,TRUE)</formula>
    </cfRule>
    <cfRule type="expression" dxfId="765" priority="279">
      <formula>IF(O2&lt;(TODAY())+0,TRUE)</formula>
    </cfRule>
  </conditionalFormatting>
  <conditionalFormatting sqref="P35">
    <cfRule type="expression" dxfId="764" priority="274">
      <formula>IF(O35&lt;=TODAY()-365,TRUE)</formula>
    </cfRule>
    <cfRule type="expression" dxfId="763" priority="275">
      <formula>IF(O35&lt;(TODAY())-320,TRUE)</formula>
    </cfRule>
    <cfRule type="expression" dxfId="762" priority="276">
      <formula>IF(O35&lt;(TODAY())+0,TRUE)</formula>
    </cfRule>
  </conditionalFormatting>
  <conditionalFormatting sqref="O35">
    <cfRule type="expression" dxfId="761" priority="271">
      <formula>IF(O35&lt;=TODAY()-365,TRUE)</formula>
    </cfRule>
    <cfRule type="expression" dxfId="760" priority="272">
      <formula>IF(O35&lt;(TODAY())-320,TRUE)</formula>
    </cfRule>
    <cfRule type="expression" dxfId="759" priority="273">
      <formula>IF(O35&lt;(TODAY())+0,TRUE)</formula>
    </cfRule>
  </conditionalFormatting>
  <conditionalFormatting sqref="O176">
    <cfRule type="expression" dxfId="758" priority="268">
      <formula>IF(O176&lt;=TODAY()-365,TRUE)</formula>
    </cfRule>
    <cfRule type="expression" dxfId="757" priority="269">
      <formula>IF(O176&lt;(TODAY())-320,TRUE)</formula>
    </cfRule>
    <cfRule type="expression" dxfId="756" priority="270">
      <formula>IF(O176&lt;(TODAY())+0,TRUE)</formula>
    </cfRule>
  </conditionalFormatting>
  <conditionalFormatting sqref="O177">
    <cfRule type="expression" dxfId="755" priority="265">
      <formula>IF(O177&lt;=TODAY()-365,TRUE)</formula>
    </cfRule>
    <cfRule type="expression" dxfId="754" priority="266">
      <formula>IF(O177&lt;(TODAY())-320,TRUE)</formula>
    </cfRule>
    <cfRule type="expression" dxfId="753" priority="267">
      <formula>IF(O177&lt;(TODAY())+0,TRUE)</formula>
    </cfRule>
  </conditionalFormatting>
  <conditionalFormatting sqref="O178">
    <cfRule type="expression" dxfId="752" priority="262">
      <formula>IF(O178&lt;=TODAY()-365,TRUE)</formula>
    </cfRule>
    <cfRule type="expression" dxfId="751" priority="263">
      <formula>IF(O178&lt;(TODAY())-320,TRUE)</formula>
    </cfRule>
    <cfRule type="expression" dxfId="750" priority="264">
      <formula>IF(O178&lt;(TODAY())+0,TRUE)</formula>
    </cfRule>
  </conditionalFormatting>
  <conditionalFormatting sqref="P179">
    <cfRule type="expression" dxfId="749" priority="259">
      <formula>IF(O179&lt;=TODAY()-365,TRUE)</formula>
    </cfRule>
    <cfRule type="expression" dxfId="748" priority="260">
      <formula>IF(O179&lt;(TODAY())-320,TRUE)</formula>
    </cfRule>
    <cfRule type="expression" dxfId="747" priority="261">
      <formula>IF(O179&lt;(TODAY())+0,TRUE)</formula>
    </cfRule>
  </conditionalFormatting>
  <conditionalFormatting sqref="O179">
    <cfRule type="expression" dxfId="746" priority="256">
      <formula>IF(O179&lt;=TODAY()-365,TRUE)</formula>
    </cfRule>
    <cfRule type="expression" dxfId="745" priority="257">
      <formula>IF(O179&lt;(TODAY())-320,TRUE)</formula>
    </cfRule>
    <cfRule type="expression" dxfId="744" priority="258">
      <formula>IF(O179&lt;(TODAY())+0,TRUE)</formula>
    </cfRule>
  </conditionalFormatting>
  <conditionalFormatting sqref="O183 O191">
    <cfRule type="expression" dxfId="743" priority="253">
      <formula>IF(O183&lt;=TODAY()-365,TRUE)</formula>
    </cfRule>
    <cfRule type="expression" dxfId="742" priority="254">
      <formula>IF(O183&lt;(TODAY())-320,TRUE)</formula>
    </cfRule>
    <cfRule type="expression" dxfId="741" priority="255">
      <formula>IF(O183&lt;(TODAY())+0,TRUE)</formula>
    </cfRule>
  </conditionalFormatting>
  <conditionalFormatting sqref="P183">
    <cfRule type="expression" dxfId="740" priority="250">
      <formula>IF(O183&lt;=TODAY()-365,TRUE)</formula>
    </cfRule>
    <cfRule type="expression" dxfId="739" priority="251">
      <formula>IF(O183&lt;(TODAY())-320,TRUE)</formula>
    </cfRule>
    <cfRule type="expression" dxfId="738" priority="252">
      <formula>IF(O183&lt;(TODAY())+0,TRUE)</formula>
    </cfRule>
  </conditionalFormatting>
  <conditionalFormatting sqref="O184">
    <cfRule type="expression" dxfId="737" priority="247">
      <formula>IF(O184&lt;=TODAY()-365,TRUE)</formula>
    </cfRule>
    <cfRule type="expression" dxfId="736" priority="248">
      <formula>IF(O184&lt;(TODAY())-320,TRUE)</formula>
    </cfRule>
    <cfRule type="expression" dxfId="735" priority="249">
      <formula>IF(O184&lt;(TODAY())+0,TRUE)</formula>
    </cfRule>
  </conditionalFormatting>
  <conditionalFormatting sqref="O185:O186">
    <cfRule type="expression" dxfId="734" priority="244">
      <formula>IF(O185&lt;=TODAY()-365,TRUE)</formula>
    </cfRule>
    <cfRule type="expression" dxfId="733" priority="245">
      <formula>IF(O185&lt;(TODAY())-320,TRUE)</formula>
    </cfRule>
    <cfRule type="expression" dxfId="732" priority="246">
      <formula>IF(O185&lt;(TODAY())+0,TRUE)</formula>
    </cfRule>
  </conditionalFormatting>
  <conditionalFormatting sqref="P185:P186">
    <cfRule type="expression" dxfId="731" priority="241">
      <formula>IF(O185&lt;=TODAY()-365,TRUE)</formula>
    </cfRule>
    <cfRule type="expression" dxfId="730" priority="242">
      <formula>IF(O185&lt;(TODAY())-320,TRUE)</formula>
    </cfRule>
    <cfRule type="expression" dxfId="729" priority="243">
      <formula>IF(O185&lt;(TODAY())+0,TRUE)</formula>
    </cfRule>
  </conditionalFormatting>
  <conditionalFormatting sqref="O188">
    <cfRule type="expression" dxfId="728" priority="238">
      <formula>IF(O188&lt;=TODAY()-365,TRUE)</formula>
    </cfRule>
    <cfRule type="expression" dxfId="727" priority="239">
      <formula>IF(O188&lt;(TODAY())-320,TRUE)</formula>
    </cfRule>
    <cfRule type="expression" dxfId="726" priority="240">
      <formula>IF(O188&lt;(TODAY())+0,TRUE)</formula>
    </cfRule>
  </conditionalFormatting>
  <conditionalFormatting sqref="P188">
    <cfRule type="expression" dxfId="725" priority="235">
      <formula>IF(O188&lt;=TODAY()-365,TRUE)</formula>
    </cfRule>
    <cfRule type="expression" dxfId="724" priority="236">
      <formula>IF(O188&lt;(TODAY())-320,TRUE)</formula>
    </cfRule>
    <cfRule type="expression" dxfId="723" priority="237">
      <formula>IF(O188&lt;(TODAY())+0,TRUE)</formula>
    </cfRule>
  </conditionalFormatting>
  <conditionalFormatting sqref="O189">
    <cfRule type="expression" dxfId="722" priority="232">
      <formula>IF(O189&lt;=TODAY()-365,TRUE)</formula>
    </cfRule>
    <cfRule type="expression" dxfId="721" priority="233">
      <formula>IF(O189&lt;(TODAY())-320,TRUE)</formula>
    </cfRule>
    <cfRule type="expression" dxfId="720" priority="234">
      <formula>IF(O189&lt;(TODAY())+0,TRUE)</formula>
    </cfRule>
  </conditionalFormatting>
  <conditionalFormatting sqref="O190">
    <cfRule type="expression" dxfId="719" priority="229">
      <formula>IF(O190&lt;=TODAY()-365,TRUE)</formula>
    </cfRule>
    <cfRule type="expression" dxfId="718" priority="230">
      <formula>IF(O190&lt;(TODAY())-320,TRUE)</formula>
    </cfRule>
    <cfRule type="expression" dxfId="717" priority="231">
      <formula>IF(O190&lt;(TODAY())+0,TRUE)</formula>
    </cfRule>
  </conditionalFormatting>
  <conditionalFormatting sqref="O269 O193">
    <cfRule type="expression" dxfId="716" priority="226">
      <formula>IF(O193&lt;=TODAY()-365,TRUE)</formula>
    </cfRule>
    <cfRule type="expression" dxfId="715" priority="227">
      <formula>IF(O193&lt;(TODAY())-320,TRUE)</formula>
    </cfRule>
    <cfRule type="expression" dxfId="714" priority="228">
      <formula>IF(O193&lt;(TODAY())+0,TRUE)</formula>
    </cfRule>
  </conditionalFormatting>
  <conditionalFormatting sqref="O195">
    <cfRule type="expression" dxfId="713" priority="223">
      <formula>IF(O195&lt;=TODAY()-365,TRUE)</formula>
    </cfRule>
    <cfRule type="expression" dxfId="712" priority="224">
      <formula>IF(O195&lt;(TODAY())-320,TRUE)</formula>
    </cfRule>
    <cfRule type="expression" dxfId="711" priority="225">
      <formula>IF(O195&lt;(TODAY())+0,TRUE)</formula>
    </cfRule>
  </conditionalFormatting>
  <conditionalFormatting sqref="O196">
    <cfRule type="expression" dxfId="710" priority="220">
      <formula>IF(O196&lt;=TODAY()-365,TRUE)</formula>
    </cfRule>
    <cfRule type="expression" dxfId="709" priority="221">
      <formula>IF(O196&lt;(TODAY())-320,TRUE)</formula>
    </cfRule>
    <cfRule type="expression" dxfId="708" priority="222">
      <formula>IF(O196&lt;(TODAY())+0,TRUE)</formula>
    </cfRule>
  </conditionalFormatting>
  <conditionalFormatting sqref="O203">
    <cfRule type="expression" dxfId="707" priority="217">
      <formula>IF(O203&lt;=TODAY()-365,TRUE)</formula>
    </cfRule>
    <cfRule type="expression" dxfId="706" priority="218">
      <formula>IF(O203&lt;(TODAY())-320,TRUE)</formula>
    </cfRule>
    <cfRule type="expression" dxfId="705" priority="219">
      <formula>IF(O203&lt;(TODAY())+0,TRUE)</formula>
    </cfRule>
  </conditionalFormatting>
  <conditionalFormatting sqref="O204">
    <cfRule type="expression" dxfId="704" priority="214">
      <formula>IF(O204&lt;=TODAY()-365,TRUE)</formula>
    </cfRule>
    <cfRule type="expression" dxfId="703" priority="215">
      <formula>IF(O204&lt;(TODAY())-320,TRUE)</formula>
    </cfRule>
    <cfRule type="expression" dxfId="702" priority="216">
      <formula>IF(O204&lt;(TODAY())+0,TRUE)</formula>
    </cfRule>
  </conditionalFormatting>
  <conditionalFormatting sqref="O205">
    <cfRule type="expression" dxfId="701" priority="211">
      <formula>IF(O205&lt;=TODAY()-365,TRUE)</formula>
    </cfRule>
    <cfRule type="expression" dxfId="700" priority="212">
      <formula>IF(O205&lt;(TODAY())-320,TRUE)</formula>
    </cfRule>
    <cfRule type="expression" dxfId="699" priority="213">
      <formula>IF(O205&lt;(TODAY())+0,TRUE)</formula>
    </cfRule>
  </conditionalFormatting>
  <conditionalFormatting sqref="O206">
    <cfRule type="expression" dxfId="698" priority="208">
      <formula>IF(O206&lt;=TODAY()-365,TRUE)</formula>
    </cfRule>
    <cfRule type="expression" dxfId="697" priority="209">
      <formula>IF(O206&lt;(TODAY())-320,TRUE)</formula>
    </cfRule>
    <cfRule type="expression" dxfId="696" priority="210">
      <formula>IF(O206&lt;(TODAY())+0,TRUE)</formula>
    </cfRule>
  </conditionalFormatting>
  <conditionalFormatting sqref="O207">
    <cfRule type="expression" dxfId="695" priority="205">
      <formula>IF(O207&lt;=TODAY()-365,TRUE)</formula>
    </cfRule>
    <cfRule type="expression" dxfId="694" priority="206">
      <formula>IF(O207&lt;(TODAY())-320,TRUE)</formula>
    </cfRule>
    <cfRule type="expression" dxfId="693" priority="207">
      <formula>IF(O207&lt;(TODAY())+0,TRUE)</formula>
    </cfRule>
  </conditionalFormatting>
  <conditionalFormatting sqref="P207">
    <cfRule type="expression" dxfId="692" priority="202">
      <formula>IF(O207&lt;=TODAY()-365,TRUE)</formula>
    </cfRule>
    <cfRule type="expression" dxfId="691" priority="203">
      <formula>IF(O207&lt;(TODAY())-320,TRUE)</formula>
    </cfRule>
    <cfRule type="expression" dxfId="690" priority="204">
      <formula>IF(O207&lt;(TODAY())+0,TRUE)</formula>
    </cfRule>
  </conditionalFormatting>
  <conditionalFormatting sqref="O233 O217">
    <cfRule type="expression" dxfId="689" priority="199">
      <formula>IF(O217&lt;=TODAY()-365,TRUE)</formula>
    </cfRule>
    <cfRule type="expression" dxfId="688" priority="200">
      <formula>IF(O217&lt;(TODAY())-320,TRUE)</formula>
    </cfRule>
    <cfRule type="expression" dxfId="687" priority="201">
      <formula>IF(O217&lt;(TODAY())+0,TRUE)</formula>
    </cfRule>
  </conditionalFormatting>
  <conditionalFormatting sqref="P233 P217">
    <cfRule type="expression" dxfId="686" priority="196">
      <formula>IF(O217&lt;=TODAY()-365,TRUE)</formula>
    </cfRule>
    <cfRule type="expression" dxfId="685" priority="197">
      <formula>IF(O217&lt;(TODAY())-320,TRUE)</formula>
    </cfRule>
    <cfRule type="expression" dxfId="684" priority="198">
      <formula>IF(O217&lt;(TODAY())+0,TRUE)</formula>
    </cfRule>
  </conditionalFormatting>
  <conditionalFormatting sqref="O218">
    <cfRule type="expression" dxfId="683" priority="193">
      <formula>IF(O218&lt;=TODAY()-365,TRUE)</formula>
    </cfRule>
    <cfRule type="expression" dxfId="682" priority="194">
      <formula>IF(O218&lt;(TODAY())-320,TRUE)</formula>
    </cfRule>
    <cfRule type="expression" dxfId="681" priority="195">
      <formula>IF(O218&lt;(TODAY())+0,TRUE)</formula>
    </cfRule>
  </conditionalFormatting>
  <conditionalFormatting sqref="P218">
    <cfRule type="expression" dxfId="680" priority="190">
      <formula>IF(O218&lt;=TODAY()-365,TRUE)</formula>
    </cfRule>
    <cfRule type="expression" dxfId="679" priority="191">
      <formula>IF(O218&lt;(TODAY())-320,TRUE)</formula>
    </cfRule>
    <cfRule type="expression" dxfId="678" priority="192">
      <formula>IF(O218&lt;(TODAY())+0,TRUE)</formula>
    </cfRule>
  </conditionalFormatting>
  <conditionalFormatting sqref="O219">
    <cfRule type="expression" dxfId="677" priority="187">
      <formula>IF(O219&lt;=TODAY()-365,TRUE)</formula>
    </cfRule>
    <cfRule type="expression" dxfId="676" priority="188">
      <formula>IF(O219&lt;(TODAY())-320,TRUE)</formula>
    </cfRule>
    <cfRule type="expression" dxfId="675" priority="189">
      <formula>IF(O219&lt;(TODAY())+0,TRUE)</formula>
    </cfRule>
  </conditionalFormatting>
  <conditionalFormatting sqref="P219">
    <cfRule type="expression" dxfId="674" priority="184">
      <formula>IF(O219&lt;=TODAY()-365,TRUE)</formula>
    </cfRule>
    <cfRule type="expression" dxfId="673" priority="185">
      <formula>IF(O219&lt;(TODAY())-320,TRUE)</formula>
    </cfRule>
    <cfRule type="expression" dxfId="672" priority="186">
      <formula>IF(O219&lt;(TODAY())+0,TRUE)</formula>
    </cfRule>
  </conditionalFormatting>
  <conditionalFormatting sqref="O220">
    <cfRule type="expression" dxfId="671" priority="181">
      <formula>IF(O220&lt;=TODAY()-365,TRUE)</formula>
    </cfRule>
    <cfRule type="expression" dxfId="670" priority="182">
      <formula>IF(O220&lt;(TODAY())-320,TRUE)</formula>
    </cfRule>
    <cfRule type="expression" dxfId="669" priority="183">
      <formula>IF(O220&lt;(TODAY())+0,TRUE)</formula>
    </cfRule>
  </conditionalFormatting>
  <conditionalFormatting sqref="P220">
    <cfRule type="expression" dxfId="668" priority="178">
      <formula>IF(O220&lt;=TODAY()-365,TRUE)</formula>
    </cfRule>
    <cfRule type="expression" dxfId="667" priority="179">
      <formula>IF(O220&lt;(TODAY())-320,TRUE)</formula>
    </cfRule>
    <cfRule type="expression" dxfId="666" priority="180">
      <formula>IF(O220&lt;(TODAY())+0,TRUE)</formula>
    </cfRule>
  </conditionalFormatting>
  <conditionalFormatting sqref="O224">
    <cfRule type="expression" dxfId="665" priority="157">
      <formula>IF(O224&lt;=TODAY()-365,TRUE)</formula>
    </cfRule>
    <cfRule type="expression" dxfId="664" priority="158">
      <formula>IF(O224&lt;(TODAY())-320,TRUE)</formula>
    </cfRule>
    <cfRule type="expression" dxfId="663" priority="159">
      <formula>IF(O224&lt;(TODAY())+0,TRUE)</formula>
    </cfRule>
  </conditionalFormatting>
  <conditionalFormatting sqref="P224">
    <cfRule type="expression" dxfId="662" priority="154">
      <formula>IF(O224&lt;=TODAY()-365,TRUE)</formula>
    </cfRule>
    <cfRule type="expression" dxfId="661" priority="155">
      <formula>IF(O224&lt;(TODAY())-320,TRUE)</formula>
    </cfRule>
    <cfRule type="expression" dxfId="660" priority="156">
      <formula>IF(O224&lt;(TODAY())+0,TRUE)</formula>
    </cfRule>
  </conditionalFormatting>
  <conditionalFormatting sqref="O221">
    <cfRule type="expression" dxfId="659" priority="175">
      <formula>IF(O221&lt;=TODAY()-365,TRUE)</formula>
    </cfRule>
    <cfRule type="expression" dxfId="658" priority="176">
      <formula>IF(O221&lt;(TODAY())-320,TRUE)</formula>
    </cfRule>
    <cfRule type="expression" dxfId="657" priority="177">
      <formula>IF(O221&lt;(TODAY())+0,TRUE)</formula>
    </cfRule>
  </conditionalFormatting>
  <conditionalFormatting sqref="P221">
    <cfRule type="expression" dxfId="656" priority="172">
      <formula>IF(O221&lt;=TODAY()-365,TRUE)</formula>
    </cfRule>
    <cfRule type="expression" dxfId="655" priority="173">
      <formula>IF(O221&lt;(TODAY())-320,TRUE)</formula>
    </cfRule>
    <cfRule type="expression" dxfId="654" priority="174">
      <formula>IF(O221&lt;(TODAY())+0,TRUE)</formula>
    </cfRule>
  </conditionalFormatting>
  <conditionalFormatting sqref="O222">
    <cfRule type="expression" dxfId="653" priority="169">
      <formula>IF(O222&lt;=TODAY()-365,TRUE)</formula>
    </cfRule>
    <cfRule type="expression" dxfId="652" priority="170">
      <formula>IF(O222&lt;(TODAY())-320,TRUE)</formula>
    </cfRule>
    <cfRule type="expression" dxfId="651" priority="171">
      <formula>IF(O222&lt;(TODAY())+0,TRUE)</formula>
    </cfRule>
  </conditionalFormatting>
  <conditionalFormatting sqref="P222">
    <cfRule type="expression" dxfId="650" priority="166">
      <formula>IF(O222&lt;=TODAY()-365,TRUE)</formula>
    </cfRule>
    <cfRule type="expression" dxfId="649" priority="167">
      <formula>IF(O222&lt;(TODAY())-320,TRUE)</formula>
    </cfRule>
    <cfRule type="expression" dxfId="648" priority="168">
      <formula>IF(O222&lt;(TODAY())+0,TRUE)</formula>
    </cfRule>
  </conditionalFormatting>
  <conditionalFormatting sqref="O223">
    <cfRule type="expression" dxfId="647" priority="163">
      <formula>IF(O223&lt;=TODAY()-365,TRUE)</formula>
    </cfRule>
    <cfRule type="expression" dxfId="646" priority="164">
      <formula>IF(O223&lt;(TODAY())-320,TRUE)</formula>
    </cfRule>
    <cfRule type="expression" dxfId="645" priority="165">
      <formula>IF(O223&lt;(TODAY())+0,TRUE)</formula>
    </cfRule>
  </conditionalFormatting>
  <conditionalFormatting sqref="P223">
    <cfRule type="expression" dxfId="644" priority="160">
      <formula>IF(O223&lt;=TODAY()-365,TRUE)</formula>
    </cfRule>
    <cfRule type="expression" dxfId="643" priority="161">
      <formula>IF(O223&lt;(TODAY())-320,TRUE)</formula>
    </cfRule>
    <cfRule type="expression" dxfId="642" priority="162">
      <formula>IF(O223&lt;(TODAY())+0,TRUE)</formula>
    </cfRule>
  </conditionalFormatting>
  <conditionalFormatting sqref="O225">
    <cfRule type="expression" dxfId="641" priority="151">
      <formula>IF(O225&lt;=TODAY()-365,TRUE)</formula>
    </cfRule>
    <cfRule type="expression" dxfId="640" priority="152">
      <formula>IF(O225&lt;(TODAY())-320,TRUE)</formula>
    </cfRule>
    <cfRule type="expression" dxfId="639" priority="153">
      <formula>IF(O225&lt;(TODAY())+0,TRUE)</formula>
    </cfRule>
  </conditionalFormatting>
  <conditionalFormatting sqref="P225">
    <cfRule type="expression" dxfId="638" priority="148">
      <formula>IF(O225&lt;=TODAY()-365,TRUE)</formula>
    </cfRule>
    <cfRule type="expression" dxfId="637" priority="149">
      <formula>IF(O225&lt;(TODAY())-320,TRUE)</formula>
    </cfRule>
    <cfRule type="expression" dxfId="636" priority="150">
      <formula>IF(O225&lt;(TODAY())+0,TRUE)</formula>
    </cfRule>
  </conditionalFormatting>
  <conditionalFormatting sqref="O226">
    <cfRule type="expression" dxfId="635" priority="145">
      <formula>IF(O226&lt;=TODAY()-365,TRUE)</formula>
    </cfRule>
    <cfRule type="expression" dxfId="634" priority="146">
      <formula>IF(O226&lt;(TODAY())-320,TRUE)</formula>
    </cfRule>
    <cfRule type="expression" dxfId="633" priority="147">
      <formula>IF(O226&lt;(TODAY())+0,TRUE)</formula>
    </cfRule>
  </conditionalFormatting>
  <conditionalFormatting sqref="P226">
    <cfRule type="expression" dxfId="632" priority="142">
      <formula>IF(O226&lt;=TODAY()-365,TRUE)</formula>
    </cfRule>
    <cfRule type="expression" dxfId="631" priority="143">
      <formula>IF(O226&lt;(TODAY())-320,TRUE)</formula>
    </cfRule>
    <cfRule type="expression" dxfId="630" priority="144">
      <formula>IF(O226&lt;(TODAY())+0,TRUE)</formula>
    </cfRule>
  </conditionalFormatting>
  <conditionalFormatting sqref="O227">
    <cfRule type="expression" dxfId="629" priority="139">
      <formula>IF(O227&lt;=TODAY()-365,TRUE)</formula>
    </cfRule>
    <cfRule type="expression" dxfId="628" priority="140">
      <formula>IF(O227&lt;(TODAY())-320,TRUE)</formula>
    </cfRule>
    <cfRule type="expression" dxfId="627" priority="141">
      <formula>IF(O227&lt;(TODAY())+0,TRUE)</formula>
    </cfRule>
  </conditionalFormatting>
  <conditionalFormatting sqref="P227">
    <cfRule type="expression" dxfId="626" priority="136">
      <formula>IF(O227&lt;=TODAY()-365,TRUE)</formula>
    </cfRule>
    <cfRule type="expression" dxfId="625" priority="137">
      <formula>IF(O227&lt;(TODAY())-320,TRUE)</formula>
    </cfRule>
    <cfRule type="expression" dxfId="624" priority="138">
      <formula>IF(O227&lt;(TODAY())+0,TRUE)</formula>
    </cfRule>
  </conditionalFormatting>
  <conditionalFormatting sqref="O228">
    <cfRule type="expression" dxfId="623" priority="133">
      <formula>IF(O228&lt;=TODAY()-365,TRUE)</formula>
    </cfRule>
    <cfRule type="expression" dxfId="622" priority="134">
      <formula>IF(O228&lt;(TODAY())-320,TRUE)</formula>
    </cfRule>
    <cfRule type="expression" dxfId="621" priority="135">
      <formula>IF(O228&lt;(TODAY())+0,TRUE)</formula>
    </cfRule>
  </conditionalFormatting>
  <conditionalFormatting sqref="P228">
    <cfRule type="expression" dxfId="620" priority="130">
      <formula>IF(O228&lt;=TODAY()-365,TRUE)</formula>
    </cfRule>
    <cfRule type="expression" dxfId="619" priority="131">
      <formula>IF(O228&lt;(TODAY())-320,TRUE)</formula>
    </cfRule>
    <cfRule type="expression" dxfId="618" priority="132">
      <formula>IF(O228&lt;(TODAY())+0,TRUE)</formula>
    </cfRule>
  </conditionalFormatting>
  <conditionalFormatting sqref="O229">
    <cfRule type="expression" dxfId="617" priority="127">
      <formula>IF(O229&lt;=TODAY()-365,TRUE)</formula>
    </cfRule>
    <cfRule type="expression" dxfId="616" priority="128">
      <formula>IF(O229&lt;(TODAY())-320,TRUE)</formula>
    </cfRule>
    <cfRule type="expression" dxfId="615" priority="129">
      <formula>IF(O229&lt;(TODAY())+0,TRUE)</formula>
    </cfRule>
  </conditionalFormatting>
  <conditionalFormatting sqref="P229">
    <cfRule type="expression" dxfId="614" priority="124">
      <formula>IF(O229&lt;=TODAY()-365,TRUE)</formula>
    </cfRule>
    <cfRule type="expression" dxfId="613" priority="125">
      <formula>IF(O229&lt;(TODAY())-320,TRUE)</formula>
    </cfRule>
    <cfRule type="expression" dxfId="612" priority="126">
      <formula>IF(O229&lt;(TODAY())+0,TRUE)</formula>
    </cfRule>
  </conditionalFormatting>
  <conditionalFormatting sqref="O230">
    <cfRule type="expression" dxfId="611" priority="121">
      <formula>IF(O230&lt;=TODAY()-365,TRUE)</formula>
    </cfRule>
    <cfRule type="expression" dxfId="610" priority="122">
      <formula>IF(O230&lt;(TODAY())-320,TRUE)</formula>
    </cfRule>
    <cfRule type="expression" dxfId="609" priority="123">
      <formula>IF(O230&lt;(TODAY())+0,TRUE)</formula>
    </cfRule>
  </conditionalFormatting>
  <conditionalFormatting sqref="P230">
    <cfRule type="expression" dxfId="608" priority="118">
      <formula>IF(O230&lt;=TODAY()-365,TRUE)</formula>
    </cfRule>
    <cfRule type="expression" dxfId="607" priority="119">
      <formula>IF(O230&lt;(TODAY())-320,TRUE)</formula>
    </cfRule>
    <cfRule type="expression" dxfId="606" priority="120">
      <formula>IF(O230&lt;(TODAY())+0,TRUE)</formula>
    </cfRule>
  </conditionalFormatting>
  <conditionalFormatting sqref="O231">
    <cfRule type="expression" dxfId="605" priority="115">
      <formula>IF(O231&lt;=TODAY()-365,TRUE)</formula>
    </cfRule>
    <cfRule type="expression" dxfId="604" priority="116">
      <formula>IF(O231&lt;(TODAY())-320,TRUE)</formula>
    </cfRule>
    <cfRule type="expression" dxfId="603" priority="117">
      <formula>IF(O231&lt;(TODAY())+0,TRUE)</formula>
    </cfRule>
  </conditionalFormatting>
  <conditionalFormatting sqref="P231">
    <cfRule type="expression" dxfId="602" priority="112">
      <formula>IF(O231&lt;=TODAY()-365,TRUE)</formula>
    </cfRule>
    <cfRule type="expression" dxfId="601" priority="113">
      <formula>IF(O231&lt;(TODAY())-320,TRUE)</formula>
    </cfRule>
    <cfRule type="expression" dxfId="600" priority="114">
      <formula>IF(O231&lt;(TODAY())+0,TRUE)</formula>
    </cfRule>
  </conditionalFormatting>
  <conditionalFormatting sqref="O232">
    <cfRule type="expression" dxfId="599" priority="109">
      <formula>IF(O232&lt;=TODAY()-365,TRUE)</formula>
    </cfRule>
    <cfRule type="expression" dxfId="598" priority="110">
      <formula>IF(O232&lt;(TODAY())-320,TRUE)</formula>
    </cfRule>
    <cfRule type="expression" dxfId="597" priority="111">
      <formula>IF(O232&lt;(TODAY())+0,TRUE)</formula>
    </cfRule>
  </conditionalFormatting>
  <conditionalFormatting sqref="P232">
    <cfRule type="expression" dxfId="596" priority="106">
      <formula>IF(O232&lt;=TODAY()-365,TRUE)</formula>
    </cfRule>
    <cfRule type="expression" dxfId="595" priority="107">
      <formula>IF(O232&lt;(TODAY())-320,TRUE)</formula>
    </cfRule>
    <cfRule type="expression" dxfId="594" priority="108">
      <formula>IF(O232&lt;(TODAY())+0,TRUE)</formula>
    </cfRule>
  </conditionalFormatting>
  <conditionalFormatting sqref="O234">
    <cfRule type="expression" dxfId="593" priority="103">
      <formula>IF(O234&lt;=TODAY()-365,TRUE)</formula>
    </cfRule>
    <cfRule type="expression" dxfId="592" priority="104">
      <formula>IF(O234&lt;(TODAY())-320,TRUE)</formula>
    </cfRule>
    <cfRule type="expression" dxfId="591" priority="105">
      <formula>IF(O234&lt;(TODAY())+0,TRUE)</formula>
    </cfRule>
  </conditionalFormatting>
  <conditionalFormatting sqref="P234">
    <cfRule type="expression" dxfId="590" priority="100">
      <formula>IF(O234&lt;=TODAY()-365,TRUE)</formula>
    </cfRule>
    <cfRule type="expression" dxfId="589" priority="101">
      <formula>IF(O234&lt;(TODAY())-320,TRUE)</formula>
    </cfRule>
    <cfRule type="expression" dxfId="588" priority="102">
      <formula>IF(O234&lt;(TODAY())+0,TRUE)</formula>
    </cfRule>
  </conditionalFormatting>
  <conditionalFormatting sqref="O235">
    <cfRule type="expression" dxfId="587" priority="97">
      <formula>IF(O235&lt;=TODAY()-365,TRUE)</formula>
    </cfRule>
    <cfRule type="expression" dxfId="586" priority="98">
      <formula>IF(O235&lt;(TODAY())-320,TRUE)</formula>
    </cfRule>
    <cfRule type="expression" dxfId="585" priority="99">
      <formula>IF(O235&lt;(TODAY())+0,TRUE)</formula>
    </cfRule>
  </conditionalFormatting>
  <conditionalFormatting sqref="P235">
    <cfRule type="expression" dxfId="584" priority="94">
      <formula>IF(O235&lt;=TODAY()-365,TRUE)</formula>
    </cfRule>
    <cfRule type="expression" dxfId="583" priority="95">
      <formula>IF(O235&lt;(TODAY())-320,TRUE)</formula>
    </cfRule>
    <cfRule type="expression" dxfId="582" priority="96">
      <formula>IF(O235&lt;(TODAY())+0,TRUE)</formula>
    </cfRule>
  </conditionalFormatting>
  <conditionalFormatting sqref="O236">
    <cfRule type="expression" dxfId="581" priority="91">
      <formula>IF(O236&lt;=TODAY()-365,TRUE)</formula>
    </cfRule>
    <cfRule type="expression" dxfId="580" priority="92">
      <formula>IF(O236&lt;(TODAY())-320,TRUE)</formula>
    </cfRule>
    <cfRule type="expression" dxfId="579" priority="93">
      <formula>IF(O236&lt;(TODAY())+0,TRUE)</formula>
    </cfRule>
  </conditionalFormatting>
  <conditionalFormatting sqref="P237">
    <cfRule type="expression" dxfId="578" priority="85">
      <formula>IF(O237&lt;=TODAY()-365,TRUE)</formula>
    </cfRule>
    <cfRule type="expression" dxfId="577" priority="86">
      <formula>IF(O237&lt;(TODAY())-320,TRUE)</formula>
    </cfRule>
    <cfRule type="expression" dxfId="576" priority="87">
      <formula>IF(O237&lt;(TODAY())+0,TRUE)</formula>
    </cfRule>
  </conditionalFormatting>
  <conditionalFormatting sqref="O237">
    <cfRule type="expression" dxfId="575" priority="88">
      <formula>IF(O237&lt;=TODAY()-365,TRUE)</formula>
    </cfRule>
    <cfRule type="expression" dxfId="574" priority="89">
      <formula>IF(O237&lt;(TODAY())-320,TRUE)</formula>
    </cfRule>
    <cfRule type="expression" dxfId="573" priority="90">
      <formula>IF(O237&lt;(TODAY())+0,TRUE)</formula>
    </cfRule>
  </conditionalFormatting>
  <conditionalFormatting sqref="O238">
    <cfRule type="expression" dxfId="572" priority="82">
      <formula>IF(O238&lt;=TODAY()-365,TRUE)</formula>
    </cfRule>
    <cfRule type="expression" dxfId="571" priority="83">
      <formula>IF(O238&lt;(TODAY())-320,TRUE)</formula>
    </cfRule>
    <cfRule type="expression" dxfId="570" priority="84">
      <formula>IF(O238&lt;(TODAY())+0,TRUE)</formula>
    </cfRule>
  </conditionalFormatting>
  <conditionalFormatting sqref="P238:P244">
    <cfRule type="expression" dxfId="569" priority="79">
      <formula>IF(O238&lt;=TODAY()-365,TRUE)</formula>
    </cfRule>
    <cfRule type="expression" dxfId="568" priority="80">
      <formula>IF(O238&lt;(TODAY())-320,TRUE)</formula>
    </cfRule>
    <cfRule type="expression" dxfId="567" priority="81">
      <formula>IF(O238&lt;(TODAY())+0,TRUE)</formula>
    </cfRule>
  </conditionalFormatting>
  <conditionalFormatting sqref="O239">
    <cfRule type="expression" dxfId="566" priority="76">
      <formula>IF(O239&lt;=TODAY()-365,TRUE)</formula>
    </cfRule>
    <cfRule type="expression" dxfId="565" priority="77">
      <formula>IF(O239&lt;(TODAY())-320,TRUE)</formula>
    </cfRule>
    <cfRule type="expression" dxfId="564" priority="78">
      <formula>IF(O239&lt;(TODAY())+0,TRUE)</formula>
    </cfRule>
  </conditionalFormatting>
  <conditionalFormatting sqref="O240">
    <cfRule type="expression" dxfId="563" priority="73">
      <formula>IF(O240&lt;=TODAY()-365,TRUE)</formula>
    </cfRule>
    <cfRule type="expression" dxfId="562" priority="74">
      <formula>IF(O240&lt;(TODAY())-320,TRUE)</formula>
    </cfRule>
    <cfRule type="expression" dxfId="561" priority="75">
      <formula>IF(O240&lt;(TODAY())+0,TRUE)</formula>
    </cfRule>
  </conditionalFormatting>
  <conditionalFormatting sqref="O241">
    <cfRule type="expression" dxfId="560" priority="70">
      <formula>IF(O241&lt;=TODAY()-365,TRUE)</formula>
    </cfRule>
    <cfRule type="expression" dxfId="559" priority="71">
      <formula>IF(O241&lt;(TODAY())-320,TRUE)</formula>
    </cfRule>
    <cfRule type="expression" dxfId="558" priority="72">
      <formula>IF(O241&lt;(TODAY())+0,TRUE)</formula>
    </cfRule>
  </conditionalFormatting>
  <conditionalFormatting sqref="O242">
    <cfRule type="expression" dxfId="557" priority="67">
      <formula>IF(O242&lt;=TODAY()-365,TRUE)</formula>
    </cfRule>
    <cfRule type="expression" dxfId="556" priority="68">
      <formula>IF(O242&lt;(TODAY())-320,TRUE)</formula>
    </cfRule>
    <cfRule type="expression" dxfId="555" priority="69">
      <formula>IF(O242&lt;(TODAY())+0,TRUE)</formula>
    </cfRule>
  </conditionalFormatting>
  <conditionalFormatting sqref="O243">
    <cfRule type="expression" dxfId="554" priority="64">
      <formula>IF(O243&lt;=TODAY()-365,TRUE)</formula>
    </cfRule>
    <cfRule type="expression" dxfId="553" priority="65">
      <formula>IF(O243&lt;(TODAY())-320,TRUE)</formula>
    </cfRule>
    <cfRule type="expression" dxfId="552" priority="66">
      <formula>IF(O243&lt;(TODAY())+0,TRUE)</formula>
    </cfRule>
  </conditionalFormatting>
  <conditionalFormatting sqref="O244">
    <cfRule type="expression" dxfId="551" priority="61">
      <formula>IF(O244&lt;=TODAY()-365,TRUE)</formula>
    </cfRule>
    <cfRule type="expression" dxfId="550" priority="62">
      <formula>IF(O244&lt;(TODAY())-320,TRUE)</formula>
    </cfRule>
    <cfRule type="expression" dxfId="549" priority="63">
      <formula>IF(O244&lt;(TODAY())+0,TRUE)</formula>
    </cfRule>
  </conditionalFormatting>
  <conditionalFormatting sqref="P245">
    <cfRule type="expression" dxfId="548" priority="58">
      <formula>IF(O245&lt;=TODAY()-365,TRUE)</formula>
    </cfRule>
    <cfRule type="expression" dxfId="547" priority="59">
      <formula>IF(O245&lt;(TODAY())-320,TRUE)</formula>
    </cfRule>
    <cfRule type="expression" dxfId="546" priority="60">
      <formula>IF(O245&lt;(TODAY())+0,TRUE)</formula>
    </cfRule>
  </conditionalFormatting>
  <conditionalFormatting sqref="P246 P268">
    <cfRule type="expression" dxfId="545" priority="55">
      <formula>IF(O246&lt;=TODAY()-365,TRUE)</formula>
    </cfRule>
    <cfRule type="expression" dxfId="544" priority="56">
      <formula>IF(O246&lt;(TODAY())-320,TRUE)</formula>
    </cfRule>
    <cfRule type="expression" dxfId="543" priority="57">
      <formula>IF(O246&lt;(TODAY())+0,TRUE)</formula>
    </cfRule>
  </conditionalFormatting>
  <conditionalFormatting sqref="P247">
    <cfRule type="expression" dxfId="542" priority="52">
      <formula>IF(O247&lt;=TODAY()-365,TRUE)</formula>
    </cfRule>
    <cfRule type="expression" dxfId="541" priority="53">
      <formula>IF(O247&lt;(TODAY())-320,TRUE)</formula>
    </cfRule>
    <cfRule type="expression" dxfId="540" priority="54">
      <formula>IF(O247&lt;(TODAY())+0,TRUE)</formula>
    </cfRule>
  </conditionalFormatting>
  <conditionalFormatting sqref="P248">
    <cfRule type="expression" dxfId="539" priority="49">
      <formula>IF(O248&lt;=TODAY()-365,TRUE)</formula>
    </cfRule>
    <cfRule type="expression" dxfId="538" priority="50">
      <formula>IF(O248&lt;(TODAY())-320,TRUE)</formula>
    </cfRule>
    <cfRule type="expression" dxfId="537" priority="51">
      <formula>IF(O248&lt;(TODAY())+0,TRUE)</formula>
    </cfRule>
  </conditionalFormatting>
  <conditionalFormatting sqref="P249">
    <cfRule type="expression" dxfId="536" priority="46">
      <formula>IF(O249&lt;=TODAY()-365,TRUE)</formula>
    </cfRule>
    <cfRule type="expression" dxfId="535" priority="47">
      <formula>IF(O249&lt;(TODAY())-320,TRUE)</formula>
    </cfRule>
    <cfRule type="expression" dxfId="534" priority="48">
      <formula>IF(O249&lt;(TODAY())+0,TRUE)</formula>
    </cfRule>
  </conditionalFormatting>
  <conditionalFormatting sqref="P250">
    <cfRule type="expression" dxfId="533" priority="43">
      <formula>IF(O250&lt;=TODAY()-365,TRUE)</formula>
    </cfRule>
    <cfRule type="expression" dxfId="532" priority="44">
      <formula>IF(O250&lt;(TODAY())-320,TRUE)</formula>
    </cfRule>
    <cfRule type="expression" dxfId="531" priority="45">
      <formula>IF(O250&lt;(TODAY())+0,TRUE)</formula>
    </cfRule>
  </conditionalFormatting>
  <conditionalFormatting sqref="P251">
    <cfRule type="expression" dxfId="530" priority="40">
      <formula>IF(O251&lt;=TODAY()-365,TRUE)</formula>
    </cfRule>
    <cfRule type="expression" dxfId="529" priority="41">
      <formula>IF(O251&lt;(TODAY())-320,TRUE)</formula>
    </cfRule>
    <cfRule type="expression" dxfId="528" priority="42">
      <formula>IF(O251&lt;(TODAY())+0,TRUE)</formula>
    </cfRule>
  </conditionalFormatting>
  <conditionalFormatting sqref="P252">
    <cfRule type="expression" dxfId="527" priority="37">
      <formula>IF(O252&lt;=TODAY()-365,TRUE)</formula>
    </cfRule>
    <cfRule type="expression" dxfId="526" priority="38">
      <formula>IF(O252&lt;(TODAY())-320,TRUE)</formula>
    </cfRule>
    <cfRule type="expression" dxfId="525" priority="39">
      <formula>IF(O252&lt;(TODAY())+0,TRUE)</formula>
    </cfRule>
  </conditionalFormatting>
  <conditionalFormatting sqref="P254:P255">
    <cfRule type="expression" dxfId="524" priority="34">
      <formula>IF(O254&lt;=TODAY()-365,TRUE)</formula>
    </cfRule>
    <cfRule type="expression" dxfId="523" priority="35">
      <formula>IF(O254&lt;(TODAY())-320,TRUE)</formula>
    </cfRule>
    <cfRule type="expression" dxfId="522" priority="36">
      <formula>IF(O254&lt;(TODAY())+0,TRUE)</formula>
    </cfRule>
  </conditionalFormatting>
  <conditionalFormatting sqref="P256:P260">
    <cfRule type="expression" dxfId="521" priority="31">
      <formula>IF(O256&lt;=TODAY()-365,TRUE)</formula>
    </cfRule>
    <cfRule type="expression" dxfId="520" priority="32">
      <formula>IF(O256&lt;(TODAY())-320,TRUE)</formula>
    </cfRule>
    <cfRule type="expression" dxfId="519" priority="33">
      <formula>IF(O256&lt;(TODAY())+0,TRUE)</formula>
    </cfRule>
  </conditionalFormatting>
  <conditionalFormatting sqref="P261">
    <cfRule type="expression" dxfId="518" priority="28">
      <formula>IF(O261&lt;=TODAY()-365,TRUE)</formula>
    </cfRule>
    <cfRule type="expression" dxfId="517" priority="29">
      <formula>IF(O261&lt;(TODAY())-320,TRUE)</formula>
    </cfRule>
    <cfRule type="expression" dxfId="516" priority="30">
      <formula>IF(O261&lt;(TODAY())+0,TRUE)</formula>
    </cfRule>
  </conditionalFormatting>
  <conditionalFormatting sqref="P263">
    <cfRule type="expression" dxfId="515" priority="25">
      <formula>IF(O263&lt;=TODAY()-365,TRUE)</formula>
    </cfRule>
    <cfRule type="expression" dxfId="514" priority="26">
      <formula>IF(O263&lt;(TODAY())-320,TRUE)</formula>
    </cfRule>
    <cfRule type="expression" dxfId="513" priority="27">
      <formula>IF(O263&lt;(TODAY())+0,TRUE)</formula>
    </cfRule>
  </conditionalFormatting>
  <conditionalFormatting sqref="P264">
    <cfRule type="expression" dxfId="512" priority="22">
      <formula>IF(O264&lt;=TODAY()-365,TRUE)</formula>
    </cfRule>
    <cfRule type="expression" dxfId="511" priority="23">
      <formula>IF(O264&lt;(TODAY())-320,TRUE)</formula>
    </cfRule>
    <cfRule type="expression" dxfId="510" priority="24">
      <formula>IF(O264&lt;(TODAY())+0,TRUE)</formula>
    </cfRule>
  </conditionalFormatting>
  <conditionalFormatting sqref="P265">
    <cfRule type="expression" dxfId="509" priority="19">
      <formula>IF(O265&lt;=TODAY()-365,TRUE)</formula>
    </cfRule>
    <cfRule type="expression" dxfId="508" priority="20">
      <formula>IF(O265&lt;(TODAY())-320,TRUE)</formula>
    </cfRule>
    <cfRule type="expression" dxfId="507" priority="21">
      <formula>IF(O265&lt;(TODAY())+0,TRUE)</formula>
    </cfRule>
  </conditionalFormatting>
  <conditionalFormatting sqref="P266">
    <cfRule type="expression" dxfId="506" priority="16">
      <formula>IF(O266&lt;=TODAY()-365,TRUE)</formula>
    </cfRule>
    <cfRule type="expression" dxfId="505" priority="17">
      <formula>IF(O266&lt;(TODAY())-320,TRUE)</formula>
    </cfRule>
    <cfRule type="expression" dxfId="504" priority="18">
      <formula>IF(O266&lt;(TODAY())+0,TRUE)</formula>
    </cfRule>
  </conditionalFormatting>
  <conditionalFormatting sqref="P267">
    <cfRule type="expression" dxfId="503" priority="13">
      <formula>IF(O267&lt;=TODAY()-365,TRUE)</formula>
    </cfRule>
    <cfRule type="expression" dxfId="502" priority="14">
      <formula>IF(O267&lt;(TODAY())-320,TRUE)</formula>
    </cfRule>
    <cfRule type="expression" dxfId="501" priority="15">
      <formula>IF(O267&lt;(TODAY())+0,TRUE)</formula>
    </cfRule>
  </conditionalFormatting>
  <conditionalFormatting sqref="P270">
    <cfRule type="expression" dxfId="500" priority="10">
      <formula>IF(O270&lt;=TODAY()-365,TRUE)</formula>
    </cfRule>
    <cfRule type="expression" dxfId="499" priority="11">
      <formula>IF(O270&lt;(TODAY())-320,TRUE)</formula>
    </cfRule>
    <cfRule type="expression" dxfId="498" priority="12">
      <formula>IF(O270&lt;(TODAY())+0,TRUE)</formula>
    </cfRule>
  </conditionalFormatting>
  <conditionalFormatting sqref="O270">
    <cfRule type="expression" dxfId="497" priority="7">
      <formula>IF(O270&lt;=TODAY()-365,TRUE)</formula>
    </cfRule>
    <cfRule type="expression" dxfId="496" priority="8">
      <formula>IF(O270&lt;(TODAY())-320,TRUE)</formula>
    </cfRule>
    <cfRule type="expression" dxfId="495" priority="9">
      <formula>IF(O270&lt;(TODAY())+0,TRUE)</formula>
    </cfRule>
  </conditionalFormatting>
  <conditionalFormatting sqref="O245:O268">
    <cfRule type="expression" dxfId="494" priority="4">
      <formula>IF(O245&lt;=TODAY()-365,TRUE)</formula>
    </cfRule>
    <cfRule type="expression" dxfId="493" priority="5">
      <formula>IF(O245&lt;(TODAY())-320,TRUE)</formula>
    </cfRule>
    <cfRule type="expression" dxfId="492" priority="6">
      <formula>IF(O245&lt;(TODAY())+0,TRUE)</formula>
    </cfRule>
  </conditionalFormatting>
  <conditionalFormatting sqref="K246:N268 P246:S268 E268:F270 H268:I268 E253:I255 E258:H258 G259:I260 B246:C268 E266:I267 E257:F257 H256:H257 E249:F252 H246:I247 E264:F265 H261:I264 E259 H251:H252 H265 H249:I250 H248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4:F6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4:F2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2:F2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51" r:id="rId1" xr:uid="{94C8B90E-3BB9-40B8-A732-A2517933AD8A}"/>
    <hyperlink ref="C26" r:id="rId2" xr:uid="{055A250E-0318-44F9-90EF-63B556624DAB}"/>
    <hyperlink ref="C24" r:id="rId3" xr:uid="{D1F8C9E5-73C2-4876-8260-9016DE4E7F35}"/>
    <hyperlink ref="C53" r:id="rId4" xr:uid="{60292552-A932-4E59-AB9B-9FE6C8B65B9B}"/>
    <hyperlink ref="C227" r:id="rId5" xr:uid="{8639A3D9-19AB-4DD3-AD23-CB41E69F8BC6}"/>
    <hyperlink ref="C228" r:id="rId6" xr:uid="{666D3160-5196-4704-8148-8A9DB801A6D5}"/>
    <hyperlink ref="C229" r:id="rId7" xr:uid="{C2771C43-CF19-4FCD-BEFA-E850B2E63CFF}"/>
    <hyperlink ref="C208" r:id="rId8" display="rafaela.gomes@suez.com" xr:uid="{8BD78746-6E4C-4E2D-BDD6-89799841F748}"/>
    <hyperlink ref="C211" r:id="rId9" xr:uid="{AB0389E3-8E92-49CF-9994-0DC646E01EEF}"/>
    <hyperlink ref="C30" r:id="rId10" xr:uid="{DA78C6AA-14B6-4177-9D7D-1055997134BD}"/>
    <hyperlink ref="C50:C52" r:id="rId11" display="roberto.nascimento@suez.com" xr:uid="{B2269F4E-377F-4A9A-9A7E-CD9E136851D0}"/>
    <hyperlink ref="C27" r:id="rId12" xr:uid="{4B7B612D-CF68-4489-8FE0-D8E9C4D32072}"/>
    <hyperlink ref="C158" r:id="rId13" xr:uid="{0829517A-25FF-4E4C-B321-9E3134423692}"/>
    <hyperlink ref="C154" r:id="rId14" xr:uid="{0BB47CDC-CD67-4717-A2AA-C75D20CDF077}"/>
    <hyperlink ref="C156" r:id="rId15" xr:uid="{B14D0C0B-EDA1-4B5E-9FB5-B4F056A4172A}"/>
    <hyperlink ref="C157" r:id="rId16" xr:uid="{EFA18A07-A569-42D2-9A92-AD60F4E5FCCC}"/>
    <hyperlink ref="C155" r:id="rId17" xr:uid="{B135B267-B92F-4F34-B9CF-929046A0C172}"/>
    <hyperlink ref="C161" r:id="rId18" xr:uid="{313649B6-A1EC-47E5-B590-669C7A8A336B}"/>
    <hyperlink ref="C159" r:id="rId19" xr:uid="{A01A0B1A-D105-4832-B455-5E08BEB03A05}"/>
    <hyperlink ref="C160" r:id="rId20" xr:uid="{CDA075BF-92B1-4469-83C9-6522C5BD2714}"/>
    <hyperlink ref="C115" r:id="rId21" xr:uid="{D83A7621-6F7E-4F97-BCFD-529DCCEED44D}"/>
    <hyperlink ref="C46" r:id="rId22" display="gabriel.lourenco@suez.com" xr:uid="{0FA27BA8-08CF-4B39-983A-188719B03AC6}"/>
    <hyperlink ref="C236" r:id="rId23" xr:uid="{41AE77CD-EFF9-4AC5-AFB1-D82354A8CF9E}"/>
    <hyperlink ref="C243" r:id="rId24" xr:uid="{0A3735CB-9D15-4ED4-8FB3-D3ECB70B5D5B}"/>
    <hyperlink ref="C244" r:id="rId25" xr:uid="{EAE3EC8C-1AE1-4966-9C94-C9A7887D7F5D}"/>
    <hyperlink ref="C202" r:id="rId26" xr:uid="{94C328EF-AA01-4BEC-96C5-4D63CFF56A04}"/>
    <hyperlink ref="C200" r:id="rId27" xr:uid="{A8D67BC2-B6AD-40C7-94CC-2CA49201E1B9}"/>
    <hyperlink ref="C204" r:id="rId28" xr:uid="{63C42977-2B1A-4829-84F5-F122B41D7D06}"/>
    <hyperlink ref="C203" r:id="rId29" xr:uid="{D37C104E-5B03-453A-BCF2-17316EF76234}"/>
    <hyperlink ref="C201" r:id="rId30" xr:uid="{26FDDD98-9A1F-43F7-AE81-D2F3A06AA82D}"/>
    <hyperlink ref="C245" r:id="rId31" xr:uid="{42D31814-9FF5-4E64-B523-089C5FE259F6}"/>
    <hyperlink ref="C246" r:id="rId32" xr:uid="{D06EA94A-CF1E-42BF-9AB8-2AAEE0AA0D26}"/>
    <hyperlink ref="C32" r:id="rId33" display="rafaela.gomes@suez.com" xr:uid="{CECE4205-4ECE-47F8-8535-90D9F1497341}"/>
    <hyperlink ref="C2" r:id="rId34" xr:uid="{6CCF9D76-9741-452D-8CD4-576385925301}"/>
    <hyperlink ref="C3" r:id="rId35" xr:uid="{4A1B5513-ACC4-4383-BB9D-954A34B885F8}"/>
    <hyperlink ref="C4" r:id="rId36" xr:uid="{06D124F2-7798-4DFF-884C-66CF3069DD78}"/>
    <hyperlink ref="C100" r:id="rId37" xr:uid="{DD1E89D1-ABEA-4A75-A2B6-EC266C924CA9}"/>
    <hyperlink ref="C104" r:id="rId38" xr:uid="{28F08274-475D-4AF5-9D05-4D38514A6E65}"/>
    <hyperlink ref="C105" r:id="rId39" xr:uid="{D725B25D-E27C-4172-AF84-9888D5D32758}"/>
    <hyperlink ref="C123" r:id="rId40" xr:uid="{9143F6F3-91CB-456D-AFA5-5E3E7E63D572}"/>
    <hyperlink ref="C121" r:id="rId41" xr:uid="{EE8FF833-D912-480F-BAAD-B7D43D0FEE64}"/>
    <hyperlink ref="C124" r:id="rId42" xr:uid="{42219E15-F040-42F4-B28A-5296BD4806FB}"/>
    <hyperlink ref="C125" r:id="rId43" xr:uid="{00497BAB-CDE1-46AB-801B-EB6DDD24108C}"/>
    <hyperlink ref="C122" r:id="rId44" xr:uid="{C4AD8DE5-49B5-4F6F-B4F9-93E13A31A87D}"/>
    <hyperlink ref="C165" r:id="rId45" xr:uid="{6E912154-272C-4236-83CE-6CE75A83C9D0}"/>
    <hyperlink ref="C233" r:id="rId46" xr:uid="{D2DA3EDD-13F9-4A3A-9DDB-C79A7F70FB8E}"/>
    <hyperlink ref="C167" r:id="rId47" xr:uid="{C646373B-685E-43A3-9451-8097B29BE4F5}"/>
    <hyperlink ref="C162" r:id="rId48" xr:uid="{3A59DA6D-C404-45D0-9EF8-9706CF696851}"/>
    <hyperlink ref="C166" r:id="rId49" xr:uid="{0574A28E-5641-4AA7-B778-2A64DA728678}"/>
    <hyperlink ref="C81" r:id="rId50" xr:uid="{59096A1A-04B9-4BFC-93B3-5A9A31D2905D}"/>
    <hyperlink ref="C163" r:id="rId51" xr:uid="{477AB22C-C4AA-4B80-87C1-53EDEC6F25A5}"/>
    <hyperlink ref="C164" r:id="rId52" xr:uid="{18281299-DFD0-4339-B22B-B6FCFA804054}"/>
    <hyperlink ref="C79" r:id="rId53" xr:uid="{173ADD89-41C0-4C9B-8D12-5A382DB7E052}"/>
    <hyperlink ref="C80" r:id="rId54" display="rafaela.gomes@suez.com" xr:uid="{02F9F2E5-3712-43EC-9F17-23E372AE9482}"/>
    <hyperlink ref="C144" r:id="rId55" xr:uid="{12040D82-9F73-4B66-813B-3DAF98C94E99}"/>
    <hyperlink ref="C172" r:id="rId56" xr:uid="{BA9D963C-4E7D-4AE2-B357-0DCD449CB494}"/>
    <hyperlink ref="C224" r:id="rId57" xr:uid="{ECBBF8B2-2B2F-448D-82E3-16CFE5E25DCC}"/>
    <hyperlink ref="C225" r:id="rId58" xr:uid="{4C41E577-EB21-42B7-9DEB-05F77CADBCB1}"/>
    <hyperlink ref="C226" r:id="rId59" xr:uid="{D5089D73-D729-404E-B8BB-9DC1A6EBF67A}"/>
    <hyperlink ref="C169" r:id="rId60" xr:uid="{73C08134-1D55-4DD1-AD11-F8CE8BDDAE72}"/>
    <hyperlink ref="C168" r:id="rId61" xr:uid="{75CDE9EB-082E-4412-83FB-DA8C1D1CE852}"/>
    <hyperlink ref="C57" r:id="rId62" xr:uid="{973838DF-E016-4542-8067-473FC32A9B82}"/>
    <hyperlink ref="C186" r:id="rId63" xr:uid="{536F01E2-1861-42D7-88B4-A5D7C7B4F899}"/>
    <hyperlink ref="C184" r:id="rId64" xr:uid="{D0C20BF5-493B-4D53-8C82-359972AD887A}"/>
    <hyperlink ref="C181" r:id="rId65" xr:uid="{7B4E816A-AF5E-4A8D-B51C-1C64ED81B2F5}"/>
    <hyperlink ref="C182" r:id="rId66" xr:uid="{A97D5D29-191A-4734-84B6-7A0C285227F0}"/>
    <hyperlink ref="C183" r:id="rId67" xr:uid="{248967D8-A77C-4573-9102-C523B9ABEFE2}"/>
    <hyperlink ref="C185" r:id="rId68" xr:uid="{A80E0DBC-C797-48D7-9EFD-D4B4E2F90BBB}"/>
    <hyperlink ref="C171" r:id="rId69" xr:uid="{FD25D0BC-C1FC-4D5F-B7CC-FFAC537F287D}"/>
    <hyperlink ref="C187" r:id="rId70" xr:uid="{8064CB02-D58D-405C-BA87-0C3773457956}"/>
    <hyperlink ref="C188" r:id="rId71" xr:uid="{1338916A-4863-4ADA-8660-E414AA36EFFE}"/>
    <hyperlink ref="C255" r:id="rId72" xr:uid="{8672816E-F339-4EA8-A044-C6816423E635}"/>
    <hyperlink ref="C261" r:id="rId73" xr:uid="{2D8F5EEE-E421-4F14-A958-91FF46C53088}"/>
    <hyperlink ref="C258" r:id="rId74" xr:uid="{3872CC85-80FF-4564-A164-055CB18EC55A}"/>
    <hyperlink ref="C257" r:id="rId75" xr:uid="{8B8FB1F0-9ED2-48C6-9DC7-F02BF6B565C6}"/>
    <hyperlink ref="C252" r:id="rId76" xr:uid="{7F1B3F7C-FAB1-4EFA-9C07-C5F59A06BD70}"/>
    <hyperlink ref="C60" r:id="rId77" xr:uid="{754F26B7-61D7-45EA-8074-3E2F9EFBB913}"/>
    <hyperlink ref="C59" r:id="rId78" xr:uid="{6FD77BE2-2BD9-4196-80A0-19283B8C5EEB}"/>
    <hyperlink ref="C223" r:id="rId79" xr:uid="{17ECA670-4829-4FC1-A80A-0CABA553281F}"/>
    <hyperlink ref="C218" r:id="rId80" xr:uid="{90F5A55E-09F1-4D02-8755-91DD3A5CECE8}"/>
    <hyperlink ref="C222" r:id="rId81" xr:uid="{7804E547-D245-42CA-8B33-2D1167254829}"/>
    <hyperlink ref="C219" r:id="rId82" xr:uid="{B9342FA1-F518-43E0-875E-85CD1F830E6F}"/>
    <hyperlink ref="C106" r:id="rId83" xr:uid="{64603DA6-1943-4125-8D34-8C20AE2D876A}"/>
    <hyperlink ref="C108" r:id="rId84" xr:uid="{BC0661EE-398C-4AD1-B5AE-967726F3857B}"/>
    <hyperlink ref="C107" r:id="rId85" xr:uid="{6B6DC682-35D9-4BE4-93CA-3A524C0B2055}"/>
    <hyperlink ref="C136" r:id="rId86" xr:uid="{D735D206-1950-4E55-81A5-8E386B0FB832}"/>
    <hyperlink ref="C126" r:id="rId87" xr:uid="{9E54C8A7-E0E1-4B35-BFD1-AB412449E7D6}"/>
    <hyperlink ref="C140" r:id="rId88" xr:uid="{E9895321-9FA0-4224-8BE6-7602BD2B7C91}"/>
    <hyperlink ref="C127" r:id="rId89" xr:uid="{AAC833AB-E962-4796-9997-CA62BDECDCC3}"/>
    <hyperlink ref="C216" r:id="rId90" xr:uid="{4EA83F48-206E-4F96-9E11-B6D76589301A}"/>
    <hyperlink ref="C242:C245" r:id="rId91" display="luiz.silva@suez.com" xr:uid="{43D82D12-DB95-40AB-8553-840D683EA4A8}"/>
    <hyperlink ref="C139" r:id="rId92" xr:uid="{8311AD1A-B78C-40A9-9277-00DD70DBABA5}"/>
    <hyperlink ref="C128" r:id="rId93" xr:uid="{C408A8E5-2439-4C0A-A67A-C51E8DEC40E4}"/>
    <hyperlink ref="C129" r:id="rId94" xr:uid="{99B85FDD-4B51-4E3E-904C-E2C650F62FA0}"/>
    <hyperlink ref="C132" r:id="rId95" xr:uid="{4CDD95F3-8D6A-4BD6-A13F-FA314B906629}"/>
    <hyperlink ref="C130" r:id="rId96" xr:uid="{391B8CBF-819E-41CA-A13B-237E348D4A68}"/>
    <hyperlink ref="C131" r:id="rId97" xr:uid="{40073DFE-D11E-4239-BF6A-7715C030652F}"/>
    <hyperlink ref="C141" r:id="rId98" xr:uid="{B53EB6C5-38A7-405E-8033-37F2B596E4FA}"/>
    <hyperlink ref="C137" r:id="rId99" xr:uid="{A29543EC-E8CB-4FAD-88C7-453A17BF8817}"/>
    <hyperlink ref="C134" r:id="rId100" xr:uid="{1105FFC8-BD9C-4CA0-AE2F-280698D54FE9}"/>
    <hyperlink ref="C138" r:id="rId101" xr:uid="{81C62907-0E61-4B94-A2EF-CF2EDB51C951}"/>
    <hyperlink ref="C142" r:id="rId102" xr:uid="{491623B3-0BEA-495E-91D1-82B026FA26B9}"/>
    <hyperlink ref="C135" r:id="rId103" xr:uid="{4C03D62D-7A20-48C9-AEFE-C1842B4AE0D6}"/>
    <hyperlink ref="C133" r:id="rId104" xr:uid="{58268849-2A16-4C7A-997C-5CD59C1CCA44}"/>
    <hyperlink ref="C232" r:id="rId105" xr:uid="{197EB61A-D81B-4F53-ACF6-09D7772C4F4A}"/>
    <hyperlink ref="C234" r:id="rId106" xr:uid="{9ACE3F90-B901-469B-BB48-DA8EC11454DE}"/>
    <hyperlink ref="C230" r:id="rId107" xr:uid="{5395F1FA-8DC9-4E12-98AF-475760EB73E0}"/>
    <hyperlink ref="C235" r:id="rId108" xr:uid="{C0362E7E-7F5A-4183-8BE1-00200FB5B4B6}"/>
    <hyperlink ref="C231" r:id="rId109" xr:uid="{DE27024F-C43E-49B8-A0A2-2A6530ED2096}"/>
    <hyperlink ref="F228" r:id="rId110" xr:uid="{922C7FAE-D057-4C7C-ADF8-04906DB68154}"/>
    <hyperlink ref="F3:F4" r:id="rId111" display="an.santos@suez.com" xr:uid="{B831D946-BFBD-47DD-B804-C92AC69D61AF}"/>
    <hyperlink ref="F24" r:id="rId112" xr:uid="{F16699C3-82A7-43AF-A918-E263D3FC89AF}"/>
    <hyperlink ref="C82" r:id="rId113" xr:uid="{E679EE11-5EAA-496C-9AF7-2A0E9F5E65C6}"/>
    <hyperlink ref="C19:C23" r:id="rId114" display="patricia.campos@suez.com" xr:uid="{989F00D4-7CEC-488C-AD82-CF31B0C5F000}"/>
    <hyperlink ref="F82" r:id="rId115" xr:uid="{82B318C9-A320-479D-BC93-32A67AD7DE12}"/>
    <hyperlink ref="F19:F23" r:id="rId116" display="marcelo.soto@suez.com" xr:uid="{44078A53-96A7-432B-8D8D-56EC6A5F2C8B}"/>
    <hyperlink ref="C239" r:id="rId117" xr:uid="{F2DDFDBD-FA01-4C49-A070-88F90B8494FF}"/>
    <hyperlink ref="C240" r:id="rId118" xr:uid="{2408DDC5-879D-48B7-B4D2-1B822BC09002}"/>
    <hyperlink ref="F239" r:id="rId119" xr:uid="{3655CE49-2AA5-49E4-997C-F6AB2923E81E}"/>
    <hyperlink ref="F240" r:id="rId120" xr:uid="{F2CC533C-C52D-4AD4-A554-25E334E6AFEF}"/>
    <hyperlink ref="F208" r:id="rId121" xr:uid="{D2C86EC0-0476-4459-BC55-08A28DDD26AD}"/>
    <hyperlink ref="F237" r:id="rId122" xr:uid="{910A50F0-9BA8-4E74-8106-76F0495FFBE7}"/>
    <hyperlink ref="F206" r:id="rId123" xr:uid="{D993467B-4465-4098-A3D1-9C612687A517}"/>
    <hyperlink ref="F29:F33" r:id="rId124" display="davi.santos@suez.com" xr:uid="{47B15EB7-5D3F-459E-8407-FD19F0BEAB77}"/>
    <hyperlink ref="F35:F36" r:id="rId125" display="daniel.atala@suez.com" xr:uid="{7C2EF35A-C146-42FE-9D3C-DA75B9BC15D6}"/>
    <hyperlink ref="F27" r:id="rId126" xr:uid="{0CC6CCD1-56E8-4F20-B2BE-92F83D3E9C21}"/>
    <hyperlink ref="F29" r:id="rId127" xr:uid="{F8957237-F737-443C-BBB7-B95C5B6A111B}"/>
    <hyperlink ref="F30" r:id="rId128" xr:uid="{711B52C7-FA0B-41F4-B071-7091420FF291}"/>
    <hyperlink ref="F28" r:id="rId129" xr:uid="{A5A2E067-5E0E-4DDD-85EF-F28BABA6EEBF}"/>
    <hyperlink ref="F2" r:id="rId130" xr:uid="{93AD6A88-8A55-4D44-9D5B-445E6143522E}"/>
    <hyperlink ref="F79:F80" r:id="rId131" display="rafael.campos@suez.com" xr:uid="{D86FA80A-3C20-4C79-B9E5-1DFC7266EF2A}"/>
    <hyperlink ref="F154:F155" r:id="rId132" display="yure.queiroz@suez.com" xr:uid="{33D449F8-83C9-4F5E-B8A4-8DF8DADF5C54}"/>
    <hyperlink ref="C8" r:id="rId133" xr:uid="{DFBC27A6-F787-4D73-84E5-CA108EF211EC}"/>
    <hyperlink ref="C133:C134" r:id="rId134" display="kleber.silva@suez.com" xr:uid="{241327FA-DDDD-4F29-B25A-8324C2224CF6}"/>
    <hyperlink ref="F144" r:id="rId135" xr:uid="{6F5BBF2C-2502-48FB-AD0A-5A5255BAE208}"/>
    <hyperlink ref="F158:F161" r:id="rId136" display="edmilson.santos@suez.com" xr:uid="{5428804A-7C0F-4AD9-B843-C1C98E7BC835}"/>
    <hyperlink ref="F129" r:id="rId137" xr:uid="{7505E779-9812-4A3B-BCA3-70CAF26BDEC9}"/>
    <hyperlink ref="F130" r:id="rId138" xr:uid="{5B590A70-4CE2-4EAA-A3EB-5DA53F30752E}"/>
    <hyperlink ref="F126" r:id="rId139" xr:uid="{A678C371-5F8D-4D12-A144-0687B9970FA0}"/>
    <hyperlink ref="F127" r:id="rId140" xr:uid="{548A751C-26FE-47F5-A34B-E1E8A1EFBDF4}"/>
    <hyperlink ref="F131" r:id="rId141" xr:uid="{C0572A39-1CD6-43D5-A29D-1FAEC489C69A}"/>
    <hyperlink ref="F128" r:id="rId142" xr:uid="{858DDFC9-087C-4233-813C-A340886E67EF}"/>
    <hyperlink ref="F141" r:id="rId143" xr:uid="{CD6D0E3E-8739-490A-9216-9EC944214C87}"/>
    <hyperlink ref="F137" r:id="rId144" xr:uid="{370609E0-8D16-4E8E-88ED-8179FAE7849C}"/>
    <hyperlink ref="F134" r:id="rId145" xr:uid="{CFC78C8D-6157-4DD7-B91B-E34890C298FF}"/>
    <hyperlink ref="F138" r:id="rId146" xr:uid="{C1EF2FFE-9B46-4C89-B034-A4D93A9CEB7B}"/>
    <hyperlink ref="F142" r:id="rId147" xr:uid="{DAF1FA8A-8B4F-4EED-90FF-5B4BE2B1A38A}"/>
    <hyperlink ref="F135" r:id="rId148" xr:uid="{615807C9-F70A-4ED4-907C-A91EE1A15B09}"/>
    <hyperlink ref="F133" r:id="rId149" xr:uid="{DEB4B320-48EF-4D3B-A54C-87C0D95E7261}"/>
    <hyperlink ref="F139" r:id="rId150" xr:uid="{9AF35007-68F4-4F7B-87ED-8E15851F63BC}"/>
    <hyperlink ref="F136" r:id="rId151" xr:uid="{429021C1-F616-44FD-87AF-B51484D6D03F}"/>
    <hyperlink ref="F140" r:id="rId152" xr:uid="{35D9E61E-E20B-463E-BEBE-0BA6A35D4B44}"/>
    <hyperlink ref="F76" r:id="rId153" xr:uid="{C2F66583-D9A0-4D99-A5AC-3B7D6F384483}"/>
    <hyperlink ref="F72" r:id="rId154" xr:uid="{A6BDB75E-E000-4311-9630-77BC106751EF}"/>
    <hyperlink ref="F73" r:id="rId155" xr:uid="{3DF1795F-A7EA-4C90-B700-F65411DA649C}"/>
    <hyperlink ref="F75" r:id="rId156" xr:uid="{3CFD4E4F-1072-43F5-A39D-CFE8A3283625}"/>
    <hyperlink ref="F77" r:id="rId157" xr:uid="{346F7ECE-E41F-40F6-BB4F-E2BCB40EB8C8}"/>
    <hyperlink ref="F78" r:id="rId158" xr:uid="{5356675C-8ADA-4E51-97B7-CE1A67C11E52}"/>
    <hyperlink ref="F74" r:id="rId159" xr:uid="{F6653B8B-DFA8-404F-8BA2-AD531D744566}"/>
    <hyperlink ref="F71" r:id="rId160" xr:uid="{CA19680A-02A4-47E0-8316-BD46997960FE}"/>
    <hyperlink ref="F79" r:id="rId161" xr:uid="{A467EB7B-BCAF-4564-B291-E98902CDAB13}"/>
    <hyperlink ref="F80" r:id="rId162" xr:uid="{D4370AD5-5A55-4184-A1BC-F31D15D72E22}"/>
    <hyperlink ref="F54" r:id="rId163" xr:uid="{12F5D343-B3CD-44C4-A7BB-D601B750BAE7}"/>
    <hyperlink ref="F55" r:id="rId164" xr:uid="{B34F8D7A-EEA6-49BA-87EA-405E0C4AE0EB}"/>
    <hyperlink ref="F57" r:id="rId165" xr:uid="{DE03E1E7-FF4C-4D18-B60A-B175D26DD472}"/>
    <hyperlink ref="F56" r:id="rId166" xr:uid="{47F07DC5-4316-404C-BE13-3D92F7D8FE36}"/>
    <hyperlink ref="F58" r:id="rId167" xr:uid="{BCFEFB16-D08E-431D-B74B-F725F3AB9FAC}"/>
    <hyperlink ref="F83" r:id="rId168" xr:uid="{DD92E5F0-55B2-4282-A786-B3F329A9F689}"/>
    <hyperlink ref="F109" r:id="rId169" xr:uid="{48BD575F-AAEC-4413-8F8D-6FC1E30D51FE}"/>
    <hyperlink ref="F114" r:id="rId170" xr:uid="{2F254AEB-5AF0-440B-82A9-1FF0F1B94EC1}"/>
    <hyperlink ref="F110" r:id="rId171" xr:uid="{91429C9A-5A23-4DBE-8676-46E3CF72479A}"/>
    <hyperlink ref="F111" r:id="rId172" xr:uid="{F638D656-98BC-4C49-9BDB-DC4624170A87}"/>
    <hyperlink ref="F115" r:id="rId173" xr:uid="{AF187596-B1D1-4806-851C-92177D35D0AB}"/>
    <hyperlink ref="F112" r:id="rId174" xr:uid="{AA7BFEED-8901-49A2-A86D-151829C7BE9F}"/>
    <hyperlink ref="F113" r:id="rId175" xr:uid="{3E490E97-46F6-4518-AC41-B943D8EBD8B9}"/>
    <hyperlink ref="F119" r:id="rId176" xr:uid="{C7022A78-4CC0-4435-B744-CB8FC23F0D23}"/>
    <hyperlink ref="F120" r:id="rId177" xr:uid="{6AFA3568-01A0-49F4-A00C-A3E6560132E0}"/>
    <hyperlink ref="F116" r:id="rId178" xr:uid="{C28509C0-19D3-4C56-999D-DF89B4AD0D2C}"/>
    <hyperlink ref="F118" r:id="rId179" xr:uid="{4B7042E5-0597-4425-B261-FDEB9124311D}"/>
    <hyperlink ref="F117" r:id="rId180" xr:uid="{A17D1BED-081F-41BD-9131-1D5A0C4141FC}"/>
    <hyperlink ref="F81" r:id="rId181" xr:uid="{C8427EBB-9190-48DB-9682-F4D0E075E6AD}"/>
    <hyperlink ref="F162" r:id="rId182" xr:uid="{E8864B09-175A-4F28-BAFC-636569E072AF}"/>
    <hyperlink ref="F163" r:id="rId183" xr:uid="{5C3F399F-4281-4596-B05A-B06B2766E864}"/>
    <hyperlink ref="F164" r:id="rId184" xr:uid="{F97435BA-2F7C-4CBC-A19F-403AD46C05C2}"/>
    <hyperlink ref="F165" r:id="rId185" xr:uid="{C5AC8B1F-734E-462B-9098-0F70C44634EA}"/>
    <hyperlink ref="F166" r:id="rId186" xr:uid="{8010E221-9F84-4118-BEFD-7C1DC0BE22F6}"/>
    <hyperlink ref="F167" r:id="rId187" xr:uid="{8DED8D6F-0374-4694-8D69-1668FFF45F4B}"/>
    <hyperlink ref="F94" r:id="rId188" xr:uid="{E3C04CA4-D244-4DE0-A583-B43E9F1E72AD}"/>
    <hyperlink ref="F93" r:id="rId189" xr:uid="{DCF1E6A4-7F5E-411A-B612-5B1FABC8288A}"/>
    <hyperlink ref="F97" r:id="rId190" xr:uid="{C64A3324-7CB5-438E-A622-65BB13C68227}"/>
    <hyperlink ref="F92" r:id="rId191" xr:uid="{F003FC9F-52C3-453D-A586-3F5014FFF197}"/>
    <hyperlink ref="F95" r:id="rId192" xr:uid="{470B6EEA-F89F-4522-AC16-CE03141FFBA6}"/>
    <hyperlink ref="F96" r:id="rId193" xr:uid="{152894B5-4906-4A78-9423-9832F88A66CA}"/>
    <hyperlink ref="F98" r:id="rId194" xr:uid="{C52185E5-65C6-4713-9052-86429D7B22BB}"/>
    <hyperlink ref="F153" r:id="rId195" xr:uid="{5C50FE01-4205-4318-925C-C53A229D706E}"/>
    <hyperlink ref="F99" r:id="rId196" xr:uid="{48967AEA-475B-4F82-9A04-DE6100D3120E}"/>
    <hyperlink ref="F106" r:id="rId197" xr:uid="{2C1C91D5-AAF2-44B7-9A02-FB28DDD7EC34}"/>
    <hyperlink ref="F107" r:id="rId198" xr:uid="{FC1449B8-C5A0-4E20-807B-4D30439F9B12}"/>
    <hyperlink ref="F108" r:id="rId199" xr:uid="{9098BBDD-C0FA-4E6D-84A7-E0A9786F2CE3}"/>
    <hyperlink ref="F104" r:id="rId200" xr:uid="{124F066D-1052-40B4-9ED7-21917F5AF47A}"/>
    <hyperlink ref="F105" r:id="rId201" xr:uid="{5DCAF089-84D7-49AB-AFFE-D7B4CFE94933}"/>
    <hyperlink ref="F121" r:id="rId202" xr:uid="{592B9947-058A-422C-871A-7A30933EF260}"/>
    <hyperlink ref="F124" r:id="rId203" xr:uid="{A4F62743-5FA2-46A7-801F-A27DBA46B653}"/>
    <hyperlink ref="F125" r:id="rId204" xr:uid="{05807AC2-587D-43D4-B12D-ECF9F852358D}"/>
    <hyperlink ref="F122" r:id="rId205" xr:uid="{CEF866A7-911F-494C-BBE8-7FB019AC2FE9}"/>
    <hyperlink ref="F123" r:id="rId206" xr:uid="{C2D8882F-66F9-48E1-913A-75E8CE3CB0A8}"/>
    <hyperlink ref="F89" r:id="rId207" xr:uid="{22317D85-A90A-41AE-8EB6-5A9DCDE9B321}"/>
    <hyperlink ref="F112:F117" r:id="rId208" display="marcelo.soto@suez.com" xr:uid="{6AC005E2-A82A-48D4-B6BD-4781A81DF91B}"/>
    <hyperlink ref="F100" r:id="rId209" xr:uid="{12129C85-3A21-4DBE-807D-3405E9D18494}"/>
    <hyperlink ref="F103" r:id="rId210" xr:uid="{9C22D18B-B8EE-4082-A268-7A9C06AE3594}"/>
    <hyperlink ref="F102" r:id="rId211" xr:uid="{25037621-4470-4E97-A4F3-C4A90A4D9EEF}"/>
    <hyperlink ref="F101" r:id="rId212" xr:uid="{C989D17A-8C48-4F4D-B62F-F77FC402A37A}"/>
    <hyperlink ref="F84" r:id="rId213" xr:uid="{AE9ED4A1-216C-44B1-A1C4-A4E834DC7586}"/>
    <hyperlink ref="F172" r:id="rId214" xr:uid="{B3192434-ACE9-4617-866A-C46A50CEE235}"/>
    <hyperlink ref="F165:F172" r:id="rId215" display="rafael.nascimento@suez.com" xr:uid="{E7FA3025-783F-4594-8A27-E5BA6C524699}"/>
    <hyperlink ref="F171" r:id="rId216" xr:uid="{6327AC0D-A552-4B7D-975F-5F4085A13A55}"/>
    <hyperlink ref="F181" r:id="rId217" xr:uid="{9CB7B635-6D7A-4A41-AA58-F0A089C0EA2C}"/>
    <hyperlink ref="F182" r:id="rId218" xr:uid="{26B57BA3-4842-4022-ACA5-0D5EA6AACFA4}"/>
    <hyperlink ref="F183" r:id="rId219" xr:uid="{988AEEA8-9188-481A-952E-4B6A69C5499F}"/>
    <hyperlink ref="F185" r:id="rId220" xr:uid="{79AD3434-633B-422F-80F0-D0A7C2583AD0}"/>
    <hyperlink ref="F186" r:id="rId221" xr:uid="{C56716AB-0E58-4C1A-86CA-A7C83B71E3C1}"/>
    <hyperlink ref="F184" r:id="rId222" xr:uid="{B9926CE8-9853-417F-8562-23BE2BC29C88}"/>
    <hyperlink ref="F187" r:id="rId223" xr:uid="{8B266291-4F8D-45BB-803A-72AEA1DD7879}"/>
    <hyperlink ref="F188" r:id="rId224" xr:uid="{3BE56077-DEFD-432E-A65E-BA6C67DDB84B}"/>
    <hyperlink ref="F168" r:id="rId225" xr:uid="{AA8F4938-84FB-42A5-849D-D78A8FACACB2}"/>
    <hyperlink ref="F169" r:id="rId226" xr:uid="{142554EB-E1F3-4CC5-8AB8-F65AC4326DDD}"/>
    <hyperlink ref="C205" r:id="rId227" xr:uid="{37A402DC-B9AB-4E23-96F0-266043BEEEE2}"/>
    <hyperlink ref="F205" r:id="rId228" xr:uid="{65ECC337-4E83-4B4C-95A9-F903074B4F31}"/>
    <hyperlink ref="F196" r:id="rId229" xr:uid="{0DC178E5-381C-4C4F-A612-0827AD9A398B}"/>
    <hyperlink ref="F193" r:id="rId230" xr:uid="{D1B764F3-8980-4B4C-9CBE-11D9F3F9285B}"/>
    <hyperlink ref="F194" r:id="rId231" xr:uid="{AD447217-84B7-453E-9B4B-7434F77CCD95}"/>
    <hyperlink ref="F195" r:id="rId232" xr:uid="{449CE603-B62E-4010-AF7A-2D01A84C506D}"/>
    <hyperlink ref="F197" r:id="rId233" xr:uid="{059F5171-59A9-441F-9EF4-427D7195B3F1}"/>
    <hyperlink ref="F199" r:id="rId234" xr:uid="{15D40A0B-B75D-4F80-9699-45BF9A6462F9}"/>
    <hyperlink ref="F198" r:id="rId235" xr:uid="{B501BAC5-BA5B-4586-90B4-7FFDD0E92D50}"/>
    <hyperlink ref="C266" r:id="rId236" xr:uid="{B2429E08-C41D-43EB-8AEA-510A7705D165}"/>
    <hyperlink ref="C147:C152" r:id="rId237" display="giovana.tardelli@suez.com" xr:uid="{C34EC2B2-6999-4B16-A758-9BF1E7868838}"/>
    <hyperlink ref="F266" r:id="rId238" xr:uid="{6D40E9B7-08D7-4BD8-8882-B12C7F0C5791}"/>
    <hyperlink ref="F147:F152" r:id="rId239" display="ana.oliveira@suez.com" xr:uid="{70CB6BB9-1F1B-4198-9612-18A12F5681F2}"/>
    <hyperlink ref="F156" r:id="rId240" xr:uid="{61326FC0-6075-4545-81EB-2D9D2D9C73E2}"/>
    <hyperlink ref="F157" r:id="rId241" xr:uid="{597B0A99-F54F-4D85-8726-EDA39CE9C717}"/>
    <hyperlink ref="F155" r:id="rId242" xr:uid="{3CC44B64-7DA7-4E9F-8BC7-1C77FBC9BEB1}"/>
    <hyperlink ref="F154" r:id="rId243" xr:uid="{EAE97772-A982-47B8-AADF-20269C8432CA}"/>
    <hyperlink ref="F203" r:id="rId244" xr:uid="{B211BA95-C9AB-4FCE-A77D-10040AF4F62E}"/>
    <hyperlink ref="F255" r:id="rId245" xr:uid="{92C777CD-B0C0-4907-8899-C9FCB1838A49}"/>
    <hyperlink ref="F261" r:id="rId246" xr:uid="{88773BF6-140C-4F4E-87C0-0C27DE9B877A}"/>
    <hyperlink ref="F258" r:id="rId247" xr:uid="{29725F8D-9F3F-4376-8442-B6DD93F78EDE}"/>
    <hyperlink ref="F257" r:id="rId248" xr:uid="{D011541C-7322-4ADA-89D1-A828362D8710}"/>
    <hyperlink ref="F252" r:id="rId249" xr:uid="{8DF94DB8-64E6-4A07-BB80-D84D25472A31}"/>
    <hyperlink ref="F243" r:id="rId250" xr:uid="{25C44B58-81B0-47CA-8CB0-1F6B7F980A65}"/>
    <hyperlink ref="F244" r:id="rId251" xr:uid="{B37DBC4F-1B6A-45F1-96FC-FE0257F2C7F0}"/>
    <hyperlink ref="F245" r:id="rId252" xr:uid="{9989628C-CDA2-433B-8873-486794D6F605}"/>
    <hyperlink ref="F246" r:id="rId253" xr:uid="{AA56393F-2D9B-4A69-AAE7-2BC4E9AF32EA}"/>
    <hyperlink ref="F236" r:id="rId254" xr:uid="{E0996816-5A71-4E64-A764-197E549DE8F7}"/>
    <hyperlink ref="F207" r:id="rId255" xr:uid="{2AA9F8FD-5AAD-4066-8AE9-E2DEAEADF531}"/>
    <hyperlink ref="F214" r:id="rId256" xr:uid="{D741AFDC-2DAB-48FE-86DE-3E33709BAA72}"/>
    <hyperlink ref="F218" r:id="rId257" xr:uid="{B1170DC5-DE7E-4478-91A4-5B00D953A19D}"/>
    <hyperlink ref="F220" r:id="rId258" xr:uid="{DAA863A6-1177-452C-9ECA-1AF7012A9654}"/>
    <hyperlink ref="F221" r:id="rId259" xr:uid="{BEBF1FDC-B586-4D1E-A048-E76279FFD926}"/>
    <hyperlink ref="F219" r:id="rId260" xr:uid="{E7E0E715-7474-4D61-B137-E5C1AD40EFE9}"/>
    <hyperlink ref="F232" r:id="rId261" xr:uid="{826945E6-1411-476B-9D9C-0BF1D3F7F995}"/>
    <hyperlink ref="F230" r:id="rId262" xr:uid="{D9BC6C91-08D4-4ADE-93AE-9FC156CF010E}"/>
    <hyperlink ref="F231" r:id="rId263" xr:uid="{4033BE84-B446-4F87-994B-8CD0622B38B3}"/>
    <hyperlink ref="F234" r:id="rId264" xr:uid="{C11B5D59-0A92-46C4-8805-C6B51596364C}"/>
    <hyperlink ref="F235" r:id="rId265" xr:uid="{497B9BE8-2739-424C-A908-81F0837A42BF}"/>
    <hyperlink ref="F224" r:id="rId266" xr:uid="{4C2B0213-A99D-4123-A68E-51D72245FD59}"/>
    <hyperlink ref="F225" r:id="rId267" xr:uid="{1ECBF2BB-0C04-45AE-8922-1393542F979C}"/>
    <hyperlink ref="F226" r:id="rId268" xr:uid="{B8ED4202-0E2C-4279-99B6-F6EA13E03F1B}"/>
    <hyperlink ref="C266:C267" r:id="rId269" display="hugo.cavalcante@suez.com" xr:uid="{531D1FAC-065B-4A09-ACFC-81D7FF15E42D}"/>
    <hyperlink ref="F216" r:id="rId270" xr:uid="{449601CD-4114-4DBF-B227-105CA5FCBBAF}"/>
    <hyperlink ref="F215" r:id="rId271" xr:uid="{ACBADF84-1744-459A-BD2A-85F8EF099721}"/>
    <hyperlink ref="F217" r:id="rId272" xr:uid="{C7850338-D7C0-4FBF-816D-44D939E9A8F4}"/>
    <hyperlink ref="F233" r:id="rId273" xr:uid="{E3A41A6E-58A6-426B-AB60-9187A68C4D58}"/>
    <hyperlink ref="F59" r:id="rId274" xr:uid="{FE93DB40-04AE-4A3B-9D83-A7C7549A4B16}"/>
    <hyperlink ref="F60" r:id="rId275" xr:uid="{471BDC2E-811A-45A4-B346-12C4B92C9A09}"/>
    <hyperlink ref="F264" r:id="rId276" xr:uid="{E25FB211-BC08-4BF3-977C-A1B40F05C783}"/>
    <hyperlink ref="F265" r:id="rId277" xr:uid="{F4F8340E-9397-4B16-A295-340AD40060B1}"/>
    <hyperlink ref="F143" r:id="rId278" xr:uid="{1763DA4E-C292-4759-8486-F28F91212684}"/>
    <hyperlink ref="F132" r:id="rId279" xr:uid="{608811DF-F39E-44ED-86DA-BD3B8DB9C173}"/>
    <hyperlink ref="F223" r:id="rId280" xr:uid="{649E4A74-3EBE-4C07-BC0E-57F04B7D66BE}"/>
    <hyperlink ref="F222" r:id="rId281" xr:uid="{E78E72D2-B927-4CAA-A05A-4A7BEE0024D5}"/>
    <hyperlink ref="F4" r:id="rId282" display="an.santos@suez.com" xr:uid="{034E6A30-982D-4DDD-A273-9566CACE9578}"/>
    <hyperlink ref="F5" r:id="rId283" display="an.santos@suez.com" xr:uid="{4938C158-5F0C-44B2-A67F-1B101768DE48}"/>
    <hyperlink ref="F17" r:id="rId284" display="an.santos@suez.com" xr:uid="{7ACB5780-968B-4F7E-BCE8-19994FE7818E}"/>
    <hyperlink ref="F18" r:id="rId285" display="an.santos@suez.com" xr:uid="{26CA251A-A3BB-4DCB-8D3D-DB22589E0D73}"/>
    <hyperlink ref="F6" r:id="rId286" display="an.santos@suez.com" xr:uid="{E68ACAFE-7FB1-45A4-8264-AC050D748B95}"/>
    <hyperlink ref="F7" r:id="rId287" display="an.santos@suez.com" xr:uid="{A27F0EDF-FDC5-4EF1-A747-3624149F7AA0}"/>
    <hyperlink ref="F12" r:id="rId288" display="an.santos@suez.com" xr:uid="{CD719777-4120-4840-9D99-B3FBBD35360D}"/>
    <hyperlink ref="F13" r:id="rId289" display="an.santos@suez.com" xr:uid="{5F37FC10-681E-4B9E-9F22-6EE88BEF8593}"/>
    <hyperlink ref="F15" r:id="rId290" display="an.santos@suez.com" xr:uid="{D33BA303-867B-495C-AEBF-A14162A0A58B}"/>
    <hyperlink ref="F19" r:id="rId291" display="an.santos@suez.com" xr:uid="{2A1910D0-7CCF-491F-90B1-72670863B650}"/>
    <hyperlink ref="F20" r:id="rId292" display="an.santos@suez.com" xr:uid="{83D59A51-C3B4-4915-9397-3610DA776EBB}"/>
    <hyperlink ref="F21" r:id="rId293" display="an.santos@suez.com" xr:uid="{1C986E16-C24E-44A0-9B4B-03363D04216E}"/>
    <hyperlink ref="F22" r:id="rId294" display="an.santos@suez.com" xr:uid="{46C7D6C0-8C2F-4BCC-AFFE-AC7F89590A41}"/>
    <hyperlink ref="F8" r:id="rId295" display="an.santos@suez.com" xr:uid="{803B5477-21B2-4B6E-ABE5-6A19109E5DA0}"/>
    <hyperlink ref="F9" r:id="rId296" display="an.santos@suez.com" xr:uid="{DCA29094-7BE0-44EC-B160-F493BF704D52}"/>
    <hyperlink ref="F10" r:id="rId297" display="an.santos@suez.com" xr:uid="{1A3EE125-F126-43F1-AE26-29BB543204E4}"/>
    <hyperlink ref="F11" r:id="rId298" display="an.santos@suez.com" xr:uid="{FC8CE2C2-8D38-4CFB-86AB-38B86D855C30}"/>
    <hyperlink ref="F14" r:id="rId299" display="an.santos@suez.com" xr:uid="{F4DB5E66-B9B1-479F-9B00-F95A2D5B4FAC}"/>
    <hyperlink ref="F16" r:id="rId300" display="an.santos@suez.com" xr:uid="{BF1F8858-6EE2-423D-B971-C3A3265298C7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E7DB-B62A-4907-B86E-5B487AF9502E}">
  <dimension ref="A1:X44"/>
  <sheetViews>
    <sheetView topLeftCell="L1" workbookViewId="0">
      <selection activeCell="P14" sqref="P14"/>
    </sheetView>
  </sheetViews>
  <sheetFormatPr defaultRowHeight="15"/>
  <cols>
    <col min="1" max="1" width="18.28515625" bestFit="1" customWidth="1"/>
    <col min="2" max="2" width="28.42578125" bestFit="1" customWidth="1"/>
    <col min="3" max="3" width="22.28515625" bestFit="1" customWidth="1"/>
    <col min="4" max="4" width="8" bestFit="1" customWidth="1"/>
    <col min="5" max="5" width="18" bestFit="1" customWidth="1"/>
    <col min="6" max="6" width="14.42578125" bestFit="1" customWidth="1"/>
    <col min="7" max="7" width="16.85546875" bestFit="1" customWidth="1"/>
    <col min="8" max="8" width="15.140625" bestFit="1" customWidth="1"/>
    <col min="9" max="9" width="17.42578125" bestFit="1" customWidth="1"/>
    <col min="10" max="10" width="34.5703125" bestFit="1" customWidth="1"/>
    <col min="11" max="11" width="13.140625" bestFit="1" customWidth="1"/>
    <col min="12" max="12" width="10.140625" bestFit="1" customWidth="1"/>
    <col min="13" max="13" width="9.85546875" bestFit="1" customWidth="1"/>
    <col min="14" max="14" width="13.140625" bestFit="1" customWidth="1"/>
    <col min="15" max="15" width="39.85546875" bestFit="1" customWidth="1"/>
    <col min="16" max="16" width="105.28515625" bestFit="1" customWidth="1"/>
    <col min="17" max="17" width="12.85546875" bestFit="1" customWidth="1"/>
    <col min="18" max="18" width="3" bestFit="1" customWidth="1"/>
    <col min="19" max="20" width="5.5703125" bestFit="1" customWidth="1"/>
    <col min="21" max="21" width="10.7109375" bestFit="1" customWidth="1"/>
    <col min="22" max="22" width="10.5703125" bestFit="1" customWidth="1"/>
    <col min="24" max="24" width="12.5703125" bestFit="1" customWidth="1"/>
  </cols>
  <sheetData>
    <row r="1" spans="1:24" s="74" customFormat="1">
      <c r="A1" s="69" t="s">
        <v>277</v>
      </c>
      <c r="B1" s="69" t="s">
        <v>278</v>
      </c>
      <c r="C1" s="69" t="s">
        <v>279</v>
      </c>
      <c r="D1" s="70" t="s">
        <v>10</v>
      </c>
      <c r="E1" s="69" t="s">
        <v>11</v>
      </c>
      <c r="F1" s="71" t="s">
        <v>12</v>
      </c>
      <c r="G1" s="69" t="s">
        <v>13</v>
      </c>
      <c r="H1" s="69" t="s">
        <v>14</v>
      </c>
      <c r="I1" s="70" t="s">
        <v>15</v>
      </c>
      <c r="J1" s="70" t="s">
        <v>280</v>
      </c>
      <c r="K1" s="72" t="s">
        <v>282</v>
      </c>
      <c r="L1" s="72" t="s">
        <v>17</v>
      </c>
      <c r="M1" s="70" t="s">
        <v>283</v>
      </c>
      <c r="N1" s="70" t="s">
        <v>284</v>
      </c>
      <c r="O1" s="70" t="s">
        <v>898</v>
      </c>
      <c r="P1" s="70" t="s">
        <v>285</v>
      </c>
      <c r="Q1" s="73"/>
      <c r="R1" s="73"/>
      <c r="S1" s="73"/>
      <c r="T1" s="73"/>
      <c r="U1" s="73"/>
      <c r="V1" s="73"/>
      <c r="W1" s="73"/>
      <c r="X1" s="73"/>
    </row>
    <row r="2" spans="1:24">
      <c r="A2" s="14" t="s">
        <v>399</v>
      </c>
      <c r="B2" s="67" t="s">
        <v>397</v>
      </c>
      <c r="C2" s="13" t="s">
        <v>374</v>
      </c>
      <c r="D2" s="13" t="s">
        <v>202</v>
      </c>
      <c r="E2" s="13" t="s">
        <v>9</v>
      </c>
      <c r="F2" s="28" t="s">
        <v>227</v>
      </c>
      <c r="G2" s="13" t="s">
        <v>21</v>
      </c>
      <c r="H2" s="13" t="s">
        <v>29</v>
      </c>
      <c r="I2" s="13" t="s">
        <v>219</v>
      </c>
      <c r="J2" s="13" t="s">
        <v>332</v>
      </c>
      <c r="K2" s="18">
        <v>43978</v>
      </c>
      <c r="L2" s="17" t="s">
        <v>25</v>
      </c>
      <c r="M2" s="19" t="s">
        <v>1360</v>
      </c>
      <c r="N2" s="13"/>
      <c r="O2" s="13" t="s">
        <v>1361</v>
      </c>
      <c r="P2" s="14" t="s">
        <v>1362</v>
      </c>
      <c r="Q2" s="14"/>
      <c r="R2" s="14"/>
      <c r="S2" s="14"/>
      <c r="T2" s="14"/>
      <c r="U2" s="14"/>
      <c r="V2" s="14"/>
      <c r="W2" s="14"/>
      <c r="X2" s="14"/>
    </row>
    <row r="3" spans="1:24">
      <c r="A3" s="14" t="s">
        <v>391</v>
      </c>
      <c r="B3" s="67" t="s">
        <v>392</v>
      </c>
      <c r="C3" s="13" t="s">
        <v>318</v>
      </c>
      <c r="D3" s="13" t="s">
        <v>195</v>
      </c>
      <c r="E3" s="13" t="s">
        <v>3</v>
      </c>
      <c r="F3" s="28" t="s">
        <v>196</v>
      </c>
      <c r="G3" s="13" t="s">
        <v>21</v>
      </c>
      <c r="H3" s="13" t="s">
        <v>96</v>
      </c>
      <c r="I3" s="24" t="s">
        <v>197</v>
      </c>
      <c r="J3" s="13" t="s">
        <v>305</v>
      </c>
      <c r="K3" s="17">
        <v>43999</v>
      </c>
      <c r="L3" s="18">
        <f>IFERROR(VLOOKUP(F3,'[1]Obs Tecnicas'!$D$2:$I$319,5,0),K3)</f>
        <v>43999</v>
      </c>
      <c r="M3" s="17" t="str">
        <f ca="1">IF(L3&lt;&gt;"",IF(L3+365&gt;TODAY(),"Calibrado","Vencido"),"")</f>
        <v>Vencido</v>
      </c>
      <c r="N3" s="19" t="str">
        <f>IFERROR(VLOOKUP(F3,'[1]Obs Tecnicas'!$D$2:$G$339,2,0),"")</f>
        <v/>
      </c>
      <c r="O3" s="13"/>
      <c r="P3" s="14" t="s">
        <v>1362</v>
      </c>
      <c r="Q3" s="14"/>
      <c r="R3" s="14">
        <f>IF(L3&lt;&gt;"",MONTH(L3),"")</f>
        <v>6</v>
      </c>
      <c r="S3" s="20" t="e">
        <f>VLOOKUP(E3,'[1]Controle de equipamento'!$Z$2:$Z$9,2,0)</f>
        <v>#N/A</v>
      </c>
      <c r="T3" s="20" t="e">
        <f>VLOOKUP(E3,'[1]Controle de equipamento'!$Z$2:$Z$9,3,0)</f>
        <v>#N/A</v>
      </c>
      <c r="U3" s="14"/>
      <c r="V3" s="14"/>
      <c r="W3" s="14"/>
      <c r="X3" s="14"/>
    </row>
    <row r="4" spans="1:24">
      <c r="A4" s="14" t="s">
        <v>735</v>
      </c>
      <c r="B4" s="67" t="s">
        <v>736</v>
      </c>
      <c r="C4" s="13" t="s">
        <v>330</v>
      </c>
      <c r="D4" s="13" t="s">
        <v>202</v>
      </c>
      <c r="E4" s="13" t="s">
        <v>7</v>
      </c>
      <c r="F4" s="28" t="s">
        <v>1363</v>
      </c>
      <c r="G4" s="13" t="s">
        <v>56</v>
      </c>
      <c r="H4" s="13" t="s">
        <v>57</v>
      </c>
      <c r="I4" s="13" t="s">
        <v>211</v>
      </c>
      <c r="J4" s="13" t="s">
        <v>305</v>
      </c>
      <c r="K4" s="17">
        <v>43875</v>
      </c>
      <c r="L4" s="18">
        <f>IFERROR(VLOOKUP(F4,'[1]Obs Tecnicas'!$D$2:$I$319,5,0),K4)</f>
        <v>44407</v>
      </c>
      <c r="M4" s="17" t="str">
        <f ca="1">IF(L4&lt;&gt;"",IF(L4+365&gt;TODAY(),"Calibrado","Vencido"),"")</f>
        <v>Calibrado</v>
      </c>
      <c r="N4" s="19">
        <f>IFERROR(VLOOKUP(F4,'[1]Obs Tecnicas'!$D$2:$G$339,2,0),"")</f>
        <v>13316</v>
      </c>
      <c r="O4" s="13"/>
      <c r="P4" s="14" t="s">
        <v>1362</v>
      </c>
      <c r="Q4" s="14"/>
      <c r="R4" s="14">
        <f>IF(L4&lt;&gt;"",MONTH(L4),"")</f>
        <v>7</v>
      </c>
      <c r="S4" s="20" t="e">
        <f>VLOOKUP(E4,'[1]Controle de equipamento'!$Z$2:$Z$9,2,0)</f>
        <v>#N/A</v>
      </c>
      <c r="T4" s="20" t="e">
        <f>VLOOKUP(E4,'[1]Controle de equipamento'!$Z$2:$Z$9,3,0)</f>
        <v>#N/A</v>
      </c>
      <c r="U4" s="14"/>
      <c r="V4" s="14"/>
      <c r="W4" s="14"/>
      <c r="X4" s="14"/>
    </row>
    <row r="5" spans="1:24">
      <c r="A5" s="14" t="s">
        <v>735</v>
      </c>
      <c r="B5" s="67" t="s">
        <v>736</v>
      </c>
      <c r="C5" s="13" t="s">
        <v>330</v>
      </c>
      <c r="D5" s="13" t="s">
        <v>202</v>
      </c>
      <c r="E5" s="13" t="s">
        <v>4</v>
      </c>
      <c r="F5" s="28" t="s">
        <v>790</v>
      </c>
      <c r="G5" s="13" t="s">
        <v>26</v>
      </c>
      <c r="H5" s="24" t="s">
        <v>27</v>
      </c>
      <c r="I5" s="13" t="s">
        <v>211</v>
      </c>
      <c r="J5" s="13" t="s">
        <v>305</v>
      </c>
      <c r="K5" s="17">
        <v>43978</v>
      </c>
      <c r="L5" s="18">
        <f>IFERROR(VLOOKUP(F5,'[1]Obs Tecnicas'!$D$2:$I$319,5,0),K5)</f>
        <v>44407</v>
      </c>
      <c r="M5" s="17" t="str">
        <f ca="1">IF(L5&lt;&gt;"",IF(L5+365&gt;TODAY(),"Calibrado","Vencido"),"")</f>
        <v>Calibrado</v>
      </c>
      <c r="N5" s="19">
        <f>IFERROR(VLOOKUP(F5,'[1]Obs Tecnicas'!$D$2:$G$339,2,0),"")</f>
        <v>1331</v>
      </c>
      <c r="O5" s="13"/>
      <c r="P5" s="14" t="s">
        <v>1362</v>
      </c>
      <c r="Q5" s="14"/>
      <c r="R5" s="14">
        <f>IF(L5&lt;&gt;"",MONTH(L5),"")</f>
        <v>7</v>
      </c>
      <c r="S5" s="20" t="e">
        <f>VLOOKUP(E5,'[1]Controle de equipamento'!$Z$2:$Z$9,2,0)</f>
        <v>#N/A</v>
      </c>
      <c r="T5" s="20" t="e">
        <f>VLOOKUP(E5,'[1]Controle de equipamento'!$Z$2:$Z$9,3,0)</f>
        <v>#N/A</v>
      </c>
      <c r="U5" s="14"/>
      <c r="V5" s="14"/>
      <c r="W5" s="14"/>
      <c r="X5" s="14"/>
    </row>
    <row r="6" spans="1:24">
      <c r="A6" s="14" t="s">
        <v>309</v>
      </c>
      <c r="B6" s="67" t="s">
        <v>310</v>
      </c>
      <c r="C6" s="13" t="s">
        <v>298</v>
      </c>
      <c r="D6" s="13" t="s">
        <v>202</v>
      </c>
      <c r="E6" s="13" t="s">
        <v>4</v>
      </c>
      <c r="F6" s="28" t="s">
        <v>1364</v>
      </c>
      <c r="G6" s="13" t="s">
        <v>26</v>
      </c>
      <c r="H6" s="24" t="s">
        <v>27</v>
      </c>
      <c r="I6" s="13" t="s">
        <v>312</v>
      </c>
      <c r="J6" s="13" t="s">
        <v>305</v>
      </c>
      <c r="K6" s="17">
        <v>43977</v>
      </c>
      <c r="L6" s="18">
        <f>IFERROR(VLOOKUP(F6,'[1]Obs Tecnicas'!$D$2:$I$319,5,0),K6)</f>
        <v>43977</v>
      </c>
      <c r="M6" s="17" t="str">
        <f ca="1">IF(L6&lt;&gt;"",IF(L6+365&gt;TODAY(),"Calibrado","Vencido"),"")</f>
        <v>Vencido</v>
      </c>
      <c r="N6" s="19" t="str">
        <f>IFERROR(VLOOKUP(F6,'[1]Obs Tecnicas'!$D$2:$G$339,2,0),"")</f>
        <v/>
      </c>
      <c r="O6" s="13"/>
      <c r="P6" s="14" t="s">
        <v>1362</v>
      </c>
      <c r="Q6" s="14"/>
      <c r="R6" s="14">
        <f>IF(L6&lt;&gt;"",MONTH(L6),"")</f>
        <v>5</v>
      </c>
      <c r="S6" s="20" t="e">
        <f>VLOOKUP(E6,$AB$6:$AD$6,2,0)</f>
        <v>#N/A</v>
      </c>
      <c r="T6" s="20" t="e">
        <f>VLOOKUP(E6,$AB$6:$AD$6,3,0)</f>
        <v>#N/A</v>
      </c>
      <c r="U6" s="14"/>
      <c r="V6" s="14"/>
      <c r="W6" s="14"/>
      <c r="X6" s="68" t="s">
        <v>9</v>
      </c>
    </row>
    <row r="7" spans="1:24">
      <c r="A7" s="14" t="s">
        <v>606</v>
      </c>
      <c r="B7" s="67" t="s">
        <v>607</v>
      </c>
      <c r="C7" s="13" t="s">
        <v>608</v>
      </c>
      <c r="D7" s="13" t="s">
        <v>202</v>
      </c>
      <c r="E7" s="13" t="s">
        <v>7</v>
      </c>
      <c r="F7" s="28" t="s">
        <v>1365</v>
      </c>
      <c r="G7" s="13" t="s">
        <v>217</v>
      </c>
      <c r="H7" s="13" t="s">
        <v>268</v>
      </c>
      <c r="I7" s="13" t="s">
        <v>265</v>
      </c>
      <c r="J7" s="13" t="s">
        <v>332</v>
      </c>
      <c r="K7" s="17">
        <v>44007</v>
      </c>
      <c r="L7" s="18">
        <f>IFERROR(VLOOKUP(F7,'[1]Obs Tecnicas'!$D$2:$I$319,5,0),K7)</f>
        <v>44007</v>
      </c>
      <c r="M7" s="17" t="str">
        <f ca="1">IF(L7&lt;&gt;"",IF(L7+365&gt;TODAY(),"Calibrado","Vencido"),"")</f>
        <v>Vencido</v>
      </c>
      <c r="N7" s="19" t="str">
        <f>IFERROR(VLOOKUP(F7,'[1]Obs Tecnicas'!$D$2:$G$339,2,0),"")</f>
        <v/>
      </c>
      <c r="O7" s="13"/>
      <c r="P7" s="14" t="s">
        <v>1362</v>
      </c>
      <c r="Q7" s="14"/>
      <c r="R7" s="14">
        <f>IF(L7&lt;&gt;"",MONTH(L7),"")</f>
        <v>6</v>
      </c>
      <c r="S7" s="20" t="e">
        <f>VLOOKUP(E7,'[1]Controle de equipamento'!$Z$2:$Z$9,2,0)</f>
        <v>#N/A</v>
      </c>
      <c r="T7" s="20" t="e">
        <f>VLOOKUP(E7,'[1]Controle de equipamento'!$Z$2:$Z$9,3,0)</f>
        <v>#N/A</v>
      </c>
      <c r="U7" s="14"/>
      <c r="V7" s="14"/>
      <c r="W7" s="14"/>
      <c r="X7" s="14"/>
    </row>
    <row r="8" spans="1:24">
      <c r="A8" s="14" t="s">
        <v>600</v>
      </c>
      <c r="B8" s="67" t="s">
        <v>601</v>
      </c>
      <c r="C8" s="13" t="s">
        <v>318</v>
      </c>
      <c r="D8" s="13" t="s">
        <v>156</v>
      </c>
      <c r="E8" s="13" t="s">
        <v>6</v>
      </c>
      <c r="F8" s="28">
        <v>6247637</v>
      </c>
      <c r="G8" s="13" t="s">
        <v>26</v>
      </c>
      <c r="H8" s="13" t="s">
        <v>84</v>
      </c>
      <c r="I8" s="13" t="s">
        <v>159</v>
      </c>
      <c r="J8" s="13" t="s">
        <v>468</v>
      </c>
      <c r="K8" s="14"/>
      <c r="L8" s="18">
        <v>44022</v>
      </c>
      <c r="M8" s="17" t="s">
        <v>25</v>
      </c>
      <c r="N8" s="13" t="s">
        <v>901</v>
      </c>
      <c r="O8" s="13" t="s">
        <v>1360</v>
      </c>
      <c r="P8" s="14" t="s">
        <v>1362</v>
      </c>
      <c r="Q8" s="14"/>
      <c r="R8" s="14"/>
      <c r="S8" s="14"/>
      <c r="T8" s="14"/>
      <c r="U8" s="14"/>
      <c r="V8" s="14"/>
      <c r="W8" s="14"/>
      <c r="X8" s="14"/>
    </row>
    <row r="9" spans="1:24">
      <c r="A9" s="14" t="s">
        <v>600</v>
      </c>
      <c r="B9" s="67" t="s">
        <v>1086</v>
      </c>
      <c r="C9" s="13" t="s">
        <v>318</v>
      </c>
      <c r="D9" s="13" t="s">
        <v>156</v>
      </c>
      <c r="E9" s="13" t="s">
        <v>3</v>
      </c>
      <c r="F9" s="28" t="s">
        <v>163</v>
      </c>
      <c r="G9" s="13" t="s">
        <v>21</v>
      </c>
      <c r="H9" s="13" t="s">
        <v>22</v>
      </c>
      <c r="I9" s="13" t="s">
        <v>159</v>
      </c>
      <c r="J9" s="13" t="s">
        <v>468</v>
      </c>
      <c r="K9" s="17">
        <v>43805</v>
      </c>
      <c r="L9" s="18">
        <f>IFERROR(VLOOKUP(F9,'[1]Obs Tecnicas'!$D$2:$I$319,5,0),K9)</f>
        <v>44442</v>
      </c>
      <c r="M9" s="17" t="str">
        <f t="shared" ref="M9:M14" ca="1" si="0">IF(L9&lt;&gt;"",IF(L9+365&gt;TODAY(),"Calibrado","Vencido"),"")</f>
        <v>Calibrado</v>
      </c>
      <c r="N9" s="13" t="str">
        <f>IFERROR(VLOOKUP(F9,'[1]Obs Tecnicas'!$D$2:$G$343,3,0),"Hexis")</f>
        <v>ER ANALITICA</v>
      </c>
      <c r="O9" s="14"/>
      <c r="P9" s="14" t="s">
        <v>1362</v>
      </c>
      <c r="Q9" s="14" t="s">
        <v>291</v>
      </c>
      <c r="R9" s="14">
        <f t="shared" ref="R9:R14" si="1">IF(L9&lt;&gt;"",MONTH(L9),"")</f>
        <v>9</v>
      </c>
      <c r="S9" s="20" t="e">
        <f>VLOOKUP(E9,'[1]Controle de equipamento'!$Z$2:$Z$9,2,0)</f>
        <v>#N/A</v>
      </c>
      <c r="T9" s="20" t="e">
        <f>VLOOKUP(E9,'[1]Controle de equipamento'!$Z$2:$Z$9,3,0)</f>
        <v>#N/A</v>
      </c>
      <c r="U9" s="14"/>
      <c r="V9" s="14"/>
      <c r="W9" s="14"/>
      <c r="X9" s="14"/>
    </row>
    <row r="10" spans="1:24">
      <c r="A10" s="14" t="s">
        <v>350</v>
      </c>
      <c r="B10" s="67" t="s">
        <v>351</v>
      </c>
      <c r="C10" s="13" t="s">
        <v>352</v>
      </c>
      <c r="D10" s="13" t="s">
        <v>202</v>
      </c>
      <c r="E10" s="13" t="s">
        <v>6</v>
      </c>
      <c r="F10" s="28" t="s">
        <v>1366</v>
      </c>
      <c r="G10" s="13" t="s">
        <v>26</v>
      </c>
      <c r="H10" s="13" t="s">
        <v>84</v>
      </c>
      <c r="I10" s="13" t="s">
        <v>236</v>
      </c>
      <c r="J10" s="13" t="s">
        <v>305</v>
      </c>
      <c r="K10" s="17">
        <v>44068</v>
      </c>
      <c r="L10" s="18">
        <f>IFERROR(VLOOKUP(F10,'[1]Obs Tecnicas'!$D$2:$I$319,5,0),K10)</f>
        <v>44068</v>
      </c>
      <c r="M10" s="17" t="str">
        <f t="shared" ca="1" si="0"/>
        <v>Vencido</v>
      </c>
      <c r="N10" s="19" t="str">
        <f>IFERROR(VLOOKUP(F10,'[1]Obs Tecnicas'!$D$2:$G$339,2,0),"")</f>
        <v/>
      </c>
      <c r="O10" s="13" t="str">
        <f>IFERROR(VLOOKUP(F10,'[1]Obs Tecnicas'!$D$2:$G$343,3,0),"Hexis")</f>
        <v>Hexis</v>
      </c>
      <c r="P10" s="14" t="s">
        <v>1362</v>
      </c>
      <c r="Q10" s="14" t="s">
        <v>401</v>
      </c>
      <c r="R10" s="14">
        <f t="shared" si="1"/>
        <v>8</v>
      </c>
      <c r="S10" s="20" t="e">
        <f>VLOOKUP(E10,'[1]Controle de equipamento'!$Z$2:$Z$9,2,0)</f>
        <v>#N/A</v>
      </c>
      <c r="T10" s="20" t="e">
        <f>VLOOKUP(E10,'[1]Controle de equipamento'!$Z$2:$Z$9,3,0)</f>
        <v>#N/A</v>
      </c>
      <c r="U10" s="14"/>
      <c r="V10" s="14"/>
      <c r="W10" s="14"/>
      <c r="X10" s="14"/>
    </row>
    <row r="11" spans="1:24">
      <c r="A11" s="14" t="s">
        <v>350</v>
      </c>
      <c r="B11" s="67" t="s">
        <v>351</v>
      </c>
      <c r="C11" s="13" t="s">
        <v>352</v>
      </c>
      <c r="D11" s="13" t="s">
        <v>202</v>
      </c>
      <c r="E11" s="13" t="s">
        <v>7</v>
      </c>
      <c r="F11" s="28" t="s">
        <v>1367</v>
      </c>
      <c r="G11" s="13" t="s">
        <v>31</v>
      </c>
      <c r="H11" s="13" t="s">
        <v>53</v>
      </c>
      <c r="I11" s="13" t="s">
        <v>236</v>
      </c>
      <c r="J11" s="13" t="s">
        <v>507</v>
      </c>
      <c r="K11" s="17">
        <v>44147</v>
      </c>
      <c r="L11" s="18">
        <f>IFERROR(VLOOKUP(F11,'[1]Obs Tecnicas'!$D$2:$I$319,5,0),K11)</f>
        <v>44147</v>
      </c>
      <c r="M11" s="17" t="str">
        <f t="shared" ca="1" si="0"/>
        <v>Vencido</v>
      </c>
      <c r="N11" s="19" t="str">
        <f>IFERROR(VLOOKUP(F11,'[1]Obs Tecnicas'!$D$2:$G$339,2,0),"")</f>
        <v/>
      </c>
      <c r="O11" s="13" t="str">
        <f>IFERROR(VLOOKUP(F11,'[1]Obs Tecnicas'!$D$2:$G$343,3,0),"Hexis")</f>
        <v>Hexis</v>
      </c>
      <c r="P11" s="14" t="s">
        <v>1362</v>
      </c>
      <c r="Q11" s="14" t="s">
        <v>401</v>
      </c>
      <c r="R11" s="14">
        <f t="shared" si="1"/>
        <v>11</v>
      </c>
      <c r="S11" s="20" t="e">
        <f>VLOOKUP(E11,'[1]Controle de equipamento'!$Z$2:$Z$9,2,0)</f>
        <v>#N/A</v>
      </c>
      <c r="T11" s="20" t="e">
        <f>VLOOKUP(E11,'[1]Controle de equipamento'!$Z$2:$Z$9,3,0)</f>
        <v>#N/A</v>
      </c>
      <c r="U11" s="14"/>
      <c r="V11" s="14"/>
      <c r="W11" s="14"/>
      <c r="X11" s="14"/>
    </row>
    <row r="12" spans="1:24">
      <c r="A12" s="14" t="s">
        <v>350</v>
      </c>
      <c r="B12" s="67" t="s">
        <v>351</v>
      </c>
      <c r="C12" s="13" t="s">
        <v>352</v>
      </c>
      <c r="D12" s="13" t="s">
        <v>202</v>
      </c>
      <c r="E12" s="13" t="s">
        <v>4</v>
      </c>
      <c r="F12" s="28" t="s">
        <v>1368</v>
      </c>
      <c r="G12" s="13" t="s">
        <v>31</v>
      </c>
      <c r="H12" s="13" t="s">
        <v>74</v>
      </c>
      <c r="I12" s="13" t="s">
        <v>236</v>
      </c>
      <c r="J12" s="13" t="s">
        <v>507</v>
      </c>
      <c r="K12" s="17">
        <v>44259</v>
      </c>
      <c r="L12" s="18">
        <f>IFERROR(VLOOKUP(F12,'[1]Obs Tecnicas'!$D$2:$I$319,5,0),K12)</f>
        <v>44259</v>
      </c>
      <c r="M12" s="17" t="str">
        <f t="shared" ca="1" si="0"/>
        <v>Vencido</v>
      </c>
      <c r="N12" s="19" t="str">
        <f>IFERROR(VLOOKUP(F12,'[1]Obs Tecnicas'!$D$2:$G$339,2,0),"")</f>
        <v/>
      </c>
      <c r="O12" s="13" t="str">
        <f>IFERROR(VLOOKUP(F12,'[1]Obs Tecnicas'!$D$2:$G$343,3,0),"Hexis")</f>
        <v>Hexis</v>
      </c>
      <c r="P12" s="14" t="s">
        <v>1362</v>
      </c>
      <c r="Q12" s="14" t="s">
        <v>401</v>
      </c>
      <c r="R12" s="14">
        <f t="shared" si="1"/>
        <v>3</v>
      </c>
      <c r="S12" s="20" t="e">
        <f>VLOOKUP(E12,'[1]Controle de equipamento'!$Z$2:$Z$9,2,0)</f>
        <v>#N/A</v>
      </c>
      <c r="T12" s="20" t="e">
        <f>VLOOKUP(E12,'[1]Controle de equipamento'!$Z$2:$Z$9,3,0)</f>
        <v>#N/A</v>
      </c>
      <c r="U12" s="23"/>
      <c r="V12" s="23"/>
      <c r="W12" s="23"/>
      <c r="X12" s="23"/>
    </row>
    <row r="13" spans="1:24">
      <c r="A13" s="14" t="s">
        <v>391</v>
      </c>
      <c r="B13" s="67" t="s">
        <v>392</v>
      </c>
      <c r="C13" s="13" t="s">
        <v>318</v>
      </c>
      <c r="D13" s="13" t="s">
        <v>195</v>
      </c>
      <c r="E13" s="24" t="s">
        <v>3</v>
      </c>
      <c r="F13" s="28" t="s">
        <v>199</v>
      </c>
      <c r="G13" s="13" t="s">
        <v>21</v>
      </c>
      <c r="H13" s="13" t="s">
        <v>22</v>
      </c>
      <c r="I13" s="24" t="s">
        <v>200</v>
      </c>
      <c r="J13" s="24" t="s">
        <v>472</v>
      </c>
      <c r="K13" s="17">
        <v>44369</v>
      </c>
      <c r="L13" s="18">
        <f>IFERROR(VLOOKUP(F13,'[1]Obs Tecnicas'!$D$2:$I$319,5,0),K13)</f>
        <v>44369</v>
      </c>
      <c r="M13" s="17" t="str">
        <f t="shared" ca="1" si="0"/>
        <v>Calibrado</v>
      </c>
      <c r="N13" s="19" t="str">
        <f>IFERROR(VLOOKUP(F13,'[1]Obs Tecnicas'!$D$2:$G$339,2,0),"")</f>
        <v/>
      </c>
      <c r="O13" s="13" t="str">
        <f>IFERROR(VLOOKUP(F13,'[1]Obs Tecnicas'!$D$2:$G$343,3,0),"Hexis")</f>
        <v>Hexis</v>
      </c>
      <c r="P13" s="14" t="s">
        <v>1362</v>
      </c>
      <c r="Q13" s="14" t="s">
        <v>291</v>
      </c>
      <c r="R13" s="14">
        <f t="shared" si="1"/>
        <v>6</v>
      </c>
      <c r="S13" s="20" t="e">
        <f>VLOOKUP(E13,'[1]Controle de equipamento'!$Z$2:$Z$9,2,0)</f>
        <v>#N/A</v>
      </c>
      <c r="T13" s="20" t="e">
        <f>VLOOKUP(E13,'[1]Controle de equipamento'!$Z$2:$Z$9,3,0)</f>
        <v>#N/A</v>
      </c>
      <c r="U13" s="14"/>
      <c r="V13" s="14"/>
      <c r="W13" s="14"/>
      <c r="X13" s="14"/>
    </row>
    <row r="14" spans="1:24">
      <c r="A14" s="14" t="s">
        <v>391</v>
      </c>
      <c r="B14" s="67" t="s">
        <v>392</v>
      </c>
      <c r="C14" s="13" t="s">
        <v>318</v>
      </c>
      <c r="D14" s="13" t="s">
        <v>195</v>
      </c>
      <c r="E14" s="13" t="s">
        <v>6</v>
      </c>
      <c r="F14" s="28" t="s">
        <v>1369</v>
      </c>
      <c r="G14" s="13" t="s">
        <v>26</v>
      </c>
      <c r="H14" s="13" t="s">
        <v>84</v>
      </c>
      <c r="I14" s="24" t="s">
        <v>200</v>
      </c>
      <c r="J14" s="13" t="s">
        <v>472</v>
      </c>
      <c r="K14" s="17">
        <v>44369</v>
      </c>
      <c r="L14" s="18">
        <f>IFERROR(VLOOKUP(F14,'[1]Obs Tecnicas'!$D$2:$I$319,5,0),K14)</f>
        <v>44369</v>
      </c>
      <c r="M14" s="17" t="str">
        <f t="shared" ca="1" si="0"/>
        <v>Calibrado</v>
      </c>
      <c r="N14" s="19" t="str">
        <f>IFERROR(VLOOKUP(F14,'[1]Obs Tecnicas'!$D$2:$G$339,2,0),"")</f>
        <v/>
      </c>
      <c r="O14" s="13" t="str">
        <f>IFERROR(VLOOKUP(F14,'[1]Obs Tecnicas'!$D$2:$G$343,3,0),"Hexis")</f>
        <v>Hexis</v>
      </c>
      <c r="P14" s="14" t="s">
        <v>1362</v>
      </c>
      <c r="Q14" s="14" t="s">
        <v>291</v>
      </c>
      <c r="R14" s="14">
        <f t="shared" si="1"/>
        <v>6</v>
      </c>
      <c r="S14" s="20" t="e">
        <f>VLOOKUP(E14,'[1]Controle de equipamento'!$Z$2:$Z$9,2,0)</f>
        <v>#N/A</v>
      </c>
      <c r="T14" s="20" t="e">
        <f>VLOOKUP(E14,'[1]Controle de equipamento'!$Z$2:$Z$9,3,0)</f>
        <v>#N/A</v>
      </c>
      <c r="U14" s="14"/>
      <c r="V14" s="14"/>
      <c r="W14" s="14"/>
      <c r="X14" s="14"/>
    </row>
    <row r="15" spans="1:24">
      <c r="A15" s="14" t="s">
        <v>391</v>
      </c>
      <c r="B15" s="67" t="s">
        <v>392</v>
      </c>
      <c r="C15" s="13" t="s">
        <v>318</v>
      </c>
      <c r="D15" s="13" t="s">
        <v>195</v>
      </c>
      <c r="E15" s="13" t="s">
        <v>6</v>
      </c>
      <c r="F15" s="28" t="s">
        <v>892</v>
      </c>
      <c r="G15" s="13" t="s">
        <v>26</v>
      </c>
      <c r="H15" s="13" t="s">
        <v>84</v>
      </c>
      <c r="I15" s="24" t="s">
        <v>200</v>
      </c>
      <c r="J15" s="13" t="s">
        <v>472</v>
      </c>
      <c r="K15" s="18">
        <v>44369</v>
      </c>
      <c r="L15" s="17" t="s">
        <v>25</v>
      </c>
      <c r="M15" s="19" t="s">
        <v>1360</v>
      </c>
      <c r="N15" s="13" t="s">
        <v>901</v>
      </c>
      <c r="O15" s="13" t="s">
        <v>1360</v>
      </c>
      <c r="P15" s="14" t="s">
        <v>1362</v>
      </c>
      <c r="Q15" s="14"/>
      <c r="R15" s="14"/>
      <c r="S15" s="14"/>
      <c r="T15" s="14"/>
      <c r="U15" s="14"/>
      <c r="V15" s="14"/>
      <c r="W15" s="14"/>
      <c r="X15" s="14"/>
    </row>
    <row r="16" spans="1:24">
      <c r="A16" s="14" t="s">
        <v>640</v>
      </c>
      <c r="B16" s="67" t="s">
        <v>641</v>
      </c>
      <c r="C16" s="13" t="s">
        <v>330</v>
      </c>
      <c r="D16" s="13" t="s">
        <v>98</v>
      </c>
      <c r="E16" s="13" t="s">
        <v>5</v>
      </c>
      <c r="F16" s="28" t="s">
        <v>112</v>
      </c>
      <c r="G16" s="13" t="s">
        <v>21</v>
      </c>
      <c r="H16" s="13" t="s">
        <v>80</v>
      </c>
      <c r="I16" s="13" t="s">
        <v>109</v>
      </c>
      <c r="J16" s="13" t="s">
        <v>643</v>
      </c>
      <c r="K16" s="17">
        <v>44040</v>
      </c>
      <c r="L16" s="18">
        <f>IFERROR(VLOOKUP(F16,'[1]Obs Tecnicas'!$D$2:$I$319,5,0),K16)</f>
        <v>44040</v>
      </c>
      <c r="M16" s="17" t="str">
        <f t="shared" ref="M16:M25" ca="1" si="2">IF(L16&lt;&gt;"",IF(L16+365&gt;TODAY(),"Calibrado","Vencido"),"")</f>
        <v>Vencido</v>
      </c>
      <c r="N16" s="19" t="str">
        <f>IFERROR(VLOOKUP(F16,'[1]Obs Tecnicas'!$D$2:$G$339,2,0),"")</f>
        <v/>
      </c>
      <c r="O16" s="13" t="str">
        <f>IFERROR(VLOOKUP(F16,'[1]Obs Tecnicas'!$D$2:$G$343,3,0),"Hexis")</f>
        <v>Hexis</v>
      </c>
      <c r="P16" s="13" t="str">
        <f>IFERROR(VLOOKUP(F16,'[1]Obs Tecnicas'!$D$2:$G$343,4,0),"")</f>
        <v/>
      </c>
      <c r="Q16" s="14" t="s">
        <v>401</v>
      </c>
      <c r="R16" s="14">
        <f t="shared" ref="R16:R25" si="3">IF(L16&lt;&gt;"",MONTH(L16),"")</f>
        <v>7</v>
      </c>
      <c r="S16" s="20" t="e">
        <f>VLOOKUP(E16,'[1]Controle de equipamento'!$Z$2:$Z$9,2,0)</f>
        <v>#N/A</v>
      </c>
      <c r="T16" s="20" t="e">
        <f>VLOOKUP(E16,'[1]Controle de equipamento'!$Z$2:$Z$9,3,0)</f>
        <v>#N/A</v>
      </c>
      <c r="U16" s="31"/>
      <c r="V16" s="31"/>
      <c r="W16" s="31"/>
      <c r="X16" s="31"/>
    </row>
    <row r="17" spans="1:24">
      <c r="A17" s="14" t="s">
        <v>309</v>
      </c>
      <c r="B17" s="67" t="s">
        <v>310</v>
      </c>
      <c r="C17" s="13" t="s">
        <v>298</v>
      </c>
      <c r="D17" s="13" t="s">
        <v>202</v>
      </c>
      <c r="E17" s="13" t="s">
        <v>3</v>
      </c>
      <c r="F17" s="28" t="s">
        <v>255</v>
      </c>
      <c r="G17" s="13" t="s">
        <v>21</v>
      </c>
      <c r="H17" s="13" t="s">
        <v>96</v>
      </c>
      <c r="I17" s="13" t="s">
        <v>252</v>
      </c>
      <c r="J17" s="13" t="s">
        <v>305</v>
      </c>
      <c r="K17" s="17">
        <v>43978</v>
      </c>
      <c r="L17" s="18">
        <f>IFERROR(VLOOKUP(F17,'[1]Obs Tecnicas'!$D$2:$I$319,5,0),K17)</f>
        <v>43978</v>
      </c>
      <c r="M17" s="17" t="str">
        <f t="shared" ca="1" si="2"/>
        <v>Vencido</v>
      </c>
      <c r="N17" s="19" t="str">
        <f>IFERROR(VLOOKUP(F17,'[1]Obs Tecnicas'!$D$2:$G$339,2,0),"")</f>
        <v/>
      </c>
      <c r="O17" s="13" t="str">
        <f>IFERROR(VLOOKUP(F17,'[1]Obs Tecnicas'!$D$2:$G$343,3,0),"Hexis")</f>
        <v>Hexis</v>
      </c>
      <c r="P17" s="13" t="str">
        <f>IFERROR(VLOOKUP(F17,'[1]Obs Tecnicas'!$D$2:$G$343,4,0),"")</f>
        <v/>
      </c>
      <c r="Q17" s="14" t="s">
        <v>359</v>
      </c>
      <c r="R17" s="14">
        <f t="shared" si="3"/>
        <v>5</v>
      </c>
      <c r="S17" s="20" t="e">
        <f>VLOOKUP(E17,'[1]Controle de equipamento'!$Z$2:$Z$9,2,0)</f>
        <v>#N/A</v>
      </c>
      <c r="T17" s="20" t="e">
        <f>VLOOKUP(E17,'[1]Controle de equipamento'!$Z$2:$Z$9,3,0)</f>
        <v>#N/A</v>
      </c>
      <c r="U17" s="14"/>
      <c r="V17" s="14"/>
      <c r="W17" s="14"/>
      <c r="X17" s="14"/>
    </row>
    <row r="18" spans="1:24">
      <c r="A18" s="14" t="s">
        <v>309</v>
      </c>
      <c r="B18" s="67" t="s">
        <v>310</v>
      </c>
      <c r="C18" s="13" t="s">
        <v>298</v>
      </c>
      <c r="D18" s="13" t="s">
        <v>202</v>
      </c>
      <c r="E18" s="13" t="s">
        <v>4</v>
      </c>
      <c r="F18" s="28" t="s">
        <v>1370</v>
      </c>
      <c r="G18" s="13" t="s">
        <v>31</v>
      </c>
      <c r="H18" s="13" t="s">
        <v>256</v>
      </c>
      <c r="I18" s="13" t="s">
        <v>252</v>
      </c>
      <c r="J18" s="13" t="s">
        <v>305</v>
      </c>
      <c r="K18" s="17">
        <v>43979</v>
      </c>
      <c r="L18" s="18">
        <f>IFERROR(VLOOKUP(F18,'[1]Obs Tecnicas'!$D$2:$I$319,5,0),K18)</f>
        <v>43979</v>
      </c>
      <c r="M18" s="17" t="str">
        <f t="shared" ca="1" si="2"/>
        <v>Vencido</v>
      </c>
      <c r="N18" s="19" t="str">
        <f>IFERROR(VLOOKUP(F18,'[1]Obs Tecnicas'!$D$2:$G$339,2,0),"")</f>
        <v/>
      </c>
      <c r="O18" s="13" t="str">
        <f>IFERROR(VLOOKUP(F18,'[1]Obs Tecnicas'!$D$2:$G$343,3,0),"Hexis")</f>
        <v>Hexis</v>
      </c>
      <c r="P18" s="13" t="str">
        <f>IFERROR(VLOOKUP(F18,'[1]Obs Tecnicas'!$D$2:$G$343,4,0),"")</f>
        <v/>
      </c>
      <c r="Q18" s="14" t="s">
        <v>359</v>
      </c>
      <c r="R18" s="14">
        <f t="shared" si="3"/>
        <v>5</v>
      </c>
      <c r="S18" s="20" t="e">
        <f>VLOOKUP(E18,'[1]Controle de equipamento'!$Z$2:$Z$9,2,0)</f>
        <v>#N/A</v>
      </c>
      <c r="T18" s="20" t="e">
        <f>VLOOKUP(E18,'[1]Controle de equipamento'!$Z$2:$Z$9,3,0)</f>
        <v>#N/A</v>
      </c>
      <c r="U18" s="14"/>
      <c r="V18" s="14"/>
      <c r="W18" s="14"/>
      <c r="X18" s="14"/>
    </row>
    <row r="19" spans="1:24">
      <c r="A19" s="14" t="s">
        <v>399</v>
      </c>
      <c r="B19" s="67" t="s">
        <v>397</v>
      </c>
      <c r="C19" s="13" t="s">
        <v>621</v>
      </c>
      <c r="D19" s="13" t="s">
        <v>202</v>
      </c>
      <c r="E19" s="13" t="s">
        <v>4</v>
      </c>
      <c r="F19" s="28" t="s">
        <v>747</v>
      </c>
      <c r="G19" s="13" t="s">
        <v>66</v>
      </c>
      <c r="H19" s="13" t="s">
        <v>63</v>
      </c>
      <c r="I19" s="13" t="s">
        <v>211</v>
      </c>
      <c r="J19" s="13" t="s">
        <v>332</v>
      </c>
      <c r="K19" s="17">
        <v>44306</v>
      </c>
      <c r="L19" s="18">
        <f>IFERROR(VLOOKUP(F19,'[1]Obs Tecnicas'!$D$2:$I$319,5,0),K19)</f>
        <v>44306</v>
      </c>
      <c r="M19" s="17" t="str">
        <f t="shared" ca="1" si="2"/>
        <v>Vencido</v>
      </c>
      <c r="N19" s="19" t="str">
        <f>IFERROR(VLOOKUP(F19,'[1]Obs Tecnicas'!$D$2:$G$339,2,0),"")</f>
        <v/>
      </c>
      <c r="O19" s="13" t="str">
        <f>IFERROR(VLOOKUP(F19,'[1]Obs Tecnicas'!$D$2:$G$343,3,0),"Hexis")</f>
        <v>Hexis</v>
      </c>
      <c r="P19" s="13" t="str">
        <f>IFERROR(VLOOKUP(F19,'[1]Obs Tecnicas'!$D$2:$G$343,4,0),"")</f>
        <v/>
      </c>
      <c r="Q19" s="14"/>
      <c r="R19" s="14">
        <f t="shared" si="3"/>
        <v>4</v>
      </c>
      <c r="S19" s="20" t="e">
        <f>VLOOKUP(E19,'[1]Controle de equipamento'!$Z$2:$Z$9,2,0)</f>
        <v>#N/A</v>
      </c>
      <c r="T19" s="20" t="e">
        <f>VLOOKUP(E19,'[1]Controle de equipamento'!$Z$2:$Z$9,3,0)</f>
        <v>#N/A</v>
      </c>
      <c r="U19" s="14"/>
      <c r="V19" s="14"/>
      <c r="W19" s="14"/>
      <c r="X19" s="14"/>
    </row>
    <row r="20" spans="1:24">
      <c r="A20" s="14" t="s">
        <v>316</v>
      </c>
      <c r="B20" s="67" t="s">
        <v>317</v>
      </c>
      <c r="C20" s="13" t="s">
        <v>318</v>
      </c>
      <c r="D20" s="13" t="s">
        <v>177</v>
      </c>
      <c r="E20" s="13" t="s">
        <v>5</v>
      </c>
      <c r="F20" s="28" t="s">
        <v>1371</v>
      </c>
      <c r="G20" s="13" t="s">
        <v>21</v>
      </c>
      <c r="H20" s="13" t="s">
        <v>34</v>
      </c>
      <c r="I20" s="13" t="s">
        <v>178</v>
      </c>
      <c r="J20" s="13" t="s">
        <v>305</v>
      </c>
      <c r="K20" s="17">
        <v>44035</v>
      </c>
      <c r="L20" s="18">
        <f>IFERROR(VLOOKUP(F20,'[1]Obs Tecnicas'!$D$2:$I$319,5,0),K20)</f>
        <v>44035</v>
      </c>
      <c r="M20" s="17" t="str">
        <f t="shared" ca="1" si="2"/>
        <v>Vencido</v>
      </c>
      <c r="N20" s="19" t="str">
        <f>IFERROR(VLOOKUP(F20,'[1]Obs Tecnicas'!$D$2:$G$339,2,0),"")</f>
        <v/>
      </c>
      <c r="O20" s="13" t="str">
        <f>IFERROR(VLOOKUP(F20,'[1]Obs Tecnicas'!$D$2:$G$343,3,0),"Hexis")</f>
        <v>Hexis</v>
      </c>
      <c r="P20" s="13" t="str">
        <f>IFERROR(VLOOKUP(F20,'[1]Obs Tecnicas'!$D$2:$G$343,4,0),"")</f>
        <v/>
      </c>
      <c r="Q20" s="14" t="s">
        <v>401</v>
      </c>
      <c r="R20" s="14">
        <f t="shared" si="3"/>
        <v>7</v>
      </c>
      <c r="S20" s="20" t="e">
        <f>VLOOKUP(E20,'[1]Controle de equipamento'!$Z$2:$Z$9,2,0)</f>
        <v>#N/A</v>
      </c>
      <c r="T20" s="20" t="e">
        <f>VLOOKUP(E20,'[1]Controle de equipamento'!$Z$2:$Z$9,3,0)</f>
        <v>#N/A</v>
      </c>
      <c r="U20" s="14"/>
      <c r="V20" s="14"/>
      <c r="W20" s="14"/>
      <c r="X20" s="14"/>
    </row>
    <row r="21" spans="1:24">
      <c r="A21" s="14" t="s">
        <v>316</v>
      </c>
      <c r="B21" s="67" t="s">
        <v>317</v>
      </c>
      <c r="C21" s="13" t="s">
        <v>318</v>
      </c>
      <c r="D21" s="13" t="s">
        <v>177</v>
      </c>
      <c r="E21" s="13" t="s">
        <v>6</v>
      </c>
      <c r="F21" s="28" t="s">
        <v>1372</v>
      </c>
      <c r="G21" s="13" t="s">
        <v>26</v>
      </c>
      <c r="H21" s="13" t="s">
        <v>84</v>
      </c>
      <c r="I21" s="13" t="s">
        <v>178</v>
      </c>
      <c r="J21" s="13" t="s">
        <v>305</v>
      </c>
      <c r="K21" s="17">
        <v>44035</v>
      </c>
      <c r="L21" s="18">
        <f>IFERROR(VLOOKUP(F21,'[1]Obs Tecnicas'!$D$2:$I$319,5,0),K21)</f>
        <v>44035</v>
      </c>
      <c r="M21" s="17" t="str">
        <f t="shared" ca="1" si="2"/>
        <v>Vencido</v>
      </c>
      <c r="N21" s="19" t="str">
        <f>IFERROR(VLOOKUP(F21,'[1]Obs Tecnicas'!$D$2:$G$339,2,0),"")</f>
        <v/>
      </c>
      <c r="O21" s="13" t="str">
        <f>IFERROR(VLOOKUP(F21,'[1]Obs Tecnicas'!$D$2:$G$343,3,0),"Hexis")</f>
        <v>Hexis</v>
      </c>
      <c r="P21" s="13" t="str">
        <f>IFERROR(VLOOKUP(F21,'[1]Obs Tecnicas'!$D$2:$G$343,4,0),"")</f>
        <v/>
      </c>
      <c r="Q21" s="14" t="s">
        <v>401</v>
      </c>
      <c r="R21" s="14">
        <f t="shared" si="3"/>
        <v>7</v>
      </c>
      <c r="S21" s="20" t="e">
        <f>VLOOKUP(E21,'[1]Controle de equipamento'!$Z$2:$Z$9,2,0)</f>
        <v>#N/A</v>
      </c>
      <c r="T21" s="20" t="e">
        <f>VLOOKUP(E21,'[1]Controle de equipamento'!$Z$2:$Z$9,3,0)</f>
        <v>#N/A</v>
      </c>
      <c r="U21" s="14"/>
      <c r="V21" s="14"/>
      <c r="W21" s="14"/>
      <c r="X21" s="14"/>
    </row>
    <row r="22" spans="1:24">
      <c r="A22" s="14" t="s">
        <v>316</v>
      </c>
      <c r="B22" s="67" t="s">
        <v>317</v>
      </c>
      <c r="C22" s="13" t="s">
        <v>318</v>
      </c>
      <c r="D22" s="13" t="s">
        <v>177</v>
      </c>
      <c r="E22" s="13" t="s">
        <v>6</v>
      </c>
      <c r="F22" s="28" t="s">
        <v>1373</v>
      </c>
      <c r="G22" s="13" t="s">
        <v>26</v>
      </c>
      <c r="H22" s="13" t="s">
        <v>84</v>
      </c>
      <c r="I22" s="13" t="s">
        <v>178</v>
      </c>
      <c r="J22" s="13" t="s">
        <v>305</v>
      </c>
      <c r="K22" s="17">
        <v>44035</v>
      </c>
      <c r="L22" s="18">
        <f>IFERROR(VLOOKUP(F22,'[1]Obs Tecnicas'!$D$2:$I$319,5,0),K22)</f>
        <v>44035</v>
      </c>
      <c r="M22" s="17" t="str">
        <f t="shared" ca="1" si="2"/>
        <v>Vencido</v>
      </c>
      <c r="N22" s="19" t="str">
        <f>IFERROR(VLOOKUP(F22,'[1]Obs Tecnicas'!$D$2:$G$339,2,0),"")</f>
        <v/>
      </c>
      <c r="O22" s="13" t="str">
        <f>IFERROR(VLOOKUP(F22,'[1]Obs Tecnicas'!$D$2:$G$343,3,0),"Hexis")</f>
        <v>Hexis</v>
      </c>
      <c r="P22" s="13" t="str">
        <f>IFERROR(VLOOKUP(F22,'[1]Obs Tecnicas'!$D$2:$G$343,4,0),"")</f>
        <v/>
      </c>
      <c r="Q22" s="14" t="s">
        <v>401</v>
      </c>
      <c r="R22" s="14">
        <f t="shared" si="3"/>
        <v>7</v>
      </c>
      <c r="S22" s="20" t="e">
        <f>VLOOKUP(E22,'[1]Controle de equipamento'!$Z$2:$Z$9,2,0)</f>
        <v>#N/A</v>
      </c>
      <c r="T22" s="20" t="e">
        <f>VLOOKUP(E22,'[1]Controle de equipamento'!$Z$2:$Z$9,3,0)</f>
        <v>#N/A</v>
      </c>
      <c r="U22" s="14"/>
      <c r="V22" s="14"/>
      <c r="W22" s="14"/>
      <c r="X22" s="14"/>
    </row>
    <row r="23" spans="1:24">
      <c r="A23" s="14" t="s">
        <v>316</v>
      </c>
      <c r="B23" s="67" t="s">
        <v>317</v>
      </c>
      <c r="C23" s="13" t="s">
        <v>318</v>
      </c>
      <c r="D23" s="13" t="s">
        <v>177</v>
      </c>
      <c r="E23" s="13" t="s">
        <v>3</v>
      </c>
      <c r="F23" s="28" t="s">
        <v>179</v>
      </c>
      <c r="G23" s="13" t="s">
        <v>21</v>
      </c>
      <c r="H23" s="13" t="s">
        <v>22</v>
      </c>
      <c r="I23" s="13" t="s">
        <v>178</v>
      </c>
      <c r="J23" s="13" t="s">
        <v>305</v>
      </c>
      <c r="K23" s="17">
        <v>44035</v>
      </c>
      <c r="L23" s="18">
        <f>IFERROR(VLOOKUP(F23,'[1]Obs Tecnicas'!$D$2:$I$319,5,0),K23)</f>
        <v>44035</v>
      </c>
      <c r="M23" s="17" t="str">
        <f t="shared" ca="1" si="2"/>
        <v>Vencido</v>
      </c>
      <c r="N23" s="19" t="str">
        <f>IFERROR(VLOOKUP(F23,'[1]Obs Tecnicas'!$D$2:$G$339,2,0),"")</f>
        <v/>
      </c>
      <c r="O23" s="13" t="str">
        <f>IFERROR(VLOOKUP(F23,'[1]Obs Tecnicas'!$D$2:$G$343,3,0),"Hexis")</f>
        <v>Hexis</v>
      </c>
      <c r="P23" s="13" t="str">
        <f>IFERROR(VLOOKUP(F23,'[1]Obs Tecnicas'!$D$2:$G$343,4,0),"")</f>
        <v/>
      </c>
      <c r="Q23" s="14" t="s">
        <v>401</v>
      </c>
      <c r="R23" s="14">
        <f t="shared" si="3"/>
        <v>7</v>
      </c>
      <c r="S23" s="20" t="e">
        <f>VLOOKUP(E23,'[1]Controle de equipamento'!$Z$2:$Z$9,2,0)</f>
        <v>#N/A</v>
      </c>
      <c r="T23" s="20" t="e">
        <f>VLOOKUP(E23,'[1]Controle de equipamento'!$Z$2:$Z$9,3,0)</f>
        <v>#N/A</v>
      </c>
      <c r="U23" s="23"/>
      <c r="V23" s="23"/>
      <c r="W23" s="23"/>
      <c r="X23" s="23"/>
    </row>
    <row r="24" spans="1:24">
      <c r="A24" s="14" t="s">
        <v>316</v>
      </c>
      <c r="B24" s="67" t="s">
        <v>317</v>
      </c>
      <c r="C24" s="13" t="s">
        <v>318</v>
      </c>
      <c r="D24" s="13" t="s">
        <v>177</v>
      </c>
      <c r="E24" s="13" t="s">
        <v>3</v>
      </c>
      <c r="F24" s="28" t="s">
        <v>180</v>
      </c>
      <c r="G24" s="13" t="s">
        <v>21</v>
      </c>
      <c r="H24" s="13" t="s">
        <v>22</v>
      </c>
      <c r="I24" s="13" t="s">
        <v>178</v>
      </c>
      <c r="J24" s="13" t="s">
        <v>305</v>
      </c>
      <c r="K24" s="17">
        <v>44035</v>
      </c>
      <c r="L24" s="18">
        <f>IFERROR(VLOOKUP(F24,'[1]Obs Tecnicas'!$D$2:$I$319,5,0),K24)</f>
        <v>44035</v>
      </c>
      <c r="M24" s="17" t="str">
        <f t="shared" ca="1" si="2"/>
        <v>Vencido</v>
      </c>
      <c r="N24" s="19" t="str">
        <f>IFERROR(VLOOKUP(F24,'[1]Obs Tecnicas'!$D$2:$G$339,2,0),"")</f>
        <v/>
      </c>
      <c r="O24" s="13" t="str">
        <f>IFERROR(VLOOKUP(F24,'[1]Obs Tecnicas'!$D$2:$G$343,3,0),"Hexis")</f>
        <v>Hexis</v>
      </c>
      <c r="P24" s="13" t="str">
        <f>IFERROR(VLOOKUP(F24,'[1]Obs Tecnicas'!$D$2:$G$343,4,0),"")</f>
        <v/>
      </c>
      <c r="Q24" s="14" t="s">
        <v>401</v>
      </c>
      <c r="R24" s="14">
        <f t="shared" si="3"/>
        <v>7</v>
      </c>
      <c r="S24" s="20" t="e">
        <f>VLOOKUP(E24,'[1]Controle de equipamento'!$Z$2:$Z$9,2,0)</f>
        <v>#N/A</v>
      </c>
      <c r="T24" s="20" t="e">
        <f>VLOOKUP(E24,'[1]Controle de equipamento'!$Z$2:$Z$9,3,0)</f>
        <v>#N/A</v>
      </c>
      <c r="U24" s="23"/>
      <c r="V24" s="23"/>
      <c r="W24" s="23"/>
      <c r="X24" s="23"/>
    </row>
    <row r="25" spans="1:24">
      <c r="A25" s="14" t="s">
        <v>316</v>
      </c>
      <c r="B25" s="67" t="s">
        <v>317</v>
      </c>
      <c r="C25" s="13" t="s">
        <v>318</v>
      </c>
      <c r="D25" s="13" t="s">
        <v>177</v>
      </c>
      <c r="E25" s="13" t="s">
        <v>7</v>
      </c>
      <c r="F25" s="28" t="s">
        <v>1374</v>
      </c>
      <c r="G25" s="13" t="s">
        <v>56</v>
      </c>
      <c r="H25" s="13" t="s">
        <v>57</v>
      </c>
      <c r="I25" s="13" t="s">
        <v>178</v>
      </c>
      <c r="J25" s="13" t="s">
        <v>305</v>
      </c>
      <c r="K25" s="17">
        <v>44035</v>
      </c>
      <c r="L25" s="18">
        <f>IFERROR(VLOOKUP(F25,'[1]Obs Tecnicas'!$D$2:$I$319,5,0),K25)</f>
        <v>44035</v>
      </c>
      <c r="M25" s="17" t="str">
        <f t="shared" ca="1" si="2"/>
        <v>Vencido</v>
      </c>
      <c r="N25" s="19" t="str">
        <f>IFERROR(VLOOKUP(F25,'[1]Obs Tecnicas'!$D$2:$G$339,2,0),"")</f>
        <v/>
      </c>
      <c r="O25" s="13" t="str">
        <f>IFERROR(VLOOKUP(F25,'[1]Obs Tecnicas'!$D$2:$G$343,3,0),"Hexis")</f>
        <v>Hexis</v>
      </c>
      <c r="P25" s="13" t="str">
        <f>IFERROR(VLOOKUP(F25,'[1]Obs Tecnicas'!$D$2:$G$343,4,0),"")</f>
        <v/>
      </c>
      <c r="Q25" s="14" t="s">
        <v>401</v>
      </c>
      <c r="R25" s="14">
        <f t="shared" si="3"/>
        <v>7</v>
      </c>
      <c r="S25" s="20" t="e">
        <f>VLOOKUP(E25,'[1]Controle de equipamento'!$Z$2:$Z$9,2,0)</f>
        <v>#N/A</v>
      </c>
      <c r="T25" s="20" t="e">
        <f>VLOOKUP(E25,'[1]Controle de equipamento'!$Z$2:$Z$9,3,0)</f>
        <v>#N/A</v>
      </c>
      <c r="U25" s="14"/>
      <c r="V25" s="14"/>
      <c r="W25" s="14"/>
      <c r="X25" s="14"/>
    </row>
    <row r="26" spans="1:24">
      <c r="A26" s="14" t="s">
        <v>622</v>
      </c>
      <c r="B26" s="67" t="s">
        <v>623</v>
      </c>
      <c r="C26" s="13" t="s">
        <v>625</v>
      </c>
      <c r="D26" s="13" t="s">
        <v>177</v>
      </c>
      <c r="E26" s="13" t="s">
        <v>5</v>
      </c>
      <c r="F26" s="28" t="s">
        <v>1375</v>
      </c>
      <c r="G26" s="13" t="s">
        <v>21</v>
      </c>
      <c r="H26" s="13" t="s">
        <v>34</v>
      </c>
      <c r="I26" s="13" t="s">
        <v>182</v>
      </c>
      <c r="J26" s="13" t="s">
        <v>627</v>
      </c>
      <c r="K26" s="18">
        <v>44055</v>
      </c>
      <c r="L26" s="17" t="s">
        <v>46</v>
      </c>
      <c r="M26" s="19" t="s">
        <v>1360</v>
      </c>
      <c r="N26" s="13" t="s">
        <v>901</v>
      </c>
      <c r="O26" s="13" t="s">
        <v>1360</v>
      </c>
      <c r="P26" s="14" t="s">
        <v>401</v>
      </c>
      <c r="Q26" s="22">
        <v>44425</v>
      </c>
      <c r="R26" s="14"/>
      <c r="S26" s="14"/>
      <c r="T26" s="14"/>
      <c r="U26" s="14"/>
      <c r="V26" s="14"/>
      <c r="W26" s="14"/>
      <c r="X26" s="14"/>
    </row>
    <row r="27" spans="1:24">
      <c r="A27" s="14" t="s">
        <v>622</v>
      </c>
      <c r="B27" s="67" t="s">
        <v>623</v>
      </c>
      <c r="C27" s="13" t="s">
        <v>625</v>
      </c>
      <c r="D27" s="13" t="s">
        <v>177</v>
      </c>
      <c r="E27" s="13" t="s">
        <v>4</v>
      </c>
      <c r="F27" s="28" t="s">
        <v>1376</v>
      </c>
      <c r="G27" s="13" t="s">
        <v>26</v>
      </c>
      <c r="H27" s="24" t="s">
        <v>27</v>
      </c>
      <c r="I27" s="13" t="s">
        <v>182</v>
      </c>
      <c r="J27" s="13" t="s">
        <v>627</v>
      </c>
      <c r="K27" s="17">
        <v>44056</v>
      </c>
      <c r="L27" s="18">
        <f>IFERROR(VLOOKUP(F27,'[1]Obs Tecnicas'!$D$2:$I$319,5,0),K27)</f>
        <v>44424</v>
      </c>
      <c r="M27" s="17" t="str">
        <f t="shared" ref="M27:M42" ca="1" si="4">IF(L27&lt;&gt;"",IF(L27+365&gt;TODAY(),"Calibrado","Vencido"),"")</f>
        <v>Calibrado</v>
      </c>
      <c r="N27" s="19">
        <f>IFERROR(VLOOKUP(F27,'[1]Obs Tecnicas'!$D$2:$G$339,2,0),"")</f>
        <v>13441</v>
      </c>
      <c r="O27" s="13" t="str">
        <f>IFERROR(VLOOKUP(F27,'[1]Obs Tecnicas'!$D$2:$G$343,3,0),"Hexis")</f>
        <v>ER ANALITICA</v>
      </c>
      <c r="P27" s="13">
        <f>IFERROR(VLOOKUP(F27,'[1]Obs Tecnicas'!$D$2:$G$343,4,0),"")</f>
        <v>0</v>
      </c>
      <c r="Q27" s="14" t="s">
        <v>359</v>
      </c>
      <c r="R27" s="14">
        <f t="shared" ref="R27:R42" si="5">IF(L27&lt;&gt;"",MONTH(L27),"")</f>
        <v>8</v>
      </c>
      <c r="S27" s="20" t="e">
        <f>VLOOKUP(E27,'[1]Controle de equipamento'!$Z$2:$Z$9,2,0)</f>
        <v>#N/A</v>
      </c>
      <c r="T27" s="20" t="e">
        <f>VLOOKUP(E27,'[1]Controle de equipamento'!$Z$2:$Z$9,3,0)</f>
        <v>#N/A</v>
      </c>
      <c r="U27" s="14"/>
      <c r="V27" s="14"/>
      <c r="W27" s="14"/>
      <c r="X27" s="14"/>
    </row>
    <row r="28" spans="1:24">
      <c r="A28" s="14" t="s">
        <v>622</v>
      </c>
      <c r="B28" s="67" t="s">
        <v>623</v>
      </c>
      <c r="C28" s="13" t="s">
        <v>625</v>
      </c>
      <c r="D28" s="13" t="s">
        <v>177</v>
      </c>
      <c r="E28" s="13" t="s">
        <v>7</v>
      </c>
      <c r="F28" s="28" t="s">
        <v>1377</v>
      </c>
      <c r="G28" s="13" t="s">
        <v>21</v>
      </c>
      <c r="H28" s="13" t="s">
        <v>193</v>
      </c>
      <c r="I28" s="13" t="s">
        <v>182</v>
      </c>
      <c r="J28" s="13" t="s">
        <v>627</v>
      </c>
      <c r="K28" s="17">
        <v>44056</v>
      </c>
      <c r="L28" s="18">
        <f>IFERROR(VLOOKUP(F28,'[1]Obs Tecnicas'!$D$2:$I$319,5,0),K28)</f>
        <v>44056</v>
      </c>
      <c r="M28" s="17" t="str">
        <f t="shared" ca="1" si="4"/>
        <v>Vencido</v>
      </c>
      <c r="N28" s="19" t="str">
        <f>IFERROR(VLOOKUP(F28,'[1]Obs Tecnicas'!$D$2:$G$339,2,0),"")</f>
        <v/>
      </c>
      <c r="O28" s="13" t="str">
        <f>IFERROR(VLOOKUP(F28,'[1]Obs Tecnicas'!$D$2:$G$343,3,0),"Hexis")</f>
        <v>Hexis</v>
      </c>
      <c r="P28" s="13" t="str">
        <f>IFERROR(VLOOKUP(F28,'[1]Obs Tecnicas'!$D$2:$G$343,4,0),"")</f>
        <v/>
      </c>
      <c r="Q28" s="14" t="s">
        <v>291</v>
      </c>
      <c r="R28" s="14">
        <f t="shared" si="5"/>
        <v>8</v>
      </c>
      <c r="S28" s="20" t="e">
        <f>VLOOKUP(E28,'[1]Controle de equipamento'!$Z$2:$Z$9,2,0)</f>
        <v>#N/A</v>
      </c>
      <c r="T28" s="20" t="e">
        <f>VLOOKUP(E28,'[1]Controle de equipamento'!$Z$2:$Z$9,3,0)</f>
        <v>#N/A</v>
      </c>
      <c r="U28" s="14"/>
      <c r="V28" s="14"/>
      <c r="W28" s="14"/>
      <c r="X28" s="14"/>
    </row>
    <row r="29" spans="1:24">
      <c r="A29" s="14" t="s">
        <v>622</v>
      </c>
      <c r="B29" s="67" t="s">
        <v>623</v>
      </c>
      <c r="C29" s="13" t="s">
        <v>625</v>
      </c>
      <c r="D29" s="13" t="s">
        <v>177</v>
      </c>
      <c r="E29" s="13" t="s">
        <v>7</v>
      </c>
      <c r="F29" s="28" t="s">
        <v>1378</v>
      </c>
      <c r="G29" s="13" t="s">
        <v>21</v>
      </c>
      <c r="H29" s="13" t="s">
        <v>192</v>
      </c>
      <c r="I29" s="13" t="s">
        <v>182</v>
      </c>
      <c r="J29" s="13" t="s">
        <v>627</v>
      </c>
      <c r="K29" s="17">
        <v>44056</v>
      </c>
      <c r="L29" s="18">
        <f>IFERROR(VLOOKUP(F29,'[1]Obs Tecnicas'!$D$2:$I$319,5,0),K29)</f>
        <v>44056</v>
      </c>
      <c r="M29" s="17" t="str">
        <f t="shared" ca="1" si="4"/>
        <v>Vencido</v>
      </c>
      <c r="N29" s="19" t="str">
        <f>IFERROR(VLOOKUP(F29,'[1]Obs Tecnicas'!$D$2:$G$339,2,0),"")</f>
        <v/>
      </c>
      <c r="O29" s="13" t="str">
        <f>IFERROR(VLOOKUP(F29,'[1]Obs Tecnicas'!$D$2:$G$343,3,0),"Hexis")</f>
        <v>Hexis</v>
      </c>
      <c r="P29" s="13" t="str">
        <f>IFERROR(VLOOKUP(F29,'[1]Obs Tecnicas'!$D$2:$G$343,4,0),"")</f>
        <v/>
      </c>
      <c r="Q29" s="14" t="s">
        <v>401</v>
      </c>
      <c r="R29" s="14">
        <f t="shared" si="5"/>
        <v>8</v>
      </c>
      <c r="S29" s="20" t="e">
        <f>VLOOKUP(E29,'[1]Controle de equipamento'!$Z$2:$Z$9,2,0)</f>
        <v>#N/A</v>
      </c>
      <c r="T29" s="20" t="e">
        <f>VLOOKUP(E29,'[1]Controle de equipamento'!$Z$2:$Z$9,3,0)</f>
        <v>#N/A</v>
      </c>
      <c r="U29" s="14"/>
      <c r="V29" s="14"/>
      <c r="W29" s="14"/>
      <c r="X29" s="14"/>
    </row>
    <row r="30" spans="1:24">
      <c r="A30" s="14" t="s">
        <v>622</v>
      </c>
      <c r="B30" s="67" t="s">
        <v>623</v>
      </c>
      <c r="C30" s="13" t="s">
        <v>625</v>
      </c>
      <c r="D30" s="13" t="s">
        <v>177</v>
      </c>
      <c r="E30" s="13" t="s">
        <v>7</v>
      </c>
      <c r="F30" s="28" t="s">
        <v>1379</v>
      </c>
      <c r="G30" s="13" t="s">
        <v>31</v>
      </c>
      <c r="H30" s="13" t="s">
        <v>129</v>
      </c>
      <c r="I30" s="13" t="s">
        <v>182</v>
      </c>
      <c r="J30" s="13" t="s">
        <v>627</v>
      </c>
      <c r="K30" s="17">
        <v>44056</v>
      </c>
      <c r="L30" s="18">
        <f>IFERROR(VLOOKUP(F30,'[1]Obs Tecnicas'!$D$2:$I$319,5,0),K30)</f>
        <v>44056</v>
      </c>
      <c r="M30" s="17" t="str">
        <f t="shared" ca="1" si="4"/>
        <v>Vencido</v>
      </c>
      <c r="N30" s="19" t="str">
        <f>IFERROR(VLOOKUP(F30,'[1]Obs Tecnicas'!$D$2:$G$339,2,0),"")</f>
        <v/>
      </c>
      <c r="O30" s="13" t="str">
        <f>IFERROR(VLOOKUP(F30,'[1]Obs Tecnicas'!$D$2:$G$343,3,0),"Hexis")</f>
        <v>Hexis</v>
      </c>
      <c r="P30" s="13" t="str">
        <f>IFERROR(VLOOKUP(F30,'[1]Obs Tecnicas'!$D$2:$G$343,4,0),"")</f>
        <v/>
      </c>
      <c r="Q30" s="14" t="s">
        <v>401</v>
      </c>
      <c r="R30" s="14">
        <f t="shared" si="5"/>
        <v>8</v>
      </c>
      <c r="S30" s="20" t="e">
        <f>VLOOKUP(E30,'[1]Controle de equipamento'!$Z$2:$Z$9,2,0)</f>
        <v>#N/A</v>
      </c>
      <c r="T30" s="20" t="e">
        <f>VLOOKUP(E30,'[1]Controle de equipamento'!$Z$2:$Z$9,3,0)</f>
        <v>#N/A</v>
      </c>
      <c r="U30" s="14"/>
      <c r="V30" s="14"/>
      <c r="W30" s="14"/>
      <c r="X30" s="14"/>
    </row>
    <row r="31" spans="1:24">
      <c r="A31" s="13" t="s">
        <v>452</v>
      </c>
      <c r="B31" s="15" t="s">
        <v>453</v>
      </c>
      <c r="C31" s="13" t="s">
        <v>289</v>
      </c>
      <c r="D31" s="13" t="s">
        <v>98</v>
      </c>
      <c r="E31" s="13" t="s">
        <v>6</v>
      </c>
      <c r="F31" s="16" t="s">
        <v>113</v>
      </c>
      <c r="G31" s="13" t="s">
        <v>21</v>
      </c>
      <c r="H31" s="13" t="s">
        <v>108</v>
      </c>
      <c r="I31" s="13" t="s">
        <v>114</v>
      </c>
      <c r="J31" s="13" t="s">
        <v>426</v>
      </c>
      <c r="K31" s="17">
        <v>44033</v>
      </c>
      <c r="L31" s="18">
        <f>IFERROR(VLOOKUP(F31,'[1]Obs Tecnicas'!$D$2:$I$319,5,0),K31)</f>
        <v>44433</v>
      </c>
      <c r="M31" s="17" t="str">
        <f t="shared" ca="1" si="4"/>
        <v>Calibrado</v>
      </c>
      <c r="N31" s="19">
        <f>IFERROR(VLOOKUP(F31,'[1]Obs Tecnicas'!$D$2:$G$339,2,0),"")</f>
        <v>13668</v>
      </c>
      <c r="O31" s="13" t="str">
        <f>IFERROR(VLOOKUP(F31,'[1]Obs Tecnicas'!$D$2:$G$343,3,0),"Hexis")</f>
        <v>ER ANALITICA</v>
      </c>
      <c r="P31" s="13" t="str">
        <f>IFERROR(VLOOKUP(F31,'[1]Obs Tecnicas'!$D$2:$G$343,4,0),"")</f>
        <v>Eletrôdo de pH apresenta estado de vida útil avançada, realizada calibração apenas no parâmetro de condutividade</v>
      </c>
      <c r="Q31" s="14" t="s">
        <v>401</v>
      </c>
      <c r="R31" s="14">
        <f t="shared" si="5"/>
        <v>8</v>
      </c>
      <c r="S31" s="20" t="e">
        <f>VLOOKUP(E31,'[1]Controle de equipamento'!$Z$2:$Z$9,2,0)</f>
        <v>#N/A</v>
      </c>
      <c r="T31" s="20" t="e">
        <f>VLOOKUP(E31,'[1]Controle de equipamento'!$Z$2:$Z$9,3,0)</f>
        <v>#N/A</v>
      </c>
      <c r="U31" s="14"/>
      <c r="V31" s="14"/>
      <c r="W31" s="14"/>
      <c r="X31" s="14"/>
    </row>
    <row r="32" spans="1:24">
      <c r="A32" s="13" t="s">
        <v>452</v>
      </c>
      <c r="B32" s="15" t="s">
        <v>453</v>
      </c>
      <c r="C32" s="13" t="s">
        <v>289</v>
      </c>
      <c r="D32" s="13" t="s">
        <v>98</v>
      </c>
      <c r="E32" s="13" t="s">
        <v>6</v>
      </c>
      <c r="F32" s="16" t="s">
        <v>1380</v>
      </c>
      <c r="G32" s="13" t="s">
        <v>26</v>
      </c>
      <c r="H32" s="13" t="s">
        <v>84</v>
      </c>
      <c r="I32" s="13" t="s">
        <v>114</v>
      </c>
      <c r="J32" s="13" t="s">
        <v>426</v>
      </c>
      <c r="K32" s="17">
        <v>44035</v>
      </c>
      <c r="L32" s="18">
        <f>IFERROR(VLOOKUP(F32,'[1]Obs Tecnicas'!$D$2:$I$319,5,0),K32)</f>
        <v>44035</v>
      </c>
      <c r="M32" s="17" t="str">
        <f t="shared" ca="1" si="4"/>
        <v>Vencido</v>
      </c>
      <c r="N32" s="19" t="str">
        <f>IFERROR(VLOOKUP(F32,'[1]Obs Tecnicas'!$D$2:$G$339,2,0),"")</f>
        <v/>
      </c>
      <c r="O32" s="13" t="str">
        <f>IFERROR(VLOOKUP(F32,'[1]Obs Tecnicas'!$D$2:$G$343,3,0),"Hexis")</f>
        <v>Hexis</v>
      </c>
      <c r="P32" s="13" t="str">
        <f>IFERROR(VLOOKUP(F32,'[1]Obs Tecnicas'!$D$2:$G$343,4,0),"")</f>
        <v/>
      </c>
      <c r="Q32" s="14" t="s">
        <v>401</v>
      </c>
      <c r="R32" s="14">
        <f t="shared" si="5"/>
        <v>7</v>
      </c>
      <c r="S32" s="20" t="e">
        <f>VLOOKUP(E32,'[1]Controle de equipamento'!$Z$2:$Z$9,2,0)</f>
        <v>#N/A</v>
      </c>
      <c r="T32" s="20" t="e">
        <f>VLOOKUP(E32,'[1]Controle de equipamento'!$Z$2:$Z$9,3,0)</f>
        <v>#N/A</v>
      </c>
      <c r="U32" s="14"/>
      <c r="V32" s="14"/>
      <c r="W32" s="14"/>
      <c r="X32" s="14"/>
    </row>
    <row r="33" spans="1:24">
      <c r="A33" s="13" t="s">
        <v>452</v>
      </c>
      <c r="B33" s="15" t="s">
        <v>453</v>
      </c>
      <c r="C33" s="13" t="s">
        <v>289</v>
      </c>
      <c r="D33" s="13" t="s">
        <v>98</v>
      </c>
      <c r="E33" s="13" t="s">
        <v>4</v>
      </c>
      <c r="F33" s="16" t="s">
        <v>882</v>
      </c>
      <c r="G33" s="13" t="s">
        <v>26</v>
      </c>
      <c r="H33" s="13" t="s">
        <v>27</v>
      </c>
      <c r="I33" s="13" t="s">
        <v>114</v>
      </c>
      <c r="J33" s="13" t="s">
        <v>426</v>
      </c>
      <c r="K33" s="17">
        <v>44035</v>
      </c>
      <c r="L33" s="18">
        <f>IFERROR(VLOOKUP(F33,'[1]Obs Tecnicas'!$D$2:$I$319,5,0),K33)</f>
        <v>44469</v>
      </c>
      <c r="M33" s="17" t="str">
        <f t="shared" ca="1" si="4"/>
        <v>Calibrado</v>
      </c>
      <c r="N33" s="19">
        <f>IFERROR(VLOOKUP(F33,'[1]Obs Tecnicas'!$D$2:$G$339,2,0),"")</f>
        <v>13965</v>
      </c>
      <c r="O33" s="13" t="str">
        <f>IFERROR(VLOOKUP(F33,'[1]Obs Tecnicas'!$D$2:$G$343,3,0),"Hexis")</f>
        <v>ER ANALITICA</v>
      </c>
      <c r="P33" s="13">
        <f>IFERROR(VLOOKUP(F33,'[1]Obs Tecnicas'!$D$2:$G$343,4,0),"")</f>
        <v>0</v>
      </c>
      <c r="Q33" s="14" t="s">
        <v>401</v>
      </c>
      <c r="R33" s="14">
        <f t="shared" si="5"/>
        <v>9</v>
      </c>
      <c r="S33" s="20" t="e">
        <f>VLOOKUP(E33,'[1]Controle de equipamento'!$Z$2:$Z$9,2,0)</f>
        <v>#N/A</v>
      </c>
      <c r="T33" s="20" t="e">
        <f>VLOOKUP(E33,'[1]Controle de equipamento'!$Z$2:$Z$9,3,0)</f>
        <v>#N/A</v>
      </c>
      <c r="U33" s="14"/>
      <c r="V33" s="14"/>
      <c r="W33" s="14"/>
      <c r="X33" s="14"/>
    </row>
    <row r="34" spans="1:24">
      <c r="A34" s="13" t="s">
        <v>452</v>
      </c>
      <c r="B34" s="15" t="s">
        <v>453</v>
      </c>
      <c r="C34" s="13" t="s">
        <v>289</v>
      </c>
      <c r="D34" s="13" t="s">
        <v>98</v>
      </c>
      <c r="E34" s="13" t="s">
        <v>4</v>
      </c>
      <c r="F34" s="16" t="s">
        <v>878</v>
      </c>
      <c r="G34" s="13" t="s">
        <v>21</v>
      </c>
      <c r="H34" s="13" t="s">
        <v>116</v>
      </c>
      <c r="I34" s="13" t="s">
        <v>114</v>
      </c>
      <c r="J34" s="13" t="s">
        <v>426</v>
      </c>
      <c r="K34" s="17">
        <v>44035</v>
      </c>
      <c r="L34" s="18">
        <f>IFERROR(VLOOKUP(F34,'[1]Obs Tecnicas'!$D$2:$I$319,5,0),K34)</f>
        <v>44469</v>
      </c>
      <c r="M34" s="17" t="str">
        <f t="shared" ca="1" si="4"/>
        <v>Calibrado</v>
      </c>
      <c r="N34" s="19">
        <f>IFERROR(VLOOKUP(F34,'[1]Obs Tecnicas'!$D$2:$G$339,2,0),"")</f>
        <v>13963</v>
      </c>
      <c r="O34" s="13" t="str">
        <f>IFERROR(VLOOKUP(F34,'[1]Obs Tecnicas'!$D$2:$G$343,3,0),"Hexis")</f>
        <v>ER ANALITICA</v>
      </c>
      <c r="P34" s="13">
        <f>IFERROR(VLOOKUP(F34,'[1]Obs Tecnicas'!$D$2:$G$343,4,0),"")</f>
        <v>0</v>
      </c>
      <c r="Q34" s="14" t="s">
        <v>401</v>
      </c>
      <c r="R34" s="14">
        <f t="shared" si="5"/>
        <v>9</v>
      </c>
      <c r="S34" s="20" t="e">
        <f>VLOOKUP(E34,'[1]Controle de equipamento'!$Z$2:$Z$9,2,0)</f>
        <v>#N/A</v>
      </c>
      <c r="T34" s="20" t="e">
        <f>VLOOKUP(E34,'[1]Controle de equipamento'!$Z$2:$Z$9,3,0)</f>
        <v>#N/A</v>
      </c>
      <c r="U34" s="14"/>
      <c r="V34" s="14"/>
      <c r="W34" s="14"/>
      <c r="X34" s="14"/>
    </row>
    <row r="35" spans="1:24">
      <c r="A35" s="13" t="s">
        <v>338</v>
      </c>
      <c r="B35" s="15" t="s">
        <v>339</v>
      </c>
      <c r="C35" s="13" t="s">
        <v>298</v>
      </c>
      <c r="D35" s="13" t="s">
        <v>33</v>
      </c>
      <c r="E35" s="13" t="s">
        <v>4</v>
      </c>
      <c r="F35" s="16" t="s">
        <v>1381</v>
      </c>
      <c r="G35" s="13" t="s">
        <v>21</v>
      </c>
      <c r="H35" s="13" t="s">
        <v>36</v>
      </c>
      <c r="I35" s="13" t="s">
        <v>35</v>
      </c>
      <c r="J35" s="13" t="s">
        <v>340</v>
      </c>
      <c r="K35" s="17">
        <v>44089</v>
      </c>
      <c r="L35" s="18">
        <f>IFERROR(VLOOKUP(F35,'[1]Obs Tecnicas'!$D$2:$I$319,5,0),K35)</f>
        <v>44089</v>
      </c>
      <c r="M35" s="17" t="str">
        <f t="shared" ca="1" si="4"/>
        <v>Vencido</v>
      </c>
      <c r="N35" s="19" t="str">
        <f>IFERROR(VLOOKUP(F35,'[1]Obs Tecnicas'!$D$2:$G$339,2,0),"")</f>
        <v/>
      </c>
      <c r="O35" s="13" t="str">
        <f>IFERROR(VLOOKUP(F35,'[1]Obs Tecnicas'!$D$2:$G$343,3,0),"Hexis")</f>
        <v>Hexis</v>
      </c>
      <c r="P35" s="13" t="str">
        <f>IFERROR(VLOOKUP(F35,'[1]Obs Tecnicas'!$D$2:$G$343,4,0),"")</f>
        <v/>
      </c>
      <c r="Q35" s="14" t="s">
        <v>401</v>
      </c>
      <c r="R35" s="14">
        <f t="shared" si="5"/>
        <v>9</v>
      </c>
      <c r="S35" s="20" t="e">
        <f>VLOOKUP(E35,'[1]Controle de equipamento'!$Z$2:$Z$9,2,0)</f>
        <v>#N/A</v>
      </c>
      <c r="T35" s="20" t="e">
        <f>VLOOKUP(E35,'[1]Controle de equipamento'!$Z$2:$Z$9,3,0)</f>
        <v>#N/A</v>
      </c>
      <c r="U35" s="25">
        <v>44455</v>
      </c>
      <c r="V35" s="14"/>
      <c r="W35" s="14"/>
      <c r="X35" s="22"/>
    </row>
    <row r="36" spans="1:24">
      <c r="A36" s="13" t="s">
        <v>338</v>
      </c>
      <c r="B36" s="15" t="s">
        <v>339</v>
      </c>
      <c r="C36" s="13" t="s">
        <v>298</v>
      </c>
      <c r="D36" s="13" t="s">
        <v>33</v>
      </c>
      <c r="E36" s="13" t="s">
        <v>5</v>
      </c>
      <c r="F36" s="16" t="s">
        <v>1382</v>
      </c>
      <c r="G36" s="13" t="s">
        <v>21</v>
      </c>
      <c r="H36" s="13" t="s">
        <v>34</v>
      </c>
      <c r="I36" s="13" t="s">
        <v>35</v>
      </c>
      <c r="J36" s="13" t="s">
        <v>340</v>
      </c>
      <c r="K36" s="17">
        <v>44089</v>
      </c>
      <c r="L36" s="18">
        <f>IFERROR(VLOOKUP(F36,'[1]Obs Tecnicas'!$D$2:$I$319,5,0),K36)</f>
        <v>44089</v>
      </c>
      <c r="M36" s="17" t="str">
        <f t="shared" ca="1" si="4"/>
        <v>Vencido</v>
      </c>
      <c r="N36" s="19" t="str">
        <f>IFERROR(VLOOKUP(F36,'[1]Obs Tecnicas'!$D$2:$G$339,2,0),"")</f>
        <v/>
      </c>
      <c r="O36" s="13" t="str">
        <f>IFERROR(VLOOKUP(F36,'[1]Obs Tecnicas'!$D$2:$G$343,3,0),"Hexis")</f>
        <v>Hexis</v>
      </c>
      <c r="P36" s="13" t="str">
        <f>IFERROR(VLOOKUP(F36,'[1]Obs Tecnicas'!$D$2:$G$343,4,0),"")</f>
        <v/>
      </c>
      <c r="Q36" s="14" t="s">
        <v>401</v>
      </c>
      <c r="R36" s="14">
        <f t="shared" si="5"/>
        <v>9</v>
      </c>
      <c r="S36" s="20" t="e">
        <f>VLOOKUP(E36,'[1]Controle de equipamento'!$Z$2:$Z$9,2,0)</f>
        <v>#N/A</v>
      </c>
      <c r="T36" s="20" t="e">
        <f>VLOOKUP(E36,'[1]Controle de equipamento'!$Z$2:$Z$9,3,0)</f>
        <v>#N/A</v>
      </c>
      <c r="U36" s="25">
        <v>44455</v>
      </c>
      <c r="V36" s="14"/>
      <c r="W36" s="14"/>
      <c r="X36" s="22"/>
    </row>
    <row r="37" spans="1:24">
      <c r="A37" s="24" t="s">
        <v>338</v>
      </c>
      <c r="B37" s="15" t="s">
        <v>339</v>
      </c>
      <c r="C37" s="13" t="s">
        <v>298</v>
      </c>
      <c r="D37" s="13" t="s">
        <v>33</v>
      </c>
      <c r="E37" s="13" t="s">
        <v>7</v>
      </c>
      <c r="F37" s="16" t="s">
        <v>1383</v>
      </c>
      <c r="G37" s="13" t="s">
        <v>21</v>
      </c>
      <c r="H37" s="13" t="s">
        <v>37</v>
      </c>
      <c r="I37" s="13" t="s">
        <v>35</v>
      </c>
      <c r="J37" s="13" t="s">
        <v>340</v>
      </c>
      <c r="K37" s="17">
        <v>44089</v>
      </c>
      <c r="L37" s="18">
        <f>IFERROR(VLOOKUP(F37,'[1]Obs Tecnicas'!$D$2:$I$319,5,0),K37)</f>
        <v>44089</v>
      </c>
      <c r="M37" s="17" t="str">
        <f t="shared" ca="1" si="4"/>
        <v>Vencido</v>
      </c>
      <c r="N37" s="19" t="str">
        <f>IFERROR(VLOOKUP(F37,'[1]Obs Tecnicas'!$D$2:$G$339,2,0),"")</f>
        <v/>
      </c>
      <c r="O37" s="13" t="str">
        <f>IFERROR(VLOOKUP(F37,'[1]Obs Tecnicas'!$D$2:$G$343,3,0),"Hexis")</f>
        <v>Hexis</v>
      </c>
      <c r="P37" s="13" t="str">
        <f>IFERROR(VLOOKUP(F37,'[1]Obs Tecnicas'!$D$2:$G$343,4,0),"")</f>
        <v/>
      </c>
      <c r="Q37" s="14" t="s">
        <v>401</v>
      </c>
      <c r="R37" s="14">
        <f t="shared" si="5"/>
        <v>9</v>
      </c>
      <c r="S37" s="20" t="e">
        <f>VLOOKUP(E37,'[1]Controle de equipamento'!$Z$2:$Z$9,2,0)</f>
        <v>#N/A</v>
      </c>
      <c r="T37" s="20" t="e">
        <f>VLOOKUP(E37,'[1]Controle de equipamento'!$Z$2:$Z$9,3,0)</f>
        <v>#N/A</v>
      </c>
      <c r="U37" s="25">
        <v>44455</v>
      </c>
      <c r="V37" s="14"/>
      <c r="W37" s="14"/>
      <c r="X37" s="22"/>
    </row>
    <row r="38" spans="1:24">
      <c r="A38" s="24" t="s">
        <v>338</v>
      </c>
      <c r="B38" s="15" t="s">
        <v>339</v>
      </c>
      <c r="C38" s="13" t="s">
        <v>298</v>
      </c>
      <c r="D38" s="13" t="s">
        <v>33</v>
      </c>
      <c r="E38" s="24" t="s">
        <v>7</v>
      </c>
      <c r="F38" s="16" t="s">
        <v>1384</v>
      </c>
      <c r="G38" s="24" t="s">
        <v>38</v>
      </c>
      <c r="H38" s="24" t="s">
        <v>39</v>
      </c>
      <c r="I38" s="13" t="s">
        <v>35</v>
      </c>
      <c r="J38" s="13" t="s">
        <v>340</v>
      </c>
      <c r="K38" s="17">
        <v>44089</v>
      </c>
      <c r="L38" s="18">
        <f>IFERROR(VLOOKUP(F38,'[1]Obs Tecnicas'!$D$2:$I$319,5,0),K38)</f>
        <v>44089</v>
      </c>
      <c r="M38" s="17" t="str">
        <f t="shared" ca="1" si="4"/>
        <v>Vencido</v>
      </c>
      <c r="N38" s="19" t="str">
        <f>IFERROR(VLOOKUP(F38,'[1]Obs Tecnicas'!$D$2:$G$339,2,0),"")</f>
        <v/>
      </c>
      <c r="O38" s="13" t="str">
        <f>IFERROR(VLOOKUP(F38,'[1]Obs Tecnicas'!$D$2:$G$343,3,0),"Hexis")</f>
        <v>Hexis</v>
      </c>
      <c r="P38" s="13" t="str">
        <f>IFERROR(VLOOKUP(F38,'[1]Obs Tecnicas'!$D$2:$G$343,4,0),"")</f>
        <v/>
      </c>
      <c r="Q38" s="14" t="s">
        <v>401</v>
      </c>
      <c r="R38" s="14">
        <f t="shared" si="5"/>
        <v>9</v>
      </c>
      <c r="S38" s="20" t="e">
        <f>VLOOKUP(E38,'[1]Controle de equipamento'!$Z$2:$Z$9,2,0)</f>
        <v>#N/A</v>
      </c>
      <c r="T38" s="20" t="e">
        <f>VLOOKUP(E38,'[1]Controle de equipamento'!$Z$2:$Z$9,3,0)</f>
        <v>#N/A</v>
      </c>
      <c r="U38" s="25">
        <v>44455</v>
      </c>
      <c r="V38" s="14"/>
      <c r="W38" s="14"/>
      <c r="X38" s="22"/>
    </row>
    <row r="39" spans="1:24">
      <c r="A39" s="13" t="s">
        <v>322</v>
      </c>
      <c r="B39" s="15" t="s">
        <v>323</v>
      </c>
      <c r="C39" s="13" t="s">
        <v>289</v>
      </c>
      <c r="D39" s="13" t="s">
        <v>40</v>
      </c>
      <c r="E39" s="13" t="s">
        <v>3</v>
      </c>
      <c r="F39" s="16" t="s">
        <v>51</v>
      </c>
      <c r="G39" s="13" t="s">
        <v>21</v>
      </c>
      <c r="H39" s="13" t="s">
        <v>22</v>
      </c>
      <c r="I39" s="24" t="s">
        <v>41</v>
      </c>
      <c r="J39" s="13" t="s">
        <v>324</v>
      </c>
      <c r="K39" s="17">
        <v>44068</v>
      </c>
      <c r="L39" s="18">
        <f>IFERROR(VLOOKUP(F39,'[1]Obs Tecnicas'!$D$2:$I$319,5,0),K39)</f>
        <v>44459</v>
      </c>
      <c r="M39" s="17" t="str">
        <f t="shared" ca="1" si="4"/>
        <v>Calibrado</v>
      </c>
      <c r="N39" s="19">
        <f>IFERROR(VLOOKUP(F39,'[1]Obs Tecnicas'!$D$2:$G$339,2,0),"")</f>
        <v>13825</v>
      </c>
      <c r="O39" s="13" t="str">
        <f>IFERROR(VLOOKUP(F39,'[1]Obs Tecnicas'!$D$2:$G$343,3,0),"Hexis")</f>
        <v>ER ANALITICA</v>
      </c>
      <c r="P39" s="13">
        <f>IFERROR(VLOOKUP(F39,'[1]Obs Tecnicas'!$D$2:$G$343,4,0),"")</f>
        <v>0</v>
      </c>
      <c r="Q39" s="14" t="s">
        <v>291</v>
      </c>
      <c r="R39" s="14">
        <f t="shared" si="5"/>
        <v>9</v>
      </c>
      <c r="S39" s="20" t="e">
        <f>VLOOKUP(E39,'[1]Controle de equipamento'!$Z$2:$Z$9,2,0)</f>
        <v>#N/A</v>
      </c>
      <c r="T39" s="20" t="e">
        <f>VLOOKUP(E39,'[1]Controle de equipamento'!$Z$2:$Z$9,3,0)</f>
        <v>#N/A</v>
      </c>
      <c r="U39" s="25">
        <v>44459</v>
      </c>
      <c r="V39" s="14"/>
      <c r="W39" s="14"/>
      <c r="X39" s="22">
        <v>44459</v>
      </c>
    </row>
    <row r="40" spans="1:24">
      <c r="A40" s="13" t="s">
        <v>322</v>
      </c>
      <c r="B40" s="15" t="s">
        <v>323</v>
      </c>
      <c r="C40" s="13" t="s">
        <v>289</v>
      </c>
      <c r="D40" s="13" t="s">
        <v>40</v>
      </c>
      <c r="E40" s="13" t="s">
        <v>9</v>
      </c>
      <c r="F40" s="26" t="s">
        <v>52</v>
      </c>
      <c r="G40" s="13" t="s">
        <v>21</v>
      </c>
      <c r="H40" s="13" t="s">
        <v>29</v>
      </c>
      <c r="I40" s="24" t="s">
        <v>41</v>
      </c>
      <c r="J40" s="13" t="s">
        <v>324</v>
      </c>
      <c r="K40" s="17">
        <v>44068</v>
      </c>
      <c r="L40" s="18">
        <f>IFERROR(VLOOKUP(F40,'[1]Obs Tecnicas'!$D$2:$I$319,5,0),K40)</f>
        <v>44068</v>
      </c>
      <c r="M40" s="17" t="str">
        <f t="shared" ca="1" si="4"/>
        <v>Vencido</v>
      </c>
      <c r="N40" s="19" t="str">
        <f>IFERROR(VLOOKUP(F40,'[1]Obs Tecnicas'!$D$2:$G$339,2,0),"")</f>
        <v/>
      </c>
      <c r="O40" s="13" t="str">
        <f>IFERROR(VLOOKUP(F40,'[1]Obs Tecnicas'!$D$2:$G$343,3,0),"Hexis")</f>
        <v>Hexis</v>
      </c>
      <c r="P40" s="13" t="str">
        <f>IFERROR(VLOOKUP(F40,'[1]Obs Tecnicas'!$D$2:$G$343,4,0),"")</f>
        <v/>
      </c>
      <c r="Q40" s="14" t="s">
        <v>291</v>
      </c>
      <c r="R40" s="14">
        <f t="shared" si="5"/>
        <v>8</v>
      </c>
      <c r="S40" s="20" t="e">
        <f>VLOOKUP(E40,'[1]Controle de equipamento'!$Z$2:$Z$9,2,0)</f>
        <v>#N/A</v>
      </c>
      <c r="T40" s="20" t="e">
        <f>VLOOKUP(E40,'[1]Controle de equipamento'!$Z$2:$Z$9,3,0)</f>
        <v>#N/A</v>
      </c>
      <c r="U40" s="25">
        <v>44459</v>
      </c>
      <c r="V40" s="14"/>
      <c r="W40" s="14"/>
      <c r="X40" s="22">
        <v>44459</v>
      </c>
    </row>
    <row r="41" spans="1:24">
      <c r="A41" s="13" t="s">
        <v>322</v>
      </c>
      <c r="B41" s="15" t="s">
        <v>323</v>
      </c>
      <c r="C41" s="13" t="s">
        <v>289</v>
      </c>
      <c r="D41" s="13" t="s">
        <v>40</v>
      </c>
      <c r="E41" s="13" t="s">
        <v>8</v>
      </c>
      <c r="F41" s="16">
        <v>306</v>
      </c>
      <c r="G41" s="13" t="s">
        <v>54</v>
      </c>
      <c r="H41" s="13" t="s">
        <v>55</v>
      </c>
      <c r="I41" s="24" t="s">
        <v>41</v>
      </c>
      <c r="J41" s="13" t="s">
        <v>324</v>
      </c>
      <c r="K41" s="17">
        <v>44069</v>
      </c>
      <c r="L41" s="18">
        <f>IFERROR(VLOOKUP(F41,'[1]Obs Tecnicas'!$D$2:$I$319,5,0),K41)</f>
        <v>44069</v>
      </c>
      <c r="M41" s="17" t="str">
        <f t="shared" ca="1" si="4"/>
        <v>Vencido</v>
      </c>
      <c r="N41" s="19" t="str">
        <f>IFERROR(VLOOKUP(F41,'[1]Obs Tecnicas'!$D$2:$G$339,2,0),"")</f>
        <v/>
      </c>
      <c r="O41" s="13" t="str">
        <f>IFERROR(VLOOKUP(F41,'[1]Obs Tecnicas'!$D$2:$G$343,3,0),"Hexis")</f>
        <v>Hexis</v>
      </c>
      <c r="P41" s="13" t="str">
        <f>IFERROR(VLOOKUP(F41,'[1]Obs Tecnicas'!$D$2:$G$343,4,0),"")</f>
        <v/>
      </c>
      <c r="Q41" s="14" t="s">
        <v>291</v>
      </c>
      <c r="R41" s="14">
        <f t="shared" si="5"/>
        <v>8</v>
      </c>
      <c r="S41" s="20" t="e">
        <f>VLOOKUP(E41,'[1]Controle de equipamento'!$Z$2:$Z$9,2,0)</f>
        <v>#N/A</v>
      </c>
      <c r="T41" s="20" t="e">
        <f>VLOOKUP(E41,'[1]Controle de equipamento'!$Z$2:$Z$9,3,0)</f>
        <v>#N/A</v>
      </c>
      <c r="U41" s="25">
        <v>44459</v>
      </c>
      <c r="V41" s="14"/>
      <c r="W41" s="14"/>
      <c r="X41" s="22">
        <v>44459</v>
      </c>
    </row>
    <row r="42" spans="1:24">
      <c r="A42" s="13" t="s">
        <v>322</v>
      </c>
      <c r="B42" s="15" t="s">
        <v>323</v>
      </c>
      <c r="C42" s="13" t="s">
        <v>289</v>
      </c>
      <c r="D42" s="13" t="s">
        <v>40</v>
      </c>
      <c r="E42" s="13" t="s">
        <v>9</v>
      </c>
      <c r="F42" s="16" t="s">
        <v>60</v>
      </c>
      <c r="G42" s="24" t="s">
        <v>21</v>
      </c>
      <c r="H42" s="24" t="s">
        <v>29</v>
      </c>
      <c r="I42" s="24" t="s">
        <v>41</v>
      </c>
      <c r="J42" s="13" t="s">
        <v>324</v>
      </c>
      <c r="K42" s="17">
        <v>44069</v>
      </c>
      <c r="L42" s="18">
        <f>IFERROR(VLOOKUP(F42,'[1]Obs Tecnicas'!$D$2:$I$319,5,0),K42)</f>
        <v>44069</v>
      </c>
      <c r="M42" s="17" t="str">
        <f t="shared" ca="1" si="4"/>
        <v>Vencido</v>
      </c>
      <c r="N42" s="19" t="str">
        <f>IFERROR(VLOOKUP(F42,'[1]Obs Tecnicas'!$D$2:$G$339,2,0),"")</f>
        <v/>
      </c>
      <c r="O42" s="13" t="str">
        <f>IFERROR(VLOOKUP(F42,'[1]Obs Tecnicas'!$D$2:$G$343,3,0),"Hexis")</f>
        <v>Hexis</v>
      </c>
      <c r="P42" s="13" t="str">
        <f>IFERROR(VLOOKUP(F42,'[1]Obs Tecnicas'!$D$2:$G$343,4,0),"")</f>
        <v/>
      </c>
      <c r="Q42" s="14" t="s">
        <v>291</v>
      </c>
      <c r="R42" s="14">
        <f t="shared" si="5"/>
        <v>8</v>
      </c>
      <c r="S42" s="20" t="e">
        <f>VLOOKUP(E42,'[1]Controle de equipamento'!$Z$2:$Z$9,2,0)</f>
        <v>#N/A</v>
      </c>
      <c r="T42" s="20" t="e">
        <f>VLOOKUP(E42,'[1]Controle de equipamento'!$Z$2:$Z$9,3,0)</f>
        <v>#N/A</v>
      </c>
      <c r="U42" s="25">
        <v>44459</v>
      </c>
      <c r="V42" s="14"/>
      <c r="W42" s="14"/>
      <c r="X42" s="22">
        <v>44459</v>
      </c>
    </row>
    <row r="43" spans="1:24">
      <c r="A43" s="13" t="s">
        <v>296</v>
      </c>
      <c r="B43" s="15" t="s">
        <v>297</v>
      </c>
      <c r="C43" s="13" t="s">
        <v>298</v>
      </c>
      <c r="D43" s="13" t="s">
        <v>98</v>
      </c>
      <c r="E43" s="13" t="s">
        <v>3</v>
      </c>
      <c r="F43" s="28" t="s">
        <v>1385</v>
      </c>
      <c r="G43" s="13" t="s">
        <v>56</v>
      </c>
      <c r="H43" s="13" t="s">
        <v>136</v>
      </c>
      <c r="I43" s="13" t="s">
        <v>137</v>
      </c>
      <c r="J43" s="13" t="s">
        <v>1133</v>
      </c>
      <c r="K43" s="17">
        <v>44173</v>
      </c>
      <c r="L43" s="18">
        <f>IFERROR(VLOOKUP(F43,'[1]Obs Tecnicas'!$D$2:$I$319,5,0),K43)</f>
        <v>44173</v>
      </c>
      <c r="M43" s="17" t="str">
        <f ca="1">IF(L43&lt;&gt;"",IF(L43+365&gt;TODAY(),"Calibrado","Vencido"),"")</f>
        <v>Vencido</v>
      </c>
      <c r="N43" s="19" t="str">
        <f>IFERROR(VLOOKUP(F43,'[1]Obs Tecnicas'!$D$2:$G$339,2,0),"")</f>
        <v/>
      </c>
      <c r="O43" s="13" t="str">
        <f>IFERROR(VLOOKUP(F43,'[1]Obs Tecnicas'!$D$2:$G$343,3,0),"Hexis")</f>
        <v>Hexis</v>
      </c>
      <c r="P43" s="13" t="s">
        <v>1386</v>
      </c>
      <c r="Q43" s="14"/>
      <c r="R43" s="14"/>
      <c r="S43" s="14"/>
      <c r="T43" s="14"/>
      <c r="U43" s="14"/>
      <c r="V43" s="14"/>
      <c r="W43" s="14"/>
      <c r="X43" s="14"/>
    </row>
    <row r="44" spans="1:24">
      <c r="A44" s="13" t="s">
        <v>296</v>
      </c>
      <c r="B44" s="15" t="s">
        <v>297</v>
      </c>
      <c r="C44" s="13" t="s">
        <v>298</v>
      </c>
      <c r="D44" s="13" t="s">
        <v>98</v>
      </c>
      <c r="E44" s="13" t="s">
        <v>6</v>
      </c>
      <c r="F44" s="16" t="s">
        <v>1387</v>
      </c>
      <c r="G44" s="13" t="s">
        <v>26</v>
      </c>
      <c r="H44" s="13" t="s">
        <v>84</v>
      </c>
      <c r="I44" s="13" t="s">
        <v>102</v>
      </c>
      <c r="J44" s="13" t="s">
        <v>300</v>
      </c>
      <c r="K44" s="17">
        <v>44259</v>
      </c>
      <c r="L44" s="18">
        <f>IFERROR(VLOOKUP(F44,'[1]Obs Tecnicas'!$D$2:$I$319,5,0),K44)</f>
        <v>44259</v>
      </c>
      <c r="M44" s="17" t="str">
        <f ca="1">IF(L44&lt;&gt;"",IF(L44+365&gt;TODAY(),"Calibrado","Vencido"),"")</f>
        <v>Vencido</v>
      </c>
      <c r="N44" s="19" t="str">
        <f>IFERROR(VLOOKUP(F44,'[1]Obs Tecnicas'!$D$2:$G$339,2,0),"")</f>
        <v/>
      </c>
      <c r="O44" s="13" t="str">
        <f>IFERROR(VLOOKUP(F44,'[1]Obs Tecnicas'!$D$2:$G$343,3,0),"Hexis")</f>
        <v>Hexis</v>
      </c>
      <c r="P44" s="13" t="str">
        <f>IFERROR(VLOOKUP(F44,'[1]Obs Tecnicas'!$D$2:$G$343,4,0),"")</f>
        <v/>
      </c>
      <c r="Q44" s="14" t="s">
        <v>401</v>
      </c>
      <c r="R44" s="14">
        <f>IF(L44&lt;&gt;"",MONTH(L44),"")</f>
        <v>3</v>
      </c>
      <c r="S44" s="20" t="e">
        <f>VLOOKUP(E44,$Z$44:$Z$44,2,0)</f>
        <v>#N/A</v>
      </c>
      <c r="T44" s="20" t="e">
        <f>VLOOKUP(E44,$Z$44:$Z$44,3,0)</f>
        <v>#N/A</v>
      </c>
      <c r="U44" s="14"/>
      <c r="V44" s="21">
        <v>116.496</v>
      </c>
      <c r="W44" s="14"/>
      <c r="X44" s="22"/>
    </row>
  </sheetData>
  <autoFilter ref="A1:X44" xr:uid="{6087E7DB-B62A-4907-B86E-5B487AF9502E}"/>
  <conditionalFormatting sqref="L2">
    <cfRule type="expression" dxfId="491" priority="229">
      <formula>IF(K2&lt;=TODAY()-365,TRUE)</formula>
    </cfRule>
    <cfRule type="expression" dxfId="490" priority="230">
      <formula>IF(K2&lt;(TODAY())-320,TRUE)</formula>
    </cfRule>
    <cfRule type="expression" dxfId="489" priority="231">
      <formula>IF(K2&lt;(TODAY())+0,TRUE)</formula>
    </cfRule>
  </conditionalFormatting>
  <conditionalFormatting sqref="K3">
    <cfRule type="expression" dxfId="488" priority="226">
      <formula>IF(K3&lt;=TODAY()-365,TRUE)</formula>
    </cfRule>
    <cfRule type="expression" dxfId="487" priority="227">
      <formula>IF(K3&lt;(TODAY())-320,TRUE)</formula>
    </cfRule>
    <cfRule type="expression" dxfId="486" priority="228">
      <formula>IF(K3&lt;(TODAY())+0,TRUE)</formula>
    </cfRule>
  </conditionalFormatting>
  <conditionalFormatting sqref="M3">
    <cfRule type="expression" dxfId="485" priority="223">
      <formula>IF(L3&lt;=TODAY()-365,TRUE)</formula>
    </cfRule>
    <cfRule type="expression" dxfId="484" priority="224">
      <formula>IF(L3&lt;(TODAY())-320,TRUE)</formula>
    </cfRule>
    <cfRule type="expression" dxfId="483" priority="225">
      <formula>IF(L3&lt;(TODAY())+0,TRUE)</formula>
    </cfRule>
  </conditionalFormatting>
  <conditionalFormatting sqref="K4:K5">
    <cfRule type="expression" dxfId="482" priority="220">
      <formula>IF(K4&lt;=TODAY()-365,TRUE)</formula>
    </cfRule>
    <cfRule type="expression" dxfId="481" priority="221">
      <formula>IF(K4&lt;(TODAY())-320,TRUE)</formula>
    </cfRule>
    <cfRule type="expression" dxfId="480" priority="222">
      <formula>IF(K4&lt;(TODAY())+0,TRUE)</formula>
    </cfRule>
  </conditionalFormatting>
  <conditionalFormatting sqref="M4:M5">
    <cfRule type="expression" dxfId="479" priority="217">
      <formula>IF(L4&lt;=TODAY()-365,TRUE)</formula>
    </cfRule>
    <cfRule type="expression" dxfId="478" priority="218">
      <formula>IF(L4&lt;(TODAY())-320,TRUE)</formula>
    </cfRule>
    <cfRule type="expression" dxfId="477" priority="219">
      <formula>IF(L4&lt;(TODAY())+0,TRUE)</formula>
    </cfRule>
  </conditionalFormatting>
  <conditionalFormatting sqref="K6">
    <cfRule type="expression" dxfId="476" priority="214">
      <formula>IF(K6&lt;=TODAY()-365,TRUE)</formula>
    </cfRule>
    <cfRule type="expression" dxfId="475" priority="215">
      <formula>IF(K6&lt;(TODAY())-320,TRUE)</formula>
    </cfRule>
    <cfRule type="expression" dxfId="474" priority="216">
      <formula>IF(K6&lt;(TODAY())+0,TRUE)</formula>
    </cfRule>
  </conditionalFormatting>
  <conditionalFormatting sqref="M6">
    <cfRule type="expression" dxfId="473" priority="211">
      <formula>IF(L6&lt;=TODAY()-365,TRUE)</formula>
    </cfRule>
    <cfRule type="expression" dxfId="472" priority="212">
      <formula>IF(L6&lt;(TODAY())-320,TRUE)</formula>
    </cfRule>
    <cfRule type="expression" dxfId="471" priority="213">
      <formula>IF(L6&lt;(TODAY())+0,TRUE)</formula>
    </cfRule>
  </conditionalFormatting>
  <conditionalFormatting sqref="K7">
    <cfRule type="expression" dxfId="470" priority="208">
      <formula>IF(K7&lt;=TODAY()-365,TRUE)</formula>
    </cfRule>
    <cfRule type="expression" dxfId="469" priority="209">
      <formula>IF(K7&lt;(TODAY())-320,TRUE)</formula>
    </cfRule>
    <cfRule type="expression" dxfId="468" priority="210">
      <formula>IF(K7&lt;(TODAY())+0,TRUE)</formula>
    </cfRule>
  </conditionalFormatting>
  <conditionalFormatting sqref="M7">
    <cfRule type="expression" dxfId="467" priority="205">
      <formula>IF(L7&lt;=TODAY()-365,TRUE)</formula>
    </cfRule>
    <cfRule type="expression" dxfId="466" priority="206">
      <formula>IF(L7&lt;(TODAY())-320,TRUE)</formula>
    </cfRule>
    <cfRule type="expression" dxfId="465" priority="207">
      <formula>IF(L7&lt;(TODAY())+0,TRUE)</formula>
    </cfRule>
  </conditionalFormatting>
  <conditionalFormatting sqref="M8">
    <cfRule type="expression" dxfId="464" priority="202">
      <formula>IF(L8&lt;=TODAY()-365,TRUE)</formula>
    </cfRule>
    <cfRule type="expression" dxfId="463" priority="203">
      <formula>IF(L8&lt;(TODAY())-320,TRUE)</formula>
    </cfRule>
    <cfRule type="expression" dxfId="462" priority="204">
      <formula>IF(L8&lt;(TODAY())+0,TRUE)</formula>
    </cfRule>
  </conditionalFormatting>
  <conditionalFormatting sqref="M9">
    <cfRule type="expression" dxfId="461" priority="199">
      <formula>IF(L9&lt;=TODAY()-365,TRUE)</formula>
    </cfRule>
    <cfRule type="expression" dxfId="460" priority="200">
      <formula>IF(L9&lt;(TODAY())-320,TRUE)</formula>
    </cfRule>
    <cfRule type="expression" dxfId="459" priority="201">
      <formula>IF(L9&lt;(TODAY())+0,TRUE)</formula>
    </cfRule>
  </conditionalFormatting>
  <conditionalFormatting sqref="K9">
    <cfRule type="expression" dxfId="458" priority="196">
      <formula>IF(K9&lt;=TODAY()-365,TRUE)</formula>
    </cfRule>
    <cfRule type="expression" dxfId="457" priority="197">
      <formula>IF(K9&lt;(TODAY())-320,TRUE)</formula>
    </cfRule>
    <cfRule type="expression" dxfId="456" priority="198">
      <formula>IF(K9&lt;(TODAY())+0,TRUE)</formula>
    </cfRule>
  </conditionalFormatting>
  <conditionalFormatting sqref="K10">
    <cfRule type="expression" dxfId="455" priority="193">
      <formula>IF(K10&lt;=TODAY()-365,TRUE)</formula>
    </cfRule>
    <cfRule type="expression" dxfId="454" priority="194">
      <formula>IF(K10&lt;(TODAY())-320,TRUE)</formula>
    </cfRule>
    <cfRule type="expression" dxfId="453" priority="195">
      <formula>IF(K10&lt;(TODAY())+0,TRUE)</formula>
    </cfRule>
  </conditionalFormatting>
  <conditionalFormatting sqref="M10">
    <cfRule type="expression" dxfId="452" priority="190">
      <formula>IF(L10&lt;=TODAY()-365,TRUE)</formula>
    </cfRule>
    <cfRule type="expression" dxfId="451" priority="191">
      <formula>IF(L10&lt;(TODAY())-320,TRUE)</formula>
    </cfRule>
    <cfRule type="expression" dxfId="450" priority="192">
      <formula>IF(L10&lt;(TODAY())+0,TRUE)</formula>
    </cfRule>
  </conditionalFormatting>
  <conditionalFormatting sqref="K11:K12">
    <cfRule type="expression" dxfId="449" priority="187">
      <formula>IF(K11&lt;=TODAY()-365,TRUE)</formula>
    </cfRule>
    <cfRule type="expression" dxfId="448" priority="188">
      <formula>IF(K11&lt;(TODAY())-320,TRUE)</formula>
    </cfRule>
    <cfRule type="expression" dxfId="447" priority="189">
      <formula>IF(K11&lt;(TODAY())+0,TRUE)</formula>
    </cfRule>
  </conditionalFormatting>
  <conditionalFormatting sqref="M11:M12">
    <cfRule type="expression" dxfId="446" priority="184">
      <formula>IF(L11&lt;=TODAY()-365,TRUE)</formula>
    </cfRule>
    <cfRule type="expression" dxfId="445" priority="185">
      <formula>IF(L11&lt;(TODAY())-320,TRUE)</formula>
    </cfRule>
    <cfRule type="expression" dxfId="444" priority="186">
      <formula>IF(L11&lt;(TODAY())+0,TRUE)</formula>
    </cfRule>
  </conditionalFormatting>
  <conditionalFormatting sqref="K13">
    <cfRule type="expression" dxfId="443" priority="181">
      <formula>IF(K13&lt;=TODAY()-365,TRUE)</formula>
    </cfRule>
    <cfRule type="expression" dxfId="442" priority="182">
      <formula>IF(K13&lt;(TODAY())-320,TRUE)</formula>
    </cfRule>
    <cfRule type="expression" dxfId="441" priority="183">
      <formula>IF(K13&lt;(TODAY())+0,TRUE)</formula>
    </cfRule>
  </conditionalFormatting>
  <conditionalFormatting sqref="M13">
    <cfRule type="expression" dxfId="440" priority="178">
      <formula>IF(L13&lt;=TODAY()-365,TRUE)</formula>
    </cfRule>
    <cfRule type="expression" dxfId="439" priority="179">
      <formula>IF(L13&lt;(TODAY())-320,TRUE)</formula>
    </cfRule>
    <cfRule type="expression" dxfId="438" priority="180">
      <formula>IF(L13&lt;(TODAY())+0,TRUE)</formula>
    </cfRule>
  </conditionalFormatting>
  <conditionalFormatting sqref="K14">
    <cfRule type="expression" dxfId="437" priority="175">
      <formula>IF(K14&lt;=TODAY()-365,TRUE)</formula>
    </cfRule>
    <cfRule type="expression" dxfId="436" priority="176">
      <formula>IF(K14&lt;(TODAY())-320,TRUE)</formula>
    </cfRule>
    <cfRule type="expression" dxfId="435" priority="177">
      <formula>IF(K14&lt;(TODAY())+0,TRUE)</formula>
    </cfRule>
  </conditionalFormatting>
  <conditionalFormatting sqref="M14">
    <cfRule type="expression" dxfId="434" priority="172">
      <formula>IF(L14&lt;=TODAY()-365,TRUE)</formula>
    </cfRule>
    <cfRule type="expression" dxfId="433" priority="173">
      <formula>IF(L14&lt;(TODAY())-320,TRUE)</formula>
    </cfRule>
    <cfRule type="expression" dxfId="432" priority="174">
      <formula>IF(L14&lt;(TODAY())+0,TRUE)</formula>
    </cfRule>
  </conditionalFormatting>
  <conditionalFormatting sqref="L15">
    <cfRule type="expression" dxfId="431" priority="169">
      <formula>IF(K15&lt;=TODAY()-365,TRUE)</formula>
    </cfRule>
    <cfRule type="expression" dxfId="430" priority="170">
      <formula>IF(K15&lt;(TODAY())-320,TRUE)</formula>
    </cfRule>
    <cfRule type="expression" dxfId="429" priority="171">
      <formula>IF(K15&lt;(TODAY())+0,TRUE)</formula>
    </cfRule>
  </conditionalFormatting>
  <conditionalFormatting sqref="M16">
    <cfRule type="expression" dxfId="428" priority="166">
      <formula>IF(L16&lt;=TODAY()-365,TRUE)</formula>
    </cfRule>
    <cfRule type="expression" dxfId="427" priority="167">
      <formula>IF(L16&lt;(TODAY())-320,TRUE)</formula>
    </cfRule>
    <cfRule type="expression" dxfId="426" priority="168">
      <formula>IF(L16&lt;(TODAY())+0,TRUE)</formula>
    </cfRule>
  </conditionalFormatting>
  <conditionalFormatting sqref="K16">
    <cfRule type="expression" dxfId="425" priority="163">
      <formula>IF(K16&lt;=TODAY()-365,TRUE)</formula>
    </cfRule>
    <cfRule type="expression" dxfId="424" priority="164">
      <formula>IF(K16&lt;(TODAY())-320,TRUE)</formula>
    </cfRule>
    <cfRule type="expression" dxfId="423" priority="165">
      <formula>IF(K16&lt;(TODAY())+0,TRUE)</formula>
    </cfRule>
  </conditionalFormatting>
  <conditionalFormatting sqref="M17">
    <cfRule type="expression" dxfId="422" priority="159">
      <formula>IF(L17&lt;=TODAY()-365,TRUE)</formula>
    </cfRule>
    <cfRule type="expression" dxfId="421" priority="160">
      <formula>IF(L17&lt;(TODAY())-320,TRUE)</formula>
    </cfRule>
    <cfRule type="expression" dxfId="420" priority="161">
      <formula>IF(L17&lt;(TODAY())+0,TRUE)</formula>
    </cfRule>
  </conditionalFormatting>
  <conditionalFormatting sqref="K17">
    <cfRule type="expression" dxfId="419" priority="156">
      <formula>IF(K17&lt;=TODAY()-365,TRUE)</formula>
    </cfRule>
    <cfRule type="expression" dxfId="418" priority="157">
      <formula>IF(K17&lt;(TODAY())-320,TRUE)</formula>
    </cfRule>
    <cfRule type="expression" dxfId="417" priority="158">
      <formula>IF(K17&lt;(TODAY())+0,TRUE)</formula>
    </cfRule>
  </conditionalFormatting>
  <conditionalFormatting sqref="G17:J17 A17:E17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">
    <cfRule type="expression" dxfId="416" priority="152">
      <formula>IF(L18&lt;=TODAY()-365,TRUE)</formula>
    </cfRule>
    <cfRule type="expression" dxfId="415" priority="153">
      <formula>IF(L18&lt;(TODAY())-320,TRUE)</formula>
    </cfRule>
    <cfRule type="expression" dxfId="414" priority="154">
      <formula>IF(L18&lt;(TODAY())+0,TRUE)</formula>
    </cfRule>
  </conditionalFormatting>
  <conditionalFormatting sqref="K18">
    <cfRule type="expression" dxfId="413" priority="149">
      <formula>IF(K18&lt;=TODAY()-365,TRUE)</formula>
    </cfRule>
    <cfRule type="expression" dxfId="412" priority="150">
      <formula>IF(K18&lt;(TODAY())-320,TRUE)</formula>
    </cfRule>
    <cfRule type="expression" dxfId="411" priority="151">
      <formula>IF(K18&lt;(TODAY())+0,TRUE)</formula>
    </cfRule>
  </conditionalFormatting>
  <conditionalFormatting sqref="A18:B18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">
    <cfRule type="expression" dxfId="410" priority="146">
      <formula>IF(K19&lt;=TODAY()-365,TRUE)</formula>
    </cfRule>
    <cfRule type="expression" dxfId="409" priority="147">
      <formula>IF(K19&lt;(TODAY())-320,TRUE)</formula>
    </cfRule>
    <cfRule type="expression" dxfId="408" priority="148">
      <formula>IF(K19&lt;(TODAY())+0,TRUE)</formula>
    </cfRule>
  </conditionalFormatting>
  <conditionalFormatting sqref="M19">
    <cfRule type="expression" dxfId="407" priority="143">
      <formula>IF(L19&lt;=TODAY()-365,TRUE)</formula>
    </cfRule>
    <cfRule type="expression" dxfId="406" priority="144">
      <formula>IF(L19&lt;(TODAY())-320,TRUE)</formula>
    </cfRule>
    <cfRule type="expression" dxfId="405" priority="145">
      <formula>IF(L19&lt;(TODAY())+0,TRUE)</formula>
    </cfRule>
  </conditionalFormatting>
  <conditionalFormatting sqref="K20">
    <cfRule type="expression" dxfId="404" priority="140">
      <formula>IF(K20&lt;=TODAY()-365,TRUE)</formula>
    </cfRule>
    <cfRule type="expression" dxfId="403" priority="141">
      <formula>IF(K20&lt;(TODAY())-320,TRUE)</formula>
    </cfRule>
    <cfRule type="expression" dxfId="402" priority="142">
      <formula>IF(K20&lt;(TODAY())+0,TRUE)</formula>
    </cfRule>
  </conditionalFormatting>
  <conditionalFormatting sqref="M20">
    <cfRule type="expression" dxfId="401" priority="137">
      <formula>IF(L20&lt;=TODAY()-365,TRUE)</formula>
    </cfRule>
    <cfRule type="expression" dxfId="400" priority="138">
      <formula>IF(L20&lt;(TODAY())-320,TRUE)</formula>
    </cfRule>
    <cfRule type="expression" dxfId="399" priority="139">
      <formula>IF(L20&lt;(TODAY())+0,TRUE)</formula>
    </cfRule>
  </conditionalFormatting>
  <conditionalFormatting sqref="K21">
    <cfRule type="expression" dxfId="398" priority="134">
      <formula>IF(K21&lt;=TODAY()-365,TRUE)</formula>
    </cfRule>
    <cfRule type="expression" dxfId="397" priority="135">
      <formula>IF(K21&lt;(TODAY())-320,TRUE)</formula>
    </cfRule>
    <cfRule type="expression" dxfId="396" priority="136">
      <formula>IF(K21&lt;(TODAY())+0,TRUE)</formula>
    </cfRule>
  </conditionalFormatting>
  <conditionalFormatting sqref="M21">
    <cfRule type="expression" dxfId="395" priority="131">
      <formula>IF(L21&lt;=TODAY()-365,TRUE)</formula>
    </cfRule>
    <cfRule type="expression" dxfId="394" priority="132">
      <formula>IF(L21&lt;(TODAY())-320,TRUE)</formula>
    </cfRule>
    <cfRule type="expression" dxfId="393" priority="133">
      <formula>IF(L21&lt;(TODAY())+0,TRUE)</formula>
    </cfRule>
  </conditionalFormatting>
  <conditionalFormatting sqref="K22">
    <cfRule type="expression" dxfId="392" priority="128">
      <formula>IF(K22&lt;=TODAY()-365,TRUE)</formula>
    </cfRule>
    <cfRule type="expression" dxfId="391" priority="129">
      <formula>IF(K22&lt;(TODAY())-320,TRUE)</formula>
    </cfRule>
    <cfRule type="expression" dxfId="390" priority="130">
      <formula>IF(K22&lt;(TODAY())+0,TRUE)</formula>
    </cfRule>
  </conditionalFormatting>
  <conditionalFormatting sqref="M22">
    <cfRule type="expression" dxfId="389" priority="125">
      <formula>IF(L22&lt;=TODAY()-365,TRUE)</formula>
    </cfRule>
    <cfRule type="expression" dxfId="388" priority="126">
      <formula>IF(L22&lt;(TODAY())-320,TRUE)</formula>
    </cfRule>
    <cfRule type="expression" dxfId="387" priority="127">
      <formula>IF(L22&lt;(TODAY())+0,TRUE)</formula>
    </cfRule>
  </conditionalFormatting>
  <conditionalFormatting sqref="M23">
    <cfRule type="expression" dxfId="386" priority="119">
      <formula>IF(L23&lt;=TODAY()-365,TRUE)</formula>
    </cfRule>
    <cfRule type="expression" dxfId="385" priority="120">
      <formula>IF(L23&lt;(TODAY())-320,TRUE)</formula>
    </cfRule>
    <cfRule type="expression" dxfId="384" priority="121">
      <formula>IF(L23&lt;(TODAY())+0,TRUE)</formula>
    </cfRule>
  </conditionalFormatting>
  <conditionalFormatting sqref="K23">
    <cfRule type="expression" dxfId="383" priority="122">
      <formula>IF(K23&lt;=TODAY()-365,TRUE)</formula>
    </cfRule>
    <cfRule type="expression" dxfId="382" priority="123">
      <formula>IF(K23&lt;(TODAY())-320,TRUE)</formula>
    </cfRule>
    <cfRule type="expression" dxfId="381" priority="124">
      <formula>IF(K23&lt;(TODAY())+0,TRUE)</formula>
    </cfRule>
  </conditionalFormatting>
  <conditionalFormatting sqref="K24">
    <cfRule type="expression" dxfId="380" priority="116">
      <formula>IF(K24&lt;=TODAY()-365,TRUE)</formula>
    </cfRule>
    <cfRule type="expression" dxfId="379" priority="117">
      <formula>IF(K24&lt;(TODAY())-320,TRUE)</formula>
    </cfRule>
    <cfRule type="expression" dxfId="378" priority="118">
      <formula>IF(K24&lt;(TODAY())+0,TRUE)</formula>
    </cfRule>
  </conditionalFormatting>
  <conditionalFormatting sqref="M24">
    <cfRule type="expression" dxfId="377" priority="113">
      <formula>IF(L24&lt;=TODAY()-365,TRUE)</formula>
    </cfRule>
    <cfRule type="expression" dxfId="376" priority="114">
      <formula>IF(L24&lt;(TODAY())-320,TRUE)</formula>
    </cfRule>
    <cfRule type="expression" dxfId="375" priority="115">
      <formula>IF(L24&lt;(TODAY())+0,TRUE)</formula>
    </cfRule>
  </conditionalFormatting>
  <conditionalFormatting sqref="K25">
    <cfRule type="expression" dxfId="374" priority="110">
      <formula>IF(K25&lt;=TODAY()-365,TRUE)</formula>
    </cfRule>
    <cfRule type="expression" dxfId="373" priority="111">
      <formula>IF(K25&lt;(TODAY())-320,TRUE)</formula>
    </cfRule>
    <cfRule type="expression" dxfId="372" priority="112">
      <formula>IF(K25&lt;(TODAY())+0,TRUE)</formula>
    </cfRule>
  </conditionalFormatting>
  <conditionalFormatting sqref="M25">
    <cfRule type="expression" dxfId="371" priority="107">
      <formula>IF(L25&lt;=TODAY()-365,TRUE)</formula>
    </cfRule>
    <cfRule type="expression" dxfId="370" priority="108">
      <formula>IF(L25&lt;(TODAY())-320,TRUE)</formula>
    </cfRule>
    <cfRule type="expression" dxfId="369" priority="109">
      <formula>IF(L25&lt;(TODAY())+0,TRUE)</formula>
    </cfRule>
  </conditionalFormatting>
  <conditionalFormatting sqref="L26">
    <cfRule type="expression" dxfId="368" priority="104">
      <formula>IF(K26&lt;=TODAY()-365,TRUE)</formula>
    </cfRule>
    <cfRule type="expression" dxfId="367" priority="105">
      <formula>IF(K26&lt;(TODAY())-320,TRUE)</formula>
    </cfRule>
    <cfRule type="expression" dxfId="366" priority="106">
      <formula>IF(K26&lt;(TODAY())+0,TRUE)</formula>
    </cfRule>
  </conditionalFormatting>
  <conditionalFormatting sqref="M27">
    <cfRule type="expression" dxfId="365" priority="101">
      <formula>IF(L27&lt;=TODAY()-365,TRUE)</formula>
    </cfRule>
    <cfRule type="expression" dxfId="364" priority="102">
      <formula>IF(L27&lt;(TODAY())-320,TRUE)</formula>
    </cfRule>
    <cfRule type="expression" dxfId="363" priority="103">
      <formula>IF(L27&lt;(TODAY())+0,TRUE)</formula>
    </cfRule>
  </conditionalFormatting>
  <conditionalFormatting sqref="K27">
    <cfRule type="expression" dxfId="362" priority="98">
      <formula>IF(K27&lt;=TODAY()-365,TRUE)</formula>
    </cfRule>
    <cfRule type="expression" dxfId="361" priority="99">
      <formula>IF(K27&lt;(TODAY())-320,TRUE)</formula>
    </cfRule>
    <cfRule type="expression" dxfId="360" priority="100">
      <formula>IF(K27&lt;(TODAY())+0,TRUE)</formula>
    </cfRule>
  </conditionalFormatting>
  <conditionalFormatting sqref="M28">
    <cfRule type="expression" dxfId="359" priority="95">
      <formula>IF(L28&lt;=TODAY()-365,TRUE)</formula>
    </cfRule>
    <cfRule type="expression" dxfId="358" priority="96">
      <formula>IF(L28&lt;(TODAY())-320,TRUE)</formula>
    </cfRule>
    <cfRule type="expression" dxfId="357" priority="97">
      <formula>IF(L28&lt;(TODAY())+0,TRUE)</formula>
    </cfRule>
  </conditionalFormatting>
  <conditionalFormatting sqref="K28">
    <cfRule type="expression" dxfId="356" priority="92">
      <formula>IF(K28&lt;=TODAY()-365,TRUE)</formula>
    </cfRule>
    <cfRule type="expression" dxfId="355" priority="93">
      <formula>IF(K28&lt;(TODAY())-320,TRUE)</formula>
    </cfRule>
    <cfRule type="expression" dxfId="354" priority="94">
      <formula>IF(K28&lt;(TODAY())+0,TRUE)</formula>
    </cfRule>
  </conditionalFormatting>
  <conditionalFormatting sqref="A28:B28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9">
    <cfRule type="expression" dxfId="353" priority="88">
      <formula>IF(L29&lt;=TODAY()-365,TRUE)</formula>
    </cfRule>
    <cfRule type="expression" dxfId="352" priority="89">
      <formula>IF(L29&lt;(TODAY())-320,TRUE)</formula>
    </cfRule>
    <cfRule type="expression" dxfId="351" priority="90">
      <formula>IF(L29&lt;(TODAY())+0,TRUE)</formula>
    </cfRule>
  </conditionalFormatting>
  <conditionalFormatting sqref="K29">
    <cfRule type="expression" dxfId="350" priority="85">
      <formula>IF(K29&lt;=TODAY()-365,TRUE)</formula>
    </cfRule>
    <cfRule type="expression" dxfId="349" priority="86">
      <formula>IF(K29&lt;(TODAY())-320,TRUE)</formula>
    </cfRule>
    <cfRule type="expression" dxfId="348" priority="87">
      <formula>IF(K29&lt;(TODAY())+0,TRUE)</formula>
    </cfRule>
  </conditionalFormatting>
  <conditionalFormatting sqref="M30">
    <cfRule type="expression" dxfId="347" priority="82">
      <formula>IF(L30&lt;=TODAY()-365,TRUE)</formula>
    </cfRule>
    <cfRule type="expression" dxfId="346" priority="83">
      <formula>IF(L30&lt;(TODAY())-320,TRUE)</formula>
    </cfRule>
    <cfRule type="expression" dxfId="345" priority="84">
      <formula>IF(L30&lt;(TODAY())+0,TRUE)</formula>
    </cfRule>
  </conditionalFormatting>
  <conditionalFormatting sqref="K30">
    <cfRule type="expression" dxfId="344" priority="79">
      <formula>IF(K30&lt;=TODAY()-365,TRUE)</formula>
    </cfRule>
    <cfRule type="expression" dxfId="343" priority="80">
      <formula>IF(K30&lt;(TODAY())-320,TRUE)</formula>
    </cfRule>
    <cfRule type="expression" dxfId="342" priority="81">
      <formula>IF(K30&lt;(TODAY())+0,TRUE)</formula>
    </cfRule>
  </conditionalFormatting>
  <conditionalFormatting sqref="M31">
    <cfRule type="expression" dxfId="341" priority="73">
      <formula>IF(L31&lt;=TODAY()-365,TRUE)</formula>
    </cfRule>
    <cfRule type="expression" dxfId="340" priority="74">
      <formula>IF(L31&lt;(TODAY())-320,TRUE)</formula>
    </cfRule>
    <cfRule type="expression" dxfId="339" priority="75">
      <formula>IF(L31&lt;(TODAY())+0,TRUE)</formula>
    </cfRule>
  </conditionalFormatting>
  <conditionalFormatting sqref="K31">
    <cfRule type="expression" dxfId="338" priority="76">
      <formula>IF(K31&lt;=TODAY()-365,TRUE)</formula>
    </cfRule>
    <cfRule type="expression" dxfId="337" priority="77">
      <formula>IF(K31&lt;(TODAY())-320,TRUE)</formula>
    </cfRule>
    <cfRule type="expression" dxfId="336" priority="78">
      <formula>IF(K31&lt;(TODAY())+0,TRUE)</formula>
    </cfRule>
  </conditionalFormatting>
  <conditionalFormatting sqref="K32">
    <cfRule type="expression" dxfId="335" priority="70">
      <formula>IF(K32&lt;=TODAY()-365,TRUE)</formula>
    </cfRule>
    <cfRule type="expression" dxfId="334" priority="71">
      <formula>IF(K32&lt;(TODAY())-320,TRUE)</formula>
    </cfRule>
    <cfRule type="expression" dxfId="333" priority="72">
      <formula>IF(K32&lt;(TODAY())+0,TRUE)</formula>
    </cfRule>
  </conditionalFormatting>
  <conditionalFormatting sqref="M32">
    <cfRule type="expression" dxfId="332" priority="67">
      <formula>IF(L32&lt;=TODAY()-365,TRUE)</formula>
    </cfRule>
    <cfRule type="expression" dxfId="331" priority="68">
      <formula>IF(L32&lt;(TODAY())-320,TRUE)</formula>
    </cfRule>
    <cfRule type="expression" dxfId="330" priority="69">
      <formula>IF(L32&lt;(TODAY())+0,TRUE)</formula>
    </cfRule>
  </conditionalFormatting>
  <conditionalFormatting sqref="K33">
    <cfRule type="expression" dxfId="329" priority="64">
      <formula>IF(K33&lt;=TODAY()-365,TRUE)</formula>
    </cfRule>
    <cfRule type="expression" dxfId="328" priority="65">
      <formula>IF(K33&lt;(TODAY())-320,TRUE)</formula>
    </cfRule>
    <cfRule type="expression" dxfId="327" priority="66">
      <formula>IF(K33&lt;(TODAY())+0,TRUE)</formula>
    </cfRule>
  </conditionalFormatting>
  <conditionalFormatting sqref="M33">
    <cfRule type="expression" dxfId="326" priority="61">
      <formula>IF(L33&lt;=TODAY()-365,TRUE)</formula>
    </cfRule>
    <cfRule type="expression" dxfId="325" priority="62">
      <formula>IF(L33&lt;(TODAY())-320,TRUE)</formula>
    </cfRule>
    <cfRule type="expression" dxfId="324" priority="63">
      <formula>IF(L33&lt;(TODAY())+0,TRUE)</formula>
    </cfRule>
  </conditionalFormatting>
  <conditionalFormatting sqref="K34">
    <cfRule type="expression" dxfId="323" priority="58">
      <formula>IF(K34&lt;=TODAY()-365,TRUE)</formula>
    </cfRule>
    <cfRule type="expression" dxfId="322" priority="59">
      <formula>IF(K34&lt;(TODAY())-320,TRUE)</formula>
    </cfRule>
    <cfRule type="expression" dxfId="321" priority="60">
      <formula>IF(K34&lt;(TODAY())+0,TRUE)</formula>
    </cfRule>
  </conditionalFormatting>
  <conditionalFormatting sqref="M34">
    <cfRule type="expression" dxfId="320" priority="55">
      <formula>IF(L34&lt;=TODAY()-365,TRUE)</formula>
    </cfRule>
    <cfRule type="expression" dxfId="319" priority="56">
      <formula>IF(L34&lt;(TODAY())-320,TRUE)</formula>
    </cfRule>
    <cfRule type="expression" dxfId="318" priority="57">
      <formula>IF(L34&lt;(TODAY())+0,TRUE)</formula>
    </cfRule>
  </conditionalFormatting>
  <conditionalFormatting sqref="M35">
    <cfRule type="expression" dxfId="317" priority="49">
      <formula>IF(L35&lt;=TODAY()-365,TRUE)</formula>
    </cfRule>
    <cfRule type="expression" dxfId="316" priority="50">
      <formula>IF(L35&lt;(TODAY())-320,TRUE)</formula>
    </cfRule>
    <cfRule type="expression" dxfId="315" priority="51">
      <formula>IF(L35&lt;(TODAY())+0,TRUE)</formula>
    </cfRule>
  </conditionalFormatting>
  <conditionalFormatting sqref="K35">
    <cfRule type="expression" dxfId="314" priority="52">
      <formula>IF(K35&lt;=TODAY()-365,TRUE)</formula>
    </cfRule>
    <cfRule type="expression" dxfId="313" priority="53">
      <formula>IF(K35&lt;(TODAY())-320,TRUE)</formula>
    </cfRule>
    <cfRule type="expression" dxfId="312" priority="54">
      <formula>IF(K35&lt;(TODAY())+0,TRUE)</formula>
    </cfRule>
  </conditionalFormatting>
  <conditionalFormatting sqref="K36">
    <cfRule type="expression" dxfId="311" priority="46">
      <formula>IF(K36&lt;=TODAY()-365,TRUE)</formula>
    </cfRule>
    <cfRule type="expression" dxfId="310" priority="47">
      <formula>IF(K36&lt;(TODAY())-320,TRUE)</formula>
    </cfRule>
    <cfRule type="expression" dxfId="309" priority="48">
      <formula>IF(K36&lt;(TODAY())+0,TRUE)</formula>
    </cfRule>
  </conditionalFormatting>
  <conditionalFormatting sqref="M36">
    <cfRule type="expression" dxfId="308" priority="43">
      <formula>IF(L36&lt;=TODAY()-365,TRUE)</formula>
    </cfRule>
    <cfRule type="expression" dxfId="307" priority="44">
      <formula>IF(L36&lt;(TODAY())-320,TRUE)</formula>
    </cfRule>
    <cfRule type="expression" dxfId="306" priority="45">
      <formula>IF(L36&lt;(TODAY())+0,TRUE)</formula>
    </cfRule>
  </conditionalFormatting>
  <conditionalFormatting sqref="M37:M38">
    <cfRule type="expression" dxfId="305" priority="37">
      <formula>IF(L37&lt;=TODAY()-365,TRUE)</formula>
    </cfRule>
    <cfRule type="expression" dxfId="304" priority="38">
      <formula>IF(L37&lt;(TODAY())-320,TRUE)</formula>
    </cfRule>
    <cfRule type="expression" dxfId="303" priority="39">
      <formula>IF(L37&lt;(TODAY())+0,TRUE)</formula>
    </cfRule>
  </conditionalFormatting>
  <conditionalFormatting sqref="K37:K38">
    <cfRule type="expression" dxfId="302" priority="40">
      <formula>IF(K37&lt;=TODAY()-365,TRUE)</formula>
    </cfRule>
    <cfRule type="expression" dxfId="301" priority="41">
      <formula>IF(K37&lt;(TODAY())-320,TRUE)</formula>
    </cfRule>
    <cfRule type="expression" dxfId="300" priority="42">
      <formula>IF(K37&lt;(TODAY())+0,TRUE)</formula>
    </cfRule>
  </conditionalFormatting>
  <conditionalFormatting sqref="M39">
    <cfRule type="expression" dxfId="299" priority="31">
      <formula>IF(L39&lt;=TODAY()-365,TRUE)</formula>
    </cfRule>
    <cfRule type="expression" dxfId="298" priority="32">
      <formula>IF(L39&lt;(TODAY())-320,TRUE)</formula>
    </cfRule>
    <cfRule type="expression" dxfId="297" priority="33">
      <formula>IF(L39&lt;(TODAY())+0,TRUE)</formula>
    </cfRule>
  </conditionalFormatting>
  <conditionalFormatting sqref="K39">
    <cfRule type="expression" dxfId="296" priority="34">
      <formula>IF(K39&lt;=TODAY()-365,TRUE)</formula>
    </cfRule>
    <cfRule type="expression" dxfId="295" priority="35">
      <formula>IF(K39&lt;(TODAY())-320,TRUE)</formula>
    </cfRule>
    <cfRule type="expression" dxfId="294" priority="36">
      <formula>IF(K39&lt;(TODAY())+0,TRUE)</formula>
    </cfRule>
  </conditionalFormatting>
  <conditionalFormatting sqref="K40">
    <cfRule type="expression" dxfId="293" priority="28">
      <formula>IF(K40&lt;=TODAY()-365,TRUE)</formula>
    </cfRule>
    <cfRule type="expression" dxfId="292" priority="29">
      <formula>IF(K40&lt;(TODAY())-320,TRUE)</formula>
    </cfRule>
    <cfRule type="expression" dxfId="291" priority="30">
      <formula>IF(K40&lt;(TODAY())+0,TRUE)</formula>
    </cfRule>
  </conditionalFormatting>
  <conditionalFormatting sqref="M40">
    <cfRule type="expression" dxfId="290" priority="25">
      <formula>IF(L40&lt;=TODAY()-365,TRUE)</formula>
    </cfRule>
    <cfRule type="expression" dxfId="289" priority="26">
      <formula>IF(L40&lt;(TODAY())-320,TRUE)</formula>
    </cfRule>
    <cfRule type="expression" dxfId="288" priority="27">
      <formula>IF(L40&lt;(TODAY())+0,TRUE)</formula>
    </cfRule>
  </conditionalFormatting>
  <conditionalFormatting sqref="K41">
    <cfRule type="expression" dxfId="287" priority="22">
      <formula>IF(K41&lt;=TODAY()-365,TRUE)</formula>
    </cfRule>
    <cfRule type="expression" dxfId="286" priority="23">
      <formula>IF(K41&lt;(TODAY())-320,TRUE)</formula>
    </cfRule>
    <cfRule type="expression" dxfId="285" priority="24">
      <formula>IF(K41&lt;(TODAY())+0,TRUE)</formula>
    </cfRule>
  </conditionalFormatting>
  <conditionalFormatting sqref="M41">
    <cfRule type="expression" dxfId="284" priority="19">
      <formula>IF(L41&lt;=TODAY()-365,TRUE)</formula>
    </cfRule>
    <cfRule type="expression" dxfId="283" priority="20">
      <formula>IF(L41&lt;(TODAY())-320,TRUE)</formula>
    </cfRule>
    <cfRule type="expression" dxfId="282" priority="21">
      <formula>IF(L41&lt;(TODAY())+0,TRUE)</formula>
    </cfRule>
  </conditionalFormatting>
  <conditionalFormatting sqref="M42">
    <cfRule type="expression" dxfId="281" priority="16">
      <formula>IF(L42&lt;=TODAY()-365,TRUE)</formula>
    </cfRule>
    <cfRule type="expression" dxfId="280" priority="17">
      <formula>IF(L42&lt;(TODAY())-320,TRUE)</formula>
    </cfRule>
    <cfRule type="expression" dxfId="279" priority="18">
      <formula>IF(L42&lt;(TODAY())+0,TRUE)</formula>
    </cfRule>
  </conditionalFormatting>
  <conditionalFormatting sqref="K42">
    <cfRule type="expression" dxfId="278" priority="13">
      <formula>IF(K42&lt;=TODAY()-365,TRUE)</formula>
    </cfRule>
    <cfRule type="expression" dxfId="277" priority="14">
      <formula>IF(K42&lt;(TODAY())-320,TRUE)</formula>
    </cfRule>
    <cfRule type="expression" dxfId="276" priority="15">
      <formula>IF(K42&lt;(TODAY())+0,TRUE)</formula>
    </cfRule>
  </conditionalFormatting>
  <conditionalFormatting sqref="K43">
    <cfRule type="expression" dxfId="275" priority="10">
      <formula>IF(K43&lt;=TODAY()-365,TRUE)</formula>
    </cfRule>
    <cfRule type="expression" dxfId="274" priority="11">
      <formula>IF(K43&lt;(TODAY())-320,TRUE)</formula>
    </cfRule>
    <cfRule type="expression" dxfId="273" priority="12">
      <formula>IF(K43&lt;(TODAY())+0,TRUE)</formula>
    </cfRule>
  </conditionalFormatting>
  <conditionalFormatting sqref="M43">
    <cfRule type="expression" dxfId="272" priority="7">
      <formula>IF(L43&lt;=TODAY()-365,TRUE)</formula>
    </cfRule>
    <cfRule type="expression" dxfId="271" priority="8">
      <formula>IF(L43&lt;(TODAY())-320,TRUE)</formula>
    </cfRule>
    <cfRule type="expression" dxfId="270" priority="9">
      <formula>IF(L43&lt;(TODAY())+0,TRUE)</formula>
    </cfRule>
  </conditionalFormatting>
  <conditionalFormatting sqref="K44">
    <cfRule type="expression" dxfId="269" priority="4">
      <formula>IF(K44&lt;=TODAY()-365,TRUE)</formula>
    </cfRule>
    <cfRule type="expression" dxfId="268" priority="5">
      <formula>IF(K44&lt;(TODAY())-320,TRUE)</formula>
    </cfRule>
    <cfRule type="expression" dxfId="267" priority="6">
      <formula>IF(K44&lt;(TODAY())+0,TRUE)</formula>
    </cfRule>
  </conditionalFormatting>
  <conditionalFormatting sqref="M44">
    <cfRule type="expression" dxfId="266" priority="1">
      <formula>IF(L44&lt;=TODAY()-365,TRUE)</formula>
    </cfRule>
    <cfRule type="expression" dxfId="265" priority="2">
      <formula>IF(L44&lt;(TODAY())-320,TRUE)</formula>
    </cfRule>
    <cfRule type="expression" dxfId="264" priority="3">
      <formula>IF(L44&lt;(TODAY())+0,TRUE)</formula>
    </cfRule>
  </conditionalFormatting>
  <dataValidations count="2">
    <dataValidation type="list" allowBlank="1" showInputMessage="1" showErrorMessage="1" sqref="Q3:Q7 Q9:Q14 P8:P15 Q16:Q25 P26 Q27:Q42 Q44" xr:uid="{5C0B1C10-2F9D-43FA-BC20-0F0AC3A923E7}">
      <formula1>"ADICIONADO,REALIZADO,DESATIVADO, NÃO ENCONTRADO,AGENDADO,SEM RETORNO DO OWNER,EM CONTATO"</formula1>
    </dataValidation>
    <dataValidation type="list" allowBlank="1" showInputMessage="1" showErrorMessage="1" sqref="P1:P7" xr:uid="{EA6BDB39-1D50-476F-B5B7-8BC7350BEA57}">
      <formula1>"ADICIONADO,REALIZADO,DESATIVADO, NÃO ENCONTRADO,AGENDADO,SEM RETORNO DO OWNER"</formula1>
    </dataValidation>
  </dataValidations>
  <hyperlinks>
    <hyperlink ref="B2" r:id="rId1" display="an.santos@suez.com" xr:uid="{F56C1379-6F33-4B0F-B757-940C39DD00A3}"/>
    <hyperlink ref="B3" r:id="rId2" xr:uid="{B55D78A4-AF25-4D7D-8B88-C70AB4045752}"/>
    <hyperlink ref="B4" r:id="rId3" xr:uid="{33C6CE4E-DF57-4465-94F1-A143A135AE9B}"/>
    <hyperlink ref="B5" r:id="rId4" xr:uid="{7CE8EA6A-F215-42E1-85F2-316F38950650}"/>
    <hyperlink ref="B6" r:id="rId5" xr:uid="{BCBF7534-0E49-4DC5-BDA3-D6BE304E62DB}"/>
    <hyperlink ref="B8" r:id="rId6" xr:uid="{206EB2C9-B36F-431B-A210-4125C1638C13}"/>
    <hyperlink ref="B10" r:id="rId7" xr:uid="{C330CC79-E57F-41C1-A31C-B923741EA0C9}"/>
    <hyperlink ref="B11" r:id="rId8" xr:uid="{D258B308-641D-46E3-A23F-092342ECE252}"/>
    <hyperlink ref="B12" r:id="rId9" xr:uid="{936EA424-3924-4727-B358-7FC38DEFD6A6}"/>
    <hyperlink ref="B13" r:id="rId10" xr:uid="{EDE02D5B-EF92-4F96-B9FB-D8B46237BE00}"/>
    <hyperlink ref="B14" r:id="rId11" display="marcelo.soto@suez.com" xr:uid="{9B534910-5C85-4134-80BF-B543FB782467}"/>
    <hyperlink ref="B15" r:id="rId12" display="marcelo.soto@suez.com" xr:uid="{753A3E26-BE19-453B-83BA-439A1C429046}"/>
    <hyperlink ref="B16" r:id="rId13" xr:uid="{0FA4205F-4980-4503-A7E0-AB509759AAF0}"/>
    <hyperlink ref="B19" r:id="rId14" display="an.santos@suez.com" xr:uid="{020A235D-0E9A-4E04-A8F4-2CE57557EB62}"/>
    <hyperlink ref="B20" r:id="rId15" xr:uid="{27149F26-CD0C-4247-A1F8-8A4AE2D7217A}"/>
    <hyperlink ref="B21" r:id="rId16" xr:uid="{6BE7F1CC-21E6-489F-8983-B8CBCE94EA4A}"/>
    <hyperlink ref="B22" r:id="rId17" xr:uid="{F82DDC08-194C-40AB-ADF3-502F0D3C7399}"/>
    <hyperlink ref="B23" r:id="rId18" xr:uid="{CC89E14D-9822-4C36-BB6F-CBE691609A9B}"/>
    <hyperlink ref="B24" r:id="rId19" xr:uid="{081E9B97-6FD7-43CE-9C47-76897C1A32B3}"/>
    <hyperlink ref="B25" r:id="rId20" xr:uid="{BFC985D2-32B1-4768-AC8C-E601B82ACB40}"/>
    <hyperlink ref="B31" r:id="rId21" xr:uid="{6D3B512B-1594-404F-91DC-6B84737108FC}"/>
    <hyperlink ref="B32" r:id="rId22" xr:uid="{4D84DD49-5335-4D43-BF1F-5D15E7E8F4F8}"/>
    <hyperlink ref="B33" r:id="rId23" xr:uid="{0FE480E6-A7ED-4946-AD10-84ABC00BC906}"/>
    <hyperlink ref="B34" r:id="rId24" xr:uid="{BFB2EEF5-52F3-41BF-812D-C69079EE5EAC}"/>
    <hyperlink ref="B35" r:id="rId25" xr:uid="{DF846115-4402-4CB3-B71A-C4CD479081F5}"/>
    <hyperlink ref="B36" r:id="rId26" xr:uid="{897188CB-BEC2-4610-893A-712C62550665}"/>
    <hyperlink ref="B37" r:id="rId27" xr:uid="{1BCA0DDC-0106-4D6E-A34C-370FC07CAC00}"/>
    <hyperlink ref="B39" r:id="rId28" xr:uid="{4B4893E9-058A-4ACF-98F0-0B568057F66E}"/>
    <hyperlink ref="B40" r:id="rId29" xr:uid="{16C02E18-DF6A-4E72-BA48-E3F0A0BF5D5A}"/>
    <hyperlink ref="B41" r:id="rId30" xr:uid="{CBD9AC9B-DDB7-4C32-A1BD-7AA2F8221CC9}"/>
    <hyperlink ref="B42" r:id="rId31" xr:uid="{EBD5C2F3-0502-45C0-ADB6-E9CD638E384A}"/>
    <hyperlink ref="B43" r:id="rId32" xr:uid="{67CC7FDF-352A-4798-A6D9-DBA01173C8EE}"/>
    <hyperlink ref="B44" r:id="rId33" xr:uid="{01043034-5ABB-48DD-884F-F7C72DB8B2B5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782A-4DED-430F-B162-578EACF3A22E}">
  <dimension ref="A1:I31"/>
  <sheetViews>
    <sheetView workbookViewId="0">
      <selection activeCell="P21" sqref="P21"/>
    </sheetView>
  </sheetViews>
  <sheetFormatPr defaultRowHeight="15"/>
  <cols>
    <col min="1" max="1" width="22.140625" bestFit="1" customWidth="1"/>
    <col min="2" max="2" width="12.7109375" bestFit="1" customWidth="1"/>
    <col min="3" max="3" width="17" bestFit="1" customWidth="1"/>
    <col min="4" max="4" width="14.28515625" bestFit="1" customWidth="1"/>
    <col min="7" max="7" width="22" bestFit="1" customWidth="1"/>
    <col min="8" max="8" width="8" bestFit="1" customWidth="1"/>
    <col min="9" max="9" width="6.7109375" bestFit="1" customWidth="1"/>
  </cols>
  <sheetData>
    <row r="1" spans="1:9">
      <c r="A1" s="401" t="s">
        <v>1404</v>
      </c>
      <c r="B1" s="402"/>
      <c r="C1" s="402"/>
      <c r="D1" s="402"/>
      <c r="G1" s="406" t="s">
        <v>1399</v>
      </c>
      <c r="H1" s="407"/>
      <c r="I1" s="408"/>
    </row>
    <row r="2" spans="1:9">
      <c r="A2" s="69"/>
      <c r="B2" s="69" t="s">
        <v>1405</v>
      </c>
      <c r="C2" s="69" t="s">
        <v>1406</v>
      </c>
      <c r="D2" s="69" t="s">
        <v>1409</v>
      </c>
      <c r="G2" s="78" t="s">
        <v>1400</v>
      </c>
      <c r="H2" s="5" t="s">
        <v>1401</v>
      </c>
      <c r="I2" s="5" t="s">
        <v>1402</v>
      </c>
    </row>
    <row r="3" spans="1:9">
      <c r="A3" s="87" t="s">
        <v>828</v>
      </c>
      <c r="B3" s="86">
        <f>Equipamentos!D19</f>
        <v>1</v>
      </c>
      <c r="C3" s="86">
        <f>Equipamentos!I3</f>
        <v>0</v>
      </c>
      <c r="D3" s="86">
        <f ca="1">Equipamentos!H19</f>
        <v>0</v>
      </c>
      <c r="G3" s="80" t="s">
        <v>828</v>
      </c>
      <c r="H3" s="5">
        <f>COUNTIF('Inicial - Não encontrados '!E2:E103,Equipamentos!G3)</f>
        <v>0</v>
      </c>
      <c r="I3" s="5">
        <f>COUNTIF('Atual - Não encontrados '!E2:E44,Equipamentos!G3)</f>
        <v>0</v>
      </c>
    </row>
    <row r="4" spans="1:9">
      <c r="A4" s="88" t="s">
        <v>2</v>
      </c>
      <c r="B4" s="86">
        <f>Equipamentos!D20</f>
        <v>7</v>
      </c>
      <c r="C4" s="86">
        <f>Equipamentos!I4</f>
        <v>0</v>
      </c>
      <c r="D4" s="86">
        <f ca="1">Equipamentos!H20</f>
        <v>1</v>
      </c>
      <c r="G4" s="81" t="s">
        <v>2</v>
      </c>
      <c r="H4" s="5">
        <f>COUNTIF('Inicial - Não encontrados '!E3:E104,Equipamentos!G4)</f>
        <v>2</v>
      </c>
      <c r="I4" s="5">
        <f>COUNTIF('Atual - Não encontrados '!E3:E45,Equipamentos!G4)</f>
        <v>0</v>
      </c>
    </row>
    <row r="5" spans="1:9">
      <c r="A5" s="88" t="s">
        <v>3</v>
      </c>
      <c r="B5" s="86">
        <f>Equipamentos!D21</f>
        <v>35</v>
      </c>
      <c r="C5" s="86">
        <f>Equipamentos!I5</f>
        <v>7</v>
      </c>
      <c r="D5" s="86">
        <f ca="1">Equipamentos!H21</f>
        <v>1</v>
      </c>
      <c r="G5" s="81" t="s">
        <v>3</v>
      </c>
      <c r="H5" s="5">
        <f>COUNTIF('Inicial - Não encontrados '!E4:E105,Equipamentos!G5)</f>
        <v>14</v>
      </c>
      <c r="I5" s="5">
        <f>COUNTIF('Atual - Não encontrados '!E4:E46,Equipamentos!G5)</f>
        <v>7</v>
      </c>
    </row>
    <row r="6" spans="1:9">
      <c r="A6" s="88" t="s">
        <v>4</v>
      </c>
      <c r="B6" s="86">
        <f>Equipamentos!D22</f>
        <v>3</v>
      </c>
      <c r="C6" s="86">
        <f>Equipamentos!I6</f>
        <v>9</v>
      </c>
      <c r="D6" s="86">
        <f ca="1">Equipamentos!H22</f>
        <v>6</v>
      </c>
      <c r="G6" s="81" t="s">
        <v>4</v>
      </c>
      <c r="H6" s="5">
        <f>COUNTIF('Inicial - Não encontrados '!E5:E106,Equipamentos!G6)</f>
        <v>23</v>
      </c>
      <c r="I6" s="5">
        <f>COUNTIF('Atual - Não encontrados '!E5:E47,Equipamentos!G6)</f>
        <v>9</v>
      </c>
    </row>
    <row r="7" spans="1:9">
      <c r="A7" s="88" t="s">
        <v>5</v>
      </c>
      <c r="B7" s="86">
        <f>Equipamentos!D23</f>
        <v>3</v>
      </c>
      <c r="C7" s="86">
        <f>Equipamentos!I7</f>
        <v>4</v>
      </c>
      <c r="D7" s="86">
        <f ca="1">Equipamentos!H23</f>
        <v>1</v>
      </c>
      <c r="G7" s="81" t="s">
        <v>5</v>
      </c>
      <c r="H7" s="5">
        <f>COUNTIF('Inicial - Não encontrados '!E6:E107,Equipamentos!G7)</f>
        <v>7</v>
      </c>
      <c r="I7" s="5">
        <f>COUNTIF('Atual - Não encontrados '!E6:E48,Equipamentos!G7)</f>
        <v>4</v>
      </c>
    </row>
    <row r="8" spans="1:9">
      <c r="A8" s="88" t="s">
        <v>768</v>
      </c>
      <c r="B8" s="86">
        <f>Equipamentos!D24</f>
        <v>4</v>
      </c>
      <c r="C8" s="86">
        <f>Equipamentos!I8</f>
        <v>0</v>
      </c>
      <c r="D8" s="86">
        <f ca="1">Equipamentos!H24</f>
        <v>0</v>
      </c>
      <c r="G8" s="81" t="s">
        <v>768</v>
      </c>
      <c r="H8" s="5">
        <f>COUNTIF('Inicial - Não encontrados '!E7:E108,Equipamentos!G8)</f>
        <v>0</v>
      </c>
      <c r="I8" s="5">
        <f>COUNTIF('Atual - Não encontrados '!E7:E49,Equipamentos!G8)</f>
        <v>0</v>
      </c>
    </row>
    <row r="9" spans="1:9">
      <c r="A9" s="88" t="s">
        <v>835</v>
      </c>
      <c r="B9" s="86">
        <f>Equipamentos!D25</f>
        <v>7</v>
      </c>
      <c r="C9" s="86">
        <f>Equipamentos!I9</f>
        <v>0</v>
      </c>
      <c r="D9" s="86">
        <f ca="1">Equipamentos!H25</f>
        <v>0</v>
      </c>
      <c r="G9" s="81" t="s">
        <v>835</v>
      </c>
      <c r="H9" s="5">
        <f>COUNTIF('Inicial - Não encontrados '!E8:E109,Equipamentos!G9)</f>
        <v>0</v>
      </c>
      <c r="I9" s="5">
        <f>COUNTIF('Atual - Não encontrados '!E8:E50,Equipamentos!G9)</f>
        <v>0</v>
      </c>
    </row>
    <row r="10" spans="1:9">
      <c r="A10" s="88" t="s">
        <v>778</v>
      </c>
      <c r="B10" s="86">
        <f>Equipamentos!D26</f>
        <v>2</v>
      </c>
      <c r="C10" s="86">
        <f>Equipamentos!I10</f>
        <v>0</v>
      </c>
      <c r="D10" s="86">
        <f ca="1">Equipamentos!H26</f>
        <v>0</v>
      </c>
      <c r="G10" s="81" t="s">
        <v>778</v>
      </c>
      <c r="H10" s="5">
        <f>COUNTIF('Inicial - Não encontrados '!E9:E110,Equipamentos!G10)</f>
        <v>0</v>
      </c>
      <c r="I10" s="5">
        <f>COUNTIF('Atual - Não encontrados '!E9:E51,Equipamentos!G10)</f>
        <v>0</v>
      </c>
    </row>
    <row r="11" spans="1:9">
      <c r="A11" s="88" t="s">
        <v>7</v>
      </c>
      <c r="B11" s="86">
        <f>Equipamentos!D27</f>
        <v>14</v>
      </c>
      <c r="C11" s="86">
        <f>Equipamentos!I11</f>
        <v>7</v>
      </c>
      <c r="D11" s="86">
        <f ca="1">Equipamentos!H27</f>
        <v>2</v>
      </c>
      <c r="G11" s="81" t="s">
        <v>7</v>
      </c>
      <c r="H11" s="5">
        <f>COUNTIF('Inicial - Não encontrados '!E10:E111,Equipamentos!G11)</f>
        <v>34</v>
      </c>
      <c r="I11" s="5">
        <f>COUNTIF('Atual - Não encontrados '!E10:E52,Equipamentos!G11)</f>
        <v>7</v>
      </c>
    </row>
    <row r="12" spans="1:9">
      <c r="A12" s="88" t="s">
        <v>519</v>
      </c>
      <c r="B12" s="86">
        <f>Equipamentos!D28</f>
        <v>7</v>
      </c>
      <c r="C12" s="86">
        <f>Equipamentos!I12</f>
        <v>0</v>
      </c>
      <c r="D12" s="86">
        <f ca="1">Equipamentos!H28</f>
        <v>0</v>
      </c>
      <c r="G12" s="81" t="s">
        <v>519</v>
      </c>
      <c r="H12" s="5">
        <f>COUNTIF('Inicial - Não encontrados '!E11:E112,Equipamentos!G12)</f>
        <v>0</v>
      </c>
      <c r="I12" s="5">
        <f>COUNTIF('Atual - Não encontrados '!E11:E53,Equipamentos!G12)</f>
        <v>0</v>
      </c>
    </row>
    <row r="13" spans="1:9">
      <c r="A13" s="88" t="s">
        <v>8</v>
      </c>
      <c r="B13" s="86">
        <f>Equipamentos!D29</f>
        <v>1</v>
      </c>
      <c r="C13" s="86">
        <f>Equipamentos!I13</f>
        <v>1</v>
      </c>
      <c r="D13" s="86">
        <f ca="1">Equipamentos!H29</f>
        <v>0</v>
      </c>
      <c r="G13" s="81" t="s">
        <v>8</v>
      </c>
      <c r="H13" s="5">
        <f>COUNTIF('Inicial - Não encontrados '!E12:E113,Equipamentos!G13)</f>
        <v>0</v>
      </c>
      <c r="I13" s="5">
        <f>COUNTIF('Atual - Não encontrados '!E12:E54,Equipamentos!G13)</f>
        <v>1</v>
      </c>
    </row>
    <row r="14" spans="1:9">
      <c r="A14" s="88" t="s">
        <v>9</v>
      </c>
      <c r="B14" s="86">
        <f>Equipamentos!D30</f>
        <v>6</v>
      </c>
      <c r="C14" s="86">
        <f>Equipamentos!I14</f>
        <v>2</v>
      </c>
      <c r="D14" s="86">
        <f ca="1">Equipamentos!H30</f>
        <v>0</v>
      </c>
      <c r="G14" s="81" t="s">
        <v>9</v>
      </c>
      <c r="H14" s="5">
        <f>COUNTIF('Inicial - Não encontrados '!E13:E114,Equipamentos!G14)</f>
        <v>10</v>
      </c>
      <c r="I14" s="5">
        <f>COUNTIF('Atual - Não encontrados '!E13:E55,Equipamentos!G14)</f>
        <v>2</v>
      </c>
    </row>
    <row r="15" spans="1:9">
      <c r="A15" s="89" t="s">
        <v>1191</v>
      </c>
      <c r="B15" s="90">
        <f>Equipamentos!D31</f>
        <v>81</v>
      </c>
      <c r="C15" s="90">
        <f>Equipamentos!I15</f>
        <v>30</v>
      </c>
      <c r="D15" s="90">
        <f ca="1">Equipamentos!H31</f>
        <v>11</v>
      </c>
      <c r="G15" s="82" t="s">
        <v>1191</v>
      </c>
      <c r="H15" s="5">
        <f>SUM(H3:H14)</f>
        <v>90</v>
      </c>
      <c r="I15" s="5">
        <f>SUM(I3:I14)</f>
        <v>30</v>
      </c>
    </row>
    <row r="17" spans="1:8">
      <c r="A17" s="403" t="s">
        <v>1463</v>
      </c>
      <c r="B17" s="404"/>
      <c r="C17" s="404"/>
      <c r="D17" s="405"/>
      <c r="G17" s="400" t="s">
        <v>1422</v>
      </c>
      <c r="H17" s="400"/>
    </row>
    <row r="18" spans="1:8">
      <c r="A18" s="5" t="s">
        <v>1192</v>
      </c>
      <c r="B18" s="5" t="s">
        <v>1407</v>
      </c>
      <c r="C18" s="5" t="s">
        <v>1408</v>
      </c>
      <c r="D18" s="5" t="s">
        <v>1193</v>
      </c>
      <c r="G18" s="78" t="s">
        <v>1400</v>
      </c>
      <c r="H18" s="37" t="s">
        <v>1423</v>
      </c>
    </row>
    <row r="19" spans="1:8">
      <c r="A19" s="80" t="s">
        <v>828</v>
      </c>
      <c r="B19" s="5">
        <f>COUNTIFS('Inicial - Equipamentos '!I2:I271,Equipamentos!A19)</f>
        <v>0</v>
      </c>
      <c r="C19" s="5">
        <f>COUNTIF('Atual - Equipamentos '!I2:I320,Equipamentos!A19)</f>
        <v>1</v>
      </c>
      <c r="D19" s="5">
        <f t="shared" ref="D19:D30" si="0">IF(C19&lt;B19,C19,C19-B19)</f>
        <v>1</v>
      </c>
      <c r="G19" s="80" t="s">
        <v>828</v>
      </c>
      <c r="H19" s="37">
        <f ca="1">COUNTIF('Atual - Desativados'!C:X,Equipamentos!G19)</f>
        <v>0</v>
      </c>
    </row>
    <row r="20" spans="1:8">
      <c r="A20" s="81" t="s">
        <v>2</v>
      </c>
      <c r="B20" s="5">
        <f>COUNTIFS('Inicial - Equipamentos '!I3:I272,Equipamentos!A20)</f>
        <v>10</v>
      </c>
      <c r="C20" s="5">
        <f>COUNTIF('Atual - Equipamentos '!I3:I321,Equipamentos!A20)</f>
        <v>17</v>
      </c>
      <c r="D20" s="5">
        <f t="shared" si="0"/>
        <v>7</v>
      </c>
      <c r="G20" s="81" t="s">
        <v>2</v>
      </c>
      <c r="H20" s="37">
        <f ca="1">COUNTIF('Atual - Desativados'!C:X,Equipamentos!G20)</f>
        <v>1</v>
      </c>
    </row>
    <row r="21" spans="1:8">
      <c r="A21" s="81" t="s">
        <v>3</v>
      </c>
      <c r="B21" s="5">
        <f>COUNTIFS('Inicial - Equipamentos '!I4:I273,Equipamentos!A21)</f>
        <v>38</v>
      </c>
      <c r="C21" s="5">
        <f>COUNTIF('Atual - Equipamentos '!I4:I322,Equipamentos!A21)</f>
        <v>35</v>
      </c>
      <c r="D21" s="5">
        <f t="shared" si="0"/>
        <v>35</v>
      </c>
      <c r="G21" s="81" t="s">
        <v>3</v>
      </c>
      <c r="H21" s="37">
        <f ca="1">COUNTIF('Atual - Desativados'!C:X,Equipamentos!G21)</f>
        <v>1</v>
      </c>
    </row>
    <row r="22" spans="1:8">
      <c r="A22" s="81" t="s">
        <v>4</v>
      </c>
      <c r="B22" s="5">
        <f>COUNTIFS('Inicial - Equipamentos '!I5:I274,Equipamentos!A22)</f>
        <v>51</v>
      </c>
      <c r="C22" s="5">
        <f>COUNTIF('Atual - Equipamentos '!I5:I323,Equipamentos!A22)</f>
        <v>54</v>
      </c>
      <c r="D22" s="5">
        <f t="shared" si="0"/>
        <v>3</v>
      </c>
      <c r="G22" s="81" t="s">
        <v>4</v>
      </c>
      <c r="H22" s="37">
        <f ca="1">COUNTIF('Atual - Desativados'!C:X,Equipamentos!G22)</f>
        <v>6</v>
      </c>
    </row>
    <row r="23" spans="1:8">
      <c r="A23" s="81" t="s">
        <v>5</v>
      </c>
      <c r="B23" s="5">
        <f>COUNTIFS('Inicial - Equipamentos '!I6:I275,Equipamentos!A23)</f>
        <v>43</v>
      </c>
      <c r="C23" s="5">
        <f>COUNTIF('Atual - Equipamentos '!I6:I324,Equipamentos!A23)</f>
        <v>46</v>
      </c>
      <c r="D23" s="5">
        <f t="shared" si="0"/>
        <v>3</v>
      </c>
      <c r="G23" s="81" t="s">
        <v>5</v>
      </c>
      <c r="H23" s="37">
        <f ca="1">COUNTIF('Atual - Desativados'!C:X,Equipamentos!G23)</f>
        <v>1</v>
      </c>
    </row>
    <row r="24" spans="1:8">
      <c r="A24" s="81" t="s">
        <v>768</v>
      </c>
      <c r="B24" s="5">
        <f>COUNTIFS('Inicial - Equipamentos '!I7:I276,Equipamentos!A24)</f>
        <v>0</v>
      </c>
      <c r="C24" s="5">
        <f>COUNTIF('Atual - Equipamentos '!I7:I325,Equipamentos!A24)</f>
        <v>4</v>
      </c>
      <c r="D24" s="5">
        <f t="shared" si="0"/>
        <v>4</v>
      </c>
      <c r="G24" s="81" t="s">
        <v>768</v>
      </c>
      <c r="H24" s="37">
        <f ca="1">COUNTIF('Atual - Desativados'!C:X,Equipamentos!G24)</f>
        <v>0</v>
      </c>
    </row>
    <row r="25" spans="1:8">
      <c r="A25" s="81" t="s">
        <v>835</v>
      </c>
      <c r="B25" s="5">
        <f>COUNTIFS('Inicial - Equipamentos '!I8:I277,Equipamentos!A25)</f>
        <v>32</v>
      </c>
      <c r="C25" s="5">
        <f>COUNTIF('Atual - Equipamentos '!I8:I326,Equipamentos!A25)</f>
        <v>39</v>
      </c>
      <c r="D25" s="5">
        <f t="shared" si="0"/>
        <v>7</v>
      </c>
      <c r="G25" s="81" t="s">
        <v>835</v>
      </c>
      <c r="H25" s="37">
        <f ca="1">COUNTIF('Atual - Desativados'!C:X,Equipamentos!G25)</f>
        <v>0</v>
      </c>
    </row>
    <row r="26" spans="1:8">
      <c r="A26" s="81" t="s">
        <v>778</v>
      </c>
      <c r="B26" s="5">
        <f>COUNTIFS('Inicial - Equipamentos '!I9:I278,Equipamentos!A26)</f>
        <v>0</v>
      </c>
      <c r="C26" s="5">
        <f>COUNTIF('Atual - Equipamentos '!I9:I327,Equipamentos!A26)</f>
        <v>2</v>
      </c>
      <c r="D26" s="5">
        <f t="shared" si="0"/>
        <v>2</v>
      </c>
      <c r="G26" s="81" t="s">
        <v>778</v>
      </c>
      <c r="H26" s="37">
        <f ca="1">COUNTIF('Atual - Desativados'!C:X,Equipamentos!G26)</f>
        <v>0</v>
      </c>
    </row>
    <row r="27" spans="1:8">
      <c r="A27" s="81" t="s">
        <v>7</v>
      </c>
      <c r="B27" s="5">
        <f>COUNTIFS('Inicial - Equipamentos '!I10:I279,Equipamentos!A27)</f>
        <v>61</v>
      </c>
      <c r="C27" s="5">
        <f>COUNTIF('Atual - Equipamentos '!I10:I328,Equipamentos!A27)</f>
        <v>75</v>
      </c>
      <c r="D27" s="5">
        <f t="shared" si="0"/>
        <v>14</v>
      </c>
      <c r="G27" s="81" t="s">
        <v>7</v>
      </c>
      <c r="H27" s="37">
        <f ca="1">COUNTIF('Atual - Desativados'!C:X,Equipamentos!G27)</f>
        <v>2</v>
      </c>
    </row>
    <row r="28" spans="1:8">
      <c r="A28" s="81" t="s">
        <v>519</v>
      </c>
      <c r="B28" s="5">
        <f>COUNTIFS('Inicial - Equipamentos '!I11:I280,Equipamentos!A28)</f>
        <v>0</v>
      </c>
      <c r="C28" s="5">
        <f>COUNTIF('Atual - Equipamentos '!I11:I329,Equipamentos!A28)</f>
        <v>7</v>
      </c>
      <c r="D28" s="5">
        <f t="shared" si="0"/>
        <v>7</v>
      </c>
      <c r="G28" s="81" t="s">
        <v>519</v>
      </c>
      <c r="H28" s="37">
        <f ca="1">COUNTIF('Atual - Desativados'!C:X,Equipamentos!G28)</f>
        <v>0</v>
      </c>
    </row>
    <row r="29" spans="1:8">
      <c r="A29" s="81" t="s">
        <v>8</v>
      </c>
      <c r="B29" s="5">
        <f>COUNTIFS('Inicial - Equipamentos '!I12:I281,Equipamentos!A29)</f>
        <v>6</v>
      </c>
      <c r="C29" s="5">
        <f>COUNTIF('Atual - Equipamentos '!I12:I330,Equipamentos!A29)</f>
        <v>7</v>
      </c>
      <c r="D29" s="5">
        <f t="shared" si="0"/>
        <v>1</v>
      </c>
      <c r="G29" s="81" t="s">
        <v>8</v>
      </c>
      <c r="H29" s="37">
        <f ca="1">COUNTIF('Atual - Desativados'!C:X,Equipamentos!G29)</f>
        <v>0</v>
      </c>
    </row>
    <row r="30" spans="1:8">
      <c r="A30" s="81" t="s">
        <v>9</v>
      </c>
      <c r="B30" s="5">
        <f>COUNTIFS('Inicial - Equipamentos '!I13:I282,Equipamentos!A30)</f>
        <v>22</v>
      </c>
      <c r="C30" s="5">
        <f>COUNTIF('Atual - Equipamentos '!I13:I331,Equipamentos!A30)</f>
        <v>28</v>
      </c>
      <c r="D30" s="5">
        <f t="shared" si="0"/>
        <v>6</v>
      </c>
      <c r="G30" s="81" t="s">
        <v>9</v>
      </c>
      <c r="H30" s="37">
        <f ca="1">COUNTIF('Atual - Desativados'!C:X,Equipamentos!G30)</f>
        <v>0</v>
      </c>
    </row>
    <row r="31" spans="1:8">
      <c r="A31" s="399" t="s">
        <v>1191</v>
      </c>
      <c r="B31" s="399"/>
      <c r="C31" s="399"/>
      <c r="D31" s="79">
        <f>SUM(D19:D30)-(D28+D26)</f>
        <v>81</v>
      </c>
      <c r="G31" s="82" t="s">
        <v>1191</v>
      </c>
      <c r="H31" s="37">
        <f ca="1">SUM(H19:H30)</f>
        <v>11</v>
      </c>
    </row>
  </sheetData>
  <mergeCells count="5">
    <mergeCell ref="A31:C31"/>
    <mergeCell ref="G17:H17"/>
    <mergeCell ref="A1:D1"/>
    <mergeCell ref="A17:D17"/>
    <mergeCell ref="G1:I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5CDB7-FF34-4591-B401-362ECDD6DD84}">
  <dimension ref="A1:X12"/>
  <sheetViews>
    <sheetView topLeftCell="F1" workbookViewId="0">
      <selection activeCell="O7" sqref="O7"/>
    </sheetView>
  </sheetViews>
  <sheetFormatPr defaultRowHeight="15"/>
  <cols>
    <col min="1" max="1" width="8" bestFit="1" customWidth="1"/>
    <col min="2" max="2" width="30" bestFit="1" customWidth="1"/>
    <col min="3" max="3" width="29.42578125" bestFit="1" customWidth="1"/>
    <col min="4" max="4" width="14.7109375" bestFit="1" customWidth="1"/>
    <col min="5" max="5" width="20.28515625" bestFit="1" customWidth="1"/>
    <col min="6" max="6" width="28.28515625" bestFit="1" customWidth="1"/>
    <col min="7" max="7" width="22.28515625" bestFit="1" customWidth="1"/>
    <col min="8" max="8" width="8" bestFit="1" customWidth="1"/>
    <col min="9" max="9" width="18" bestFit="1" customWidth="1"/>
    <col min="10" max="10" width="15.7109375" bestFit="1" customWidth="1"/>
    <col min="11" max="11" width="16.85546875" bestFit="1" customWidth="1"/>
    <col min="12" max="12" width="11.7109375" bestFit="1" customWidth="1"/>
    <col min="13" max="13" width="15.7109375" bestFit="1" customWidth="1"/>
    <col min="14" max="14" width="21.85546875" bestFit="1" customWidth="1"/>
    <col min="15" max="15" width="13.28515625" bestFit="1" customWidth="1"/>
    <col min="16" max="16" width="9.7109375" bestFit="1" customWidth="1"/>
    <col min="17" max="17" width="8.42578125" bestFit="1" customWidth="1"/>
    <col min="18" max="18" width="6" bestFit="1" customWidth="1"/>
    <col min="19" max="19" width="13.140625" bestFit="1" customWidth="1"/>
    <col min="20" max="20" width="85.42578125" bestFit="1" customWidth="1"/>
    <col min="21" max="21" width="12.85546875" bestFit="1" customWidth="1"/>
    <col min="22" max="22" width="3" bestFit="1" customWidth="1"/>
    <col min="23" max="24" width="5.5703125" bestFit="1" customWidth="1"/>
  </cols>
  <sheetData>
    <row r="1" spans="1:24" s="74" customFormat="1">
      <c r="A1" s="69" t="s">
        <v>897</v>
      </c>
      <c r="B1" s="69" t="s">
        <v>274</v>
      </c>
      <c r="C1" s="69" t="s">
        <v>275</v>
      </c>
      <c r="D1" s="69" t="s">
        <v>276</v>
      </c>
      <c r="E1" s="69" t="s">
        <v>277</v>
      </c>
      <c r="F1" s="69" t="s">
        <v>278</v>
      </c>
      <c r="G1" s="69" t="s">
        <v>279</v>
      </c>
      <c r="H1" s="70" t="s">
        <v>10</v>
      </c>
      <c r="I1" s="69" t="s">
        <v>11</v>
      </c>
      <c r="J1" s="71" t="s">
        <v>12</v>
      </c>
      <c r="K1" s="69" t="s">
        <v>13</v>
      </c>
      <c r="L1" s="69" t="s">
        <v>14</v>
      </c>
      <c r="M1" s="70" t="s">
        <v>15</v>
      </c>
      <c r="N1" s="70" t="s">
        <v>280</v>
      </c>
      <c r="O1" s="72" t="s">
        <v>1388</v>
      </c>
      <c r="P1" s="70" t="s">
        <v>1389</v>
      </c>
      <c r="Q1" s="70" t="s">
        <v>284</v>
      </c>
      <c r="R1" s="70" t="s">
        <v>898</v>
      </c>
      <c r="S1" s="70" t="s">
        <v>285</v>
      </c>
      <c r="T1" s="76"/>
      <c r="U1" s="73"/>
      <c r="V1" s="73"/>
      <c r="W1" s="73"/>
      <c r="X1" s="73"/>
    </row>
    <row r="2" spans="1:24">
      <c r="A2" s="14" t="s">
        <v>899</v>
      </c>
      <c r="B2" s="14" t="s">
        <v>1141</v>
      </c>
      <c r="C2" s="67" t="s">
        <v>1142</v>
      </c>
      <c r="D2" s="13" t="s">
        <v>1143</v>
      </c>
      <c r="E2" s="14" t="s">
        <v>735</v>
      </c>
      <c r="F2" s="67" t="s">
        <v>736</v>
      </c>
      <c r="G2" s="13" t="s">
        <v>330</v>
      </c>
      <c r="H2" s="13" t="s">
        <v>202</v>
      </c>
      <c r="I2" s="13" t="s">
        <v>7</v>
      </c>
      <c r="J2" s="28" t="s">
        <v>1390</v>
      </c>
      <c r="K2" s="13" t="s">
        <v>56</v>
      </c>
      <c r="L2" s="13" t="s">
        <v>57</v>
      </c>
      <c r="M2" s="13" t="s">
        <v>211</v>
      </c>
      <c r="N2" s="13" t="s">
        <v>358</v>
      </c>
      <c r="O2" s="18">
        <v>44333</v>
      </c>
      <c r="P2" s="19">
        <f t="shared" ref="P2:P11" si="0">IF(O2&lt;&gt;"",MONTH(O2),"")</f>
        <v>5</v>
      </c>
      <c r="Q2" s="13" t="s">
        <v>901</v>
      </c>
      <c r="R2" s="13" t="s">
        <v>1360</v>
      </c>
      <c r="S2" s="14" t="s">
        <v>1391</v>
      </c>
      <c r="T2" s="14">
        <v>10</v>
      </c>
      <c r="U2" s="14" t="s">
        <v>1391</v>
      </c>
      <c r="V2" s="14">
        <f t="shared" ref="V2:V5" si="1">IF(P2&lt;&gt;"",MONTH(P2),"")</f>
        <v>1</v>
      </c>
      <c r="W2" s="14"/>
      <c r="X2" s="14"/>
    </row>
    <row r="3" spans="1:24">
      <c r="A3" s="14" t="s">
        <v>899</v>
      </c>
      <c r="B3" s="14" t="s">
        <v>1145</v>
      </c>
      <c r="C3" s="67" t="s">
        <v>1146</v>
      </c>
      <c r="D3" s="13" t="s">
        <v>1147</v>
      </c>
      <c r="E3" s="14" t="s">
        <v>1145</v>
      </c>
      <c r="F3" s="67" t="s">
        <v>1146</v>
      </c>
      <c r="G3" s="13" t="s">
        <v>330</v>
      </c>
      <c r="H3" s="13" t="s">
        <v>202</v>
      </c>
      <c r="I3" s="13" t="s">
        <v>7</v>
      </c>
      <c r="J3" s="28" t="s">
        <v>1392</v>
      </c>
      <c r="K3" s="13" t="s">
        <v>56</v>
      </c>
      <c r="L3" s="13" t="s">
        <v>57</v>
      </c>
      <c r="M3" s="13" t="s">
        <v>211</v>
      </c>
      <c r="N3" s="13" t="s">
        <v>358</v>
      </c>
      <c r="O3" s="18">
        <v>44333</v>
      </c>
      <c r="P3" s="19">
        <f t="shared" si="0"/>
        <v>5</v>
      </c>
      <c r="Q3" s="13" t="s">
        <v>901</v>
      </c>
      <c r="R3" s="13" t="s">
        <v>1360</v>
      </c>
      <c r="S3" s="75" t="s">
        <v>1391</v>
      </c>
      <c r="T3" s="14">
        <v>10</v>
      </c>
      <c r="U3" s="14" t="s">
        <v>1391</v>
      </c>
      <c r="V3" s="14">
        <f t="shared" si="1"/>
        <v>1</v>
      </c>
      <c r="W3" s="14"/>
      <c r="X3" s="14"/>
    </row>
    <row r="4" spans="1:24">
      <c r="A4" s="14" t="s">
        <v>899</v>
      </c>
      <c r="B4" s="14" t="s">
        <v>378</v>
      </c>
      <c r="C4" s="67" t="s">
        <v>379</v>
      </c>
      <c r="D4" s="13" t="s">
        <v>380</v>
      </c>
      <c r="E4" s="14" t="s">
        <v>381</v>
      </c>
      <c r="F4" s="67" t="s">
        <v>382</v>
      </c>
      <c r="G4" s="13" t="s">
        <v>352</v>
      </c>
      <c r="H4" s="13" t="s">
        <v>202</v>
      </c>
      <c r="I4" s="13" t="s">
        <v>4</v>
      </c>
      <c r="J4" s="28" t="s">
        <v>1393</v>
      </c>
      <c r="K4" s="13" t="s">
        <v>26</v>
      </c>
      <c r="L4" s="24" t="s">
        <v>84</v>
      </c>
      <c r="M4" s="13" t="s">
        <v>207</v>
      </c>
      <c r="N4" s="13" t="s">
        <v>384</v>
      </c>
      <c r="O4" s="17">
        <v>44344</v>
      </c>
      <c r="P4" s="19">
        <f t="shared" si="0"/>
        <v>5</v>
      </c>
      <c r="Q4" s="13" t="s">
        <v>901</v>
      </c>
      <c r="R4" s="19"/>
      <c r="S4" s="75" t="s">
        <v>1391</v>
      </c>
      <c r="T4" s="13" t="str">
        <f>IFERROR(VLOOKUP(J4,'[1]Obs Tecnicas'!$D$2:$G$343,4,0),"")</f>
        <v>Demora excessiva na estabilização das leituras, indicando vida útil avançada do sensor de pH.</v>
      </c>
      <c r="U4" s="14" t="s">
        <v>1391</v>
      </c>
      <c r="V4" s="14">
        <f t="shared" si="1"/>
        <v>1</v>
      </c>
      <c r="W4" s="20"/>
      <c r="X4" s="20"/>
    </row>
    <row r="5" spans="1:24">
      <c r="A5" s="14"/>
      <c r="B5" s="14"/>
      <c r="C5" s="14"/>
      <c r="D5" s="14"/>
      <c r="E5" s="14"/>
      <c r="F5" s="14"/>
      <c r="G5" s="14"/>
      <c r="H5" s="14"/>
      <c r="I5" s="13" t="s">
        <v>4</v>
      </c>
      <c r="J5" s="28" t="s">
        <v>1394</v>
      </c>
      <c r="K5" s="14" t="s">
        <v>734</v>
      </c>
      <c r="L5" s="14"/>
      <c r="M5" s="13" t="s">
        <v>219</v>
      </c>
      <c r="N5" s="14"/>
      <c r="O5" s="17">
        <v>44347</v>
      </c>
      <c r="P5" s="19">
        <f t="shared" si="0"/>
        <v>5</v>
      </c>
      <c r="Q5" s="13" t="s">
        <v>901</v>
      </c>
      <c r="R5" s="19">
        <f>IFERROR(VLOOKUP(J5,'[1]Obs Tecnicas'!$D$2:$G$339,2,0),"")</f>
        <v>12366</v>
      </c>
      <c r="S5" s="13" t="str">
        <f>IFERROR(VLOOKUP(J5,'[1]Obs Tecnicas'!$D$2:$G$343,3,0),"Hexis")</f>
        <v>ER ANALITICA</v>
      </c>
      <c r="T5" s="13" t="str">
        <f>IFERROR(VLOOKUP(J5,'[1]Obs Tecnicas'!$D$2:$G$343,4,0),"")</f>
        <v>Instrumento inoperante, não liga. Será encaminhado para ER.</v>
      </c>
      <c r="U5" s="14" t="s">
        <v>1391</v>
      </c>
      <c r="V5" s="14">
        <f t="shared" si="1"/>
        <v>1</v>
      </c>
      <c r="W5" s="20" t="e">
        <f>VLOOKUP(I5,'[1]Controle de equipamento'!$Z$2:$Z$9,2,0)</f>
        <v>#N/A</v>
      </c>
      <c r="X5" s="20" t="e">
        <f>VLOOKUP(I5,'[1]Controle de equipamento'!$Z$2:$Z$9,3,0)</f>
        <v>#N/A</v>
      </c>
    </row>
    <row r="6" spans="1:24">
      <c r="A6" s="14" t="s">
        <v>899</v>
      </c>
      <c r="B6" s="14" t="s">
        <v>717</v>
      </c>
      <c r="C6" s="67" t="s">
        <v>718</v>
      </c>
      <c r="D6" s="13" t="s">
        <v>719</v>
      </c>
      <c r="E6" s="14" t="s">
        <v>581</v>
      </c>
      <c r="F6" s="67" t="s">
        <v>582</v>
      </c>
      <c r="G6" s="13" t="s">
        <v>352</v>
      </c>
      <c r="H6" s="13" t="s">
        <v>202</v>
      </c>
      <c r="I6" s="13" t="s">
        <v>4</v>
      </c>
      <c r="J6" s="28" t="s">
        <v>259</v>
      </c>
      <c r="K6" s="13" t="s">
        <v>260</v>
      </c>
      <c r="L6" s="13" t="s">
        <v>261</v>
      </c>
      <c r="M6" s="13" t="s">
        <v>252</v>
      </c>
      <c r="N6" s="13" t="s">
        <v>720</v>
      </c>
      <c r="O6" s="17">
        <v>44021</v>
      </c>
      <c r="P6" s="19">
        <f t="shared" si="0"/>
        <v>7</v>
      </c>
      <c r="Q6" s="13" t="s">
        <v>901</v>
      </c>
      <c r="R6" s="19" t="str">
        <f>IFERROR(VLOOKUP(J6,'[1]Obs Tecnicas'!$D$2:$G$339,2,0),"")</f>
        <v/>
      </c>
      <c r="S6" s="14" t="s">
        <v>1391</v>
      </c>
      <c r="T6" s="13" t="str">
        <f>IFERROR(VLOOKUP(J6,'[1]Obs Tecnicas'!$D$2:$G$343,4,0),"")</f>
        <v/>
      </c>
      <c r="U6" s="14"/>
      <c r="V6" s="14">
        <f>IF(P6&lt;&gt;"",MONTH(P6),"")</f>
        <v>1</v>
      </c>
      <c r="W6" s="20" t="e">
        <f>VLOOKUP(I6,'[1]Controle de equipamento'!$Z$2:$Z$9,2,0)</f>
        <v>#N/A</v>
      </c>
      <c r="X6" s="20" t="e">
        <f>VLOOKUP(I6,'[1]Controle de equipamento'!$Z$2:$Z$9,3,0)</f>
        <v>#N/A</v>
      </c>
    </row>
    <row r="7" spans="1:24">
      <c r="A7" s="14" t="s">
        <v>899</v>
      </c>
      <c r="B7" s="14" t="s">
        <v>717</v>
      </c>
      <c r="C7" s="67" t="s">
        <v>718</v>
      </c>
      <c r="D7" s="13" t="s">
        <v>719</v>
      </c>
      <c r="E7" s="14" t="s">
        <v>581</v>
      </c>
      <c r="F7" s="67" t="s">
        <v>582</v>
      </c>
      <c r="G7" s="13" t="s">
        <v>352</v>
      </c>
      <c r="H7" s="13" t="s">
        <v>202</v>
      </c>
      <c r="I7" s="13" t="s">
        <v>4</v>
      </c>
      <c r="J7" s="28" t="s">
        <v>1395</v>
      </c>
      <c r="K7" s="13" t="s">
        <v>66</v>
      </c>
      <c r="L7" s="13" t="s">
        <v>262</v>
      </c>
      <c r="M7" s="13" t="s">
        <v>252</v>
      </c>
      <c r="N7" s="13" t="s">
        <v>720</v>
      </c>
      <c r="O7" s="17">
        <v>44021</v>
      </c>
      <c r="P7" s="19">
        <f t="shared" si="0"/>
        <v>7</v>
      </c>
      <c r="Q7" s="13" t="s">
        <v>901</v>
      </c>
      <c r="R7" s="19" t="str">
        <f>IFERROR(VLOOKUP(J7,'[1]Obs Tecnicas'!$D$2:$G$339,2,0),"")</f>
        <v/>
      </c>
      <c r="S7" s="14" t="s">
        <v>1391</v>
      </c>
      <c r="T7" s="13" t="str">
        <f>IFERROR(VLOOKUP(J7,'[1]Obs Tecnicas'!$D$2:$G$343,4,0),"")</f>
        <v/>
      </c>
      <c r="U7" s="14"/>
      <c r="V7" s="14">
        <f>IF(P7&lt;&gt;"",MONTH(P7),"")</f>
        <v>1</v>
      </c>
      <c r="W7" s="20" t="e">
        <f>VLOOKUP(I7,'[1]Controle de equipamento'!$Z$2:$Z$9,2,0)</f>
        <v>#N/A</v>
      </c>
      <c r="X7" s="20" t="e">
        <f>VLOOKUP(I7,'[1]Controle de equipamento'!$Z$2:$Z$9,3,0)</f>
        <v>#N/A</v>
      </c>
    </row>
    <row r="8" spans="1:24">
      <c r="A8" s="14" t="s">
        <v>899</v>
      </c>
      <c r="B8" s="14" t="s">
        <v>603</v>
      </c>
      <c r="C8" s="67" t="s">
        <v>604</v>
      </c>
      <c r="D8" s="13" t="s">
        <v>605</v>
      </c>
      <c r="E8" s="14" t="s">
        <v>606</v>
      </c>
      <c r="F8" s="67" t="s">
        <v>607</v>
      </c>
      <c r="G8" s="13" t="s">
        <v>608</v>
      </c>
      <c r="H8" s="13" t="s">
        <v>202</v>
      </c>
      <c r="I8" s="13" t="s">
        <v>5</v>
      </c>
      <c r="J8" s="28" t="s">
        <v>1396</v>
      </c>
      <c r="K8" s="13" t="s">
        <v>21</v>
      </c>
      <c r="L8" s="13" t="s">
        <v>266</v>
      </c>
      <c r="M8" s="13" t="s">
        <v>265</v>
      </c>
      <c r="N8" s="13" t="s">
        <v>332</v>
      </c>
      <c r="O8" s="17">
        <v>44007</v>
      </c>
      <c r="P8" s="19">
        <f t="shared" si="0"/>
        <v>6</v>
      </c>
      <c r="Q8" s="13" t="s">
        <v>901</v>
      </c>
      <c r="R8" s="19" t="str">
        <f>IFERROR(VLOOKUP(J8,'[1]Obs Tecnicas'!$D$2:$G$339,2,0),"")</f>
        <v/>
      </c>
      <c r="S8" s="14" t="s">
        <v>1391</v>
      </c>
      <c r="T8" s="13" t="str">
        <f>IFERROR(VLOOKUP(J8,'[1]Obs Tecnicas'!$D$2:$G$343,4,0),"")</f>
        <v/>
      </c>
      <c r="U8" s="14"/>
      <c r="V8" s="14">
        <f>IF(P8&lt;&gt;"",MONTH(P8),"")</f>
        <v>1</v>
      </c>
      <c r="W8" s="20" t="e">
        <f>VLOOKUP(I8,'[1]Controle de equipamento'!$Z$2:$Z$9,2,0)</f>
        <v>#N/A</v>
      </c>
      <c r="X8" s="20" t="e">
        <f>VLOOKUP(I8,'[1]Controle de equipamento'!$Z$2:$Z$9,3,0)</f>
        <v>#N/A</v>
      </c>
    </row>
    <row r="9" spans="1:24">
      <c r="A9" s="14" t="s">
        <v>899</v>
      </c>
      <c r="B9" s="14" t="s">
        <v>704</v>
      </c>
      <c r="C9" s="67" t="s">
        <v>652</v>
      </c>
      <c r="D9" s="13" t="s">
        <v>705</v>
      </c>
      <c r="E9" s="14" t="s">
        <v>706</v>
      </c>
      <c r="F9" s="67" t="s">
        <v>707</v>
      </c>
      <c r="G9" s="13" t="s">
        <v>625</v>
      </c>
      <c r="H9" s="13" t="s">
        <v>202</v>
      </c>
      <c r="I9" s="13" t="s">
        <v>4</v>
      </c>
      <c r="J9" s="28" t="s">
        <v>1397</v>
      </c>
      <c r="K9" s="13" t="s">
        <v>31</v>
      </c>
      <c r="L9" s="13" t="s">
        <v>74</v>
      </c>
      <c r="M9" s="13" t="s">
        <v>236</v>
      </c>
      <c r="N9" s="13" t="s">
        <v>627</v>
      </c>
      <c r="O9" s="17">
        <v>43900</v>
      </c>
      <c r="P9" s="19">
        <f t="shared" si="0"/>
        <v>3</v>
      </c>
      <c r="Q9" s="13" t="s">
        <v>901</v>
      </c>
      <c r="R9" s="19" t="str">
        <f>IFERROR(VLOOKUP(J9,'[1]Obs Tecnicas'!$D$2:$G$339,2,0),"")</f>
        <v/>
      </c>
      <c r="S9" s="14" t="s">
        <v>1391</v>
      </c>
      <c r="T9" s="14"/>
      <c r="U9" s="14"/>
      <c r="V9" s="14"/>
      <c r="W9" s="14"/>
      <c r="X9" s="14"/>
    </row>
    <row r="10" spans="1:24">
      <c r="A10" s="14" t="s">
        <v>899</v>
      </c>
      <c r="B10" s="14" t="s">
        <v>704</v>
      </c>
      <c r="C10" s="67" t="s">
        <v>652</v>
      </c>
      <c r="D10" s="13" t="s">
        <v>705</v>
      </c>
      <c r="E10" s="14" t="s">
        <v>706</v>
      </c>
      <c r="F10" s="67" t="s">
        <v>707</v>
      </c>
      <c r="G10" s="13" t="s">
        <v>625</v>
      </c>
      <c r="H10" s="13" t="s">
        <v>202</v>
      </c>
      <c r="I10" s="13" t="s">
        <v>4</v>
      </c>
      <c r="J10" s="28" t="s">
        <v>238</v>
      </c>
      <c r="K10" s="13" t="s">
        <v>31</v>
      </c>
      <c r="L10" s="13" t="s">
        <v>74</v>
      </c>
      <c r="M10" s="13" t="s">
        <v>236</v>
      </c>
      <c r="N10" s="13" t="s">
        <v>627</v>
      </c>
      <c r="O10" s="17">
        <v>43900</v>
      </c>
      <c r="P10" s="19">
        <f t="shared" si="0"/>
        <v>3</v>
      </c>
      <c r="Q10" s="13" t="s">
        <v>901</v>
      </c>
      <c r="R10" s="19" t="str">
        <f>IFERROR(VLOOKUP(J10,'[1]Obs Tecnicas'!$D$2:$G$339,2,0),"")</f>
        <v/>
      </c>
      <c r="S10" s="14" t="s">
        <v>1391</v>
      </c>
      <c r="T10" s="14"/>
      <c r="U10" s="14"/>
      <c r="V10" s="14"/>
      <c r="W10" s="14"/>
      <c r="X10" s="14"/>
    </row>
    <row r="11" spans="1:24">
      <c r="A11" s="14" t="s">
        <v>899</v>
      </c>
      <c r="B11" s="14" t="s">
        <v>544</v>
      </c>
      <c r="C11" s="67" t="s">
        <v>545</v>
      </c>
      <c r="D11" s="13" t="s">
        <v>546</v>
      </c>
      <c r="E11" s="14" t="s">
        <v>452</v>
      </c>
      <c r="F11" s="67" t="s">
        <v>453</v>
      </c>
      <c r="G11" s="13" t="s">
        <v>289</v>
      </c>
      <c r="H11" s="13" t="s">
        <v>164</v>
      </c>
      <c r="I11" s="13" t="s">
        <v>2</v>
      </c>
      <c r="J11" s="28" t="s">
        <v>1398</v>
      </c>
      <c r="K11" s="13" t="s">
        <v>173</v>
      </c>
      <c r="L11" s="13" t="s">
        <v>174</v>
      </c>
      <c r="M11" s="13" t="s">
        <v>983</v>
      </c>
      <c r="N11" s="13" t="s">
        <v>426</v>
      </c>
      <c r="O11" s="17">
        <v>43718</v>
      </c>
      <c r="P11" s="19">
        <f t="shared" si="0"/>
        <v>9</v>
      </c>
      <c r="Q11" s="13" t="s">
        <v>901</v>
      </c>
      <c r="R11" s="19" t="str">
        <f>IFERROR(VLOOKUP(J11,'[1]Obs Tecnicas'!$D$2:$G$339,2,0),"")</f>
        <v/>
      </c>
      <c r="S11" s="14" t="s">
        <v>1391</v>
      </c>
      <c r="T11" s="13" t="str">
        <f>IFERROR(VLOOKUP(J11,'[1]Obs Tecnicas'!$D$2:$G$343,4,0),"")</f>
        <v/>
      </c>
      <c r="U11" s="14"/>
      <c r="V11" s="14"/>
      <c r="W11" s="14"/>
      <c r="X11" s="14"/>
    </row>
    <row r="12" spans="1:24">
      <c r="A12" s="13" t="s">
        <v>899</v>
      </c>
      <c r="B12" s="14" t="s">
        <v>990</v>
      </c>
      <c r="C12" s="15" t="s">
        <v>991</v>
      </c>
      <c r="D12" s="13" t="s">
        <v>992</v>
      </c>
      <c r="E12" s="13" t="s">
        <v>322</v>
      </c>
      <c r="F12" s="15" t="s">
        <v>323</v>
      </c>
      <c r="G12" s="13" t="s">
        <v>289</v>
      </c>
      <c r="H12" s="13" t="s">
        <v>94</v>
      </c>
      <c r="I12" s="13" t="s">
        <v>3</v>
      </c>
      <c r="J12" s="28" t="s">
        <v>95</v>
      </c>
      <c r="K12" s="13" t="s">
        <v>21</v>
      </c>
      <c r="L12" s="13" t="s">
        <v>96</v>
      </c>
      <c r="M12" s="13" t="s">
        <v>97</v>
      </c>
      <c r="N12" s="13"/>
      <c r="O12" s="17">
        <v>43818</v>
      </c>
      <c r="P12" s="18">
        <f>IFERROR(VLOOKUP(J12,'[1]Obs Tecnicas'!$D$2:$I$319,5,0),O12)</f>
        <v>43818</v>
      </c>
      <c r="Q12" s="17" t="str">
        <f ca="1">IF(P12&lt;&gt;"",IF(P12+365&gt;TODAY(),"Calibrado","Vencido"),"")</f>
        <v>Vencido</v>
      </c>
      <c r="R12" s="19" t="str">
        <f>IFERROR(VLOOKUP(J12,'[1]Obs Tecnicas'!$D$2:$G$339,2,0),"")</f>
        <v/>
      </c>
      <c r="S12" s="13" t="str">
        <f>IFERROR(VLOOKUP(J12,'[1]Obs Tecnicas'!$D$2:$G$343,3,0),"Hexis")</f>
        <v>Hexis</v>
      </c>
      <c r="T12" s="13" t="str">
        <f>IFERROR(VLOOKUP(J12,'[1]Obs Tecnicas'!$D$2:$G$343,4,0),"")</f>
        <v/>
      </c>
      <c r="U12" s="14" t="s">
        <v>359</v>
      </c>
      <c r="V12" s="14">
        <f>IF(P12&lt;&gt;"",MONTH(P12),"")</f>
        <v>12</v>
      </c>
      <c r="W12" s="20" t="e">
        <f>VLOOKUP(I12,'[1]Controle de equipamento'!$Z$2:$Z$9,2,0)</f>
        <v>#N/A</v>
      </c>
      <c r="X12" s="20" t="e">
        <f>VLOOKUP(I12,'[1]Controle de equipamento'!$Z$2:$Z$9,3,0)</f>
        <v>#N/A</v>
      </c>
    </row>
  </sheetData>
  <autoFilter ref="A1:X1" xr:uid="{D295CDB7-FF34-4591-B401-362ECDD6DD84}"/>
  <conditionalFormatting sqref="O4">
    <cfRule type="expression" dxfId="263" priority="28">
      <formula>IF(O4&lt;=TODAY()-365,TRUE)</formula>
    </cfRule>
    <cfRule type="expression" dxfId="262" priority="29">
      <formula>IF(O4&lt;(TODAY())-320,TRUE)</formula>
    </cfRule>
    <cfRule type="expression" dxfId="261" priority="30">
      <formula>IF(O4&lt;(TODAY())+0,TRUE)</formula>
    </cfRule>
  </conditionalFormatting>
  <conditionalFormatting sqref="I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expression" dxfId="260" priority="24">
      <formula>IF(O5&lt;=TODAY()-365,TRUE)</formula>
    </cfRule>
    <cfRule type="expression" dxfId="259" priority="25">
      <formula>IF(O5&lt;(TODAY())-320,TRUE)</formula>
    </cfRule>
    <cfRule type="expression" dxfId="258" priority="26">
      <formula>IF(O5&lt;(TODAY())+0,TRUE)</formula>
    </cfRule>
  </conditionalFormatting>
  <conditionalFormatting sqref="O6">
    <cfRule type="expression" dxfId="257" priority="21">
      <formula>IF(O6&lt;=TODAY()-365,TRUE)</formula>
    </cfRule>
    <cfRule type="expression" dxfId="256" priority="22">
      <formula>IF(O6&lt;(TODAY())-320,TRUE)</formula>
    </cfRule>
    <cfRule type="expression" dxfId="255" priority="23">
      <formula>IF(O6&lt;(TODAY())+0,TRUE)</formula>
    </cfRule>
  </conditionalFormatting>
  <conditionalFormatting sqref="O7">
    <cfRule type="expression" dxfId="254" priority="18">
      <formula>IF(O7&lt;=TODAY()-365,TRUE)</formula>
    </cfRule>
    <cfRule type="expression" dxfId="253" priority="19">
      <formula>IF(O7&lt;(TODAY())-320,TRUE)</formula>
    </cfRule>
    <cfRule type="expression" dxfId="252" priority="20">
      <formula>IF(O7&lt;(TODAY())+0,TRUE)</formula>
    </cfRule>
  </conditionalFormatting>
  <conditionalFormatting sqref="O8">
    <cfRule type="expression" dxfId="251" priority="15">
      <formula>IF(O8&lt;=TODAY()-365,TRUE)</formula>
    </cfRule>
    <cfRule type="expression" dxfId="250" priority="16">
      <formula>IF(O8&lt;(TODAY())-320,TRUE)</formula>
    </cfRule>
    <cfRule type="expression" dxfId="249" priority="17">
      <formula>IF(O8&lt;(TODAY())+0,TRUE)</formula>
    </cfRule>
  </conditionalFormatting>
  <conditionalFormatting sqref="O9:O10">
    <cfRule type="expression" dxfId="248" priority="10">
      <formula>IF(O9&lt;=TODAY()-365,TRUE)</formula>
    </cfRule>
    <cfRule type="expression" dxfId="247" priority="11">
      <formula>IF(O9&lt;(TODAY())-320,TRUE)</formula>
    </cfRule>
    <cfRule type="expression" dxfId="246" priority="12">
      <formula>IF(O9&lt;(TODAY())+0,TRUE)</formula>
    </cfRule>
  </conditionalFormatting>
  <conditionalFormatting sqref="I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expression" dxfId="245" priority="7">
      <formula>IF(O11&lt;=TODAY()-365,TRUE)</formula>
    </cfRule>
    <cfRule type="expression" dxfId="244" priority="8">
      <formula>IF(O11&lt;(TODAY())-320,TRUE)</formula>
    </cfRule>
    <cfRule type="expression" dxfId="243" priority="9">
      <formula>IF(O11&lt;(TODAY())+0,TRUE)</formula>
    </cfRule>
  </conditionalFormatting>
  <conditionalFormatting sqref="O12">
    <cfRule type="expression" dxfId="242" priority="4">
      <formula>IF(O12&lt;=TODAY()-365,TRUE)</formula>
    </cfRule>
    <cfRule type="expression" dxfId="241" priority="5">
      <formula>IF(O12&lt;(TODAY())-320,TRUE)</formula>
    </cfRule>
    <cfRule type="expression" dxfId="240" priority="6">
      <formula>IF(O12&lt;(TODAY())+0,TRUE)</formula>
    </cfRule>
  </conditionalFormatting>
  <conditionalFormatting sqref="Q12">
    <cfRule type="expression" dxfId="239" priority="1">
      <formula>IF(P12&lt;=TODAY()-365,TRUE)</formula>
    </cfRule>
    <cfRule type="expression" dxfId="238" priority="2">
      <formula>IF(P12&lt;(TODAY())-320,TRUE)</formula>
    </cfRule>
    <cfRule type="expression" dxfId="237" priority="3">
      <formula>IF(P12&lt;(TODAY())+0,TRUE)</formula>
    </cfRule>
  </conditionalFormatting>
  <dataValidations count="2">
    <dataValidation type="list" allowBlank="1" showInputMessage="1" showErrorMessage="1" sqref="U2:U5 S6:S11 U12" xr:uid="{8CA973D3-A64F-4A78-9E42-4394677C3B1E}">
      <formula1>"ADICIONADO,REALIZADO,DESATIVADO, NÃO ENCONTRADO,AGENDADO,SEM RETORNO DO OWNER,EM CONTATO"</formula1>
    </dataValidation>
    <dataValidation type="list" allowBlank="1" showInputMessage="1" showErrorMessage="1" sqref="S2:S4" xr:uid="{E97874D8-340A-4178-AFC1-9E920F4645B7}">
      <formula1>"REALIZADO,DESATIVADO, NÃO ENCONTRADO,AGENDADO,SEM RETORNO DO OWNER"</formula1>
    </dataValidation>
  </dataValidations>
  <hyperlinks>
    <hyperlink ref="F2" r:id="rId1" xr:uid="{E55C0318-CD22-4BBA-BD7B-36388FCA9BEB}"/>
    <hyperlink ref="F4" r:id="rId2" xr:uid="{2205B313-9FDA-4EAD-91AA-7C830DAF134F}"/>
    <hyperlink ref="F9" r:id="rId3" xr:uid="{CC124B34-A3E3-4787-82D6-45C04D57396A}"/>
    <hyperlink ref="F10" r:id="rId4" xr:uid="{C93824AC-1972-4361-9468-BAFA59402FD9}"/>
    <hyperlink ref="C9" r:id="rId5" xr:uid="{B791FB42-2186-4E20-95ED-BDF8EB78F9FA}"/>
    <hyperlink ref="C11" r:id="rId6" xr:uid="{13699524-5BA1-4659-993E-1137AE81483A}"/>
    <hyperlink ref="F11" r:id="rId7" xr:uid="{FD50075C-1852-470C-9E5A-B758F514B09B}"/>
    <hyperlink ref="F12" r:id="rId8" xr:uid="{D66274C7-7E78-4673-BB25-26166F473C0C}"/>
    <hyperlink ref="C12" r:id="rId9" xr:uid="{48A1580E-10C2-4211-AD0E-F7D5488E4960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F08A4FE289DDB47A284DCC0DD1C2F93" ma:contentTypeVersion="12" ma:contentTypeDescription="Crie um novo documento." ma:contentTypeScope="" ma:versionID="c98d86f400c353ef390051c43dc7f9f1">
  <xsd:schema xmlns:xsd="http://www.w3.org/2001/XMLSchema" xmlns:xs="http://www.w3.org/2001/XMLSchema" xmlns:p="http://schemas.microsoft.com/office/2006/metadata/properties" xmlns:ns2="837073cc-20db-46a8-945e-7f6083e39f05" xmlns:ns3="a552b7a5-8e3a-430d-8c3b-979486a88382" targetNamespace="http://schemas.microsoft.com/office/2006/metadata/properties" ma:root="true" ma:fieldsID="1305fa3cac9487d5c864edc27d67009e" ns2:_="" ns3:_="">
    <xsd:import namespace="837073cc-20db-46a8-945e-7f6083e39f05"/>
    <xsd:import namespace="a552b7a5-8e3a-430d-8c3b-979486a883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7073cc-20db-46a8-945e-7f6083e39f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52b7a5-8e3a-430d-8c3b-979486a8838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7260A1-037E-4388-92B4-F66A5D2424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7073cc-20db-46a8-945e-7f6083e39f05"/>
    <ds:schemaRef ds:uri="a552b7a5-8e3a-430d-8c3b-979486a883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C7712B-50E8-41D0-ADDD-4844BECF90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4D2408-8663-4E03-9EED-48E5E5BBD154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a552b7a5-8e3a-430d-8c3b-979486a88382"/>
    <ds:schemaRef ds:uri="http://purl.org/dc/terms/"/>
    <ds:schemaRef ds:uri="http://schemas.microsoft.com/office/infopath/2007/PartnerControls"/>
    <ds:schemaRef ds:uri="837073cc-20db-46a8-945e-7f6083e39f05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Gráficos </vt:lpstr>
      <vt:lpstr>Indicadores</vt:lpstr>
      <vt:lpstr>Extrato - seviço </vt:lpstr>
      <vt:lpstr>Extrato - Deslocamento </vt:lpstr>
      <vt:lpstr>Atual - Equipamentos </vt:lpstr>
      <vt:lpstr>Inicial - Equipamentos </vt:lpstr>
      <vt:lpstr>Atual - Não encontrados </vt:lpstr>
      <vt:lpstr>Equipamentos</vt:lpstr>
      <vt:lpstr>Atual - Desativados</vt:lpstr>
      <vt:lpstr>Inicial - Não encontrados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Vendas 01 - ER Analitica</cp:lastModifiedBy>
  <cp:lastPrinted>2022-04-28T14:56:58Z</cp:lastPrinted>
  <dcterms:created xsi:type="dcterms:W3CDTF">2022-03-16T12:32:32Z</dcterms:created>
  <dcterms:modified xsi:type="dcterms:W3CDTF">2022-04-28T16:16:45Z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0x010100FF08A4FE289DDB47A284DCC0DD1C2F93</vt:lpwstr>
  </property>
</Properties>
</file>