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rnalitica.sharepoint.com/sites/Vendas-ERAnaltica/Documentos Compartilhados/General/Documentos Clientes/Suez/"/>
    </mc:Choice>
  </mc:AlternateContent>
  <xr:revisionPtr revIDLastSave="2148" documentId="8_{13507C7D-1732-4F75-9BD3-1E83C2BEE1EA}" xr6:coauthVersionLast="47" xr6:coauthVersionMax="47" xr10:uidLastSave="{9AE98509-3BF2-4189-BB51-2381E912B18C}"/>
  <bookViews>
    <workbookView xWindow="-28920" yWindow="-1290" windowWidth="29040" windowHeight="15840" tabRatio="858" activeTab="1" xr2:uid="{B5978DC8-FA09-4A01-938C-9C2D4F6B829F}"/>
  </bookViews>
  <sheets>
    <sheet name="DASHBOARD" sheetId="6" r:id="rId1"/>
    <sheet name="Tabelas dinâmicas" sheetId="5" r:id="rId2"/>
    <sheet name="Indicadores" sheetId="4" r:id="rId3"/>
    <sheet name="Extrato - serviço" sheetId="2" r:id="rId4"/>
    <sheet name="Extrato - Pedidos Spot" sheetId="8" r:id="rId5"/>
    <sheet name="Extrato - deslocamento " sheetId="3" r:id="rId6"/>
    <sheet name="Condições Negociadas" sheetId="1" r:id="rId7"/>
  </sheets>
  <externalReferences>
    <externalReference r:id="rId8"/>
  </externalReferences>
  <definedNames>
    <definedName name="_xlnm._FilterDatabase" localSheetId="3" hidden="1">'Extrato - serviço'!$A$1:$I$14</definedName>
    <definedName name="_xlcn.WorksheetConnection_IndicadoresFinanceiros20222023.xlsxPrevistoAcumulado1" hidden="1">PrevistoAcumulado[]</definedName>
    <definedName name="_xlcn.WorksheetConnection_novofinanceiro.xlsxConsumoMensal1" hidden="1">ConsumoMensal[]</definedName>
    <definedName name="SegmentaçãodeDados_Item">#N/A</definedName>
  </definedNames>
  <calcPr calcId="191029"/>
  <pivotCaches>
    <pivotCache cacheId="23" r:id="rId9"/>
    <pivotCache cacheId="26" r:id="rId10"/>
    <pivotCache cacheId="29" r:id="rId11"/>
    <pivotCache cacheId="32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sumoMensal" name="ConsumoMensal" connection="WorksheetConnection_novo financeiro.xlsx!ConsumoMensal"/>
          <x15:modelTable id="PrevistoAcumulado" name="PrevistoAcumulado" connection="WorksheetConnection_Indicadores Financeiros - 2022-2023.xlsx!PrevistoAcumulad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E22" i="2"/>
  <c r="C22" i="2"/>
  <c r="B22" i="2"/>
  <c r="B3" i="8"/>
  <c r="C3" i="8"/>
  <c r="B4" i="8"/>
  <c r="C4" i="8"/>
  <c r="B4" i="4"/>
  <c r="B5" i="4"/>
  <c r="H4" i="8" l="1"/>
  <c r="H3" i="8"/>
  <c r="D22" i="2" s="1"/>
  <c r="F22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L16" i="1"/>
  <c r="H5" i="4"/>
  <c r="H6" i="4"/>
  <c r="T12" i="2" l="1"/>
  <c r="T22" i="2"/>
  <c r="T30" i="2"/>
  <c r="T27" i="2"/>
  <c r="T24" i="2"/>
  <c r="T32" i="2"/>
  <c r="T29" i="2"/>
  <c r="T21" i="2"/>
  <c r="T28" i="2"/>
  <c r="T26" i="2"/>
  <c r="T23" i="2"/>
  <c r="T31" i="2"/>
  <c r="T25" i="2"/>
  <c r="L22" i="2"/>
  <c r="L30" i="2"/>
  <c r="L21" i="2"/>
  <c r="L27" i="2"/>
  <c r="L28" i="2"/>
  <c r="L24" i="2"/>
  <c r="L32" i="2"/>
  <c r="L29" i="2"/>
  <c r="L26" i="2"/>
  <c r="L23" i="2"/>
  <c r="L31" i="2"/>
  <c r="L25" i="2"/>
  <c r="U8" i="2"/>
  <c r="U25" i="2"/>
  <c r="U22" i="2"/>
  <c r="U30" i="2"/>
  <c r="U31" i="2"/>
  <c r="U27" i="2"/>
  <c r="U21" i="2"/>
  <c r="U24" i="2"/>
  <c r="U32" i="2"/>
  <c r="U29" i="2"/>
  <c r="U26" i="2"/>
  <c r="U23" i="2"/>
  <c r="U28" i="2"/>
  <c r="M8" i="2"/>
  <c r="M25" i="2"/>
  <c r="M31" i="2"/>
  <c r="M22" i="2"/>
  <c r="M30" i="2"/>
  <c r="M27" i="2"/>
  <c r="M21" i="2"/>
  <c r="M24" i="2"/>
  <c r="M32" i="2"/>
  <c r="M29" i="2"/>
  <c r="M23" i="2"/>
  <c r="M26" i="2"/>
  <c r="M28" i="2"/>
  <c r="S8" i="2"/>
  <c r="S27" i="2"/>
  <c r="S24" i="2"/>
  <c r="S32" i="2"/>
  <c r="S29" i="2"/>
  <c r="S25" i="2"/>
  <c r="S26" i="2"/>
  <c r="S23" i="2"/>
  <c r="S31" i="2"/>
  <c r="S21" i="2"/>
  <c r="S28" i="2"/>
  <c r="S22" i="2"/>
  <c r="S30" i="2"/>
  <c r="R8" i="2"/>
  <c r="R24" i="2"/>
  <c r="R32" i="2"/>
  <c r="R29" i="2"/>
  <c r="R26" i="2"/>
  <c r="R23" i="2"/>
  <c r="R31" i="2"/>
  <c r="R28" i="2"/>
  <c r="R25" i="2"/>
  <c r="R21" i="2"/>
  <c r="R22" i="2"/>
  <c r="R27" i="2"/>
  <c r="R30" i="2"/>
  <c r="Q12" i="2"/>
  <c r="Q29" i="2"/>
  <c r="Q27" i="2"/>
  <c r="Q26" i="2"/>
  <c r="Q23" i="2"/>
  <c r="Q31" i="2"/>
  <c r="Q28" i="2"/>
  <c r="Q25" i="2"/>
  <c r="Q22" i="2"/>
  <c r="Q30" i="2"/>
  <c r="Q21" i="2"/>
  <c r="Q24" i="2"/>
  <c r="Q32" i="2"/>
  <c r="X3" i="2"/>
  <c r="X26" i="2"/>
  <c r="X23" i="2"/>
  <c r="X31" i="2"/>
  <c r="X28" i="2"/>
  <c r="X25" i="2"/>
  <c r="X22" i="2"/>
  <c r="X30" i="2"/>
  <c r="X32" i="2"/>
  <c r="X27" i="2"/>
  <c r="X29" i="2"/>
  <c r="X21" i="2"/>
  <c r="X24" i="2"/>
  <c r="P12" i="2"/>
  <c r="P26" i="2"/>
  <c r="P23" i="2"/>
  <c r="P31" i="2"/>
  <c r="P28" i="2"/>
  <c r="P32" i="2"/>
  <c r="P25" i="2"/>
  <c r="P24" i="2"/>
  <c r="P22" i="2"/>
  <c r="P30" i="2"/>
  <c r="P27" i="2"/>
  <c r="P29" i="2"/>
  <c r="P21" i="2"/>
  <c r="V13" i="2"/>
  <c r="V28" i="2"/>
  <c r="V25" i="2"/>
  <c r="V21" i="2"/>
  <c r="V22" i="2"/>
  <c r="V30" i="2"/>
  <c r="V27" i="2"/>
  <c r="V24" i="2"/>
  <c r="V32" i="2"/>
  <c r="V29" i="2"/>
  <c r="V26" i="2"/>
  <c r="V23" i="2"/>
  <c r="V31" i="2"/>
  <c r="N12" i="2"/>
  <c r="N28" i="2"/>
  <c r="N25" i="2"/>
  <c r="N21" i="2"/>
  <c r="N22" i="2"/>
  <c r="N30" i="2"/>
  <c r="N27" i="2"/>
  <c r="N24" i="2"/>
  <c r="N32" i="2"/>
  <c r="N26" i="2"/>
  <c r="N29" i="2"/>
  <c r="N23" i="2"/>
  <c r="N31" i="2"/>
  <c r="W9" i="2"/>
  <c r="W23" i="2"/>
  <c r="W31" i="2"/>
  <c r="W21" i="2"/>
  <c r="W28" i="2"/>
  <c r="W25" i="2"/>
  <c r="W22" i="2"/>
  <c r="W30" i="2"/>
  <c r="W27" i="2"/>
  <c r="W24" i="2"/>
  <c r="W32" i="2"/>
  <c r="W29" i="2"/>
  <c r="W26" i="2"/>
  <c r="O8" i="2"/>
  <c r="O23" i="2"/>
  <c r="O31" i="2"/>
  <c r="O28" i="2"/>
  <c r="O25" i="2"/>
  <c r="O29" i="2"/>
  <c r="O22" i="2"/>
  <c r="O30" i="2"/>
  <c r="O27" i="2"/>
  <c r="O24" i="2"/>
  <c r="O32" i="2"/>
  <c r="O26" i="2"/>
  <c r="O21" i="2"/>
  <c r="M10" i="2"/>
  <c r="N6" i="2"/>
  <c r="H5" i="2"/>
  <c r="Q14" i="2"/>
  <c r="L12" i="2"/>
  <c r="T6" i="2"/>
  <c r="N14" i="2"/>
  <c r="T14" i="2"/>
  <c r="O10" i="2"/>
  <c r="U10" i="2"/>
  <c r="P6" i="2"/>
  <c r="V7" i="2"/>
  <c r="P14" i="2"/>
  <c r="W3" i="2"/>
  <c r="L6" i="2"/>
  <c r="R10" i="2"/>
  <c r="W11" i="2"/>
  <c r="L14" i="2"/>
  <c r="Q6" i="2"/>
  <c r="L5" i="2"/>
  <c r="L13" i="2"/>
  <c r="M9" i="2"/>
  <c r="N5" i="2"/>
  <c r="N13" i="2"/>
  <c r="O9" i="2"/>
  <c r="P5" i="2"/>
  <c r="P13" i="2"/>
  <c r="R9" i="2"/>
  <c r="Q5" i="2"/>
  <c r="Q13" i="2"/>
  <c r="S9" i="2"/>
  <c r="T5" i="2"/>
  <c r="T13" i="2"/>
  <c r="U9" i="2"/>
  <c r="V6" i="2"/>
  <c r="V14" i="2"/>
  <c r="W10" i="2"/>
  <c r="L7" i="2"/>
  <c r="M3" i="2"/>
  <c r="M11" i="2"/>
  <c r="N7" i="2"/>
  <c r="O3" i="2"/>
  <c r="O11" i="2"/>
  <c r="P7" i="2"/>
  <c r="R3" i="2"/>
  <c r="R11" i="2"/>
  <c r="Q7" i="2"/>
  <c r="S3" i="2"/>
  <c r="S11" i="2"/>
  <c r="T7" i="2"/>
  <c r="U3" i="2"/>
  <c r="U11" i="2"/>
  <c r="V8" i="2"/>
  <c r="W4" i="2"/>
  <c r="W12" i="2"/>
  <c r="L8" i="2"/>
  <c r="M4" i="2"/>
  <c r="M12" i="2"/>
  <c r="N8" i="2"/>
  <c r="O4" i="2"/>
  <c r="O12" i="2"/>
  <c r="P8" i="2"/>
  <c r="R4" i="2"/>
  <c r="R12" i="2"/>
  <c r="Q8" i="2"/>
  <c r="S4" i="2"/>
  <c r="S12" i="2"/>
  <c r="T8" i="2"/>
  <c r="U4" i="2"/>
  <c r="U12" i="2"/>
  <c r="V9" i="2"/>
  <c r="W5" i="2"/>
  <c r="W13" i="2"/>
  <c r="L9" i="2"/>
  <c r="M5" i="2"/>
  <c r="M13" i="2"/>
  <c r="N9" i="2"/>
  <c r="O5" i="2"/>
  <c r="O13" i="2"/>
  <c r="P9" i="2"/>
  <c r="R5" i="2"/>
  <c r="R13" i="2"/>
  <c r="Q9" i="2"/>
  <c r="S5" i="2"/>
  <c r="S13" i="2"/>
  <c r="T9" i="2"/>
  <c r="U5" i="2"/>
  <c r="U13" i="2"/>
  <c r="V10" i="2"/>
  <c r="W6" i="2"/>
  <c r="W14" i="2"/>
  <c r="L10" i="2"/>
  <c r="M6" i="2"/>
  <c r="M14" i="2"/>
  <c r="N10" i="2"/>
  <c r="O6" i="2"/>
  <c r="O14" i="2"/>
  <c r="P10" i="2"/>
  <c r="R6" i="2"/>
  <c r="R14" i="2"/>
  <c r="Q10" i="2"/>
  <c r="S6" i="2"/>
  <c r="S14" i="2"/>
  <c r="T10" i="2"/>
  <c r="U6" i="2"/>
  <c r="U14" i="2"/>
  <c r="V11" i="2"/>
  <c r="W7" i="2"/>
  <c r="S10" i="2"/>
  <c r="L3" i="2"/>
  <c r="L11" i="2"/>
  <c r="M7" i="2"/>
  <c r="N3" i="2"/>
  <c r="N11" i="2"/>
  <c r="O7" i="2"/>
  <c r="P3" i="2"/>
  <c r="P11" i="2"/>
  <c r="R7" i="2"/>
  <c r="Q3" i="2"/>
  <c r="Q11" i="2"/>
  <c r="S7" i="2"/>
  <c r="T3" i="2"/>
  <c r="T11" i="2"/>
  <c r="U7" i="2"/>
  <c r="V4" i="2"/>
  <c r="V12" i="2"/>
  <c r="W8" i="2"/>
  <c r="V3" i="2"/>
  <c r="L4" i="2"/>
  <c r="N4" i="2"/>
  <c r="P4" i="2"/>
  <c r="Q4" i="2"/>
  <c r="T4" i="2"/>
  <c r="V5" i="2"/>
  <c r="H14" i="2"/>
  <c r="I14" i="2" s="1"/>
  <c r="H10" i="2"/>
  <c r="I10" i="2" s="1"/>
  <c r="H2" i="2"/>
  <c r="I2" i="2" s="1"/>
  <c r="I5" i="2"/>
  <c r="H7" i="2"/>
  <c r="I7" i="2" s="1"/>
  <c r="H4" i="2"/>
  <c r="I4" i="2" s="1"/>
  <c r="G14" i="2"/>
  <c r="H12" i="2"/>
  <c r="I12" i="2" s="1"/>
  <c r="H11" i="2"/>
  <c r="I11" i="2" s="1"/>
  <c r="H3" i="2"/>
  <c r="I3" i="2" s="1"/>
  <c r="H13" i="2"/>
  <c r="I13" i="2" s="1"/>
  <c r="H6" i="2"/>
  <c r="I6" i="2" s="1"/>
  <c r="G5" i="2"/>
  <c r="G12" i="2"/>
  <c r="H9" i="2"/>
  <c r="I9" i="2" s="1"/>
  <c r="G7" i="2"/>
  <c r="G6" i="2"/>
  <c r="G8" i="2"/>
  <c r="G4" i="2"/>
  <c r="G11" i="2"/>
  <c r="G3" i="2"/>
  <c r="G2" i="2"/>
  <c r="H8" i="2"/>
  <c r="I8" i="2" s="1"/>
  <c r="G9" i="2"/>
  <c r="G13" i="2"/>
  <c r="H45" i="3"/>
  <c r="H46" i="3"/>
  <c r="H47" i="3"/>
  <c r="G45" i="3"/>
  <c r="G46" i="3"/>
  <c r="G47" i="3"/>
  <c r="W33" i="2" l="1"/>
  <c r="V33" i="2"/>
  <c r="U33" i="2"/>
  <c r="Y21" i="2"/>
  <c r="E12" i="4" s="1"/>
  <c r="X33" i="2"/>
  <c r="Y3" i="2"/>
  <c r="B12" i="4" s="1"/>
  <c r="L33" i="2"/>
  <c r="V15" i="2"/>
  <c r="M15" i="2"/>
  <c r="S15" i="2"/>
  <c r="Q15" i="2"/>
  <c r="T15" i="2"/>
  <c r="W15" i="2"/>
  <c r="R15" i="2"/>
  <c r="O15" i="2"/>
  <c r="P15" i="2"/>
  <c r="L15" i="2"/>
  <c r="U15" i="2"/>
  <c r="N15" i="2"/>
  <c r="E3" i="3"/>
  <c r="E4" i="3"/>
  <c r="E5" i="3"/>
  <c r="E7" i="3"/>
  <c r="E6" i="3" s="1"/>
  <c r="E9" i="3"/>
  <c r="E8" i="3" s="1"/>
  <c r="E10" i="3"/>
  <c r="E11" i="3"/>
  <c r="E15" i="3"/>
  <c r="E14" i="3" s="1"/>
  <c r="E13" i="3" s="1"/>
  <c r="E12" i="3" s="1"/>
  <c r="E16" i="3"/>
  <c r="E17" i="3"/>
  <c r="E19" i="3"/>
  <c r="E18" i="3" s="1"/>
  <c r="E20" i="3"/>
  <c r="E22" i="3"/>
  <c r="E21" i="3" s="1"/>
  <c r="E23" i="3"/>
  <c r="E24" i="3"/>
  <c r="E25" i="3"/>
  <c r="E27" i="3"/>
  <c r="E26" i="3" s="1"/>
  <c r="E29" i="3"/>
  <c r="E28" i="3" s="1"/>
  <c r="E30" i="3"/>
  <c r="E32" i="3"/>
  <c r="E31" i="3" s="1"/>
  <c r="E33" i="3"/>
  <c r="E34" i="3"/>
  <c r="E36" i="3"/>
  <c r="E35" i="3" s="1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3"/>
  <c r="D49" i="3"/>
  <c r="D50" i="3"/>
  <c r="D51" i="3"/>
  <c r="D52" i="3"/>
  <c r="D53" i="3"/>
  <c r="D54" i="3"/>
  <c r="D48" i="3"/>
  <c r="D3" i="3"/>
  <c r="D4" i="3"/>
  <c r="D5" i="3"/>
  <c r="D7" i="3"/>
  <c r="D9" i="3"/>
  <c r="D10" i="3"/>
  <c r="D11" i="3"/>
  <c r="D15" i="3"/>
  <c r="D16" i="3"/>
  <c r="D17" i="3"/>
  <c r="D19" i="3"/>
  <c r="D20" i="3"/>
  <c r="D22" i="3"/>
  <c r="D23" i="3"/>
  <c r="D24" i="3"/>
  <c r="D25" i="3"/>
  <c r="D27" i="3"/>
  <c r="D29" i="3"/>
  <c r="D30" i="3"/>
  <c r="D32" i="3"/>
  <c r="D33" i="3"/>
  <c r="D34" i="3"/>
  <c r="D36" i="3"/>
  <c r="D37" i="3"/>
  <c r="D38" i="3"/>
  <c r="D39" i="3"/>
  <c r="D40" i="3"/>
  <c r="D41" i="3"/>
  <c r="D42" i="3"/>
  <c r="D43" i="3"/>
  <c r="D44" i="3"/>
  <c r="D2" i="3"/>
  <c r="H43" i="3" l="1"/>
  <c r="G43" i="3"/>
  <c r="G34" i="3"/>
  <c r="H34" i="3"/>
  <c r="G23" i="3"/>
  <c r="H23" i="3"/>
  <c r="G10" i="3"/>
  <c r="H10" i="3"/>
  <c r="H53" i="3"/>
  <c r="G53" i="3"/>
  <c r="G40" i="3"/>
  <c r="H40" i="3"/>
  <c r="H30" i="3"/>
  <c r="G30" i="3"/>
  <c r="D18" i="3"/>
  <c r="H19" i="3"/>
  <c r="G19" i="3"/>
  <c r="H5" i="3"/>
  <c r="G5" i="3"/>
  <c r="H50" i="3"/>
  <c r="G50" i="3"/>
  <c r="G39" i="3"/>
  <c r="H39" i="3"/>
  <c r="D28" i="3"/>
  <c r="H29" i="3"/>
  <c r="G29" i="3"/>
  <c r="G17" i="3"/>
  <c r="H17" i="3"/>
  <c r="H4" i="3"/>
  <c r="G4" i="3"/>
  <c r="G49" i="3"/>
  <c r="H49" i="3"/>
  <c r="G42" i="3"/>
  <c r="H42" i="3"/>
  <c r="G33" i="3"/>
  <c r="H33" i="3"/>
  <c r="D21" i="3"/>
  <c r="G22" i="3"/>
  <c r="H22" i="3"/>
  <c r="D8" i="3"/>
  <c r="G9" i="3"/>
  <c r="H9" i="3"/>
  <c r="H52" i="3"/>
  <c r="G52" i="3"/>
  <c r="G41" i="3"/>
  <c r="H41" i="3"/>
  <c r="D31" i="3"/>
  <c r="G32" i="3"/>
  <c r="H32" i="3"/>
  <c r="H20" i="3"/>
  <c r="G20" i="3"/>
  <c r="H38" i="3"/>
  <c r="G38" i="3"/>
  <c r="D26" i="3"/>
  <c r="H27" i="3"/>
  <c r="G27" i="3"/>
  <c r="G16" i="3"/>
  <c r="H16" i="3"/>
  <c r="H3" i="3"/>
  <c r="G3" i="3"/>
  <c r="D6" i="3"/>
  <c r="G7" i="3"/>
  <c r="H7" i="3"/>
  <c r="H51" i="3"/>
  <c r="G51" i="3"/>
  <c r="H2" i="3"/>
  <c r="G2" i="3"/>
  <c r="H37" i="3"/>
  <c r="G37" i="3"/>
  <c r="G25" i="3"/>
  <c r="H25" i="3"/>
  <c r="D14" i="3"/>
  <c r="G15" i="3"/>
  <c r="H15" i="3"/>
  <c r="G48" i="3"/>
  <c r="H48" i="3"/>
  <c r="H44" i="3"/>
  <c r="G44" i="3"/>
  <c r="D35" i="3"/>
  <c r="H36" i="3"/>
  <c r="G36" i="3"/>
  <c r="G24" i="3"/>
  <c r="H24" i="3"/>
  <c r="H11" i="3"/>
  <c r="G11" i="3"/>
  <c r="G54" i="3"/>
  <c r="H54" i="3"/>
  <c r="G31" i="3" l="1"/>
  <c r="H31" i="3"/>
  <c r="G26" i="3"/>
  <c r="H26" i="3"/>
  <c r="H28" i="3"/>
  <c r="G28" i="3"/>
  <c r="H21" i="3"/>
  <c r="G21" i="3"/>
  <c r="G18" i="3"/>
  <c r="H18" i="3"/>
  <c r="H35" i="3"/>
  <c r="G35" i="3"/>
  <c r="D13" i="3"/>
  <c r="H14" i="3"/>
  <c r="G14" i="3"/>
  <c r="G8" i="3"/>
  <c r="H8" i="3"/>
  <c r="H6" i="3"/>
  <c r="G6" i="3"/>
  <c r="H17" i="4"/>
  <c r="H15" i="4"/>
  <c r="H13" i="4"/>
  <c r="H20" i="4"/>
  <c r="H16" i="4" l="1"/>
  <c r="H23" i="4"/>
  <c r="H18" i="4"/>
  <c r="H21" i="4"/>
  <c r="H14" i="4"/>
  <c r="H12" i="4"/>
  <c r="H22" i="4"/>
  <c r="H19" i="4"/>
  <c r="H4" i="4"/>
  <c r="E4" i="4"/>
  <c r="D12" i="3"/>
  <c r="H13" i="3"/>
  <c r="G13" i="3"/>
  <c r="F15" i="2"/>
  <c r="H12" i="3" l="1"/>
  <c r="H55" i="3" s="1"/>
  <c r="G12" i="3"/>
  <c r="H15" i="2"/>
  <c r="G55" i="3" l="1"/>
  <c r="C6" i="4" s="1"/>
  <c r="E44" i="1"/>
  <c r="E31" i="1"/>
  <c r="E14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3" i="1"/>
  <c r="M3" i="1" s="1"/>
  <c r="K4" i="1"/>
  <c r="K5" i="1"/>
  <c r="K6" i="1"/>
  <c r="K9" i="1"/>
  <c r="K10" i="1"/>
  <c r="K11" i="1"/>
  <c r="K12" i="1"/>
  <c r="K3" i="1"/>
  <c r="I4" i="1"/>
  <c r="I5" i="1"/>
  <c r="I6" i="1"/>
  <c r="I9" i="1"/>
  <c r="I10" i="1"/>
  <c r="I11" i="1"/>
  <c r="I12" i="1"/>
  <c r="I3" i="1"/>
  <c r="G4" i="1"/>
  <c r="G5" i="1"/>
  <c r="G6" i="1"/>
  <c r="G8" i="1"/>
  <c r="G9" i="1"/>
  <c r="G10" i="1"/>
  <c r="G11" i="1"/>
  <c r="G12" i="1"/>
  <c r="G3" i="1"/>
  <c r="I6" i="4" l="1"/>
  <c r="D6" i="4"/>
  <c r="G13" i="1"/>
  <c r="L13" i="1"/>
  <c r="G15" i="2" l="1"/>
  <c r="C5" i="4" s="1"/>
  <c r="I15" i="2"/>
  <c r="L14" i="1"/>
  <c r="L15" i="1" s="1"/>
  <c r="M13" i="1"/>
  <c r="D5" i="4" l="1"/>
  <c r="C4" i="4"/>
  <c r="I4" i="4" s="1"/>
  <c r="J5" i="4"/>
  <c r="I5" i="4"/>
  <c r="K9" i="3"/>
  <c r="C19" i="4" s="1"/>
  <c r="K2" i="3"/>
  <c r="C12" i="4" s="1"/>
  <c r="D12" i="4" s="1"/>
  <c r="K10" i="3"/>
  <c r="C20" i="4" s="1"/>
  <c r="K4" i="3"/>
  <c r="C14" i="4" s="1"/>
  <c r="K13" i="3"/>
  <c r="C23" i="4" s="1"/>
  <c r="K3" i="3"/>
  <c r="C13" i="4" s="1"/>
  <c r="K7" i="3"/>
  <c r="C17" i="4" s="1"/>
  <c r="K6" i="3"/>
  <c r="C16" i="4" s="1"/>
  <c r="K12" i="3"/>
  <c r="C22" i="4" s="1"/>
  <c r="K11" i="3"/>
  <c r="C21" i="4" s="1"/>
  <c r="K8" i="3"/>
  <c r="C18" i="4" s="1"/>
  <c r="K5" i="3"/>
  <c r="C15" i="4" s="1"/>
  <c r="K5" i="4" l="1"/>
  <c r="L5" i="4" s="1"/>
  <c r="D4" i="4"/>
  <c r="J6" i="4"/>
  <c r="J4" i="4" l="1"/>
  <c r="K4" i="4" s="1"/>
  <c r="L4" i="4" s="1"/>
  <c r="K6" i="4"/>
  <c r="L6" i="4" s="1"/>
  <c r="F3" i="3" l="1"/>
  <c r="F51" i="3"/>
  <c r="F50" i="3"/>
  <c r="F48" i="3"/>
  <c r="F39" i="3"/>
  <c r="F37" i="3"/>
  <c r="F36" i="3"/>
  <c r="F35" i="3" s="1"/>
  <c r="F32" i="3"/>
  <c r="F31" i="3" s="1"/>
  <c r="F33" i="3"/>
  <c r="F23" i="3"/>
  <c r="F22" i="3"/>
  <c r="F21" i="3" s="1"/>
  <c r="F17" i="3"/>
  <c r="F16" i="3"/>
  <c r="F20" i="3"/>
  <c r="F10" i="3"/>
  <c r="F7" i="3"/>
  <c r="F6" i="3" s="1"/>
  <c r="F5" i="3"/>
  <c r="F42" i="3"/>
  <c r="F40" i="3"/>
  <c r="F53" i="3"/>
  <c r="F38" i="3"/>
  <c r="F34" i="3"/>
  <c r="F30" i="3"/>
  <c r="F29" i="3"/>
  <c r="F28" i="3" s="1"/>
  <c r="F27" i="3"/>
  <c r="F26" i="3" s="1"/>
  <c r="F25" i="3"/>
  <c r="F24" i="3"/>
  <c r="F15" i="3"/>
  <c r="F14" i="3" s="1"/>
  <c r="F13" i="3" s="1"/>
  <c r="F12" i="3" s="1"/>
  <c r="F19" i="3"/>
  <c r="F18" i="3" s="1"/>
  <c r="F11" i="3"/>
  <c r="F9" i="3"/>
  <c r="F8" i="3" s="1"/>
  <c r="F44" i="3" l="1"/>
  <c r="F45" i="3"/>
  <c r="F46" i="3"/>
  <c r="F47" i="3"/>
  <c r="F4" i="3"/>
  <c r="F49" i="3"/>
  <c r="F54" i="3"/>
  <c r="F52" i="3"/>
  <c r="Q33" i="2"/>
  <c r="F43" i="3"/>
  <c r="F41" i="3"/>
  <c r="S33" i="2"/>
  <c r="F2" i="3"/>
  <c r="X10" i="2"/>
  <c r="Y10" i="2" s="1"/>
  <c r="B19" i="4" s="1"/>
  <c r="D19" i="4" s="1"/>
  <c r="X8" i="2"/>
  <c r="Y8" i="2" s="1"/>
  <c r="B17" i="4" s="1"/>
  <c r="D17" i="4" s="1"/>
  <c r="X11" i="2"/>
  <c r="Y11" i="2" s="1"/>
  <c r="B20" i="4" s="1"/>
  <c r="D20" i="4" s="1"/>
  <c r="X14" i="2"/>
  <c r="Y14" i="2" s="1"/>
  <c r="B23" i="4" s="1"/>
  <c r="D23" i="4" s="1"/>
  <c r="X12" i="2"/>
  <c r="Y12" i="2" s="1"/>
  <c r="B21" i="4" s="1"/>
  <c r="D21" i="4" s="1"/>
  <c r="X5" i="2"/>
  <c r="Y5" i="2" s="1"/>
  <c r="B14" i="4" s="1"/>
  <c r="D14" i="4" s="1"/>
  <c r="X9" i="2"/>
  <c r="Y9" i="2" s="1"/>
  <c r="B18" i="4" s="1"/>
  <c r="D18" i="4" s="1"/>
  <c r="X13" i="2"/>
  <c r="Y13" i="2" s="1"/>
  <c r="B22" i="4" s="1"/>
  <c r="D22" i="4" s="1"/>
  <c r="X7" i="2"/>
  <c r="Y7" i="2" s="1"/>
  <c r="B16" i="4" s="1"/>
  <c r="D16" i="4" s="1"/>
  <c r="X6" i="2"/>
  <c r="Y6" i="2" s="1"/>
  <c r="B15" i="4" s="1"/>
  <c r="D15" i="4" s="1"/>
  <c r="X4" i="2"/>
  <c r="M33" i="2" l="1"/>
  <c r="Y30" i="2"/>
  <c r="E21" i="4" s="1"/>
  <c r="N33" i="2"/>
  <c r="R33" i="2"/>
  <c r="O33" i="2"/>
  <c r="P33" i="2"/>
  <c r="T33" i="2"/>
  <c r="X15" i="2"/>
  <c r="Y4" i="2"/>
  <c r="B13" i="4" s="1"/>
  <c r="D13" i="4" s="1"/>
  <c r="L5" i="3"/>
  <c r="F15" i="4" s="1"/>
  <c r="L8" i="3"/>
  <c r="F18" i="4" s="1"/>
  <c r="L3" i="3"/>
  <c r="F13" i="4" s="1"/>
  <c r="L13" i="3"/>
  <c r="F23" i="4" s="1"/>
  <c r="L2" i="3"/>
  <c r="F12" i="4" s="1"/>
  <c r="G12" i="4" s="1"/>
  <c r="L12" i="3"/>
  <c r="F22" i="4" s="1"/>
  <c r="L9" i="3"/>
  <c r="F19" i="4" s="1"/>
  <c r="L7" i="3"/>
  <c r="F17" i="4" s="1"/>
  <c r="L6" i="3"/>
  <c r="F16" i="4" s="1"/>
  <c r="L4" i="3"/>
  <c r="F14" i="4" s="1"/>
  <c r="L11" i="3"/>
  <c r="F21" i="4" s="1"/>
  <c r="L10" i="3"/>
  <c r="F20" i="4" s="1"/>
  <c r="G21" i="4" l="1"/>
  <c r="Y22" i="2"/>
  <c r="E13" i="4" s="1"/>
  <c r="G13" i="4" s="1"/>
  <c r="Y23" i="2"/>
  <c r="E14" i="4" s="1"/>
  <c r="G14" i="4" s="1"/>
  <c r="Y31" i="2"/>
  <c r="E22" i="4" s="1"/>
  <c r="G22" i="4" s="1"/>
  <c r="Y25" i="2"/>
  <c r="E16" i="4" s="1"/>
  <c r="G16" i="4" s="1"/>
  <c r="Y32" i="2"/>
  <c r="E23" i="4" s="1"/>
  <c r="G23" i="4" s="1"/>
  <c r="Y27" i="2"/>
  <c r="E18" i="4" s="1"/>
  <c r="G18" i="4" s="1"/>
  <c r="Y29" i="2"/>
  <c r="E20" i="4" s="1"/>
  <c r="G20" i="4" s="1"/>
  <c r="Y24" i="2"/>
  <c r="E15" i="4" s="1"/>
  <c r="G15" i="4" s="1"/>
  <c r="Y26" i="2"/>
  <c r="E17" i="4" s="1"/>
  <c r="G17" i="4" s="1"/>
  <c r="Y28" i="2"/>
  <c r="E19" i="4" s="1"/>
  <c r="G1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ERNB10 - Vendas 01</author>
  </authors>
  <commentList>
    <comment ref="O2" authorId="0" shapeId="0" xr:uid="{7158311C-7656-49FE-BA4D-061E645B8822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Determinadores de umidade estão contemplados como balanças</t>
        </r>
      </text>
    </comment>
    <comment ref="R2" authorId="0" shapeId="0" xr:uid="{545A0A94-01D7-4161-9005-C428BD26F5F2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Medidores de Íon Seletivo sendo tratados como Multiparâmetro</t>
        </r>
      </text>
    </comment>
    <comment ref="S2" authorId="0" shapeId="0" xr:uid="{2EA74FD4-70C3-4D6C-8EF3-3DC98F351885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Medidores de OD sendo tratado como pHmetro</t>
        </r>
      </text>
    </comment>
    <comment ref="V2" authorId="0" shapeId="0" xr:uid="{DEBEF5FC-B8C8-425F-B899-4641D3239874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pHmetros de Processo sendo tratados como pHmetros
</t>
        </r>
      </text>
    </comment>
    <comment ref="A5" authorId="0" shapeId="0" xr:uid="{0B9BCAC7-DBC0-4F76-A577-868AA1457432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Determinadores de umidade estão contemplados como balanças</t>
        </r>
      </text>
    </comment>
    <comment ref="A8" authorId="0" shapeId="0" xr:uid="{C6C5DD0D-4FD8-4DB3-8498-184AC8C59BBC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Medidores de Íon Seletivo sendo tratados como Multiparâmetro</t>
        </r>
      </text>
    </comment>
    <comment ref="A9" authorId="0" shapeId="0" xr:uid="{8B45E8D6-CDDE-49C0-8506-F63E68B2738A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Medidores de OD sendo tratado como pHmetro</t>
        </r>
      </text>
    </comment>
    <comment ref="A12" authorId="0" shapeId="0" xr:uid="{95D80DCA-A805-4DA7-947B-A2D7F86BE151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pHmetros de Processo sendo tratados como pHmetros
</t>
        </r>
      </text>
    </comment>
    <comment ref="O20" authorId="0" shapeId="0" xr:uid="{06A8BADA-6321-4609-ABE3-6847133210AD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Determinadores de umidade estão contemplados como balanças</t>
        </r>
      </text>
    </comment>
    <comment ref="R20" authorId="0" shapeId="0" xr:uid="{41C1CFDD-B22D-43AD-B99C-AAA27B051917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Medidores de Íon Seletivo sendo tratados como Multiparâmetro</t>
        </r>
      </text>
    </comment>
    <comment ref="S20" authorId="0" shapeId="0" xr:uid="{093C112B-85DB-4B2A-BC44-53D1B9743F05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Medidores de OD sendo tratado como pHmetro</t>
        </r>
      </text>
    </comment>
    <comment ref="V20" authorId="0" shapeId="0" xr:uid="{CFB334F4-930C-4B28-8717-377758D0BD45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pHmetros de Processo sendo tratados como pHmetros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ERNB10 - Vendas 01</author>
  </authors>
  <commentList>
    <comment ref="A3" authorId="0" shapeId="0" xr:uid="{45F4A115-78BC-46E6-8675-B86CB9E23A15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Analisadores de umidade estão contemplados como balanças</t>
        </r>
      </text>
    </comment>
    <comment ref="A7" authorId="0" shapeId="0" xr:uid="{5E5B5D93-DC07-445E-A9EC-0D00E16A6F7F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Estão sendo tratados como pHmetros
</t>
        </r>
      </text>
    </comment>
    <comment ref="A8" authorId="0" shapeId="0" xr:uid="{B28BA657-5A3F-4C6E-8230-248024E48D11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No contrato 21x22 fotômetro foi contemplado como condutivímetro 
</t>
        </r>
      </text>
    </comment>
    <comment ref="A22" authorId="0" shapeId="0" xr:uid="{9F83EE75-0842-498F-8162-5B1CE02A2204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Analisadores de umidade estão contemplados como balanças</t>
        </r>
      </text>
    </comment>
    <comment ref="A26" authorId="0" shapeId="0" xr:uid="{309855F0-85B7-4EB0-9D67-31B9C26A16D4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No contrato 21x22 fotômetro foi contemplado como condutivímetro 
</t>
        </r>
      </text>
    </comment>
    <comment ref="A35" authorId="0" shapeId="0" xr:uid="{7838AA91-B002-4C8A-82F3-74AEFC5F6177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Analisadores de umidade estão contemplados como balanças</t>
        </r>
      </text>
    </comment>
    <comment ref="A39" authorId="0" shapeId="0" xr:uid="{434E9F8E-25FA-4F72-BF09-BAF399693065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No contrato 21x22 fotômetro foi contemplado como condutivímetro 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66199-3A98-41F9-B675-B12298B0C84A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E268B7F-227B-4C23-9F6A-8EBBD3A606AF}" name="WorksheetConnection_Indicadores Financeiros - 2022-2023.xlsx!PrevistoAcumulado" type="102" refreshedVersion="8" minRefreshableVersion="5">
    <extLst>
      <ext xmlns:x15="http://schemas.microsoft.com/office/spreadsheetml/2010/11/main" uri="{DE250136-89BD-433C-8126-D09CA5730AF9}">
        <x15:connection id="PrevistoAcumulado" autoDelete="1">
          <x15:rangePr sourceName="_xlcn.WorksheetConnection_IndicadoresFinanceiros20222023.xlsxPrevistoAcumulado1"/>
        </x15:connection>
      </ext>
    </extLst>
  </connection>
  <connection id="3" xr16:uid="{E3B2245E-039B-4263-83B0-863323C23F02}" name="WorksheetConnection_novo financeiro.xlsx!ConsumoMensal" type="102" refreshedVersion="8" minRefreshableVersion="5">
    <extLst>
      <ext xmlns:x15="http://schemas.microsoft.com/office/spreadsheetml/2010/11/main" uri="{DE250136-89BD-433C-8126-D09CA5730AF9}">
        <x15:connection id="ConsumoMensal" autoDelete="1">
          <x15:rangePr sourceName="_xlcn.WorksheetConnection_novofinanceiro.xlsxConsumoMensal1"/>
        </x15:connection>
      </ext>
    </extLst>
  </connection>
</connections>
</file>

<file path=xl/sharedStrings.xml><?xml version="1.0" encoding="utf-8"?>
<sst xmlns="http://schemas.openxmlformats.org/spreadsheetml/2006/main" count="352" uniqueCount="167">
  <si>
    <t>Equipamento</t>
  </si>
  <si>
    <t>Balança Analítica</t>
  </si>
  <si>
    <t>Colorímetro</t>
  </si>
  <si>
    <t>Condutivímetro</t>
  </si>
  <si>
    <t>Espectrofotômetro</t>
  </si>
  <si>
    <t>Medidor ORP</t>
  </si>
  <si>
    <t>Fotômetro</t>
  </si>
  <si>
    <t xml:space="preserve">Multiparâmetro </t>
  </si>
  <si>
    <t>pHmetro</t>
  </si>
  <si>
    <t>Reator DQO</t>
  </si>
  <si>
    <t>Turbidímetro</t>
  </si>
  <si>
    <t>Total</t>
  </si>
  <si>
    <t>Qtd</t>
  </si>
  <si>
    <t>Valor Unit. Manutenção</t>
  </si>
  <si>
    <t>Valor Unit. Calibração</t>
  </si>
  <si>
    <t>#</t>
  </si>
  <si>
    <t>Média por equipamento</t>
  </si>
  <si>
    <t xml:space="preserve">Aumento por equipamento </t>
  </si>
  <si>
    <t>Aumento total dos serviços</t>
  </si>
  <si>
    <t>ORÇAMENTO-11516-2</t>
  </si>
  <si>
    <t>ORÇAMENTO-11516-3</t>
  </si>
  <si>
    <t>Qtd.</t>
  </si>
  <si>
    <t xml:space="preserve">Valor Unit. Calibração </t>
  </si>
  <si>
    <t xml:space="preserve">Valor Unit. Manutenção </t>
  </si>
  <si>
    <t xml:space="preserve">Total </t>
  </si>
  <si>
    <t xml:space="preserve">Previsto </t>
  </si>
  <si>
    <t xml:space="preserve">Executado </t>
  </si>
  <si>
    <t>Pedidos Spot</t>
  </si>
  <si>
    <t>UF</t>
  </si>
  <si>
    <t>Cidade</t>
  </si>
  <si>
    <t>Valor</t>
  </si>
  <si>
    <t>AL</t>
  </si>
  <si>
    <t>Maceió-AL</t>
  </si>
  <si>
    <t>AM</t>
  </si>
  <si>
    <t>Manaus-AM</t>
  </si>
  <si>
    <t>BA</t>
  </si>
  <si>
    <t>Camaçari-BA</t>
  </si>
  <si>
    <t>CE</t>
  </si>
  <si>
    <t xml:space="preserve">Ceará </t>
  </si>
  <si>
    <t>Fortaleza-CE</t>
  </si>
  <si>
    <t>Maracanaú-CE</t>
  </si>
  <si>
    <t>Pecém-CE</t>
  </si>
  <si>
    <t>Quixeré-CE</t>
  </si>
  <si>
    <t>ES</t>
  </si>
  <si>
    <t>Serra-ES</t>
  </si>
  <si>
    <t>MG</t>
  </si>
  <si>
    <t>Pirapetinga-MG/Divinopolis-MG/Ouro Branco-MG/Juiz de fora-MG</t>
  </si>
  <si>
    <t>Pirapetinga-MG</t>
  </si>
  <si>
    <t>Divinópolis-MG</t>
  </si>
  <si>
    <t>Ouro Branco-MG</t>
  </si>
  <si>
    <t>Juiz de Fora-MG</t>
  </si>
  <si>
    <t>Uberlândia-MG</t>
  </si>
  <si>
    <t>Juatuba-MG / Belo Horizonte-MG</t>
  </si>
  <si>
    <t>Belo Horizonte-MG</t>
  </si>
  <si>
    <t>MS</t>
  </si>
  <si>
    <t>Carapo-MS e Dourados-MS</t>
  </si>
  <si>
    <t>Caarapó-MS</t>
  </si>
  <si>
    <t>Dourados-MS</t>
  </si>
  <si>
    <t>MT</t>
  </si>
  <si>
    <t>Nova Olimpia-MT</t>
  </si>
  <si>
    <t>PA</t>
  </si>
  <si>
    <t>Barcarena-PA</t>
  </si>
  <si>
    <t>PE</t>
  </si>
  <si>
    <t>Jaboatão dos Guararapes-PE</t>
  </si>
  <si>
    <t>PI</t>
  </si>
  <si>
    <t>Teresina-PI</t>
  </si>
  <si>
    <t>PR</t>
  </si>
  <si>
    <t>Astorga-PR/Ponta Grossa-PR</t>
  </si>
  <si>
    <t>Astorga-PR</t>
  </si>
  <si>
    <t>Ponta Grossa-PR</t>
  </si>
  <si>
    <t>RJ</t>
  </si>
  <si>
    <t>Rio de Janeiro-RJ</t>
  </si>
  <si>
    <t>Itaguaí-RJ</t>
  </si>
  <si>
    <t>Duque de Caxias-RJ</t>
  </si>
  <si>
    <t>Macacu-RJ</t>
  </si>
  <si>
    <t>RS</t>
  </si>
  <si>
    <t>POA/Triunfo</t>
  </si>
  <si>
    <t>Porto Alegre-RS</t>
  </si>
  <si>
    <t>Triunfo-RS</t>
  </si>
  <si>
    <t>Uruguaiana-RS</t>
  </si>
  <si>
    <t>SC</t>
  </si>
  <si>
    <t>Jaraguá do Sul-SC</t>
  </si>
  <si>
    <t>SP</t>
  </si>
  <si>
    <t>Promissão-SP</t>
  </si>
  <si>
    <t>Araraquara-SP</t>
  </si>
  <si>
    <t>Rio Claro-SP</t>
  </si>
  <si>
    <t>Sorocaba-SP</t>
  </si>
  <si>
    <t>Santo André-SP</t>
  </si>
  <si>
    <t>São José dos Campos-SP</t>
  </si>
  <si>
    <t>São Paulo-SP</t>
  </si>
  <si>
    <t>Agudos-SP</t>
  </si>
  <si>
    <t>Ilheus -BA</t>
  </si>
  <si>
    <t>Juatuba -MG</t>
  </si>
  <si>
    <t>Cotia -SP</t>
  </si>
  <si>
    <t xml:space="preserve">Status </t>
  </si>
  <si>
    <t xml:space="preserve">Qtd. Realizado </t>
  </si>
  <si>
    <t xml:space="preserve">Qtd. a realizar </t>
  </si>
  <si>
    <t>Mês</t>
  </si>
  <si>
    <t>Total  por Mês</t>
  </si>
  <si>
    <t>PREVISTO</t>
  </si>
  <si>
    <t>EXECUTADO</t>
  </si>
  <si>
    <t>Realizado</t>
  </si>
  <si>
    <t>A realizar</t>
  </si>
  <si>
    <t xml:space="preserve">Informações do contrato - Valores </t>
  </si>
  <si>
    <t xml:space="preserve">Contrato </t>
  </si>
  <si>
    <t xml:space="preserve">Consumo </t>
  </si>
  <si>
    <t xml:space="preserve">Serviço </t>
  </si>
  <si>
    <t xml:space="preserve">Deslocamento </t>
  </si>
  <si>
    <t>Item</t>
  </si>
  <si>
    <t>Saldo</t>
  </si>
  <si>
    <t xml:space="preserve">Consumo Mensal do Contrato - Previsto X Executado </t>
  </si>
  <si>
    <t xml:space="preserve">Ponderado Médio </t>
  </si>
  <si>
    <t>Previsto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</si>
  <si>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</si>
  <si>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</si>
  <si>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</si>
  <si>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</si>
  <si>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</si>
  <si>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</si>
  <si>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</si>
  <si>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</si>
  <si>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</si>
  <si>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</si>
  <si>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</si>
  <si>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</si>
  <si>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Serviço Previsto</t>
  </si>
  <si>
    <t>Deslocamento Previsto</t>
  </si>
  <si>
    <t>Total Previsto por Mês</t>
  </si>
  <si>
    <t>Serviço Execuado</t>
  </si>
  <si>
    <t>Deslocamento Executado</t>
  </si>
  <si>
    <t>Total Executado por Mês</t>
  </si>
  <si>
    <t>Ponderado Médio</t>
  </si>
  <si>
    <t xml:space="preserve">Deslocamento Previsto </t>
  </si>
  <si>
    <t>Valor Executado</t>
  </si>
  <si>
    <t>Valor a executar</t>
  </si>
  <si>
    <t>Rótulos de Linha</t>
  </si>
  <si>
    <t>Valores</t>
  </si>
  <si>
    <t>Rótulos de Coluna</t>
  </si>
  <si>
    <t>Executado</t>
  </si>
  <si>
    <t xml:space="preserve">Total do Contrato </t>
  </si>
  <si>
    <t>Contrato</t>
  </si>
  <si>
    <t>Previsão do Acumulado</t>
  </si>
  <si>
    <t xml:space="preserve">A realizar </t>
  </si>
  <si>
    <t xml:space="preserve">Acumulado Previsto </t>
  </si>
  <si>
    <t>Previsão de Saldo</t>
  </si>
  <si>
    <t>Deslocamento</t>
  </si>
  <si>
    <t>Serviço</t>
  </si>
  <si>
    <t>Acumulado Previsto</t>
  </si>
  <si>
    <t>Soma de A realizar</t>
  </si>
  <si>
    <t>Soma de Acumulado Previsto</t>
  </si>
  <si>
    <t>Consumo</t>
  </si>
  <si>
    <t xml:space="preserve">Saldo </t>
  </si>
  <si>
    <t>Medidor de Íon Seletivo</t>
  </si>
  <si>
    <t>Medidor de OD</t>
  </si>
  <si>
    <t>pHmetro de Processo</t>
  </si>
  <si>
    <t>Determinador de Umidade</t>
  </si>
  <si>
    <t>Ref. ER</t>
  </si>
  <si>
    <t>Orç. 12879</t>
  </si>
  <si>
    <t xml:space="preserve">Qtd. </t>
  </si>
  <si>
    <t>Ref. Cliente</t>
  </si>
  <si>
    <t>PO</t>
  </si>
  <si>
    <t>Via Parque</t>
  </si>
  <si>
    <t>Não emitida</t>
  </si>
  <si>
    <t xml:space="preserve">Serviços  </t>
  </si>
  <si>
    <t xml:space="preserve">Desconto no Contrato? </t>
  </si>
  <si>
    <t>Observação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</si>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</sst>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rgb="FF00FF00"/>
      <name val="Calibri"/>
      <family val="2"/>
      <scheme val="minor"/>
    </font>
    <font>
      <sz val="11"/>
      <color rgb="FF00FF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45A8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AEEF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33" borderId="0" xfId="0" applyFill="1"/>
    <xf numFmtId="44" fontId="0" fillId="0" borderId="0" xfId="0" applyNumberFormat="1"/>
    <xf numFmtId="44" fontId="0" fillId="0" borderId="10" xfId="42" applyFont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5" fontId="20" fillId="34" borderId="11" xfId="0" applyNumberFormat="1" applyFont="1" applyFill="1" applyBorder="1" applyAlignment="1" applyProtection="1">
      <alignment horizontal="center" vertical="center" wrapText="1"/>
      <protection hidden="1"/>
    </xf>
    <xf numFmtId="15" fontId="20" fillId="34" borderId="17" xfId="0" applyNumberFormat="1" applyFont="1" applyFill="1" applyBorder="1" applyAlignment="1" applyProtection="1">
      <alignment horizontal="center" vertical="center" wrapText="1"/>
      <protection hidden="1"/>
    </xf>
    <xf numFmtId="15" fontId="20" fillId="34" borderId="18" xfId="0" applyNumberFormat="1" applyFont="1" applyFill="1" applyBorder="1" applyAlignment="1" applyProtection="1">
      <alignment horizontal="center" vertical="center" wrapText="1"/>
      <protection hidden="1"/>
    </xf>
    <xf numFmtId="0" fontId="20" fillId="34" borderId="19" xfId="0" applyFont="1" applyFill="1" applyBorder="1"/>
    <xf numFmtId="0" fontId="20" fillId="34" borderId="20" xfId="0" applyFont="1" applyFill="1" applyBorder="1"/>
    <xf numFmtId="0" fontId="0" fillId="0" borderId="22" xfId="0" applyBorder="1"/>
    <xf numFmtId="44" fontId="0" fillId="0" borderId="23" xfId="42" applyFont="1" applyBorder="1"/>
    <xf numFmtId="0" fontId="0" fillId="0" borderId="24" xfId="0" applyBorder="1"/>
    <xf numFmtId="44" fontId="0" fillId="0" borderId="25" xfId="42" applyFont="1" applyBorder="1"/>
    <xf numFmtId="44" fontId="0" fillId="0" borderId="26" xfId="42" applyFont="1" applyBorder="1"/>
    <xf numFmtId="0" fontId="0" fillId="0" borderId="27" xfId="0" applyBorder="1"/>
    <xf numFmtId="15" fontId="20" fillId="34" borderId="2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9" xfId="0" applyBorder="1"/>
    <xf numFmtId="44" fontId="0" fillId="0" borderId="30" xfId="42" applyFont="1" applyBorder="1"/>
    <xf numFmtId="44" fontId="0" fillId="0" borderId="31" xfId="42" applyFont="1" applyBorder="1"/>
    <xf numFmtId="44" fontId="0" fillId="0" borderId="33" xfId="42" applyFont="1" applyBorder="1"/>
    <xf numFmtId="44" fontId="0" fillId="0" borderId="34" xfId="42" applyFont="1" applyBorder="1"/>
    <xf numFmtId="44" fontId="0" fillId="0" borderId="29" xfId="42" applyFont="1" applyBorder="1"/>
    <xf numFmtId="44" fontId="0" fillId="0" borderId="27" xfId="42" applyFont="1" applyBorder="1"/>
    <xf numFmtId="0" fontId="20" fillId="34" borderId="10" xfId="0" applyFont="1" applyFill="1" applyBorder="1" applyAlignment="1">
      <alignment horizontal="center" vertical="center"/>
    </xf>
    <xf numFmtId="0" fontId="16" fillId="0" borderId="0" xfId="0" applyFont="1"/>
    <xf numFmtId="0" fontId="20" fillId="3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21" fillId="34" borderId="10" xfId="0" applyFont="1" applyFill="1" applyBorder="1"/>
    <xf numFmtId="0" fontId="16" fillId="0" borderId="10" xfId="0" applyFont="1" applyBorder="1"/>
    <xf numFmtId="1" fontId="0" fillId="0" borderId="10" xfId="0" applyNumberFormat="1" applyBorder="1"/>
    <xf numFmtId="44" fontId="0" fillId="0" borderId="10" xfId="0" applyNumberFormat="1" applyBorder="1"/>
    <xf numFmtId="0" fontId="0" fillId="0" borderId="23" xfId="0" applyBorder="1"/>
    <xf numFmtId="0" fontId="0" fillId="0" borderId="10" xfId="0" applyBorder="1" applyAlignment="1">
      <alignment horizontal="center" vertical="center"/>
    </xf>
    <xf numFmtId="44" fontId="0" fillId="0" borderId="10" xfId="42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/>
    </xf>
    <xf numFmtId="0" fontId="21" fillId="34" borderId="13" xfId="0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/>
    </xf>
    <xf numFmtId="0" fontId="21" fillId="34" borderId="12" xfId="0" applyFont="1" applyFill="1" applyBorder="1" applyAlignment="1">
      <alignment horizontal="center"/>
    </xf>
    <xf numFmtId="44" fontId="0" fillId="0" borderId="10" xfId="42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2" xfId="0" applyBorder="1" applyAlignment="1">
      <alignment horizontal="center"/>
    </xf>
    <xf numFmtId="44" fontId="0" fillId="0" borderId="10" xfId="0" applyNumberFormat="1" applyBorder="1" applyAlignment="1">
      <alignment horizontal="center"/>
    </xf>
    <xf numFmtId="9" fontId="0" fillId="0" borderId="10" xfId="43" applyFont="1" applyBorder="1"/>
    <xf numFmtId="0" fontId="16" fillId="0" borderId="10" xfId="0" applyFont="1" applyBorder="1" applyAlignment="1">
      <alignment horizontal="center"/>
    </xf>
    <xf numFmtId="0" fontId="0" fillId="0" borderId="30" xfId="0" applyBorder="1"/>
    <xf numFmtId="0" fontId="16" fillId="0" borderId="32" xfId="0" applyFont="1" applyBorder="1"/>
    <xf numFmtId="0" fontId="16" fillId="0" borderId="33" xfId="0" applyFont="1" applyBorder="1"/>
    <xf numFmtId="44" fontId="16" fillId="0" borderId="33" xfId="42" applyFont="1" applyBorder="1"/>
    <xf numFmtId="44" fontId="16" fillId="0" borderId="34" xfId="42" applyFont="1" applyBorder="1"/>
    <xf numFmtId="0" fontId="0" fillId="0" borderId="17" xfId="0" applyBorder="1"/>
    <xf numFmtId="44" fontId="0" fillId="0" borderId="11" xfId="42" applyFont="1" applyBorder="1"/>
    <xf numFmtId="44" fontId="0" fillId="0" borderId="18" xfId="42" applyFont="1" applyBorder="1"/>
    <xf numFmtId="0" fontId="0" fillId="0" borderId="11" xfId="0" applyBorder="1"/>
    <xf numFmtId="9" fontId="0" fillId="0" borderId="11" xfId="43" applyFont="1" applyBorder="1"/>
    <xf numFmtId="0" fontId="16" fillId="0" borderId="48" xfId="0" applyFont="1" applyBorder="1" applyAlignment="1">
      <alignment horizontal="center"/>
    </xf>
    <xf numFmtId="0" fontId="16" fillId="0" borderId="49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42" xfId="0" applyFont="1" applyBorder="1"/>
    <xf numFmtId="0" fontId="16" fillId="0" borderId="43" xfId="0" applyFont="1" applyBorder="1"/>
    <xf numFmtId="44" fontId="0" fillId="0" borderId="23" xfId="0" applyNumberFormat="1" applyBorder="1"/>
    <xf numFmtId="44" fontId="0" fillId="0" borderId="26" xfId="0" applyNumberFormat="1" applyBorder="1"/>
    <xf numFmtId="44" fontId="0" fillId="0" borderId="22" xfId="0" applyNumberFormat="1" applyBorder="1"/>
    <xf numFmtId="44" fontId="0" fillId="0" borderId="24" xfId="0" applyNumberFormat="1" applyBorder="1"/>
    <xf numFmtId="15" fontId="20" fillId="34" borderId="11" xfId="0" applyNumberFormat="1" applyFont="1" applyFill="1" applyBorder="1" applyAlignment="1" applyProtection="1">
      <alignment horizontal="center" vertical="center"/>
      <protection hidden="1"/>
    </xf>
    <xf numFmtId="15" fontId="20" fillId="34" borderId="13" xfId="0" applyNumberFormat="1" applyFont="1" applyFill="1" applyBorder="1" applyAlignment="1">
      <alignment horizontal="center" vertical="center"/>
    </xf>
    <xf numFmtId="15" fontId="20" fillId="34" borderId="11" xfId="0" applyNumberFormat="1" applyFont="1" applyFill="1" applyBorder="1" applyAlignment="1">
      <alignment horizontal="center" vertical="center"/>
    </xf>
    <xf numFmtId="15" fontId="20" fillId="34" borderId="12" xfId="0" applyNumberFormat="1" applyFont="1" applyFill="1" applyBorder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center" vertical="center"/>
    </xf>
    <xf numFmtId="44" fontId="0" fillId="0" borderId="0" xfId="42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44" fontId="0" fillId="0" borderId="0" xfId="42" applyFont="1"/>
    <xf numFmtId="44" fontId="0" fillId="0" borderId="54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44" fontId="0" fillId="0" borderId="11" xfId="42" applyFont="1" applyBorder="1" applyAlignment="1">
      <alignment horizontal="center" vertical="center"/>
    </xf>
    <xf numFmtId="0" fontId="21" fillId="34" borderId="53" xfId="0" applyFont="1" applyFill="1" applyBorder="1" applyAlignment="1">
      <alignment horizontal="center" vertical="center"/>
    </xf>
    <xf numFmtId="0" fontId="20" fillId="0" borderId="0" xfId="0" applyFont="1"/>
    <xf numFmtId="44" fontId="0" fillId="0" borderId="0" xfId="42" applyFont="1" applyAlignment="1">
      <alignment wrapText="1"/>
    </xf>
    <xf numFmtId="0" fontId="20" fillId="34" borderId="10" xfId="0" applyFont="1" applyFill="1" applyBorder="1" applyAlignment="1">
      <alignment horizontal="center" vertical="center"/>
    </xf>
    <xf numFmtId="44" fontId="0" fillId="0" borderId="10" xfId="42" applyFont="1" applyBorder="1" applyAlignment="1">
      <alignment vertical="center"/>
    </xf>
    <xf numFmtId="0" fontId="20" fillId="34" borderId="35" xfId="0" applyFont="1" applyFill="1" applyBorder="1" applyAlignment="1">
      <alignment horizontal="center"/>
    </xf>
    <xf numFmtId="0" fontId="20" fillId="34" borderId="36" xfId="0" applyFont="1" applyFill="1" applyBorder="1" applyAlignment="1">
      <alignment horizontal="center"/>
    </xf>
    <xf numFmtId="0" fontId="20" fillId="34" borderId="37" xfId="0" applyFont="1" applyFill="1" applyBorder="1" applyAlignment="1">
      <alignment horizontal="center"/>
    </xf>
    <xf numFmtId="0" fontId="20" fillId="34" borderId="14" xfId="0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52" xfId="0" applyFont="1" applyFill="1" applyBorder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28" xfId="0" applyFont="1" applyFill="1" applyBorder="1" applyAlignment="1">
      <alignment horizontal="center" vertical="center"/>
    </xf>
    <xf numFmtId="0" fontId="20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6" fillId="0" borderId="21" xfId="0" applyFont="1" applyBorder="1"/>
    <xf numFmtId="0" fontId="16" fillId="0" borderId="42" xfId="0" applyFont="1" applyBorder="1"/>
    <xf numFmtId="44" fontId="16" fillId="0" borderId="33" xfId="42" applyFont="1" applyBorder="1"/>
    <xf numFmtId="0" fontId="16" fillId="0" borderId="33" xfId="0" applyFont="1" applyBorder="1"/>
    <xf numFmtId="0" fontId="16" fillId="0" borderId="44" xfId="0" applyFont="1" applyBorder="1" applyAlignment="1">
      <alignment vertical="center"/>
    </xf>
    <xf numFmtId="0" fontId="16" fillId="0" borderId="45" xfId="0" applyFont="1" applyBorder="1" applyAlignment="1">
      <alignment vertical="center"/>
    </xf>
    <xf numFmtId="0" fontId="16" fillId="0" borderId="46" xfId="0" applyFont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44" fontId="0" fillId="0" borderId="44" xfId="42" applyFont="1" applyBorder="1" applyAlignment="1">
      <alignment vertical="center"/>
    </xf>
    <xf numFmtId="44" fontId="0" fillId="0" borderId="47" xfId="42" applyFont="1" applyBorder="1" applyAlignment="1">
      <alignment vertical="center"/>
    </xf>
    <xf numFmtId="9" fontId="0" fillId="0" borderId="44" xfId="43" applyFont="1" applyBorder="1" applyAlignment="1">
      <alignment vertical="center"/>
    </xf>
    <xf numFmtId="9" fontId="0" fillId="0" borderId="47" xfId="43" applyFont="1" applyBorder="1" applyAlignment="1">
      <alignment vertical="center"/>
    </xf>
    <xf numFmtId="9" fontId="0" fillId="0" borderId="48" xfId="43" applyFont="1" applyBorder="1" applyAlignment="1">
      <alignment vertical="center"/>
    </xf>
    <xf numFmtId="9" fontId="0" fillId="0" borderId="51" xfId="43" applyFont="1" applyBorder="1" applyAlignment="1">
      <alignment vertical="center"/>
    </xf>
    <xf numFmtId="44" fontId="0" fillId="0" borderId="21" xfId="42" applyFont="1" applyBorder="1" applyAlignment="1">
      <alignment vertical="center"/>
    </xf>
    <xf numFmtId="44" fontId="0" fillId="0" borderId="42" xfId="42" applyFont="1" applyBorder="1" applyAlignment="1">
      <alignment vertical="center"/>
    </xf>
    <xf numFmtId="44" fontId="0" fillId="0" borderId="43" xfId="42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16" fillId="0" borderId="40" xfId="0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41" xfId="0" applyFont="1" applyBorder="1" applyAlignment="1">
      <alignment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7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FFB061"/>
        </patternFill>
      </fill>
    </dxf>
    <dxf>
      <fill>
        <patternFill>
          <bgColor rgb="FFFFB061"/>
        </patternFill>
      </fill>
    </dxf>
    <dxf>
      <fill>
        <patternFill>
          <bgColor rgb="FFFFB06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FF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FF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FF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FF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FF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FF0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theme="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FF00"/>
        <name val="Calibri"/>
        <family val="2"/>
        <scheme val="minor"/>
      </font>
      <numFmt numFmtId="20" formatCode="dd/mmm/yy"/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FF00"/>
        <name val="Calibri"/>
        <family val="2"/>
        <scheme val="minor"/>
      </font>
      <fill>
        <patternFill>
          <fgColor indexed="64"/>
          <bgColor rgb="FF00206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/>
        <i val="0"/>
        <sz val="11"/>
        <color theme="0"/>
        <name val="Arial Narrow"/>
        <family val="2"/>
        <scheme val="none"/>
      </font>
      <fill>
        <patternFill>
          <bgColor rgb="FF019DDA"/>
        </patternFill>
      </fill>
      <border diagonalUp="0" diagonalDown="0">
        <left style="thin">
          <color rgb="FF019DDA"/>
        </left>
        <right style="thin">
          <color rgb="FF019DDA"/>
        </right>
        <top style="thin">
          <color rgb="FF019DDA"/>
        </top>
        <bottom style="thin">
          <color rgb="FF019DDA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B7BB9242-F578-4A01-9EA8-6F9C5DCEA4BA}">
      <tableStyleElement type="wholeTable" dxfId="169"/>
      <tableStyleElement type="headerRow" dxfId="168"/>
    </tableStyle>
  </tableStyles>
  <colors>
    <mruColors>
      <color rgb="FF0288C0"/>
      <color rgb="FF0374A8"/>
      <color rgb="FF019DDA"/>
      <color rgb="FF045A88"/>
      <color rgb="FFFA9D23"/>
      <color rgb="FFFF3535"/>
      <color rgb="FF00AEEF"/>
      <color rgb="FF00FF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2"/>
            <color theme="0"/>
            <name val="Arial Narrow"/>
            <family val="2"/>
            <scheme val="none"/>
          </font>
          <fill>
            <patternFill patternType="solid">
              <fgColor theme="4" tint="0.79995117038483843"/>
              <bgColor rgb="FF0374A8"/>
            </patternFill>
          </fill>
          <border>
            <left style="thin">
              <color rgb="FF0374A8"/>
            </left>
            <right style="thin">
              <color rgb="FF0374A8"/>
            </right>
            <top style="thin">
              <color rgb="FF0374A8"/>
            </top>
            <bottom style="thin">
              <color rgb="FF0374A8"/>
            </bottom>
            <vertical/>
            <horizontal/>
          </border>
        </dxf>
        <dxf>
          <font>
            <b/>
            <i val="0"/>
            <sz val="12"/>
            <color theme="0"/>
            <name val="Arial Narrow"/>
            <family val="2"/>
            <scheme val="none"/>
          </font>
          <fill>
            <patternFill patternType="solid">
              <fgColor theme="4" tint="0.59999389629810485"/>
              <bgColor rgb="FF0374A8"/>
            </patternFill>
          </fill>
          <border>
            <left style="thin">
              <color rgb="FF0374A8"/>
            </left>
            <right style="thin">
              <color rgb="FF0374A8"/>
            </right>
            <top style="thin">
              <color rgb="FF0374A8"/>
            </top>
            <bottom style="thin">
              <color rgb="FF0374A8"/>
            </bottom>
            <vertical/>
            <horizontal/>
          </border>
        </dxf>
        <dxf>
          <font>
            <b/>
            <i val="0"/>
            <sz val="12"/>
            <color theme="0"/>
            <name val="Arial Narrow"/>
            <family val="2"/>
            <scheme val="none"/>
          </font>
          <fill>
            <patternFill patternType="solid">
              <fgColor rgb="FFFFFFFF"/>
              <bgColor rgb="FF0288C0"/>
            </patternFill>
          </fill>
          <border>
            <left style="thin">
              <color rgb="FF0288C0"/>
            </left>
            <right style="thin">
              <color rgb="FF0288C0"/>
            </right>
            <top style="thin">
              <color rgb="FF0288C0"/>
            </top>
            <bottom style="thin">
              <color rgb="FF0288C0"/>
            </bottom>
            <vertical/>
            <horizontal/>
          </border>
        </dxf>
        <dxf>
          <font>
            <b/>
            <i val="0"/>
            <sz val="12"/>
            <color theme="0" tint="-4.9989318521683403E-2"/>
            <name val="Arial Narrow"/>
            <family val="2"/>
            <scheme val="none"/>
          </font>
          <fill>
            <patternFill patternType="solid">
              <fgColor rgb="FFFFFFFF"/>
              <bgColor rgb="FF0288C0"/>
            </patternFill>
          </fill>
          <border>
            <left style="thin">
              <color rgb="FF0288C0"/>
            </left>
            <right style="thin">
              <color rgb="FF0288C0"/>
            </right>
            <top style="thin">
              <color rgb="FF0288C0"/>
            </top>
            <bottom style="thin">
              <color rgb="FF0288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07/relationships/slicerCache" Target="slicerCaches/slicerCach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Financeiros - 2022-2023.xlsx]Tabelas dinâmicas!Gráfico 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01BD6B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rgbClr val="019DDA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A9D23"/>
          </a:solidFill>
          <a:ln w="19050">
            <a:noFill/>
          </a:ln>
          <a:effectLst/>
        </c:spPr>
      </c:pivotFmt>
      <c:pivotFmt>
        <c:idx val="30"/>
        <c:spPr>
          <a:solidFill>
            <a:srgbClr val="01BD6B"/>
          </a:solidFill>
          <a:ln w="19050">
            <a:noFill/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dinâmicas'!$B$3:$B$4</c:f>
              <c:strCache>
                <c:ptCount val="1"/>
                <c:pt idx="0">
                  <c:v>Total 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1-47B8-8A55-7A675A7EC2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1-47B8-8A55-7A675A7EC2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F1-47B8-8A55-7A675A7EC2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dinâmicas'!$A$5:$A$6</c:f>
              <c:strCache>
                <c:ptCount val="2"/>
                <c:pt idx="0">
                  <c:v>Consumo</c:v>
                </c:pt>
                <c:pt idx="1">
                  <c:v>Saldo </c:v>
                </c:pt>
              </c:strCache>
            </c:strRef>
          </c:cat>
          <c:val>
            <c:numRef>
              <c:f>'Tabelas dinâmicas'!$B$5:$B$6</c:f>
              <c:numCache>
                <c:formatCode>_("R$"* #,##0.00_);_("R$"* \(#,##0.00\);_("R$"* "-"??_);_(@_)</c:formatCode>
                <c:ptCount val="2"/>
                <c:pt idx="0">
                  <c:v>218768.35000000003</c:v>
                </c:pt>
                <c:pt idx="1">
                  <c:v>21599.699999999983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F1-47B8-8A55-7A675A7EC230}"/>
            </c:ext>
          </c:extLst>
        </c:ser>
        <c:ser>
          <c:idx val="1"/>
          <c:order val="1"/>
          <c:tx>
            <c:strRef>
              <c:f>'Tabelas dinâmicas'!$C$3:$C$4</c:f>
              <c:strCache>
                <c:ptCount val="1"/>
                <c:pt idx="0">
                  <c:v>Serviço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dinâmicas'!$A$5:$A$6</c:f>
              <c:strCache>
                <c:ptCount val="2"/>
                <c:pt idx="0">
                  <c:v>Consumo</c:v>
                </c:pt>
                <c:pt idx="1">
                  <c:v>Saldo </c:v>
                </c:pt>
              </c:strCache>
            </c:strRef>
          </c:cat>
          <c:val>
            <c:numRef>
              <c:f>'Tabelas dinâmicas'!$C$5:$C$6</c:f>
              <c:numCache>
                <c:formatCode>_("R$"* #,##0.00_);_("R$"* \(#,##0.00\);_("R$"* "-"??_);_(@_)</c:formatCode>
                <c:ptCount val="2"/>
                <c:pt idx="0">
                  <c:v>127859.53000000001</c:v>
                </c:pt>
                <c:pt idx="1">
                  <c:v>12086.11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69-415D-8979-2B62E0E093D1}"/>
            </c:ext>
          </c:extLst>
        </c:ser>
        <c:ser>
          <c:idx val="2"/>
          <c:order val="2"/>
          <c:tx>
            <c:strRef>
              <c:f>'Tabelas dinâmicas'!$D$3:$D$4</c:f>
              <c:strCache>
                <c:ptCount val="1"/>
                <c:pt idx="0">
                  <c:v>Deslocamento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dinâmicas'!$A$5:$A$6</c:f>
              <c:strCache>
                <c:ptCount val="2"/>
                <c:pt idx="0">
                  <c:v>Consumo</c:v>
                </c:pt>
                <c:pt idx="1">
                  <c:v>Saldo </c:v>
                </c:pt>
              </c:strCache>
            </c:strRef>
          </c:cat>
          <c:val>
            <c:numRef>
              <c:f>'Tabelas dinâmicas'!$D$5:$D$6</c:f>
              <c:numCache>
                <c:formatCode>_("R$"* #,##0.00_);_("R$"* \(#,##0.00\);_("R$"* "-"??_);_(@_)</c:formatCode>
                <c:ptCount val="2"/>
                <c:pt idx="0">
                  <c:v>90908.820000000022</c:v>
                </c:pt>
                <c:pt idx="1">
                  <c:v>9513.589999999982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69-415D-8979-2B62E0E09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019DDA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  <a:latin typeface="Arial Narrow" panose="020B0606020202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Financeiros - 2022-2023.xlsx]Tabelas dinâmicas!Consumo Mensal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288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FA9D2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rgbClr val="045A8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288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rgbClr val="FA9D2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rgbClr val="045A8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288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FA9D2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rgbClr val="045A8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288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rgbClr val="FA9D2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rgbClr val="045A8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374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rgbClr val="FA9D23"/>
            </a:solidFill>
            <a:round/>
          </a:ln>
          <a:effectLst/>
        </c:spPr>
        <c:marker>
          <c:symbol val="circle"/>
          <c:size val="5"/>
          <c:spPr>
            <a:solidFill>
              <a:srgbClr val="FA9D23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rgbClr val="045A8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dinâmicas'!$G$3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0374A8"/>
            </a:solidFill>
            <a:ln>
              <a:noFill/>
            </a:ln>
            <a:effectLst/>
          </c:spPr>
          <c:invertIfNegative val="0"/>
          <c:cat>
            <c:strRef>
              <c:f>'Tabelas dinâmicas'!$F$4:$F$15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dinâmicas'!$G$4:$G$15</c:f>
              <c:numCache>
                <c:formatCode>_("R$"* #,##0.00_);_("R$"* \(#,##0.00\);_("R$"* "-"??_);_(@_)</c:formatCode>
                <c:ptCount val="12"/>
                <c:pt idx="0">
                  <c:v>7248.23</c:v>
                </c:pt>
                <c:pt idx="1">
                  <c:v>492.03</c:v>
                </c:pt>
                <c:pt idx="2">
                  <c:v>19973</c:v>
                </c:pt>
                <c:pt idx="3">
                  <c:v>23814.11</c:v>
                </c:pt>
                <c:pt idx="4">
                  <c:v>22421.510000000002</c:v>
                </c:pt>
                <c:pt idx="5">
                  <c:v>32836.550000000003</c:v>
                </c:pt>
                <c:pt idx="6">
                  <c:v>29841.850000000006</c:v>
                </c:pt>
                <c:pt idx="7">
                  <c:v>36164.850000000006</c:v>
                </c:pt>
                <c:pt idx="8">
                  <c:v>29738.970000000005</c:v>
                </c:pt>
                <c:pt idx="9">
                  <c:v>8195.0600000000013</c:v>
                </c:pt>
                <c:pt idx="10">
                  <c:v>13371.380000000001</c:v>
                </c:pt>
                <c:pt idx="11">
                  <c:v>1295.1099999999999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107-BAC1-B660C8A3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24239"/>
        <c:axId val="413624655"/>
      </c:barChart>
      <c:lineChart>
        <c:grouping val="standard"/>
        <c:varyColors val="0"/>
        <c:ser>
          <c:idx val="1"/>
          <c:order val="1"/>
          <c:tx>
            <c:strRef>
              <c:f>'Tabelas dinâmicas'!$H$3</c:f>
              <c:strCache>
                <c:ptCount val="1"/>
                <c:pt idx="0">
                  <c:v>Executado</c:v>
                </c:pt>
              </c:strCache>
            </c:strRef>
          </c:tx>
          <c:spPr>
            <a:ln w="28575" cap="rnd">
              <a:solidFill>
                <a:srgbClr val="FA9D2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9D23"/>
              </a:solidFill>
              <a:ln w="9525">
                <a:noFill/>
              </a:ln>
              <a:effectLst/>
            </c:spPr>
          </c:marker>
          <c:cat>
            <c:strRef>
              <c:f>'Tabelas dinâmicas'!$F$4:$F$15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dinâmicas'!$H$4:$H$15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2985.2299999999996</c:v>
                </c:pt>
                <c:pt idx="2">
                  <c:v>5233.43</c:v>
                </c:pt>
                <c:pt idx="3">
                  <c:v>0</c:v>
                </c:pt>
                <c:pt idx="4">
                  <c:v>13418.38</c:v>
                </c:pt>
                <c:pt idx="5">
                  <c:v>17986.810000000005</c:v>
                </c:pt>
                <c:pt idx="6">
                  <c:v>30654.380000000005</c:v>
                </c:pt>
                <c:pt idx="7">
                  <c:v>50317</c:v>
                </c:pt>
                <c:pt idx="8">
                  <c:v>52895.760000000009</c:v>
                </c:pt>
                <c:pt idx="9">
                  <c:v>22183.160000000003</c:v>
                </c:pt>
                <c:pt idx="10">
                  <c:v>18660.04</c:v>
                </c:pt>
                <c:pt idx="11">
                  <c:v>4434.16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64-4107-BAC1-B660C8A304DD}"/>
            </c:ext>
          </c:extLst>
        </c:ser>
        <c:ser>
          <c:idx val="2"/>
          <c:order val="2"/>
          <c:tx>
            <c:strRef>
              <c:f>'Tabelas dinâmicas'!$I$3</c:f>
              <c:strCache>
                <c:ptCount val="1"/>
                <c:pt idx="0">
                  <c:v>Ponderado Médio</c:v>
                </c:pt>
              </c:strCache>
            </c:strRef>
          </c:tx>
          <c:spPr>
            <a:ln w="28575" cap="rnd">
              <a:solidFill>
                <a:srgbClr val="045A88"/>
              </a:solidFill>
              <a:round/>
            </a:ln>
            <a:effectLst/>
          </c:spPr>
          <c:marker>
            <c:symbol val="none"/>
          </c:marker>
          <c:cat>
            <c:strRef>
              <c:f>'Tabelas dinâmicas'!$F$4:$F$15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dinâmicas'!$I$4:$I$15</c:f>
              <c:numCache>
                <c:formatCode>_("R$"* #,##0.00_);_("R$"* \(#,##0.00\);_("R$"* "-"??_);_(@_)</c:formatCode>
                <c:ptCount val="12"/>
                <c:pt idx="0">
                  <c:v>20030.670833333334</c:v>
                </c:pt>
                <c:pt idx="1">
                  <c:v>20030.670833333334</c:v>
                </c:pt>
                <c:pt idx="2">
                  <c:v>20030.670833333334</c:v>
                </c:pt>
                <c:pt idx="3">
                  <c:v>20030.670833333334</c:v>
                </c:pt>
                <c:pt idx="4">
                  <c:v>20030.670833333334</c:v>
                </c:pt>
                <c:pt idx="5">
                  <c:v>20030.670833333334</c:v>
                </c:pt>
                <c:pt idx="6">
                  <c:v>20030.670833333334</c:v>
                </c:pt>
                <c:pt idx="7">
                  <c:v>20030.670833333334</c:v>
                </c:pt>
                <c:pt idx="8">
                  <c:v>20030.670833333334</c:v>
                </c:pt>
                <c:pt idx="9">
                  <c:v>20030.670833333334</c:v>
                </c:pt>
                <c:pt idx="10">
                  <c:v>20030.670833333334</c:v>
                </c:pt>
                <c:pt idx="11">
                  <c:v>20030.670833333334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364-4107-BAC1-B660C8A3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624239"/>
        <c:axId val="413624655"/>
      </c:lineChart>
      <c:catAx>
        <c:axId val="4136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45A8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624655"/>
        <c:crosses val="autoZero"/>
        <c:auto val="1"/>
        <c:lblAlgn val="ctr"/>
        <c:lblOffset val="100"/>
        <c:noMultiLvlLbl val="0"/>
      </c:catAx>
      <c:valAx>
        <c:axId val="413624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62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Financeiros - 2022-2023.xlsx]Tabelas dinâmicas!Acumulado Previsto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45A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45A88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35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3535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dinâmicas'!$L$3</c:f>
              <c:strCache>
                <c:ptCount val="1"/>
                <c:pt idx="0">
                  <c:v>Acumulado Previsto</c:v>
                </c:pt>
              </c:strCache>
            </c:strRef>
          </c:tx>
          <c:spPr>
            <a:solidFill>
              <a:srgbClr val="FF35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dinâmicas'!$K$4:$K$6</c:f>
              <c:strCache>
                <c:ptCount val="3"/>
                <c:pt idx="0">
                  <c:v>Total</c:v>
                </c:pt>
                <c:pt idx="1">
                  <c:v>Serviço</c:v>
                </c:pt>
                <c:pt idx="2">
                  <c:v>Deslocamento</c:v>
                </c:pt>
              </c:strCache>
            </c:strRef>
          </c:cat>
          <c:val>
            <c:numRef>
              <c:f>'Tabelas dinâmicas'!$L$4:$L$6</c:f>
              <c:numCache>
                <c:formatCode>_("R$"* #,##0.00_);_("R$"* \(#,##0.00\);_("R$"* "-"??_);_(@_)</c:formatCode>
                <c:ptCount val="3"/>
                <c:pt idx="0">
                  <c:v>262081.41000000003</c:v>
                </c:pt>
                <c:pt idx="1">
                  <c:v>161659</c:v>
                </c:pt>
                <c:pt idx="2">
                  <c:v>100422.41000000002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0-4338-8924-2A8D100021A7}"/>
            </c:ext>
          </c:extLst>
        </c:ser>
        <c:ser>
          <c:idx val="1"/>
          <c:order val="1"/>
          <c:tx>
            <c:strRef>
              <c:f>'Tabelas dinâmicas'!$M$3</c:f>
              <c:strCache>
                <c:ptCount val="1"/>
                <c:pt idx="0">
                  <c:v>Contrato</c:v>
                </c:pt>
              </c:strCache>
            </c:strRef>
          </c:tx>
          <c:spPr>
            <a:solidFill>
              <a:srgbClr val="045A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dinâmicas'!$K$4:$K$6</c:f>
              <c:strCache>
                <c:ptCount val="3"/>
                <c:pt idx="0">
                  <c:v>Total</c:v>
                </c:pt>
                <c:pt idx="1">
                  <c:v>Serviço</c:v>
                </c:pt>
                <c:pt idx="2">
                  <c:v>Deslocamento</c:v>
                </c:pt>
              </c:strCache>
            </c:strRef>
          </c:cat>
          <c:val>
            <c:numRef>
              <c:f>'Tabelas dinâmicas'!$M$4:$M$6</c:f>
              <c:numCache>
                <c:formatCode>_("R$"* #,##0.00_);_("R$"* \(#,##0.00\);_("R$"* "-"??_);_(@_)</c:formatCode>
                <c:ptCount val="3"/>
                <c:pt idx="0">
                  <c:v>240368.05000000002</c:v>
                </c:pt>
                <c:pt idx="1">
                  <c:v>139945.64000000001</c:v>
                </c:pt>
                <c:pt idx="2">
                  <c:v>100422.41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C-4264-84CD-5F6BC76246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9234816"/>
        <c:axId val="2139234400"/>
      </c:barChart>
      <c:catAx>
        <c:axId val="213923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2139234400"/>
        <c:crosses val="autoZero"/>
        <c:auto val="1"/>
        <c:lblAlgn val="ctr"/>
        <c:lblOffset val="100"/>
        <c:noMultiLvlLbl val="0"/>
      </c:catAx>
      <c:valAx>
        <c:axId val="21392344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392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bg1"/>
          </a:solidFill>
          <a:latin typeface="Arial Narrow" panose="020B0606020202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Financeiros - 2022-2023.xlsx]Tabelas dinâmicas!Gráfico2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45A88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1BD6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45A88"/>
                  </a:solidFill>
                  <a:latin typeface="Arial Narrow" panose="020B0606020202030204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45A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45A88"/>
                  </a:solidFill>
                  <a:latin typeface="Arial Narrow" panose="020B0606020202030204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spPr>
          <a:solidFill>
            <a:srgbClr val="045A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45A88"/>
                  </a:solidFill>
                  <a:latin typeface="Arial Narrow" panose="020B0606020202030204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1BD6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45A88"/>
                  </a:solidFill>
                  <a:latin typeface="Arial Narrow" panose="020B0606020202030204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 do Contrato </c:v>
                </c:pt>
              </c:strCache>
            </c:strRef>
          </c:tx>
          <c:spPr>
            <a:solidFill>
              <a:srgbClr val="045A88"/>
            </a:solidFill>
            <a:ln>
              <a:noFill/>
            </a:ln>
            <a:effectLst/>
          </c:spPr>
          <c:invertIfNegative val="0"/>
          <c:cat>
            <c:strRef>
              <c:f>'Tabelas dinâmicas'!$A$9:$A$11</c:f>
              <c:strCache>
                <c:ptCount val="3"/>
                <c:pt idx="0">
                  <c:v>Deslocamento </c:v>
                </c:pt>
                <c:pt idx="1">
                  <c:v>Serviço </c:v>
                </c:pt>
                <c:pt idx="2">
                  <c:v>Contrato</c:v>
                </c:pt>
              </c:strCache>
            </c:strRef>
          </c:cat>
          <c:val>
            <c:numRef>
              <c:f>'Tabelas dinâmicas'!$B$9:$B$11</c:f>
              <c:numCache>
                <c:formatCode>_("R$"* #,##0.00_);_("R$"* \(#,##0.00\);_("R$"* "-"??_);_(@_)</c:formatCode>
                <c:ptCount val="3"/>
                <c:pt idx="0">
                  <c:v>100422.41</c:v>
                </c:pt>
                <c:pt idx="1">
                  <c:v>139945.64000000001</c:v>
                </c:pt>
                <c:pt idx="2">
                  <c:v>240368.05000000002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D-4192-A6EE-423B69CB8DF7}"/>
            </c:ext>
          </c:extLst>
        </c:ser>
        <c:ser>
          <c:idx val="1"/>
          <c:order val="1"/>
          <c:tx>
            <c:strRef>
              <c:f>'Tabelas dinâmicas'!$C$8</c:f>
              <c:strCache>
                <c:ptCount val="1"/>
                <c:pt idx="0">
                  <c:v>Executado</c:v>
                </c:pt>
              </c:strCache>
            </c:strRef>
          </c:tx>
          <c:spPr>
            <a:solidFill>
              <a:srgbClr val="01BD6B"/>
            </a:solidFill>
            <a:ln>
              <a:noFill/>
            </a:ln>
            <a:effectLst/>
          </c:spPr>
          <c:invertIfNegative val="0"/>
          <c:cat>
            <c:strRef>
              <c:f>'Tabelas dinâmicas'!$A$9:$A$11</c:f>
              <c:strCache>
                <c:ptCount val="3"/>
                <c:pt idx="0">
                  <c:v>Deslocamento </c:v>
                </c:pt>
                <c:pt idx="1">
                  <c:v>Serviço </c:v>
                </c:pt>
                <c:pt idx="2">
                  <c:v>Contrato</c:v>
                </c:pt>
              </c:strCache>
            </c:strRef>
          </c:cat>
          <c:val>
            <c:numRef>
              <c:f>'Tabelas dinâmicas'!$C$9:$C$11</c:f>
              <c:numCache>
                <c:formatCode>_("R$"* #,##0.00_);_("R$"* \(#,##0.00\);_("R$"* "-"??_);_(@_)</c:formatCode>
                <c:ptCount val="3"/>
                <c:pt idx="0">
                  <c:v>90908.820000000022</c:v>
                </c:pt>
                <c:pt idx="1">
                  <c:v>127859.53000000001</c:v>
                </c:pt>
                <c:pt idx="2">
                  <c:v>218768.35000000003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D-4192-A6EE-423B69CB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2411375"/>
        <c:axId val="1272408463"/>
      </c:barChart>
      <c:catAx>
        <c:axId val="1272411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45A88"/>
                </a:solidFill>
                <a:latin typeface="Arial Narrow" panose="020B0606020202030204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1272408463"/>
        <c:crosses val="autoZero"/>
        <c:auto val="1"/>
        <c:lblAlgn val="ctr"/>
        <c:lblOffset val="100"/>
        <c:noMultiLvlLbl val="0"/>
      </c:catAx>
      <c:valAx>
        <c:axId val="1272408463"/>
        <c:scaling>
          <c:orientation val="minMax"/>
          <c:max val="26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45A88"/>
                </a:solidFill>
                <a:latin typeface="Arial Narrow" panose="020B0606020202030204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12724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045A88"/>
          </a:solidFill>
          <a:latin typeface="Arial Narrow" panose="020B0606020202030204" pitchFamily="34" charset="0"/>
          <a:cs typeface="Segoe UI Semibold" panose="020B07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74906</xdr:colOff>
      <xdr:row>3</xdr:row>
      <xdr:rowOff>103189</xdr:rowOff>
    </xdr:from>
    <xdr:to>
      <xdr:col>10</xdr:col>
      <xdr:colOff>476249</xdr:colOff>
      <xdr:row>17</xdr:row>
      <xdr:rowOff>35719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ADBCA865-7139-A57D-E866-F31726C67303}"/>
            </a:ext>
          </a:extLst>
        </xdr:cNvPr>
        <xdr:cNvSpPr/>
      </xdr:nvSpPr>
      <xdr:spPr>
        <a:xfrm>
          <a:off x="74906" y="662265"/>
          <a:ext cx="6509767" cy="2541552"/>
        </a:xfrm>
        <a:prstGeom prst="roundRect">
          <a:avLst>
            <a:gd name="adj" fmla="val 1583"/>
          </a:avLst>
        </a:prstGeom>
        <a:solidFill>
          <a:srgbClr val="019DD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180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VISÃO</a:t>
          </a:r>
          <a:r>
            <a:rPr lang="pt-BR" sz="1800" baseline="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 GERAL</a:t>
          </a:r>
          <a:endParaRPr lang="pt-BR" sz="1800">
            <a:solidFill>
              <a:schemeClr val="bg1"/>
            </a:solidFill>
            <a:latin typeface="Arial Narrow" panose="020B0606020202030204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0</xdr:col>
      <xdr:colOff>68790</xdr:colOff>
      <xdr:row>0</xdr:row>
      <xdr:rowOff>65018</xdr:rowOff>
    </xdr:from>
    <xdr:to>
      <xdr:col>10</xdr:col>
      <xdr:colOff>465897</xdr:colOff>
      <xdr:row>3</xdr:row>
      <xdr:rowOff>26918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A0C8B04-39BC-77B7-AB1D-B2D6DC8BFD6D}"/>
            </a:ext>
          </a:extLst>
        </xdr:cNvPr>
        <xdr:cNvSpPr/>
      </xdr:nvSpPr>
      <xdr:spPr>
        <a:xfrm>
          <a:off x="68790" y="65018"/>
          <a:ext cx="6505531" cy="520976"/>
        </a:xfrm>
        <a:prstGeom prst="roundRect">
          <a:avLst>
            <a:gd name="adj" fmla="val 6454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 b="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INDICADORES FINANCEIROS </a:t>
          </a:r>
        </a:p>
      </xdr:txBody>
    </xdr:sp>
    <xdr:clientData/>
  </xdr:twoCellAnchor>
  <xdr:twoCellAnchor>
    <xdr:from>
      <xdr:col>3</xdr:col>
      <xdr:colOff>254001</xdr:colOff>
      <xdr:row>6</xdr:row>
      <xdr:rowOff>63499</xdr:rowOff>
    </xdr:from>
    <xdr:to>
      <xdr:col>9</xdr:col>
      <xdr:colOff>232833</xdr:colOff>
      <xdr:row>16</xdr:row>
      <xdr:rowOff>166686</xdr:rowOff>
    </xdr:to>
    <xdr:graphicFrame macro="">
      <xdr:nvGraphicFramePr>
        <xdr:cNvPr id="24" name="Gráfico 4">
          <a:extLst>
            <a:ext uri="{FF2B5EF4-FFF2-40B4-BE49-F238E27FC236}">
              <a16:creationId xmlns:a16="http://schemas.microsoft.com/office/drawing/2014/main" id="{AD13351C-1FC3-4D54-89D6-70BE137B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</xdr:colOff>
      <xdr:row>17</xdr:row>
      <xdr:rowOff>119061</xdr:rowOff>
    </xdr:from>
    <xdr:to>
      <xdr:col>21</xdr:col>
      <xdr:colOff>514616</xdr:colOff>
      <xdr:row>33</xdr:row>
      <xdr:rowOff>142874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59D73C6-017A-495F-AA2A-05368B23EFD7}"/>
            </a:ext>
          </a:extLst>
        </xdr:cNvPr>
        <xdr:cNvSpPr/>
      </xdr:nvSpPr>
      <xdr:spPr>
        <a:xfrm>
          <a:off x="71437" y="3357561"/>
          <a:ext cx="13194773" cy="3071813"/>
        </a:xfrm>
        <a:prstGeom prst="roundRect">
          <a:avLst>
            <a:gd name="adj" fmla="val 830"/>
          </a:avLst>
        </a:prstGeom>
        <a:solidFill>
          <a:srgbClr val="019DD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200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   </a:t>
          </a:r>
        </a:p>
        <a:p>
          <a:pPr marL="0" indent="0" algn="l"/>
          <a:r>
            <a:rPr lang="pt-BR" sz="200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ACUMULADO</a:t>
          </a:r>
          <a:r>
            <a:rPr lang="pt-BR" sz="2000" baseline="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 PREVISTO</a:t>
          </a:r>
          <a:endParaRPr lang="pt-BR" sz="2000">
            <a:solidFill>
              <a:schemeClr val="bg1"/>
            </a:solidFill>
            <a:latin typeface="Arial Narrow" panose="020B0606020202030204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10</xdr:col>
      <xdr:colOff>548724</xdr:colOff>
      <xdr:row>1</xdr:row>
      <xdr:rowOff>0</xdr:rowOff>
    </xdr:from>
    <xdr:to>
      <xdr:col>21</xdr:col>
      <xdr:colOff>511968</xdr:colOff>
      <xdr:row>17</xdr:row>
      <xdr:rowOff>23813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6292FE5C-774F-4187-B0C9-B63121ED00C5}"/>
            </a:ext>
          </a:extLst>
        </xdr:cNvPr>
        <xdr:cNvSpPr/>
      </xdr:nvSpPr>
      <xdr:spPr>
        <a:xfrm>
          <a:off x="6657148" y="186359"/>
          <a:ext cx="6682510" cy="3005552"/>
        </a:xfrm>
        <a:prstGeom prst="roundRect">
          <a:avLst>
            <a:gd name="adj" fmla="val 1583"/>
          </a:avLst>
        </a:prstGeom>
        <a:solidFill>
          <a:srgbClr val="019DD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    CONSUMO</a:t>
          </a:r>
          <a:r>
            <a:rPr lang="pt-BR" sz="1800" baseline="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 MENSAL</a:t>
          </a:r>
          <a:endParaRPr lang="pt-BR" sz="1800">
            <a:solidFill>
              <a:schemeClr val="bg1"/>
            </a:solidFill>
            <a:latin typeface="Arial Narrow" panose="020B0606020202030204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11</xdr:col>
      <xdr:colOff>28765</xdr:colOff>
      <xdr:row>2</xdr:row>
      <xdr:rowOff>124930</xdr:rowOff>
    </xdr:from>
    <xdr:to>
      <xdr:col>21</xdr:col>
      <xdr:colOff>421085</xdr:colOff>
      <xdr:row>15</xdr:row>
      <xdr:rowOff>85244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0941E5-D0EB-4631-BE9B-03976B057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284917</xdr:colOff>
      <xdr:row>4</xdr:row>
      <xdr:rowOff>29106</xdr:rowOff>
    </xdr:from>
    <xdr:to>
      <xdr:col>9</xdr:col>
      <xdr:colOff>201917</xdr:colOff>
      <xdr:row>6</xdr:row>
      <xdr:rowOff>80106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Item">
              <a:extLst>
                <a:ext uri="{FF2B5EF4-FFF2-40B4-BE49-F238E27FC236}">
                  <a16:creationId xmlns:a16="http://schemas.microsoft.com/office/drawing/2014/main" id="{1234BFB3-61E0-4828-8CC3-D300CBF8CA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7444" y="774541"/>
              <a:ext cx="3582055" cy="423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388948</xdr:colOff>
      <xdr:row>18</xdr:row>
      <xdr:rowOff>11905</xdr:rowOff>
    </xdr:from>
    <xdr:to>
      <xdr:col>16</xdr:col>
      <xdr:colOff>115090</xdr:colOff>
      <xdr:row>33</xdr:row>
      <xdr:rowOff>64292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2C522EA-B43B-4F43-A2BC-54E916263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290828</xdr:colOff>
      <xdr:row>18</xdr:row>
      <xdr:rowOff>148167</xdr:rowOff>
    </xdr:from>
    <xdr:to>
      <xdr:col>18</xdr:col>
      <xdr:colOff>570952</xdr:colOff>
      <xdr:row>21</xdr:row>
      <xdr:rowOff>137584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F58A19C-F8E9-F528-3E7A-D212996349E0}"/>
            </a:ext>
          </a:extLst>
        </xdr:cNvPr>
        <xdr:cNvSpPr/>
      </xdr:nvSpPr>
      <xdr:spPr>
        <a:xfrm>
          <a:off x="10112161" y="3577167"/>
          <a:ext cx="1507791" cy="560917"/>
        </a:xfrm>
        <a:prstGeom prst="roundRect">
          <a:avLst>
            <a:gd name="adj" fmla="val 15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400">
              <a:latin typeface="Arial Narrow" panose="020B0606020202030204" pitchFamily="34" charset="0"/>
            </a:rPr>
            <a:t>PREVISÃO</a:t>
          </a:r>
          <a:r>
            <a:rPr lang="pt-BR" sz="1400" baseline="0">
              <a:latin typeface="Arial Narrow" panose="020B0606020202030204" pitchFamily="34" charset="0"/>
            </a:rPr>
            <a:t> DE GASTO TOTAL</a:t>
          </a:r>
          <a:endParaRPr lang="pt-BR" sz="1400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16</xdr:col>
      <xdr:colOff>289978</xdr:colOff>
      <xdr:row>24</xdr:row>
      <xdr:rowOff>14817</xdr:rowOff>
    </xdr:from>
    <xdr:to>
      <xdr:col>18</xdr:col>
      <xdr:colOff>571494</xdr:colOff>
      <xdr:row>27</xdr:row>
      <xdr:rowOff>4234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221F86E-FE7A-48E7-BE38-17CB41EE3D1F}"/>
            </a:ext>
          </a:extLst>
        </xdr:cNvPr>
        <xdr:cNvSpPr/>
      </xdr:nvSpPr>
      <xdr:spPr>
        <a:xfrm>
          <a:off x="10111311" y="4586817"/>
          <a:ext cx="1509183" cy="560917"/>
        </a:xfrm>
        <a:prstGeom prst="roundRect">
          <a:avLst>
            <a:gd name="adj" fmla="val 5346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400">
              <a:latin typeface="Arial Narrow" panose="020B0606020202030204" pitchFamily="34" charset="0"/>
            </a:rPr>
            <a:t>A REALIZAR</a:t>
          </a:r>
        </a:p>
      </xdr:txBody>
    </xdr:sp>
    <xdr:clientData/>
  </xdr:twoCellAnchor>
  <xdr:twoCellAnchor>
    <xdr:from>
      <xdr:col>16</xdr:col>
      <xdr:colOff>289978</xdr:colOff>
      <xdr:row>29</xdr:row>
      <xdr:rowOff>71966</xdr:rowOff>
    </xdr:from>
    <xdr:to>
      <xdr:col>18</xdr:col>
      <xdr:colOff>571494</xdr:colOff>
      <xdr:row>32</xdr:row>
      <xdr:rowOff>61383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CAAC73EB-373F-4856-B1FD-CD8E5790E465}"/>
            </a:ext>
          </a:extLst>
        </xdr:cNvPr>
        <xdr:cNvSpPr/>
      </xdr:nvSpPr>
      <xdr:spPr>
        <a:xfrm>
          <a:off x="10111311" y="5596466"/>
          <a:ext cx="1509183" cy="560917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400">
              <a:latin typeface="Arial Narrow" panose="020B0606020202030204" pitchFamily="34" charset="0"/>
            </a:rPr>
            <a:t>PREVISÃO</a:t>
          </a:r>
          <a:r>
            <a:rPr lang="pt-BR" sz="1400" baseline="0">
              <a:latin typeface="Arial Narrow" panose="020B0606020202030204" pitchFamily="34" charset="0"/>
            </a:rPr>
            <a:t> DE SALDO</a:t>
          </a:r>
          <a:endParaRPr lang="pt-BR" sz="1400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19</xdr:col>
      <xdr:colOff>95943</xdr:colOff>
      <xdr:row>18</xdr:row>
      <xdr:rowOff>141817</xdr:rowOff>
    </xdr:from>
    <xdr:to>
      <xdr:col>21</xdr:col>
      <xdr:colOff>369722</xdr:colOff>
      <xdr:row>21</xdr:row>
      <xdr:rowOff>131234</xdr:rowOff>
    </xdr:to>
    <xdr:sp macro="" textlink="'Tabelas dinâmicas'!P4">
      <xdr:nvSpPr>
        <xdr:cNvPr id="9" name="Retângulo: Cantos Arredondados 8">
          <a:extLst>
            <a:ext uri="{FF2B5EF4-FFF2-40B4-BE49-F238E27FC236}">
              <a16:creationId xmlns:a16="http://schemas.microsoft.com/office/drawing/2014/main" id="{3A63C88E-2B34-4E94-9DE3-37ADAA856D25}"/>
            </a:ext>
          </a:extLst>
        </xdr:cNvPr>
        <xdr:cNvSpPr/>
      </xdr:nvSpPr>
      <xdr:spPr>
        <a:xfrm>
          <a:off x="11758776" y="3570817"/>
          <a:ext cx="1501446" cy="560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17309FD-CD1B-4639-A674-FDFF14FAD8E8}" type="TxLink">
            <a:rPr lang="en-US" sz="1400" b="0" i="0" u="none" strike="noStrike">
              <a:solidFill>
                <a:schemeClr val="bg1"/>
              </a:solidFill>
              <a:latin typeface="Arial Narrow" panose="020B0606020202030204" pitchFamily="34" charset="0"/>
              <a:ea typeface="+mn-ea"/>
              <a:cs typeface="Calibri"/>
            </a:rPr>
            <a:pPr marL="0" indent="0" algn="ctr"/>
            <a:t> R$ 262.081,41 </a:t>
          </a:fld>
          <a:endParaRPr lang="pt-BR" sz="1400" b="0" i="0" u="none" strike="noStrike">
            <a:solidFill>
              <a:schemeClr val="bg1"/>
            </a:solidFill>
            <a:latin typeface="Arial Narrow" panose="020B060602020203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94903</xdr:colOff>
      <xdr:row>24</xdr:row>
      <xdr:rowOff>8467</xdr:rowOff>
    </xdr:from>
    <xdr:to>
      <xdr:col>21</xdr:col>
      <xdr:colOff>370068</xdr:colOff>
      <xdr:row>26</xdr:row>
      <xdr:rowOff>188384</xdr:rowOff>
    </xdr:to>
    <xdr:sp macro="" textlink="'Tabelas dinâmicas'!Q4">
      <xdr:nvSpPr>
        <xdr:cNvPr id="10" name="Retângulo: Cantos Arredondados 9">
          <a:extLst>
            <a:ext uri="{FF2B5EF4-FFF2-40B4-BE49-F238E27FC236}">
              <a16:creationId xmlns:a16="http://schemas.microsoft.com/office/drawing/2014/main" id="{272508AF-4325-4D49-A2EF-9C7F506510A6}"/>
            </a:ext>
          </a:extLst>
        </xdr:cNvPr>
        <xdr:cNvSpPr/>
      </xdr:nvSpPr>
      <xdr:spPr>
        <a:xfrm>
          <a:off x="11757736" y="4580467"/>
          <a:ext cx="1502832" cy="560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74892F3D-8C49-41E4-8510-1F839DDF58A6}" type="TxLink">
            <a:rPr lang="en-US" sz="1400" b="0" i="0" u="none" strike="noStrike">
              <a:solidFill>
                <a:schemeClr val="bg1"/>
              </a:solidFill>
              <a:latin typeface="Arial Narrow" panose="020B0606020202030204" pitchFamily="34" charset="0"/>
              <a:ea typeface="+mn-ea"/>
              <a:cs typeface="Calibri"/>
            </a:rPr>
            <a:pPr marL="0" indent="0" algn="ctr"/>
            <a:t> R$ 43.313,06 </a:t>
          </a:fld>
          <a:endParaRPr lang="pt-BR" sz="1400" b="0" i="0" u="none" strike="noStrike">
            <a:solidFill>
              <a:schemeClr val="bg1"/>
            </a:solidFill>
            <a:latin typeface="Arial Narrow" panose="020B060602020203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95250</xdr:colOff>
      <xdr:row>29</xdr:row>
      <xdr:rowOff>65616</xdr:rowOff>
    </xdr:from>
    <xdr:to>
      <xdr:col>21</xdr:col>
      <xdr:colOff>370415</xdr:colOff>
      <xdr:row>32</xdr:row>
      <xdr:rowOff>55033</xdr:rowOff>
    </xdr:to>
    <xdr:sp macro="" textlink="'Tabelas dinâmicas'!R4">
      <xdr:nvSpPr>
        <xdr:cNvPr id="11" name="Retângulo: Cantos Arredondados 10">
          <a:extLst>
            <a:ext uri="{FF2B5EF4-FFF2-40B4-BE49-F238E27FC236}">
              <a16:creationId xmlns:a16="http://schemas.microsoft.com/office/drawing/2014/main" id="{8890B4B6-71D7-41C3-B928-9ED2E5761B39}"/>
            </a:ext>
          </a:extLst>
        </xdr:cNvPr>
        <xdr:cNvSpPr/>
      </xdr:nvSpPr>
      <xdr:spPr>
        <a:xfrm>
          <a:off x="11758083" y="5590116"/>
          <a:ext cx="1502832" cy="560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0D49617-76B1-4945-ADF6-052D983A0486}" type="TxLink">
            <a:rPr lang="en-US" sz="1400" b="0" i="0" u="none" strike="noStrike">
              <a:solidFill>
                <a:schemeClr val="bg1"/>
              </a:solidFill>
              <a:latin typeface="Arial Narrow" panose="020B0606020202030204" pitchFamily="34" charset="0"/>
              <a:cs typeface="Calibri"/>
            </a:rPr>
            <a:pPr algn="ctr"/>
            <a:t>-R$ 21.713,36 </a:t>
          </a:fld>
          <a:endParaRPr lang="pt-BR" sz="1800">
            <a:solidFill>
              <a:schemeClr val="bg1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19</xdr:col>
      <xdr:colOff>18143</xdr:colOff>
      <xdr:row>18</xdr:row>
      <xdr:rowOff>148167</xdr:rowOff>
    </xdr:from>
    <xdr:to>
      <xdr:col>19</xdr:col>
      <xdr:colOff>18143</xdr:colOff>
      <xdr:row>21</xdr:row>
      <xdr:rowOff>137584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6572EC2E-7540-07AA-C1A1-7DADC97C85D3}"/>
            </a:ext>
          </a:extLst>
        </xdr:cNvPr>
        <xdr:cNvCxnSpPr/>
      </xdr:nvCxnSpPr>
      <xdr:spPr>
        <a:xfrm>
          <a:off x="11680976" y="3577167"/>
          <a:ext cx="0" cy="560917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17984</xdr:colOff>
      <xdr:row>24</xdr:row>
      <xdr:rowOff>14817</xdr:rowOff>
    </xdr:from>
    <xdr:to>
      <xdr:col>19</xdr:col>
      <xdr:colOff>17984</xdr:colOff>
      <xdr:row>27</xdr:row>
      <xdr:rowOff>4234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DA539BCB-313E-D33E-41BE-289B937A4ACF}"/>
            </a:ext>
          </a:extLst>
        </xdr:cNvPr>
        <xdr:cNvCxnSpPr/>
      </xdr:nvCxnSpPr>
      <xdr:spPr>
        <a:xfrm>
          <a:off x="11680817" y="4586817"/>
          <a:ext cx="0" cy="560917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17983</xdr:colOff>
      <xdr:row>29</xdr:row>
      <xdr:rowOff>71966</xdr:rowOff>
    </xdr:from>
    <xdr:to>
      <xdr:col>19</xdr:col>
      <xdr:colOff>17983</xdr:colOff>
      <xdr:row>32</xdr:row>
      <xdr:rowOff>61383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FCB781E0-663B-8F55-80B7-75F941F54A27}"/>
            </a:ext>
          </a:extLst>
        </xdr:cNvPr>
        <xdr:cNvCxnSpPr/>
      </xdr:nvCxnSpPr>
      <xdr:spPr>
        <a:xfrm>
          <a:off x="11680816" y="5596466"/>
          <a:ext cx="0" cy="560917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395304</xdr:colOff>
      <xdr:row>4</xdr:row>
      <xdr:rowOff>134936</xdr:rowOff>
    </xdr:from>
    <xdr:to>
      <xdr:col>2</xdr:col>
      <xdr:colOff>395304</xdr:colOff>
      <xdr:row>16</xdr:row>
      <xdr:rowOff>44936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E4BE2CD2-35CC-505C-EB63-4C138382834F}"/>
            </a:ext>
          </a:extLst>
        </xdr:cNvPr>
        <xdr:cNvCxnSpPr/>
      </xdr:nvCxnSpPr>
      <xdr:spPr>
        <a:xfrm>
          <a:off x="1622971" y="896936"/>
          <a:ext cx="0" cy="21960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271867</xdr:colOff>
      <xdr:row>18</xdr:row>
      <xdr:rowOff>44848</xdr:rowOff>
    </xdr:from>
    <xdr:to>
      <xdr:col>4</xdr:col>
      <xdr:colOff>271867</xdr:colOff>
      <xdr:row>33</xdr:row>
      <xdr:rowOff>31348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086A648E-A0E3-9E74-40DF-3420FCCF0D78}"/>
            </a:ext>
          </a:extLst>
        </xdr:cNvPr>
        <xdr:cNvCxnSpPr/>
      </xdr:nvCxnSpPr>
      <xdr:spPr>
        <a:xfrm>
          <a:off x="2727200" y="3473848"/>
          <a:ext cx="0" cy="28440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28</xdr:row>
      <xdr:rowOff>171450</xdr:rowOff>
    </xdr:from>
    <xdr:to>
      <xdr:col>7</xdr:col>
      <xdr:colOff>359228</xdr:colOff>
      <xdr:row>40</xdr:row>
      <xdr:rowOff>150017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15228C37-239D-494C-A9FD-9F62CEDFB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rnalitica.sharepoint.com/sites/Suez-Calibraes/Documentos%20Compartilhados/General/Controle%20de%20calibra&#231;&#245;es%20-%202022-2023.xlsx" TargetMode="External"/><Relationship Id="rId1" Type="http://schemas.openxmlformats.org/officeDocument/2006/relationships/externalLinkPath" Target="/sites/Suez-Calibraes/Documentos%20Compartilhados/General/Controle%20de%20calibra&#231;&#245;es%20-%20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NCO DE DADOS - KPIS"/>
      <sheetName val="KPI'S"/>
      <sheetName val="Controle de Equipamentos "/>
      <sheetName val="Obs. Técnicas - 22-23"/>
      <sheetName val="Controle-Pipetas e micropipetas"/>
      <sheetName val="Obs. Técnicas - 21"/>
      <sheetName val="Não encontrado"/>
      <sheetName val="Adicionados "/>
      <sheetName val="Desativados "/>
      <sheetName val="Distritos"/>
      <sheetName val="Planilha1"/>
      <sheetName val="Controle de calibrações - 2022-"/>
    </sheetNames>
    <sheetDataSet>
      <sheetData sheetId="0"/>
      <sheetData sheetId="1"/>
      <sheetData sheetId="2">
        <row r="1">
          <cell r="I1" t="str">
            <v>Equipamento</v>
          </cell>
          <cell r="M1" t="str">
            <v>City</v>
          </cell>
          <cell r="N1" t="str">
            <v>Customer</v>
          </cell>
          <cell r="O1" t="str">
            <v>Coluna2</v>
          </cell>
          <cell r="P1" t="str">
            <v>form</v>
          </cell>
          <cell r="Q1" t="str">
            <v>Calibration Date</v>
          </cell>
          <cell r="R1" t="str">
            <v>Status</v>
          </cell>
          <cell r="S1" t="str">
            <v>Certificate</v>
          </cell>
          <cell r="T1" t="str">
            <v>Vendor</v>
          </cell>
          <cell r="U1" t="str">
            <v>Obs.</v>
          </cell>
          <cell r="V1" t="str">
            <v>STATUS2</v>
          </cell>
          <cell r="W1" t="str">
            <v>Executado</v>
          </cell>
          <cell r="X1" t="str">
            <v>Previsto</v>
          </cell>
        </row>
        <row r="2">
          <cell r="I2" t="str">
            <v>Reator DQO</v>
          </cell>
          <cell r="M2" t="str">
            <v>Maceió-AL</v>
          </cell>
          <cell r="N2" t="str">
            <v>no fixed customer (carried by owner)</v>
          </cell>
          <cell r="O2">
            <v>44078</v>
          </cell>
          <cell r="P2">
            <v>44447</v>
          </cell>
          <cell r="Q2">
            <v>44830</v>
          </cell>
          <cell r="R2" t="str">
            <v>Calibrado</v>
          </cell>
          <cell r="S2">
            <v>18228</v>
          </cell>
          <cell r="T2" t="str">
            <v>ER ANALITICA</v>
          </cell>
          <cell r="U2">
            <v>0</v>
          </cell>
          <cell r="V2" t="str">
            <v>REALIZADO</v>
          </cell>
          <cell r="W2">
            <v>9</v>
          </cell>
        </row>
        <row r="3">
          <cell r="I3" t="str">
            <v>Colorímetro</v>
          </cell>
          <cell r="M3" t="str">
            <v>Maceió-AL</v>
          </cell>
          <cell r="N3" t="str">
            <v>no fixed customer (carried by owner)</v>
          </cell>
          <cell r="O3">
            <v>44079</v>
          </cell>
          <cell r="P3">
            <v>44447</v>
          </cell>
          <cell r="Q3">
            <v>44830</v>
          </cell>
          <cell r="R3" t="str">
            <v>Calibrado</v>
          </cell>
          <cell r="S3">
            <v>18229</v>
          </cell>
          <cell r="T3" t="str">
            <v>ER ANALITICA</v>
          </cell>
          <cell r="U3" t="str">
            <v>Membrana do teclado deteriorada, recomendamos substituição.</v>
          </cell>
          <cell r="V3" t="str">
            <v>REALIZADO</v>
          </cell>
          <cell r="W3">
            <v>9</v>
          </cell>
        </row>
        <row r="4">
          <cell r="I4" t="str">
            <v>Condutivímetro</v>
          </cell>
          <cell r="M4" t="str">
            <v>Maceió-AL</v>
          </cell>
          <cell r="N4" t="str">
            <v>no fixed customer (carried by owner)</v>
          </cell>
          <cell r="O4">
            <v>44080</v>
          </cell>
          <cell r="P4">
            <v>44447</v>
          </cell>
          <cell r="Q4">
            <v>44830</v>
          </cell>
          <cell r="R4" t="str">
            <v>Calibrado</v>
          </cell>
          <cell r="S4">
            <v>18230</v>
          </cell>
          <cell r="T4" t="str">
            <v>ER ANALITICA</v>
          </cell>
          <cell r="U4">
            <v>0</v>
          </cell>
          <cell r="V4" t="str">
            <v>REALIZADO</v>
          </cell>
          <cell r="W4">
            <v>9</v>
          </cell>
          <cell r="X4">
            <v>5</v>
          </cell>
        </row>
        <row r="5">
          <cell r="I5" t="str">
            <v>pHmetro</v>
          </cell>
          <cell r="M5" t="str">
            <v>Maceió-AL</v>
          </cell>
          <cell r="N5" t="str">
            <v>no fixed customer (carried by owner)</v>
          </cell>
          <cell r="O5">
            <v>44081</v>
          </cell>
          <cell r="P5">
            <v>44447</v>
          </cell>
          <cell r="Q5">
            <v>44830</v>
          </cell>
          <cell r="R5" t="str">
            <v>Calibrado</v>
          </cell>
          <cell r="S5">
            <v>18231</v>
          </cell>
          <cell r="T5" t="str">
            <v>ER ANALITICA</v>
          </cell>
          <cell r="U5">
            <v>0</v>
          </cell>
          <cell r="V5" t="str">
            <v>REALIZADO</v>
          </cell>
          <cell r="W5">
            <v>9</v>
          </cell>
        </row>
        <row r="6">
          <cell r="I6" t="str">
            <v>Turbidímetro</v>
          </cell>
          <cell r="M6" t="str">
            <v>Maceió-AL</v>
          </cell>
          <cell r="N6" t="str">
            <v>no fixed customer (carried by owner)</v>
          </cell>
          <cell r="O6">
            <v>44082</v>
          </cell>
          <cell r="P6">
            <v>44557</v>
          </cell>
          <cell r="Q6">
            <v>44830</v>
          </cell>
          <cell r="R6" t="str">
            <v>Calibrado</v>
          </cell>
          <cell r="S6">
            <v>18232</v>
          </cell>
          <cell r="T6" t="str">
            <v>ER ANALITICA</v>
          </cell>
          <cell r="U6" t="str">
            <v>Identificamos possível derramamento de amostra no interior do instrumento, o mesmo apresenta avarias no conversor analógico/digital, responsável por leituras &lt;10 NTU, necessário envio à ER Analítica para avaliação. Liberado com restrição</v>
          </cell>
          <cell r="V6" t="str">
            <v>REALIZADO</v>
          </cell>
          <cell r="W6">
            <v>9</v>
          </cell>
          <cell r="X6">
            <v>4</v>
          </cell>
        </row>
        <row r="7">
          <cell r="I7" t="str">
            <v>pHmetro</v>
          </cell>
          <cell r="M7" t="str">
            <v>Manaus-AM</v>
          </cell>
          <cell r="N7" t="str">
            <v>Wartsila</v>
          </cell>
          <cell r="Q7">
            <v>44894</v>
          </cell>
          <cell r="R7" t="str">
            <v>Calibrado</v>
          </cell>
          <cell r="S7">
            <v>18983</v>
          </cell>
          <cell r="T7" t="str">
            <v>ER ANALITICA</v>
          </cell>
          <cell r="U7">
            <v>0</v>
          </cell>
          <cell r="V7" t="str">
            <v>REALIZADO</v>
          </cell>
          <cell r="W7">
            <v>11</v>
          </cell>
        </row>
        <row r="8">
          <cell r="I8" t="str">
            <v>Espectrofotômetro</v>
          </cell>
          <cell r="M8" t="str">
            <v>Manaus-AM</v>
          </cell>
          <cell r="N8" t="str">
            <v>Wartsila</v>
          </cell>
          <cell r="O8">
            <v>44084</v>
          </cell>
          <cell r="P8">
            <v>44455</v>
          </cell>
          <cell r="Q8">
            <v>44894</v>
          </cell>
          <cell r="R8" t="str">
            <v>Calibrado</v>
          </cell>
          <cell r="S8">
            <v>18990</v>
          </cell>
          <cell r="T8" t="str">
            <v>ER ANALITICA</v>
          </cell>
          <cell r="U8" t="str">
            <v>Display apresenta vida útil extremamente avançada, compatimento da cubeta danificado, filtro óptico azul (quadrado) oxidado e bateria de lítio resposável pelo armazenamento de dados sem carga.</v>
          </cell>
          <cell r="V8" t="str">
            <v>REALIZADO</v>
          </cell>
          <cell r="W8">
            <v>11</v>
          </cell>
          <cell r="X8">
            <v>8</v>
          </cell>
        </row>
        <row r="9">
          <cell r="I9" t="str">
            <v>pHmetro</v>
          </cell>
          <cell r="M9" t="str">
            <v>Manaus-AM</v>
          </cell>
          <cell r="N9" t="str">
            <v>Wartsila</v>
          </cell>
          <cell r="P9">
            <v>44455</v>
          </cell>
          <cell r="Q9">
            <v>44894</v>
          </cell>
          <cell r="R9" t="str">
            <v>Calibrado</v>
          </cell>
          <cell r="S9">
            <v>18984</v>
          </cell>
          <cell r="T9" t="str">
            <v>ER ANALITICA</v>
          </cell>
          <cell r="U9" t="str">
            <v>Eletrodo avariado.</v>
          </cell>
          <cell r="V9" t="str">
            <v>REALIZADO</v>
          </cell>
          <cell r="W9">
            <v>11</v>
          </cell>
          <cell r="X9">
            <v>8</v>
          </cell>
        </row>
        <row r="10">
          <cell r="I10" t="str">
            <v>Condutivímetro</v>
          </cell>
          <cell r="M10" t="str">
            <v>Manaus-AM</v>
          </cell>
          <cell r="N10" t="str">
            <v>Wartsila</v>
          </cell>
          <cell r="Q10">
            <v>44894</v>
          </cell>
          <cell r="R10" t="str">
            <v>Calibrado</v>
          </cell>
          <cell r="S10">
            <v>18991</v>
          </cell>
          <cell r="T10" t="str">
            <v>ER ANALITICA</v>
          </cell>
          <cell r="U10">
            <v>0</v>
          </cell>
          <cell r="V10" t="str">
            <v>REALIZADO</v>
          </cell>
          <cell r="W10">
            <v>11</v>
          </cell>
          <cell r="X10">
            <v>8</v>
          </cell>
        </row>
        <row r="11">
          <cell r="I11" t="str">
            <v>Condutivímetro</v>
          </cell>
          <cell r="M11" t="str">
            <v>Manaus-AM</v>
          </cell>
          <cell r="N11" t="str">
            <v>Wartsila</v>
          </cell>
          <cell r="P11">
            <v>0</v>
          </cell>
          <cell r="Q11">
            <v>44894</v>
          </cell>
          <cell r="R11" t="str">
            <v>Calibrado</v>
          </cell>
          <cell r="S11">
            <v>18985</v>
          </cell>
          <cell r="T11" t="str">
            <v>ER ANALITICA</v>
          </cell>
          <cell r="U11">
            <v>0</v>
          </cell>
          <cell r="V11" t="str">
            <v>REALIZADO</v>
          </cell>
          <cell r="W11">
            <v>11</v>
          </cell>
        </row>
        <row r="12">
          <cell r="I12" t="str">
            <v>pHmetro</v>
          </cell>
          <cell r="M12" t="str">
            <v>Manaus-AM</v>
          </cell>
          <cell r="N12" t="str">
            <v>Wartsila</v>
          </cell>
          <cell r="P12">
            <v>0</v>
          </cell>
          <cell r="Q12">
            <v>44894</v>
          </cell>
          <cell r="R12" t="str">
            <v>Calibrado</v>
          </cell>
          <cell r="S12">
            <v>18989</v>
          </cell>
          <cell r="T12" t="str">
            <v>ER ANALITICA</v>
          </cell>
          <cell r="U12">
            <v>0</v>
          </cell>
          <cell r="V12" t="str">
            <v>REALIZADO</v>
          </cell>
          <cell r="W12">
            <v>11</v>
          </cell>
        </row>
        <row r="13">
          <cell r="I13" t="str">
            <v>Balança Analítica</v>
          </cell>
          <cell r="M13" t="str">
            <v>Camaçari-BA</v>
          </cell>
          <cell r="N13" t="str">
            <v>Braskem Q1 Bahia ( Unib)</v>
          </cell>
          <cell r="O13">
            <v>44069</v>
          </cell>
          <cell r="P13">
            <v>44459</v>
          </cell>
          <cell r="Q13">
            <v>44833</v>
          </cell>
          <cell r="R13" t="str">
            <v>Calibrado</v>
          </cell>
          <cell r="S13">
            <v>18246</v>
          </cell>
          <cell r="T13" t="str">
            <v>ER ANALITICA</v>
          </cell>
          <cell r="U13">
            <v>0</v>
          </cell>
          <cell r="V13" t="str">
            <v>REALIZADO</v>
          </cell>
          <cell r="W13">
            <v>9</v>
          </cell>
          <cell r="X13">
            <v>6</v>
          </cell>
        </row>
        <row r="14">
          <cell r="I14" t="str">
            <v>Condutivímetro</v>
          </cell>
          <cell r="M14" t="str">
            <v>Camaçari-BA</v>
          </cell>
          <cell r="N14" t="str">
            <v>Braskem Q1 Bahia ( Unib)</v>
          </cell>
          <cell r="O14">
            <v>44069</v>
          </cell>
          <cell r="P14">
            <v>44459</v>
          </cell>
          <cell r="Q14">
            <v>44833</v>
          </cell>
          <cell r="R14" t="str">
            <v>Calibrado</v>
          </cell>
          <cell r="S14">
            <v>18247</v>
          </cell>
          <cell r="T14" t="str">
            <v>ER ANALITICA</v>
          </cell>
          <cell r="U14" t="str">
            <v>Display do instrumento apresenta falhas devido vida útil avançada.</v>
          </cell>
          <cell r="V14" t="str">
            <v>REALIZADO</v>
          </cell>
          <cell r="W14">
            <v>9</v>
          </cell>
          <cell r="X14">
            <v>6</v>
          </cell>
        </row>
        <row r="15">
          <cell r="I15" t="str">
            <v>Condutivímetro</v>
          </cell>
          <cell r="M15" t="str">
            <v>Camaçari-BA</v>
          </cell>
          <cell r="N15" t="str">
            <v>Braskem Q1 Bahia ( Unib)</v>
          </cell>
          <cell r="O15">
            <v>44069</v>
          </cell>
          <cell r="P15">
            <v>44459</v>
          </cell>
          <cell r="Q15">
            <v>44833</v>
          </cell>
          <cell r="R15" t="str">
            <v>Calibrado</v>
          </cell>
          <cell r="S15">
            <v>18248</v>
          </cell>
          <cell r="T15" t="str">
            <v>ER ANALITICA</v>
          </cell>
          <cell r="U15">
            <v>0</v>
          </cell>
          <cell r="V15" t="str">
            <v>REALIZADO</v>
          </cell>
          <cell r="W15">
            <v>9</v>
          </cell>
          <cell r="X15">
            <v>6</v>
          </cell>
        </row>
        <row r="16">
          <cell r="I16" t="str">
            <v>pHmetro</v>
          </cell>
          <cell r="M16" t="str">
            <v>Camaçari-BA</v>
          </cell>
          <cell r="N16" t="str">
            <v>Braskem Q1 Bahia ( Unib)</v>
          </cell>
          <cell r="O16">
            <v>44069</v>
          </cell>
          <cell r="P16">
            <v>44459</v>
          </cell>
          <cell r="Q16">
            <v>44833</v>
          </cell>
          <cell r="R16" t="str">
            <v>Calibrado</v>
          </cell>
          <cell r="S16">
            <v>18249</v>
          </cell>
          <cell r="T16" t="str">
            <v>ER ANALITICA</v>
          </cell>
          <cell r="U16" t="str">
            <v>Contatos de pilhas do instrumento estão oxidados.</v>
          </cell>
          <cell r="V16" t="str">
            <v>REALIZADO</v>
          </cell>
          <cell r="W16">
            <v>9</v>
          </cell>
          <cell r="X16">
            <v>6</v>
          </cell>
        </row>
        <row r="17">
          <cell r="I17" t="str">
            <v>pHmetro</v>
          </cell>
          <cell r="M17" t="str">
            <v>Camaçari-BA</v>
          </cell>
          <cell r="N17" t="str">
            <v>Braskem Q1 Bahia ( Unib)</v>
          </cell>
          <cell r="O17">
            <v>44069</v>
          </cell>
          <cell r="P17">
            <v>44459</v>
          </cell>
          <cell r="Q17">
            <v>44833</v>
          </cell>
          <cell r="R17" t="str">
            <v>Calibrado</v>
          </cell>
          <cell r="S17">
            <v>18250</v>
          </cell>
          <cell r="T17" t="str">
            <v>ER ANALITICA</v>
          </cell>
          <cell r="U17" t="str">
            <v>Eletrodo apresenta vida útil avançada (Slope 91%).</v>
          </cell>
          <cell r="V17" t="str">
            <v>REALIZADO</v>
          </cell>
          <cell r="W17">
            <v>9</v>
          </cell>
          <cell r="X17">
            <v>6</v>
          </cell>
        </row>
        <row r="18">
          <cell r="I18" t="str">
            <v>Turbidímetro</v>
          </cell>
          <cell r="M18" t="str">
            <v>Camaçari-BA</v>
          </cell>
          <cell r="N18" t="str">
            <v>Braskem Q1 Bahia ( Unib)</v>
          </cell>
          <cell r="O18">
            <v>44459</v>
          </cell>
          <cell r="P18">
            <v>44459</v>
          </cell>
          <cell r="Q18">
            <v>44833</v>
          </cell>
          <cell r="R18" t="str">
            <v>Calibrado</v>
          </cell>
          <cell r="S18">
            <v>18251</v>
          </cell>
          <cell r="T18" t="str">
            <v>ER ANALITICA</v>
          </cell>
          <cell r="U18" t="str">
            <v>Carcaça superior avariada em todas teclas.</v>
          </cell>
          <cell r="V18" t="str">
            <v>REALIZADO</v>
          </cell>
          <cell r="W18">
            <v>9</v>
          </cell>
          <cell r="X18">
            <v>5</v>
          </cell>
        </row>
        <row r="19">
          <cell r="I19" t="str">
            <v>Espectrofotômetro</v>
          </cell>
          <cell r="M19" t="str">
            <v>Camaçari-BA</v>
          </cell>
          <cell r="N19" t="str">
            <v>Braskem Q1 Bahia ( Unib)</v>
          </cell>
          <cell r="P19">
            <v>44459</v>
          </cell>
          <cell r="Q19">
            <v>44459</v>
          </cell>
          <cell r="R19" t="str">
            <v>Vencido</v>
          </cell>
          <cell r="S19">
            <v>13836</v>
          </cell>
          <cell r="T19" t="str">
            <v>ER ANALITICA</v>
          </cell>
          <cell r="U19" t="str">
            <v xml:space="preserve"> Equipamento demora para inicializar.</v>
          </cell>
          <cell r="V19" t="str">
            <v>CONSERTO INTERNO</v>
          </cell>
          <cell r="W19">
            <v>9</v>
          </cell>
          <cell r="X19">
            <v>5</v>
          </cell>
        </row>
        <row r="20">
          <cell r="I20" t="str">
            <v>pHmetro</v>
          </cell>
          <cell r="M20" t="str">
            <v>Camaçari-BA</v>
          </cell>
          <cell r="N20" t="str">
            <v>Braskem Q1 Bahia ( Unib)</v>
          </cell>
          <cell r="P20">
            <v>44459</v>
          </cell>
          <cell r="Q20">
            <v>44833</v>
          </cell>
          <cell r="R20" t="str">
            <v>Calibrado</v>
          </cell>
          <cell r="S20">
            <v>18253</v>
          </cell>
          <cell r="T20" t="str">
            <v>ER ANALITICA</v>
          </cell>
          <cell r="U20">
            <v>0</v>
          </cell>
          <cell r="V20" t="str">
            <v>REALIZADO</v>
          </cell>
          <cell r="W20">
            <v>9</v>
          </cell>
          <cell r="X20">
            <v>5</v>
          </cell>
        </row>
        <row r="21">
          <cell r="I21" t="str">
            <v>Balança Analítica</v>
          </cell>
          <cell r="M21" t="str">
            <v>Camaçari-BA</v>
          </cell>
          <cell r="N21" t="str">
            <v>Unigel EDN</v>
          </cell>
          <cell r="O21">
            <v>44068</v>
          </cell>
          <cell r="P21">
            <v>44459</v>
          </cell>
          <cell r="Q21">
            <v>44832</v>
          </cell>
          <cell r="R21" t="str">
            <v>Calibrado</v>
          </cell>
          <cell r="S21">
            <v>18234</v>
          </cell>
          <cell r="T21" t="str">
            <v>ER ANALITICA</v>
          </cell>
          <cell r="U21">
            <v>0</v>
          </cell>
          <cell r="V21" t="str">
            <v>REALIZADO</v>
          </cell>
          <cell r="W21">
            <v>9</v>
          </cell>
          <cell r="X21">
            <v>5</v>
          </cell>
        </row>
        <row r="22">
          <cell r="I22" t="str">
            <v>pHmetro</v>
          </cell>
          <cell r="M22" t="str">
            <v>Camaçari-BA</v>
          </cell>
          <cell r="N22" t="str">
            <v>Unigel EDN</v>
          </cell>
          <cell r="O22">
            <v>44068</v>
          </cell>
          <cell r="P22">
            <v>44459</v>
          </cell>
          <cell r="Q22">
            <v>44832</v>
          </cell>
          <cell r="R22" t="str">
            <v>Calibrado</v>
          </cell>
          <cell r="S22">
            <v>18235</v>
          </cell>
          <cell r="T22" t="str">
            <v>ER ANALITICA</v>
          </cell>
          <cell r="U22">
            <v>0</v>
          </cell>
          <cell r="V22" t="str">
            <v>REALIZADO</v>
          </cell>
          <cell r="W22">
            <v>9</v>
          </cell>
          <cell r="X22">
            <v>5</v>
          </cell>
        </row>
        <row r="23">
          <cell r="I23" t="str">
            <v>Reator DQO</v>
          </cell>
          <cell r="M23" t="str">
            <v>Camaçari-BA</v>
          </cell>
          <cell r="N23" t="str">
            <v>Unigel EDN</v>
          </cell>
          <cell r="O23">
            <v>44068</v>
          </cell>
          <cell r="P23">
            <v>44459</v>
          </cell>
          <cell r="Q23">
            <v>44832</v>
          </cell>
          <cell r="R23" t="str">
            <v>Calibrado</v>
          </cell>
          <cell r="S23">
            <v>18236</v>
          </cell>
          <cell r="T23" t="str">
            <v>ER ANALITICA</v>
          </cell>
          <cell r="U23" t="str">
            <v>Manta térmica central do instrumento encontra-se avariada.</v>
          </cell>
          <cell r="V23" t="str">
            <v>REALIZADO</v>
          </cell>
          <cell r="W23">
            <v>9</v>
          </cell>
          <cell r="X23">
            <v>5</v>
          </cell>
        </row>
        <row r="24">
          <cell r="I24" t="str">
            <v>Turbidímetro</v>
          </cell>
          <cell r="M24" t="str">
            <v>Camaçari-BA</v>
          </cell>
          <cell r="N24" t="str">
            <v>Unigel EDN</v>
          </cell>
          <cell r="O24">
            <v>44068</v>
          </cell>
          <cell r="P24">
            <v>44459</v>
          </cell>
          <cell r="Q24">
            <v>44832</v>
          </cell>
          <cell r="R24" t="str">
            <v>Calibrado</v>
          </cell>
          <cell r="S24">
            <v>18237</v>
          </cell>
          <cell r="T24" t="str">
            <v>ER ANALITICA</v>
          </cell>
          <cell r="U24" t="str">
            <v>Carcaça superior avariada.</v>
          </cell>
          <cell r="V24" t="str">
            <v>REALIZADO</v>
          </cell>
          <cell r="W24">
            <v>9</v>
          </cell>
          <cell r="X24">
            <v>2</v>
          </cell>
        </row>
        <row r="25">
          <cell r="I25" t="str">
            <v>Espectrofotômetro</v>
          </cell>
          <cell r="M25" t="str">
            <v>Camaçari-BA</v>
          </cell>
          <cell r="N25" t="str">
            <v>Unigel EDN</v>
          </cell>
          <cell r="O25">
            <v>44068</v>
          </cell>
          <cell r="P25">
            <v>44459</v>
          </cell>
          <cell r="Q25">
            <v>44775</v>
          </cell>
          <cell r="R25" t="str">
            <v>Calibrado</v>
          </cell>
          <cell r="S25">
            <v>16642</v>
          </cell>
          <cell r="T25" t="str">
            <v>ER ANALITICA</v>
          </cell>
          <cell r="U25">
            <v>0</v>
          </cell>
          <cell r="V25" t="str">
            <v>REALIZADO</v>
          </cell>
          <cell r="W25">
            <v>8</v>
          </cell>
          <cell r="X25">
            <v>9</v>
          </cell>
        </row>
        <row r="26">
          <cell r="I26" t="str">
            <v>Condutivímetro</v>
          </cell>
          <cell r="M26" t="str">
            <v>Camaçari-BA</v>
          </cell>
          <cell r="N26" t="str">
            <v>Unigel EDN</v>
          </cell>
          <cell r="O26">
            <v>44069</v>
          </cell>
          <cell r="P26">
            <v>44459</v>
          </cell>
          <cell r="Q26">
            <v>44832</v>
          </cell>
          <cell r="R26" t="str">
            <v>Calibrado</v>
          </cell>
          <cell r="S26">
            <v>18238</v>
          </cell>
          <cell r="T26" t="str">
            <v>ER ANALITICA</v>
          </cell>
          <cell r="U26">
            <v>0</v>
          </cell>
          <cell r="V26" t="str">
            <v>REALIZADO</v>
          </cell>
          <cell r="W26">
            <v>9</v>
          </cell>
          <cell r="X26">
            <v>4</v>
          </cell>
        </row>
        <row r="27">
          <cell r="I27" t="str">
            <v>pHmetro</v>
          </cell>
          <cell r="M27" t="str">
            <v>Camaçari-BA</v>
          </cell>
          <cell r="N27" t="str">
            <v>Unigel EDN</v>
          </cell>
          <cell r="O27">
            <v>44069</v>
          </cell>
          <cell r="P27">
            <v>44459</v>
          </cell>
          <cell r="Q27">
            <v>44832</v>
          </cell>
          <cell r="R27" t="str">
            <v>Calibrado</v>
          </cell>
          <cell r="S27">
            <v>18239</v>
          </cell>
          <cell r="T27" t="str">
            <v>ER ANALITICA</v>
          </cell>
          <cell r="U27" t="str">
            <v>Eletrôdo apresenta lentidão nas leituras.</v>
          </cell>
          <cell r="V27" t="str">
            <v>REALIZADO</v>
          </cell>
          <cell r="W27">
            <v>9</v>
          </cell>
          <cell r="X27">
            <v>7</v>
          </cell>
        </row>
        <row r="28">
          <cell r="I28" t="str">
            <v>pHmetro</v>
          </cell>
          <cell r="M28" t="str">
            <v>Camaçari-BA</v>
          </cell>
          <cell r="N28" t="str">
            <v>Unigel EDN</v>
          </cell>
          <cell r="O28">
            <v>44069</v>
          </cell>
          <cell r="P28">
            <v>44459</v>
          </cell>
          <cell r="Q28">
            <v>44832</v>
          </cell>
          <cell r="R28" t="str">
            <v>Calibrado</v>
          </cell>
          <cell r="S28">
            <v>18240</v>
          </cell>
          <cell r="T28" t="str">
            <v>ER ANALITICA</v>
          </cell>
          <cell r="U28">
            <v>0</v>
          </cell>
          <cell r="V28" t="str">
            <v>REALIZADO</v>
          </cell>
          <cell r="W28">
            <v>9</v>
          </cell>
          <cell r="X28">
            <v>1</v>
          </cell>
        </row>
        <row r="29">
          <cell r="I29" t="str">
            <v>Colorímetro</v>
          </cell>
          <cell r="M29" t="str">
            <v>Camaçari-BA</v>
          </cell>
          <cell r="N29" t="str">
            <v>Unigel EDN</v>
          </cell>
          <cell r="P29">
            <v>44459</v>
          </cell>
          <cell r="Q29">
            <v>44832</v>
          </cell>
          <cell r="R29" t="str">
            <v>Calibrado</v>
          </cell>
          <cell r="S29">
            <v>18241</v>
          </cell>
          <cell r="T29" t="str">
            <v>ER ANALITICA</v>
          </cell>
          <cell r="U29">
            <v>0</v>
          </cell>
          <cell r="V29" t="str">
            <v>REALIZADO</v>
          </cell>
          <cell r="W29">
            <v>9</v>
          </cell>
          <cell r="X29">
            <v>1</v>
          </cell>
        </row>
        <row r="30">
          <cell r="I30" t="str">
            <v>Turbidímetro</v>
          </cell>
          <cell r="M30" t="str">
            <v>Camaçari-BA</v>
          </cell>
          <cell r="N30" t="str">
            <v>Unigel EDN</v>
          </cell>
          <cell r="P30">
            <v>44459</v>
          </cell>
          <cell r="Q30">
            <v>44832</v>
          </cell>
          <cell r="R30" t="str">
            <v>Calibrado</v>
          </cell>
          <cell r="S30">
            <v>18243</v>
          </cell>
          <cell r="T30" t="str">
            <v>ER ANALITICA</v>
          </cell>
          <cell r="U30">
            <v>0</v>
          </cell>
          <cell r="V30" t="str">
            <v>REALIZADO</v>
          </cell>
          <cell r="W30">
            <v>9</v>
          </cell>
          <cell r="X30">
            <v>1</v>
          </cell>
        </row>
        <row r="31">
          <cell r="I31" t="str">
            <v>Condutivímetro</v>
          </cell>
          <cell r="M31" t="str">
            <v>Camaçari-BA</v>
          </cell>
          <cell r="N31" t="str">
            <v>Unigel EDN</v>
          </cell>
          <cell r="P31">
            <v>44459</v>
          </cell>
          <cell r="Q31">
            <v>44832</v>
          </cell>
          <cell r="R31" t="str">
            <v>Calibrado</v>
          </cell>
          <cell r="S31">
            <v>18244</v>
          </cell>
          <cell r="T31" t="str">
            <v>ER ANALITICA</v>
          </cell>
          <cell r="U31">
            <v>0</v>
          </cell>
          <cell r="V31" t="str">
            <v>REALIZADO</v>
          </cell>
          <cell r="W31">
            <v>9</v>
          </cell>
          <cell r="X31">
            <v>7</v>
          </cell>
        </row>
        <row r="32">
          <cell r="I32" t="str">
            <v>Colorímetro</v>
          </cell>
          <cell r="M32" t="str">
            <v>Camaçari-BA</v>
          </cell>
          <cell r="N32" t="str">
            <v>Unigel EDN</v>
          </cell>
          <cell r="P32">
            <v>44459</v>
          </cell>
          <cell r="Q32">
            <v>44832</v>
          </cell>
          <cell r="R32" t="str">
            <v>Calibrado</v>
          </cell>
          <cell r="S32">
            <v>18242</v>
          </cell>
          <cell r="T32" t="str">
            <v>ER ANALITICA</v>
          </cell>
          <cell r="U32">
            <v>0</v>
          </cell>
          <cell r="V32" t="str">
            <v>REALIZADO</v>
          </cell>
          <cell r="W32">
            <v>9</v>
          </cell>
          <cell r="X32">
            <v>7</v>
          </cell>
        </row>
        <row r="33">
          <cell r="I33" t="str">
            <v>Colorímetro</v>
          </cell>
          <cell r="M33" t="str">
            <v>Ilheus -BA</v>
          </cell>
          <cell r="N33" t="str">
            <v>Barry Callebaut</v>
          </cell>
          <cell r="O33">
            <v>44194</v>
          </cell>
          <cell r="P33">
            <v>44462</v>
          </cell>
          <cell r="Q33">
            <v>44831</v>
          </cell>
          <cell r="R33" t="str">
            <v>Calibrado</v>
          </cell>
          <cell r="S33">
            <v>18220</v>
          </cell>
          <cell r="T33" t="str">
            <v>ER ANALITICA</v>
          </cell>
          <cell r="U33">
            <v>0</v>
          </cell>
          <cell r="V33" t="str">
            <v>REALIZADO</v>
          </cell>
          <cell r="W33">
            <v>9</v>
          </cell>
          <cell r="X33">
            <v>7</v>
          </cell>
        </row>
        <row r="34">
          <cell r="I34" t="str">
            <v>Condutivímetro</v>
          </cell>
          <cell r="M34" t="str">
            <v>Ilheus -BA</v>
          </cell>
          <cell r="N34" t="str">
            <v>Barry Callebaut</v>
          </cell>
          <cell r="O34">
            <v>44194</v>
          </cell>
          <cell r="P34">
            <v>44462</v>
          </cell>
          <cell r="Q34">
            <v>44832</v>
          </cell>
          <cell r="R34" t="str">
            <v>Calibrado</v>
          </cell>
          <cell r="S34">
            <v>18221</v>
          </cell>
          <cell r="T34" t="str">
            <v>ER ANALITICA</v>
          </cell>
          <cell r="U34">
            <v>0</v>
          </cell>
          <cell r="V34" t="str">
            <v>REALIZADO</v>
          </cell>
          <cell r="W34">
            <v>9</v>
          </cell>
          <cell r="X34">
            <v>7</v>
          </cell>
        </row>
        <row r="35">
          <cell r="I35" t="str">
            <v>Colorímetro</v>
          </cell>
          <cell r="M35" t="str">
            <v>Fortaleza-CE</v>
          </cell>
          <cell r="N35" t="str">
            <v>TBM</v>
          </cell>
          <cell r="O35">
            <v>44049</v>
          </cell>
          <cell r="P35">
            <v>44425</v>
          </cell>
          <cell r="Q35">
            <v>44783</v>
          </cell>
          <cell r="R35" t="str">
            <v>Calibrado</v>
          </cell>
          <cell r="S35">
            <v>17575</v>
          </cell>
          <cell r="T35" t="str">
            <v>ER ANALITICA</v>
          </cell>
          <cell r="U35">
            <v>0</v>
          </cell>
          <cell r="V35" t="str">
            <v>REALIZADO</v>
          </cell>
          <cell r="W35">
            <v>8</v>
          </cell>
          <cell r="X35">
            <v>11</v>
          </cell>
        </row>
        <row r="36">
          <cell r="I36" t="str">
            <v>pHmetro</v>
          </cell>
          <cell r="M36" t="str">
            <v>Fortaleza-CE</v>
          </cell>
          <cell r="N36" t="str">
            <v>TBM</v>
          </cell>
          <cell r="O36">
            <v>44049</v>
          </cell>
          <cell r="P36">
            <v>44425</v>
          </cell>
          <cell r="Q36">
            <v>44783</v>
          </cell>
          <cell r="R36" t="str">
            <v>Calibrado</v>
          </cell>
          <cell r="S36">
            <v>17576</v>
          </cell>
          <cell r="T36" t="str">
            <v>ER ANALITICA</v>
          </cell>
          <cell r="U36">
            <v>0</v>
          </cell>
          <cell r="V36" t="str">
            <v>REALIZADO</v>
          </cell>
          <cell r="W36">
            <v>8</v>
          </cell>
          <cell r="X36">
            <v>11</v>
          </cell>
        </row>
        <row r="37">
          <cell r="I37" t="str">
            <v>Condutivímetro</v>
          </cell>
          <cell r="M37" t="str">
            <v xml:space="preserve">Maracanaú-CE </v>
          </cell>
          <cell r="N37" t="str">
            <v>GERDAU</v>
          </cell>
          <cell r="O37">
            <v>44105</v>
          </cell>
          <cell r="P37">
            <v>44426</v>
          </cell>
          <cell r="Q37">
            <v>44783</v>
          </cell>
          <cell r="R37" t="str">
            <v>Calibrado</v>
          </cell>
          <cell r="S37">
            <v>17571</v>
          </cell>
          <cell r="T37" t="str">
            <v>ER ANALITICA</v>
          </cell>
          <cell r="U37" t="str">
            <v>Sonda de condutívidade apresenta vida útil avançada.</v>
          </cell>
          <cell r="V37" t="str">
            <v>REALIZADO</v>
          </cell>
          <cell r="W37">
            <v>8</v>
          </cell>
          <cell r="X37">
            <v>5</v>
          </cell>
        </row>
        <row r="38">
          <cell r="I38" t="str">
            <v>pHmetro</v>
          </cell>
          <cell r="M38" t="str">
            <v xml:space="preserve">Maracanaú-CE </v>
          </cell>
          <cell r="N38" t="str">
            <v>GERDAU</v>
          </cell>
          <cell r="O38">
            <v>44105</v>
          </cell>
          <cell r="P38">
            <v>44426</v>
          </cell>
          <cell r="Q38">
            <v>44783</v>
          </cell>
          <cell r="R38" t="str">
            <v>Calibrado</v>
          </cell>
          <cell r="S38">
            <v>17572</v>
          </cell>
          <cell r="T38" t="str">
            <v>ER ANALITICA</v>
          </cell>
          <cell r="U38">
            <v>0</v>
          </cell>
          <cell r="V38" t="str">
            <v>REALIZADO</v>
          </cell>
          <cell r="W38">
            <v>8</v>
          </cell>
          <cell r="X38">
            <v>5</v>
          </cell>
        </row>
        <row r="39">
          <cell r="I39" t="str">
            <v>Espectrofotômetro</v>
          </cell>
          <cell r="M39" t="str">
            <v xml:space="preserve">Maracanaú-CE </v>
          </cell>
          <cell r="N39" t="str">
            <v>GERDAU</v>
          </cell>
          <cell r="O39">
            <v>44409</v>
          </cell>
          <cell r="P39">
            <v>44409</v>
          </cell>
          <cell r="Q39">
            <v>44783</v>
          </cell>
          <cell r="R39" t="str">
            <v>Calibrado</v>
          </cell>
          <cell r="S39">
            <v>17573</v>
          </cell>
          <cell r="T39" t="str">
            <v>ER ANALITICA</v>
          </cell>
          <cell r="U39">
            <v>0</v>
          </cell>
          <cell r="V39" t="str">
            <v>REALIZADO</v>
          </cell>
          <cell r="W39">
            <v>8</v>
          </cell>
          <cell r="X39">
            <v>5</v>
          </cell>
        </row>
        <row r="40">
          <cell r="I40" t="str">
            <v>Balança Analítica</v>
          </cell>
          <cell r="M40" t="str">
            <v>Pecém-CE</v>
          </cell>
          <cell r="N40" t="str">
            <v>CSP</v>
          </cell>
          <cell r="O40">
            <v>44105</v>
          </cell>
          <cell r="P40">
            <v>44105</v>
          </cell>
          <cell r="Q40">
            <v>44784</v>
          </cell>
          <cell r="R40" t="str">
            <v>Calibrado</v>
          </cell>
          <cell r="S40">
            <v>17566</v>
          </cell>
          <cell r="T40" t="str">
            <v>ER ANALITICA</v>
          </cell>
          <cell r="U40">
            <v>0</v>
          </cell>
          <cell r="V40" t="str">
            <v>REALIZADO</v>
          </cell>
          <cell r="W40">
            <v>8</v>
          </cell>
          <cell r="X40">
            <v>6</v>
          </cell>
        </row>
        <row r="41">
          <cell r="I41" t="str">
            <v>Espectrofotômetro</v>
          </cell>
          <cell r="M41" t="str">
            <v>Pecém-CE</v>
          </cell>
          <cell r="N41" t="str">
            <v>CSP</v>
          </cell>
          <cell r="O41">
            <v>44105</v>
          </cell>
          <cell r="P41">
            <v>44426</v>
          </cell>
          <cell r="Q41">
            <v>44784</v>
          </cell>
          <cell r="R41" t="str">
            <v>Calibrado</v>
          </cell>
          <cell r="S41">
            <v>17567</v>
          </cell>
          <cell r="T41" t="str">
            <v>ER ANALITICA</v>
          </cell>
          <cell r="U41">
            <v>0</v>
          </cell>
          <cell r="V41" t="str">
            <v>CONSERTO INTERNO</v>
          </cell>
          <cell r="W41">
            <v>8</v>
          </cell>
          <cell r="X41">
            <v>6</v>
          </cell>
        </row>
        <row r="42">
          <cell r="I42" t="str">
            <v>pHmetro</v>
          </cell>
          <cell r="M42" t="str">
            <v>Pecém-CE</v>
          </cell>
          <cell r="N42" t="str">
            <v>CSP</v>
          </cell>
          <cell r="O42">
            <v>44409</v>
          </cell>
          <cell r="P42">
            <v>44409</v>
          </cell>
          <cell r="Q42">
            <v>44784</v>
          </cell>
          <cell r="R42" t="str">
            <v>Calibrado</v>
          </cell>
          <cell r="S42">
            <v>17568</v>
          </cell>
          <cell r="T42" t="str">
            <v>ER ANALITICA</v>
          </cell>
          <cell r="U42">
            <v>0</v>
          </cell>
          <cell r="V42" t="str">
            <v>REALIZADO</v>
          </cell>
          <cell r="W42">
            <v>8</v>
          </cell>
          <cell r="X42">
            <v>5</v>
          </cell>
        </row>
        <row r="43">
          <cell r="I43" t="str">
            <v>Condutivímetro</v>
          </cell>
          <cell r="M43" t="str">
            <v>Pecém-CE</v>
          </cell>
          <cell r="N43" t="str">
            <v>CSP</v>
          </cell>
          <cell r="O43">
            <v>44513</v>
          </cell>
          <cell r="P43">
            <v>44513</v>
          </cell>
          <cell r="Q43">
            <v>44784</v>
          </cell>
          <cell r="R43" t="str">
            <v>Calibrado</v>
          </cell>
          <cell r="S43">
            <v>17569</v>
          </cell>
          <cell r="T43" t="str">
            <v>ER ANALITICA</v>
          </cell>
          <cell r="U43">
            <v>0</v>
          </cell>
          <cell r="V43" t="str">
            <v>REALIZADO</v>
          </cell>
          <cell r="W43">
            <v>8</v>
          </cell>
          <cell r="X43">
            <v>6</v>
          </cell>
        </row>
        <row r="44">
          <cell r="I44" t="str">
            <v>Reator DQO</v>
          </cell>
          <cell r="M44" t="str">
            <v>Pecém-CE</v>
          </cell>
          <cell r="N44" t="str">
            <v>CSP</v>
          </cell>
          <cell r="O44">
            <v>44501</v>
          </cell>
          <cell r="P44">
            <v>44501</v>
          </cell>
          <cell r="Q44">
            <v>44784</v>
          </cell>
          <cell r="R44" t="str">
            <v>Calibrado</v>
          </cell>
          <cell r="S44">
            <v>17570</v>
          </cell>
          <cell r="T44" t="str">
            <v>ER ANALITICA</v>
          </cell>
          <cell r="U44">
            <v>0</v>
          </cell>
          <cell r="V44" t="str">
            <v>REALIZADO</v>
          </cell>
          <cell r="W44">
            <v>8</v>
          </cell>
          <cell r="X44">
            <v>6</v>
          </cell>
        </row>
        <row r="45">
          <cell r="I45" t="str">
            <v>Turbidímetro</v>
          </cell>
          <cell r="M45" t="str">
            <v>Pecém-CE</v>
          </cell>
          <cell r="N45" t="str">
            <v>CSP</v>
          </cell>
          <cell r="O45">
            <v>44105</v>
          </cell>
          <cell r="P45">
            <v>44426</v>
          </cell>
          <cell r="Q45">
            <v>44784</v>
          </cell>
          <cell r="R45" t="str">
            <v>Calibrado</v>
          </cell>
          <cell r="S45">
            <v>17564</v>
          </cell>
          <cell r="T45" t="str">
            <v>ER ANALITICA</v>
          </cell>
          <cell r="U45" t="str">
            <v>Máscara do teclado avariada</v>
          </cell>
          <cell r="V45" t="str">
            <v>REALIZADO</v>
          </cell>
          <cell r="W45">
            <v>8</v>
          </cell>
          <cell r="X45">
            <v>6</v>
          </cell>
        </row>
        <row r="46">
          <cell r="I46" t="str">
            <v>Turbidímetro</v>
          </cell>
          <cell r="M46" t="str">
            <v>Pecém-CE</v>
          </cell>
          <cell r="N46" t="str">
            <v>CSP</v>
          </cell>
          <cell r="O46">
            <v>44501</v>
          </cell>
          <cell r="P46">
            <v>44501</v>
          </cell>
          <cell r="Q46">
            <v>44784</v>
          </cell>
          <cell r="R46" t="str">
            <v>Calibrado</v>
          </cell>
          <cell r="S46">
            <v>17565</v>
          </cell>
          <cell r="T46" t="str">
            <v>ER ANALITICA</v>
          </cell>
          <cell r="U46">
            <v>0</v>
          </cell>
          <cell r="V46" t="str">
            <v>REALIZADO</v>
          </cell>
          <cell r="W46">
            <v>8</v>
          </cell>
          <cell r="X46">
            <v>8</v>
          </cell>
        </row>
        <row r="47">
          <cell r="I47" t="str">
            <v>Espectrofotômetro</v>
          </cell>
          <cell r="M47" t="str">
            <v>Quixeré-CE</v>
          </cell>
          <cell r="N47" t="str">
            <v>Apodi Quixeré</v>
          </cell>
          <cell r="O47">
            <v>44105</v>
          </cell>
          <cell r="P47">
            <v>44426</v>
          </cell>
          <cell r="Q47">
            <v>44783</v>
          </cell>
          <cell r="R47" t="str">
            <v>Calibrado</v>
          </cell>
          <cell r="S47">
            <v>17574</v>
          </cell>
          <cell r="T47" t="str">
            <v>ER ANALITICA</v>
          </cell>
          <cell r="U47">
            <v>0</v>
          </cell>
          <cell r="V47" t="str">
            <v>REALIZADO</v>
          </cell>
          <cell r="W47">
            <v>8</v>
          </cell>
          <cell r="X47">
            <v>8</v>
          </cell>
        </row>
        <row r="48">
          <cell r="I48" t="str">
            <v>Condutivímetro</v>
          </cell>
          <cell r="M48" t="str">
            <v>Serra-ES</v>
          </cell>
          <cell r="N48" t="str">
            <v>Arcelor Mittal</v>
          </cell>
          <cell r="O48">
            <v>44406</v>
          </cell>
          <cell r="P48">
            <v>44406</v>
          </cell>
          <cell r="Q48">
            <v>44817</v>
          </cell>
          <cell r="R48" t="str">
            <v>Calibrado</v>
          </cell>
          <cell r="S48">
            <v>18066</v>
          </cell>
          <cell r="T48" t="str">
            <v>ER ANALITICA</v>
          </cell>
          <cell r="U48">
            <v>0</v>
          </cell>
          <cell r="V48" t="str">
            <v>REALIZADO</v>
          </cell>
          <cell r="W48">
            <v>9</v>
          </cell>
          <cell r="X48">
            <v>7</v>
          </cell>
        </row>
        <row r="49">
          <cell r="I49" t="str">
            <v>Espectrofotômetro</v>
          </cell>
          <cell r="M49" t="str">
            <v>Serra-ES</v>
          </cell>
          <cell r="N49" t="str">
            <v>Arcelor Mittal</v>
          </cell>
          <cell r="O49">
            <v>44013</v>
          </cell>
          <cell r="P49">
            <v>44406</v>
          </cell>
          <cell r="Q49">
            <v>44817</v>
          </cell>
          <cell r="R49" t="str">
            <v>Calibrado</v>
          </cell>
          <cell r="S49">
            <v>18003</v>
          </cell>
          <cell r="T49" t="str">
            <v>ER ANALITICA</v>
          </cell>
          <cell r="U49" t="str">
            <v xml:space="preserve"> Compartimento de cubetas danificado, filtro óptico laranja (redondo) deteriorado e backlight queimado.</v>
          </cell>
          <cell r="V49" t="str">
            <v>REALIZADO</v>
          </cell>
          <cell r="W49">
            <v>9</v>
          </cell>
          <cell r="X49">
            <v>7</v>
          </cell>
        </row>
        <row r="50">
          <cell r="I50" t="str">
            <v xml:space="preserve">Multiparâmetro </v>
          </cell>
          <cell r="M50" t="str">
            <v>Serra-ES</v>
          </cell>
          <cell r="N50" t="str">
            <v>Arcelor Mittal</v>
          </cell>
          <cell r="O50">
            <v>44406</v>
          </cell>
          <cell r="P50">
            <v>44406</v>
          </cell>
          <cell r="Q50">
            <v>44817</v>
          </cell>
          <cell r="R50" t="str">
            <v>Calibrado</v>
          </cell>
          <cell r="S50">
            <v>18005</v>
          </cell>
          <cell r="T50" t="str">
            <v>ER ANALITICA</v>
          </cell>
          <cell r="U50">
            <v>0</v>
          </cell>
          <cell r="V50" t="str">
            <v>REALIZADO</v>
          </cell>
          <cell r="W50">
            <v>9</v>
          </cell>
          <cell r="X50">
            <v>7</v>
          </cell>
        </row>
        <row r="51">
          <cell r="I51" t="str">
            <v xml:space="preserve">Multiparâmetro </v>
          </cell>
          <cell r="M51" t="str">
            <v>Serra-ES</v>
          </cell>
          <cell r="N51" t="str">
            <v>Arcelor Mittal</v>
          </cell>
          <cell r="O51">
            <v>44013</v>
          </cell>
          <cell r="P51">
            <v>44406</v>
          </cell>
          <cell r="Q51">
            <v>44817</v>
          </cell>
          <cell r="R51" t="str">
            <v>Calibrado</v>
          </cell>
          <cell r="S51">
            <v>18004</v>
          </cell>
          <cell r="T51" t="str">
            <v>ER ANALITICA</v>
          </cell>
          <cell r="U51" t="str">
            <v>Bateria com baixa carga, recomendamos troca.</v>
          </cell>
          <cell r="V51" t="str">
            <v>REALIZADO</v>
          </cell>
          <cell r="W51">
            <v>9</v>
          </cell>
          <cell r="X51">
            <v>6</v>
          </cell>
        </row>
        <row r="52">
          <cell r="I52" t="str">
            <v>pHmetro</v>
          </cell>
          <cell r="M52" t="str">
            <v>Serra-ES</v>
          </cell>
          <cell r="N52" t="str">
            <v>Arcelor Mittal</v>
          </cell>
          <cell r="O52">
            <v>44406</v>
          </cell>
          <cell r="P52">
            <v>44406</v>
          </cell>
          <cell r="Q52">
            <v>44817</v>
          </cell>
          <cell r="R52" t="str">
            <v>Calibrado</v>
          </cell>
          <cell r="S52">
            <v>18006</v>
          </cell>
          <cell r="T52" t="str">
            <v>ER ANALITICA</v>
          </cell>
          <cell r="U52" t="str">
            <v xml:space="preserve"> Botão 'entra' com desgaste e mau funcionamento, bem como adesivo do teclado avariado.</v>
          </cell>
          <cell r="V52" t="str">
            <v>REALIZADO</v>
          </cell>
          <cell r="W52">
            <v>9</v>
          </cell>
          <cell r="X52">
            <v>6</v>
          </cell>
        </row>
        <row r="53">
          <cell r="I53" t="str">
            <v>Turbidímetro</v>
          </cell>
          <cell r="M53" t="str">
            <v>Serra-ES</v>
          </cell>
          <cell r="N53" t="str">
            <v>Arcelor Mittal</v>
          </cell>
          <cell r="O53">
            <v>44013</v>
          </cell>
          <cell r="P53">
            <v>44406</v>
          </cell>
          <cell r="Q53">
            <v>44817</v>
          </cell>
          <cell r="R53" t="str">
            <v>Calibrado</v>
          </cell>
          <cell r="S53">
            <v>18007</v>
          </cell>
          <cell r="T53" t="str">
            <v>ER ANALITICA</v>
          </cell>
          <cell r="U53" t="str">
            <v xml:space="preserve"> Instrumento sem a tampa do compartimento de leitura. </v>
          </cell>
          <cell r="V53" t="str">
            <v>REALIZADO</v>
          </cell>
          <cell r="W53">
            <v>9</v>
          </cell>
          <cell r="X53">
            <v>4</v>
          </cell>
        </row>
        <row r="54">
          <cell r="I54" t="str">
            <v>Turbidímetro</v>
          </cell>
          <cell r="M54" t="str">
            <v>Serra-ES</v>
          </cell>
          <cell r="N54" t="str">
            <v>Arcelor Mittal</v>
          </cell>
          <cell r="O54">
            <v>44406</v>
          </cell>
          <cell r="P54">
            <v>44406</v>
          </cell>
          <cell r="Q54">
            <v>44817</v>
          </cell>
          <cell r="R54" t="str">
            <v>Calibrado</v>
          </cell>
          <cell r="S54">
            <v>18008</v>
          </cell>
          <cell r="T54" t="str">
            <v>ER ANALITICA</v>
          </cell>
          <cell r="U54">
            <v>0</v>
          </cell>
          <cell r="V54" t="str">
            <v>REALIZADO</v>
          </cell>
          <cell r="W54">
            <v>9</v>
          </cell>
          <cell r="X54">
            <v>4</v>
          </cell>
        </row>
        <row r="55">
          <cell r="I55" t="str">
            <v>Balança Analítica</v>
          </cell>
          <cell r="M55" t="str">
            <v>Serra-ES</v>
          </cell>
          <cell r="N55" t="str">
            <v>Arcelor Mittal</v>
          </cell>
          <cell r="O55">
            <v>44118</v>
          </cell>
          <cell r="P55">
            <v>44406</v>
          </cell>
          <cell r="Q55">
            <v>44817</v>
          </cell>
          <cell r="R55" t="str">
            <v>Calibrado</v>
          </cell>
          <cell r="S55">
            <v>18009</v>
          </cell>
          <cell r="T55" t="str">
            <v>ER ANALITICA</v>
          </cell>
          <cell r="U55" t="str">
            <v>Balança com sensor de nível danificado, necessário envio à ER Analítica para avaliação.</v>
          </cell>
          <cell r="V55" t="str">
            <v>REALIZADO</v>
          </cell>
          <cell r="W55">
            <v>9</v>
          </cell>
          <cell r="X55">
            <v>4</v>
          </cell>
        </row>
        <row r="56">
          <cell r="I56" t="str">
            <v>Medidor de Íon Seletivo</v>
          </cell>
          <cell r="M56" t="str">
            <v>Serra-ES</v>
          </cell>
          <cell r="N56" t="str">
            <v>Arcelor Mittal</v>
          </cell>
          <cell r="P56">
            <v>0</v>
          </cell>
          <cell r="Q56">
            <v>44817</v>
          </cell>
          <cell r="R56" t="str">
            <v>Calibrado</v>
          </cell>
          <cell r="S56">
            <v>18002</v>
          </cell>
          <cell r="T56" t="str">
            <v>ER ANALITICA</v>
          </cell>
          <cell r="U56" t="str">
            <v>Sonda com slope abaixo do indicado pelo fabricante.</v>
          </cell>
          <cell r="V56" t="str">
            <v>REALIZADO</v>
          </cell>
          <cell r="W56">
            <v>9</v>
          </cell>
        </row>
        <row r="57">
          <cell r="I57" t="str">
            <v>Colorímetro</v>
          </cell>
          <cell r="M57" t="str">
            <v>Belo Horizonte-MG</v>
          </cell>
          <cell r="N57" t="str">
            <v>no fixed customer (carried by owner)</v>
          </cell>
          <cell r="O57">
            <v>44264</v>
          </cell>
          <cell r="P57">
            <v>44264</v>
          </cell>
          <cell r="Q57">
            <v>44623</v>
          </cell>
          <cell r="R57" t="str">
            <v>Calibrado</v>
          </cell>
          <cell r="S57">
            <v>15644</v>
          </cell>
          <cell r="T57" t="str">
            <v>ER ANALITICA</v>
          </cell>
          <cell r="U57" t="str">
            <v>Filtro de 560nm manchado.</v>
          </cell>
          <cell r="V57" t="str">
            <v>EM CONTATO</v>
          </cell>
          <cell r="W57">
            <v>3</v>
          </cell>
          <cell r="X57">
            <v>7</v>
          </cell>
        </row>
        <row r="58">
          <cell r="I58" t="str">
            <v>Colorímetro</v>
          </cell>
          <cell r="M58" t="str">
            <v>Belo Horizonte-MG</v>
          </cell>
          <cell r="N58" t="str">
            <v>no fixed customer (carried by owner)</v>
          </cell>
          <cell r="O58">
            <v>44306</v>
          </cell>
          <cell r="P58">
            <v>44306</v>
          </cell>
          <cell r="Q58">
            <v>44623</v>
          </cell>
          <cell r="R58" t="str">
            <v>Calibrado</v>
          </cell>
          <cell r="S58">
            <v>15645</v>
          </cell>
          <cell r="T58" t="str">
            <v>ER ANALITICA</v>
          </cell>
          <cell r="U58">
            <v>0</v>
          </cell>
          <cell r="V58" t="str">
            <v>EM CONTATO</v>
          </cell>
          <cell r="W58">
            <v>3</v>
          </cell>
          <cell r="X58">
            <v>7</v>
          </cell>
        </row>
        <row r="59">
          <cell r="I59" t="str">
            <v xml:space="preserve">Multiparâmetro </v>
          </cell>
          <cell r="M59" t="str">
            <v>Belo Horizonte-MG</v>
          </cell>
          <cell r="N59" t="str">
            <v>no fixed customer (carried by owner)</v>
          </cell>
          <cell r="O59">
            <v>44623</v>
          </cell>
          <cell r="P59">
            <v>44623</v>
          </cell>
          <cell r="Q59">
            <v>44623</v>
          </cell>
          <cell r="R59" t="str">
            <v>Calibrado</v>
          </cell>
          <cell r="S59">
            <v>15642</v>
          </cell>
          <cell r="T59" t="str">
            <v>ER ANALITICA</v>
          </cell>
          <cell r="U59">
            <v>0</v>
          </cell>
          <cell r="V59" t="str">
            <v>EM CONTATO</v>
          </cell>
          <cell r="W59">
            <v>3</v>
          </cell>
          <cell r="X59">
            <v>7</v>
          </cell>
        </row>
        <row r="60">
          <cell r="I60" t="str">
            <v>Turbidímetro</v>
          </cell>
          <cell r="M60" t="str">
            <v xml:space="preserve">Divinópolis-MG </v>
          </cell>
          <cell r="N60" t="str">
            <v>GERDAU</v>
          </cell>
          <cell r="O60">
            <v>44033</v>
          </cell>
          <cell r="P60">
            <v>44433</v>
          </cell>
          <cell r="Q60">
            <v>44817</v>
          </cell>
          <cell r="R60" t="str">
            <v>Calibrado</v>
          </cell>
          <cell r="S60">
            <v>18010</v>
          </cell>
          <cell r="T60" t="str">
            <v>ER ANALITICA</v>
          </cell>
          <cell r="U60">
            <v>0</v>
          </cell>
          <cell r="V60" t="str">
            <v>REALIZADO</v>
          </cell>
          <cell r="W60">
            <v>9</v>
          </cell>
          <cell r="X60">
            <v>7</v>
          </cell>
        </row>
        <row r="61">
          <cell r="I61" t="str">
            <v>Colorímetro</v>
          </cell>
          <cell r="M61" t="str">
            <v xml:space="preserve">Divinópolis-MG </v>
          </cell>
          <cell r="N61" t="str">
            <v>GERDAU</v>
          </cell>
          <cell r="O61">
            <v>44035</v>
          </cell>
          <cell r="P61">
            <v>44433</v>
          </cell>
          <cell r="Q61">
            <v>44817</v>
          </cell>
          <cell r="R61" t="str">
            <v>Calibrado</v>
          </cell>
          <cell r="S61">
            <v>18011</v>
          </cell>
          <cell r="T61" t="str">
            <v>ER ANALITICA</v>
          </cell>
          <cell r="U61">
            <v>0</v>
          </cell>
          <cell r="V61" t="str">
            <v>REALIZADO</v>
          </cell>
          <cell r="W61">
            <v>9</v>
          </cell>
          <cell r="X61">
            <v>9</v>
          </cell>
        </row>
        <row r="62">
          <cell r="I62" t="str">
            <v xml:space="preserve">Multiparâmetro </v>
          </cell>
          <cell r="M62" t="str">
            <v xml:space="preserve">Divinópolis-MG </v>
          </cell>
          <cell r="N62" t="str">
            <v>GERDAU</v>
          </cell>
          <cell r="P62">
            <v>44433</v>
          </cell>
          <cell r="Q62">
            <v>44817</v>
          </cell>
          <cell r="R62" t="str">
            <v>Calibrado</v>
          </cell>
          <cell r="S62">
            <v>18012</v>
          </cell>
          <cell r="T62" t="str">
            <v>ER ANALITICA</v>
          </cell>
          <cell r="U62">
            <v>0</v>
          </cell>
          <cell r="V62" t="str">
            <v>REALIZADO</v>
          </cell>
          <cell r="W62">
            <v>9</v>
          </cell>
          <cell r="X62">
            <v>5</v>
          </cell>
        </row>
        <row r="63">
          <cell r="I63" t="str">
            <v xml:space="preserve">Multiparâmetro </v>
          </cell>
          <cell r="M63" t="str">
            <v xml:space="preserve">Divinópolis-MG </v>
          </cell>
          <cell r="N63" t="str">
            <v>GERDAU</v>
          </cell>
          <cell r="P63">
            <v>44433</v>
          </cell>
          <cell r="Q63">
            <v>44817</v>
          </cell>
          <cell r="R63" t="str">
            <v>Calibrado</v>
          </cell>
          <cell r="S63">
            <v>18014</v>
          </cell>
          <cell r="T63" t="str">
            <v>ER ANALITICA</v>
          </cell>
          <cell r="U63" t="str">
            <v>Eletrodo do instrumento apresenta vida útil avançada</v>
          </cell>
          <cell r="V63" t="str">
            <v>REALIZADO</v>
          </cell>
          <cell r="W63">
            <v>9</v>
          </cell>
          <cell r="X63">
            <v>4</v>
          </cell>
        </row>
        <row r="64">
          <cell r="I64" t="str">
            <v>Condutivímetro</v>
          </cell>
          <cell r="M64" t="str">
            <v xml:space="preserve">Divinópolis-MG </v>
          </cell>
          <cell r="N64" t="str">
            <v>GERDAU</v>
          </cell>
          <cell r="O64">
            <v>44034</v>
          </cell>
          <cell r="P64">
            <v>44469</v>
          </cell>
          <cell r="Q64">
            <v>44817</v>
          </cell>
          <cell r="R64" t="str">
            <v>Calibrado</v>
          </cell>
          <cell r="S64">
            <v>18035</v>
          </cell>
          <cell r="T64" t="str">
            <v>ER ANALITICA</v>
          </cell>
          <cell r="U64">
            <v>0</v>
          </cell>
          <cell r="V64" t="str">
            <v>REALIZADO</v>
          </cell>
          <cell r="W64">
            <v>9</v>
          </cell>
          <cell r="X64">
            <v>12</v>
          </cell>
        </row>
        <row r="65">
          <cell r="I65" t="str">
            <v>Turbidímetro</v>
          </cell>
          <cell r="M65" t="str">
            <v xml:space="preserve">Divinópolis-MG </v>
          </cell>
          <cell r="N65" t="str">
            <v>GERDAU</v>
          </cell>
          <cell r="O65">
            <v>44469</v>
          </cell>
          <cell r="P65">
            <v>44469</v>
          </cell>
          <cell r="Q65">
            <v>44817</v>
          </cell>
          <cell r="R65" t="str">
            <v>Calibrado</v>
          </cell>
          <cell r="S65">
            <v>18015</v>
          </cell>
          <cell r="T65" t="str">
            <v>ER ANALITICA</v>
          </cell>
          <cell r="U65">
            <v>0</v>
          </cell>
          <cell r="V65" t="str">
            <v>REALIZADO</v>
          </cell>
          <cell r="W65">
            <v>9</v>
          </cell>
          <cell r="X65">
            <v>8</v>
          </cell>
        </row>
        <row r="66">
          <cell r="I66" t="str">
            <v>Condutivímetro</v>
          </cell>
          <cell r="M66" t="str">
            <v xml:space="preserve">Divinópolis-MG </v>
          </cell>
          <cell r="N66" t="str">
            <v>GERDAU</v>
          </cell>
          <cell r="O66">
            <v>44469</v>
          </cell>
          <cell r="P66">
            <v>44469</v>
          </cell>
          <cell r="Q66">
            <v>44817</v>
          </cell>
          <cell r="R66" t="str">
            <v>Calibrado</v>
          </cell>
          <cell r="S66">
            <v>18016</v>
          </cell>
          <cell r="T66" t="str">
            <v>ER ANALITICA</v>
          </cell>
          <cell r="U66">
            <v>0</v>
          </cell>
          <cell r="V66" t="str">
            <v>REALIZADO</v>
          </cell>
          <cell r="W66">
            <v>9</v>
          </cell>
          <cell r="X66">
            <v>8</v>
          </cell>
        </row>
        <row r="67">
          <cell r="I67" t="str">
            <v xml:space="preserve">Multiparâmetro </v>
          </cell>
          <cell r="M67" t="str">
            <v xml:space="preserve">Divinópolis-MG </v>
          </cell>
          <cell r="N67" t="str">
            <v>GERDAU</v>
          </cell>
          <cell r="O67">
            <v>44035</v>
          </cell>
          <cell r="P67">
            <v>44035</v>
          </cell>
          <cell r="Q67">
            <v>44827</v>
          </cell>
          <cell r="R67" t="str">
            <v>Calibrado</v>
          </cell>
          <cell r="S67">
            <v>18214</v>
          </cell>
          <cell r="T67" t="str">
            <v>ER ANALITICA</v>
          </cell>
          <cell r="U67">
            <v>0</v>
          </cell>
          <cell r="V67" t="str">
            <v>REALIZADO</v>
          </cell>
          <cell r="W67">
            <v>9</v>
          </cell>
        </row>
        <row r="68">
          <cell r="I68" t="str">
            <v>Condutivímetro</v>
          </cell>
          <cell r="M68" t="str">
            <v>Juatuba -MG</v>
          </cell>
          <cell r="N68" t="str">
            <v>Ambev</v>
          </cell>
          <cell r="O68">
            <v>44259</v>
          </cell>
          <cell r="P68">
            <v>44259</v>
          </cell>
          <cell r="Q68">
            <v>44623</v>
          </cell>
          <cell r="R68" t="str">
            <v>Calibrado</v>
          </cell>
          <cell r="S68">
            <v>15641</v>
          </cell>
          <cell r="T68" t="str">
            <v>ER ANALITICA</v>
          </cell>
          <cell r="U68">
            <v>0</v>
          </cell>
          <cell r="V68" t="str">
            <v>EM CONTATO</v>
          </cell>
          <cell r="W68">
            <v>3</v>
          </cell>
          <cell r="X68">
            <v>4</v>
          </cell>
        </row>
        <row r="69">
          <cell r="I69" t="str">
            <v>pHmetro</v>
          </cell>
          <cell r="M69" t="str">
            <v>Juatuba -MG</v>
          </cell>
          <cell r="N69" t="str">
            <v>Ambev</v>
          </cell>
          <cell r="O69">
            <v>44259</v>
          </cell>
          <cell r="P69">
            <v>44259</v>
          </cell>
          <cell r="Q69">
            <v>44623</v>
          </cell>
          <cell r="R69" t="str">
            <v>Calibrado</v>
          </cell>
          <cell r="S69">
            <v>15643</v>
          </cell>
          <cell r="T69" t="str">
            <v>ER ANALITICA</v>
          </cell>
          <cell r="U69" t="str">
            <v>Eletrodo apresenta vida útil avançada.</v>
          </cell>
          <cell r="V69" t="str">
            <v>EM CONTATO</v>
          </cell>
          <cell r="W69">
            <v>3</v>
          </cell>
          <cell r="X69">
            <v>7</v>
          </cell>
        </row>
        <row r="70">
          <cell r="I70" t="str">
            <v>Espectrofotômetro</v>
          </cell>
          <cell r="M70" t="str">
            <v>Juatuba -MG</v>
          </cell>
          <cell r="N70" t="str">
            <v>Ambev</v>
          </cell>
          <cell r="O70">
            <v>44264</v>
          </cell>
          <cell r="P70">
            <v>44264</v>
          </cell>
          <cell r="Q70">
            <v>44623</v>
          </cell>
          <cell r="R70" t="str">
            <v>Calibrado</v>
          </cell>
          <cell r="S70">
            <v>15646</v>
          </cell>
          <cell r="T70" t="str">
            <v>ER ANALITICA</v>
          </cell>
          <cell r="U70">
            <v>0</v>
          </cell>
          <cell r="V70" t="str">
            <v>EM CONTATO</v>
          </cell>
          <cell r="W70">
            <v>3</v>
          </cell>
          <cell r="X70">
            <v>7</v>
          </cell>
        </row>
        <row r="71">
          <cell r="I71" t="str">
            <v>Colorímetro</v>
          </cell>
          <cell r="M71" t="str">
            <v>Juiz de Fora-MG</v>
          </cell>
          <cell r="N71" t="str">
            <v>Mercedez Bens</v>
          </cell>
          <cell r="O71">
            <v>44034</v>
          </cell>
          <cell r="P71">
            <v>44432</v>
          </cell>
          <cell r="Q71">
            <v>44819</v>
          </cell>
          <cell r="R71" t="str">
            <v>Calibrado</v>
          </cell>
          <cell r="S71">
            <v>18036</v>
          </cell>
          <cell r="T71" t="str">
            <v>ER ANALITICA</v>
          </cell>
          <cell r="U71">
            <v>0</v>
          </cell>
          <cell r="V71" t="str">
            <v>REALIZADO</v>
          </cell>
          <cell r="W71">
            <v>9</v>
          </cell>
          <cell r="X71">
            <v>7</v>
          </cell>
        </row>
        <row r="72">
          <cell r="I72" t="str">
            <v>Condutivímetro</v>
          </cell>
          <cell r="M72" t="str">
            <v>Juiz de Fora-MG</v>
          </cell>
          <cell r="N72" t="str">
            <v>Mercedez Bens</v>
          </cell>
          <cell r="O72">
            <v>44034</v>
          </cell>
          <cell r="P72">
            <v>44432</v>
          </cell>
          <cell r="Q72">
            <v>44819</v>
          </cell>
          <cell r="R72" t="str">
            <v>Calibrado</v>
          </cell>
          <cell r="S72">
            <v>18039</v>
          </cell>
          <cell r="T72" t="str">
            <v>ER ANALITICA</v>
          </cell>
          <cell r="U72">
            <v>0</v>
          </cell>
          <cell r="V72" t="str">
            <v>REALIZADO</v>
          </cell>
          <cell r="W72">
            <v>9</v>
          </cell>
          <cell r="X72">
            <v>5</v>
          </cell>
        </row>
        <row r="73">
          <cell r="I73" t="str">
            <v>Turbidímetro</v>
          </cell>
          <cell r="M73" t="str">
            <v>Juiz de Fora-MG</v>
          </cell>
          <cell r="N73" t="str">
            <v>Mercedez Bens</v>
          </cell>
          <cell r="O73">
            <v>44034</v>
          </cell>
          <cell r="P73">
            <v>44432</v>
          </cell>
          <cell r="Q73">
            <v>44819</v>
          </cell>
          <cell r="R73" t="str">
            <v>Calibrado</v>
          </cell>
          <cell r="S73">
            <v>18038</v>
          </cell>
          <cell r="T73" t="str">
            <v>ER ANALITICA</v>
          </cell>
          <cell r="U73">
            <v>0</v>
          </cell>
          <cell r="V73" t="str">
            <v>REALIZADO</v>
          </cell>
          <cell r="W73">
            <v>9</v>
          </cell>
          <cell r="X73">
            <v>5</v>
          </cell>
        </row>
        <row r="74">
          <cell r="I74" t="str">
            <v>pHmetro</v>
          </cell>
          <cell r="M74" t="str">
            <v>Juiz de Fora-MG</v>
          </cell>
          <cell r="N74" t="str">
            <v>Mercedes Benz</v>
          </cell>
          <cell r="O74">
            <v>44229</v>
          </cell>
          <cell r="P74">
            <v>44432</v>
          </cell>
          <cell r="Q74">
            <v>44819</v>
          </cell>
          <cell r="R74" t="str">
            <v>Calibrado</v>
          </cell>
          <cell r="S74">
            <v>18174</v>
          </cell>
          <cell r="T74" t="str">
            <v>ER ANALITICA</v>
          </cell>
          <cell r="U74">
            <v>0</v>
          </cell>
          <cell r="V74" t="str">
            <v>REALIZADO</v>
          </cell>
          <cell r="W74">
            <v>9</v>
          </cell>
          <cell r="X74">
            <v>8</v>
          </cell>
        </row>
        <row r="75">
          <cell r="I75" t="str">
            <v>Colorímetro</v>
          </cell>
          <cell r="M75" t="str">
            <v>Juiz de Fora-MG</v>
          </cell>
          <cell r="N75" t="str">
            <v>Mercedez Bens</v>
          </cell>
          <cell r="O75">
            <v>44033</v>
          </cell>
          <cell r="P75">
            <v>44432</v>
          </cell>
          <cell r="Q75">
            <v>44819</v>
          </cell>
          <cell r="R75" t="str">
            <v>Calibrado</v>
          </cell>
          <cell r="S75">
            <v>18037</v>
          </cell>
          <cell r="T75" t="str">
            <v>ER ANALITICA</v>
          </cell>
          <cell r="U75">
            <v>0</v>
          </cell>
          <cell r="V75" t="str">
            <v>REALIZADO</v>
          </cell>
          <cell r="W75">
            <v>9</v>
          </cell>
          <cell r="X75">
            <v>8</v>
          </cell>
        </row>
        <row r="76">
          <cell r="I76" t="str">
            <v>Condutivímetro</v>
          </cell>
          <cell r="M76" t="str">
            <v>Juiz de Fora-MG</v>
          </cell>
          <cell r="N76" t="str">
            <v>Mercedez Bens</v>
          </cell>
          <cell r="O76">
            <v>44033</v>
          </cell>
          <cell r="P76">
            <v>44432</v>
          </cell>
          <cell r="Q76">
            <v>44819</v>
          </cell>
          <cell r="R76" t="str">
            <v>Calibrado</v>
          </cell>
          <cell r="S76">
            <v>18172</v>
          </cell>
          <cell r="T76" t="str">
            <v>ER ANALITICA</v>
          </cell>
          <cell r="U76">
            <v>0</v>
          </cell>
          <cell r="V76" t="str">
            <v>REALIZADO</v>
          </cell>
          <cell r="W76">
            <v>9</v>
          </cell>
          <cell r="X76">
            <v>8</v>
          </cell>
        </row>
        <row r="77">
          <cell r="I77" t="str">
            <v>pHmetro</v>
          </cell>
          <cell r="M77" t="str">
            <v>Juiz de Fora-MG</v>
          </cell>
          <cell r="N77" t="str">
            <v>Mercedez Bens</v>
          </cell>
          <cell r="O77">
            <v>44432</v>
          </cell>
          <cell r="P77">
            <v>44432</v>
          </cell>
          <cell r="Q77">
            <v>44819</v>
          </cell>
          <cell r="R77" t="str">
            <v>Calibrado</v>
          </cell>
          <cell r="S77">
            <v>18173</v>
          </cell>
          <cell r="T77" t="str">
            <v>ER ANALITICA</v>
          </cell>
          <cell r="U77">
            <v>0</v>
          </cell>
          <cell r="V77" t="str">
            <v>REALIZADO</v>
          </cell>
          <cell r="W77">
            <v>9</v>
          </cell>
          <cell r="X77">
            <v>8</v>
          </cell>
        </row>
        <row r="78">
          <cell r="I78" t="str">
            <v>Colorímetro</v>
          </cell>
          <cell r="M78" t="str">
            <v>Montes Claros-MG</v>
          </cell>
          <cell r="N78" t="str">
            <v>Coteminas S.A.</v>
          </cell>
          <cell r="O78">
            <v>44173</v>
          </cell>
          <cell r="P78">
            <v>44173</v>
          </cell>
          <cell r="Q78">
            <v>44578</v>
          </cell>
          <cell r="R78" t="str">
            <v>Vencido</v>
          </cell>
          <cell r="S78">
            <v>15235</v>
          </cell>
          <cell r="T78" t="str">
            <v>ER ANALITICA</v>
          </cell>
          <cell r="U78">
            <v>0</v>
          </cell>
          <cell r="V78" t="str">
            <v>EM CONTATO</v>
          </cell>
          <cell r="W78">
            <v>1</v>
          </cell>
          <cell r="X78">
            <v>8</v>
          </cell>
        </row>
        <row r="79">
          <cell r="I79" t="str">
            <v xml:space="preserve">Multiparâmetro </v>
          </cell>
          <cell r="M79" t="str">
            <v>Montes Claros-MG</v>
          </cell>
          <cell r="N79" t="str">
            <v>Coteminas S.A.</v>
          </cell>
          <cell r="O79">
            <v>44259</v>
          </cell>
          <cell r="P79">
            <v>44259</v>
          </cell>
          <cell r="Q79">
            <v>44678</v>
          </cell>
          <cell r="R79" t="str">
            <v>Calibrado</v>
          </cell>
          <cell r="S79">
            <v>16240</v>
          </cell>
          <cell r="T79" t="str">
            <v>ER ANALITICA</v>
          </cell>
          <cell r="U79">
            <v>0</v>
          </cell>
          <cell r="V79" t="str">
            <v>EM CONTATO</v>
          </cell>
          <cell r="W79">
            <v>4</v>
          </cell>
          <cell r="X79">
            <v>8</v>
          </cell>
        </row>
        <row r="80">
          <cell r="I80" t="str">
            <v>Turbidímetro</v>
          </cell>
          <cell r="M80" t="str">
            <v>Ouro Branco-MG</v>
          </cell>
          <cell r="N80" t="str">
            <v>GERDAU</v>
          </cell>
          <cell r="O80">
            <v>43739</v>
          </cell>
          <cell r="P80">
            <v>43739</v>
          </cell>
          <cell r="Q80">
            <v>44796</v>
          </cell>
          <cell r="R80" t="str">
            <v>Calibrado</v>
          </cell>
          <cell r="S80">
            <v>14571</v>
          </cell>
          <cell r="T80" t="str">
            <v>ER ANALITICA</v>
          </cell>
          <cell r="U80">
            <v>0</v>
          </cell>
          <cell r="V80" t="str">
            <v>REALIZADO</v>
          </cell>
          <cell r="W80">
            <v>8</v>
          </cell>
          <cell r="X80">
            <v>4</v>
          </cell>
        </row>
        <row r="81">
          <cell r="I81" t="str">
            <v>Condutivímetro</v>
          </cell>
          <cell r="M81" t="str">
            <v>Ouro Branco-MG</v>
          </cell>
          <cell r="N81" t="str">
            <v>GERDAU</v>
          </cell>
          <cell r="O81">
            <v>44034</v>
          </cell>
          <cell r="P81">
            <v>44469</v>
          </cell>
          <cell r="Q81">
            <v>44825</v>
          </cell>
          <cell r="R81" t="str">
            <v>Calibrado</v>
          </cell>
          <cell r="S81">
            <v>18067</v>
          </cell>
          <cell r="T81" t="str">
            <v>ER ANALITICA</v>
          </cell>
          <cell r="U81">
            <v>0</v>
          </cell>
          <cell r="V81" t="str">
            <v>REALIZADO</v>
          </cell>
          <cell r="W81">
            <v>9</v>
          </cell>
          <cell r="X81">
            <v>7</v>
          </cell>
        </row>
        <row r="82">
          <cell r="I82" t="str">
            <v>pHmetro</v>
          </cell>
          <cell r="M82" t="str">
            <v>Ouro Branco-MG</v>
          </cell>
          <cell r="N82" t="str">
            <v>GERDAU</v>
          </cell>
          <cell r="O82">
            <v>44034</v>
          </cell>
          <cell r="P82">
            <v>44034</v>
          </cell>
          <cell r="Q82">
            <v>44711</v>
          </cell>
          <cell r="R82" t="str">
            <v>Calibrado</v>
          </cell>
          <cell r="S82">
            <v>14573</v>
          </cell>
          <cell r="T82" t="str">
            <v>ER ANALITICA</v>
          </cell>
          <cell r="U82">
            <v>0</v>
          </cell>
          <cell r="V82" t="str">
            <v>REALIZADO</v>
          </cell>
          <cell r="W82">
            <v>5</v>
          </cell>
          <cell r="X82">
            <v>4</v>
          </cell>
        </row>
        <row r="83">
          <cell r="I83" t="str">
            <v>Balança Analítica</v>
          </cell>
          <cell r="M83" t="str">
            <v>Ouro Branco-MG</v>
          </cell>
          <cell r="N83" t="str">
            <v>GERDAU</v>
          </cell>
          <cell r="O83">
            <v>44035</v>
          </cell>
          <cell r="P83">
            <v>44497</v>
          </cell>
          <cell r="Q83">
            <v>44825</v>
          </cell>
          <cell r="R83" t="str">
            <v>Calibrado</v>
          </cell>
          <cell r="S83">
            <v>18070</v>
          </cell>
          <cell r="T83" t="str">
            <v>ER ANALITICA</v>
          </cell>
          <cell r="U83">
            <v>0</v>
          </cell>
          <cell r="V83" t="str">
            <v>REALIZADO</v>
          </cell>
          <cell r="W83">
            <v>9</v>
          </cell>
          <cell r="X83">
            <v>10</v>
          </cell>
        </row>
        <row r="84">
          <cell r="I84" t="str">
            <v>Turbidímetro</v>
          </cell>
          <cell r="M84" t="str">
            <v>Ouro Branco-MG</v>
          </cell>
          <cell r="N84" t="str">
            <v>GERDAU</v>
          </cell>
          <cell r="O84">
            <v>44035</v>
          </cell>
          <cell r="P84">
            <v>44497</v>
          </cell>
          <cell r="Q84">
            <v>44825</v>
          </cell>
          <cell r="R84" t="str">
            <v>Calibrado</v>
          </cell>
          <cell r="S84">
            <v>18071</v>
          </cell>
          <cell r="T84" t="str">
            <v>ER ANALITICA</v>
          </cell>
          <cell r="U84">
            <v>0</v>
          </cell>
          <cell r="V84" t="str">
            <v>REALIZADO</v>
          </cell>
          <cell r="W84">
            <v>9</v>
          </cell>
          <cell r="X84">
            <v>4</v>
          </cell>
        </row>
        <row r="85">
          <cell r="I85" t="str">
            <v>pHmetro de Processo</v>
          </cell>
          <cell r="M85" t="str">
            <v>Ouro Branco-MG</v>
          </cell>
          <cell r="N85" t="str">
            <v>GERDAU</v>
          </cell>
          <cell r="O85">
            <v>44497</v>
          </cell>
          <cell r="P85">
            <v>44497</v>
          </cell>
          <cell r="Q85">
            <v>44825</v>
          </cell>
          <cell r="R85" t="str">
            <v>Calibrado</v>
          </cell>
          <cell r="S85">
            <v>18077</v>
          </cell>
          <cell r="T85" t="str">
            <v>ER ANALITICA</v>
          </cell>
          <cell r="U85">
            <v>0</v>
          </cell>
          <cell r="V85" t="str">
            <v>REALIZADO</v>
          </cell>
          <cell r="W85">
            <v>9</v>
          </cell>
          <cell r="X85">
            <v>4</v>
          </cell>
        </row>
        <row r="86">
          <cell r="I86" t="str">
            <v>pHmetro de Processo</v>
          </cell>
          <cell r="M86" t="str">
            <v>Ouro Branco-MG</v>
          </cell>
          <cell r="N86" t="str">
            <v>GERDAU</v>
          </cell>
          <cell r="O86">
            <v>44497</v>
          </cell>
          <cell r="P86">
            <v>44497</v>
          </cell>
          <cell r="Q86">
            <v>44825</v>
          </cell>
          <cell r="R86" t="str">
            <v>Calibrado</v>
          </cell>
          <cell r="S86">
            <v>18076</v>
          </cell>
          <cell r="T86" t="str">
            <v>ER ANALITICA</v>
          </cell>
          <cell r="U86">
            <v>0</v>
          </cell>
          <cell r="V86" t="str">
            <v>REALIZADO</v>
          </cell>
          <cell r="W86">
            <v>9</v>
          </cell>
          <cell r="X86">
            <v>8</v>
          </cell>
        </row>
        <row r="87">
          <cell r="I87" t="str">
            <v>Condutivímetro</v>
          </cell>
          <cell r="M87" t="str">
            <v>Ouro Branco-MG</v>
          </cell>
          <cell r="N87" t="str">
            <v>GERDAU</v>
          </cell>
          <cell r="O87">
            <v>44469</v>
          </cell>
          <cell r="P87">
            <v>44469</v>
          </cell>
          <cell r="Q87">
            <v>44825</v>
          </cell>
          <cell r="R87" t="str">
            <v>Calibrado</v>
          </cell>
          <cell r="S87">
            <v>18073</v>
          </cell>
          <cell r="T87" t="str">
            <v>ER ANALITICA</v>
          </cell>
          <cell r="U87">
            <v>0</v>
          </cell>
          <cell r="V87" t="str">
            <v>REALIZADO</v>
          </cell>
          <cell r="W87">
            <v>9</v>
          </cell>
          <cell r="X87">
            <v>8</v>
          </cell>
        </row>
        <row r="88">
          <cell r="I88" t="str">
            <v>pHmetro de Processo</v>
          </cell>
          <cell r="M88" t="str">
            <v>Ouro Branco-MG</v>
          </cell>
          <cell r="N88" t="str">
            <v>GERDAU</v>
          </cell>
          <cell r="P88">
            <v>0</v>
          </cell>
          <cell r="Q88">
            <v>44825</v>
          </cell>
          <cell r="R88" t="str">
            <v>Calibrado</v>
          </cell>
          <cell r="S88">
            <v>18069</v>
          </cell>
          <cell r="T88" t="str">
            <v>ER ANALITICA</v>
          </cell>
          <cell r="U88">
            <v>0</v>
          </cell>
          <cell r="V88" t="str">
            <v>REALIZADO</v>
          </cell>
          <cell r="W88">
            <v>9</v>
          </cell>
        </row>
        <row r="89">
          <cell r="I89" t="str">
            <v>pHmetro de Processo</v>
          </cell>
          <cell r="M89" t="str">
            <v>Ouro Branco-MG</v>
          </cell>
          <cell r="N89" t="str">
            <v>GERDAU</v>
          </cell>
          <cell r="P89">
            <v>0</v>
          </cell>
          <cell r="Q89">
            <v>44825</v>
          </cell>
          <cell r="R89" t="str">
            <v>Calibrado</v>
          </cell>
          <cell r="S89">
            <v>18072</v>
          </cell>
          <cell r="T89" t="str">
            <v>ER ANALITICA</v>
          </cell>
          <cell r="U89">
            <v>0</v>
          </cell>
          <cell r="V89" t="str">
            <v>REALIZADO</v>
          </cell>
          <cell r="W89">
            <v>9</v>
          </cell>
        </row>
        <row r="90">
          <cell r="I90" t="str">
            <v>pHmetro de Processo</v>
          </cell>
          <cell r="M90" t="str">
            <v>Ouro Branco-MG</v>
          </cell>
          <cell r="N90" t="str">
            <v>GERDAU</v>
          </cell>
          <cell r="P90">
            <v>0</v>
          </cell>
          <cell r="Q90">
            <v>44825</v>
          </cell>
          <cell r="R90" t="str">
            <v>Calibrado</v>
          </cell>
          <cell r="S90">
            <v>18074</v>
          </cell>
          <cell r="T90" t="str">
            <v>ER ANALITICA</v>
          </cell>
          <cell r="U90">
            <v>0</v>
          </cell>
          <cell r="V90" t="str">
            <v>REALIZADO</v>
          </cell>
          <cell r="W90">
            <v>9</v>
          </cell>
        </row>
        <row r="91">
          <cell r="I91" t="str">
            <v xml:space="preserve">Multiparâmetro </v>
          </cell>
          <cell r="M91" t="str">
            <v>Ouro Branco-MG</v>
          </cell>
          <cell r="N91" t="str">
            <v>GERDAU</v>
          </cell>
          <cell r="P91">
            <v>0</v>
          </cell>
          <cell r="Q91">
            <v>44825</v>
          </cell>
          <cell r="R91" t="str">
            <v>Calibrado</v>
          </cell>
          <cell r="S91">
            <v>18078</v>
          </cell>
          <cell r="T91" t="str">
            <v>ER ANALITICA</v>
          </cell>
          <cell r="U91">
            <v>0</v>
          </cell>
          <cell r="V91" t="str">
            <v>REALIZADO</v>
          </cell>
          <cell r="W91">
            <v>9</v>
          </cell>
        </row>
        <row r="92">
          <cell r="I92" t="str">
            <v>Espectrofotômetro</v>
          </cell>
          <cell r="M92" t="str">
            <v>Ouro Branco-MG</v>
          </cell>
          <cell r="N92" t="str">
            <v>GERDAU</v>
          </cell>
          <cell r="P92">
            <v>0</v>
          </cell>
          <cell r="Q92">
            <v>44825</v>
          </cell>
          <cell r="R92" t="str">
            <v>Calibrado</v>
          </cell>
          <cell r="S92">
            <v>18079</v>
          </cell>
          <cell r="T92" t="str">
            <v>ER ANALITICA</v>
          </cell>
          <cell r="U92" t="str">
            <v>Carcaça superior avariada na tecla ler/confirma.</v>
          </cell>
          <cell r="V92" t="str">
            <v>REALIZADO</v>
          </cell>
          <cell r="W92">
            <v>9</v>
          </cell>
        </row>
        <row r="93">
          <cell r="I93" t="str">
            <v>Colorímetro</v>
          </cell>
          <cell r="M93" t="str">
            <v>Uberlândia-MG</v>
          </cell>
          <cell r="N93" t="str">
            <v>Cargill</v>
          </cell>
          <cell r="O93">
            <v>44040</v>
          </cell>
          <cell r="P93">
            <v>44404</v>
          </cell>
          <cell r="Q93">
            <v>44755</v>
          </cell>
          <cell r="R93" t="str">
            <v>Calibrado</v>
          </cell>
          <cell r="S93">
            <v>17236</v>
          </cell>
          <cell r="T93" t="str">
            <v>ER ANALITICA</v>
          </cell>
          <cell r="U93" t="str">
            <v>Equipamento apresenta oxidação no circuito de comando da sua placa principal.</v>
          </cell>
          <cell r="V93" t="str">
            <v>REALIZADO</v>
          </cell>
          <cell r="W93">
            <v>7</v>
          </cell>
          <cell r="X93">
            <v>8</v>
          </cell>
        </row>
        <row r="94">
          <cell r="I94" t="str">
            <v>Espectrofotômetro</v>
          </cell>
          <cell r="M94" t="str">
            <v>Uberlândia-MG</v>
          </cell>
          <cell r="N94" t="str">
            <v>Cargill</v>
          </cell>
          <cell r="O94">
            <v>44040</v>
          </cell>
          <cell r="P94">
            <v>44404</v>
          </cell>
          <cell r="Q94">
            <v>44755</v>
          </cell>
          <cell r="R94" t="str">
            <v>Calibrado</v>
          </cell>
          <cell r="S94">
            <v>17240</v>
          </cell>
          <cell r="T94" t="str">
            <v>ER ANALITICA</v>
          </cell>
          <cell r="U94" t="str">
            <v xml:space="preserve"> Bateria de lítio apresenta baixa carga e foi encontrado uma adaptação em seu circuito. Touch Screen
apresenta vida útil avançada.</v>
          </cell>
          <cell r="V94" t="str">
            <v>REALIZADO</v>
          </cell>
          <cell r="W94">
            <v>7</v>
          </cell>
          <cell r="X94">
            <v>8</v>
          </cell>
        </row>
        <row r="95">
          <cell r="I95" t="str">
            <v>pHmetro</v>
          </cell>
          <cell r="M95" t="str">
            <v>Uberlândia-MG</v>
          </cell>
          <cell r="N95" t="str">
            <v>Cargill</v>
          </cell>
          <cell r="O95">
            <v>44040</v>
          </cell>
          <cell r="P95">
            <v>44404</v>
          </cell>
          <cell r="Q95">
            <v>44755</v>
          </cell>
          <cell r="R95" t="str">
            <v>Calibrado</v>
          </cell>
          <cell r="S95">
            <v>17241</v>
          </cell>
          <cell r="T95" t="str">
            <v>ER ANALITICA</v>
          </cell>
          <cell r="U95">
            <v>0</v>
          </cell>
          <cell r="V95" t="str">
            <v>REALIZADO</v>
          </cell>
          <cell r="W95">
            <v>7</v>
          </cell>
          <cell r="X95">
            <v>8</v>
          </cell>
        </row>
        <row r="96">
          <cell r="I96" t="str">
            <v>Fotômetro</v>
          </cell>
          <cell r="M96" t="str">
            <v>Uberlândia-MG</v>
          </cell>
          <cell r="N96" t="str">
            <v>Cargill</v>
          </cell>
          <cell r="P96">
            <v>0</v>
          </cell>
          <cell r="Q96">
            <v>44755</v>
          </cell>
          <cell r="R96" t="str">
            <v>Calibrado</v>
          </cell>
          <cell r="S96">
            <v>17237</v>
          </cell>
          <cell r="T96" t="str">
            <v>ER ANALITICA</v>
          </cell>
          <cell r="U96">
            <v>0</v>
          </cell>
          <cell r="V96" t="str">
            <v>REALIZADO</v>
          </cell>
          <cell r="W96">
            <v>7</v>
          </cell>
          <cell r="X96">
            <v>8</v>
          </cell>
        </row>
        <row r="97">
          <cell r="I97" t="str">
            <v xml:space="preserve">Multiparâmetro </v>
          </cell>
          <cell r="M97" t="str">
            <v>Caarapó-MS</v>
          </cell>
          <cell r="N97" t="str">
            <v>Fatima Do Sul Agro-Energetica S/A</v>
          </cell>
          <cell r="O97">
            <v>44343</v>
          </cell>
          <cell r="P97">
            <v>44343</v>
          </cell>
          <cell r="Q97">
            <v>44706</v>
          </cell>
          <cell r="R97" t="str">
            <v>Calibrado</v>
          </cell>
          <cell r="S97">
            <v>16556</v>
          </cell>
          <cell r="T97" t="str">
            <v>ER ANALITICA</v>
          </cell>
          <cell r="U97">
            <v>0</v>
          </cell>
          <cell r="V97" t="str">
            <v>REALIZADO</v>
          </cell>
          <cell r="W97">
            <v>5</v>
          </cell>
          <cell r="X97">
            <v>8</v>
          </cell>
        </row>
        <row r="98">
          <cell r="I98" t="str">
            <v>Condutivímetro</v>
          </cell>
          <cell r="M98" t="str">
            <v>Caarapó-MS</v>
          </cell>
          <cell r="N98" t="str">
            <v>Fatima Do Sul Agro-Energetica S/A</v>
          </cell>
          <cell r="O98">
            <v>44343</v>
          </cell>
          <cell r="P98">
            <v>44343</v>
          </cell>
          <cell r="Q98">
            <v>44706</v>
          </cell>
          <cell r="R98" t="str">
            <v>Calibrado</v>
          </cell>
          <cell r="S98">
            <v>16557</v>
          </cell>
          <cell r="T98" t="str">
            <v>ER ANALITICA</v>
          </cell>
          <cell r="U98">
            <v>0</v>
          </cell>
          <cell r="V98" t="str">
            <v>REALIZADO</v>
          </cell>
          <cell r="W98">
            <v>5</v>
          </cell>
          <cell r="X98">
            <v>8</v>
          </cell>
        </row>
        <row r="99">
          <cell r="I99" t="str">
            <v>pHmetro</v>
          </cell>
          <cell r="M99" t="str">
            <v>Dourados-MS</v>
          </cell>
          <cell r="N99" t="str">
            <v>Fatima Do Sul Agro-Energetica S/A</v>
          </cell>
          <cell r="O99">
            <v>44343</v>
          </cell>
          <cell r="P99">
            <v>44523</v>
          </cell>
          <cell r="Q99">
            <v>44888</v>
          </cell>
          <cell r="R99" t="str">
            <v>Calibrado</v>
          </cell>
          <cell r="S99">
            <v>19081</v>
          </cell>
          <cell r="T99" t="str">
            <v>ER ANALITICA</v>
          </cell>
          <cell r="U99">
            <v>0</v>
          </cell>
          <cell r="V99" t="str">
            <v>REALIZADO</v>
          </cell>
          <cell r="W99">
            <v>11</v>
          </cell>
          <cell r="X99">
            <v>10</v>
          </cell>
        </row>
        <row r="100">
          <cell r="I100" t="str">
            <v>Espectrofotômetro</v>
          </cell>
          <cell r="M100" t="str">
            <v>Nova Olimpia-MT</v>
          </cell>
          <cell r="N100" t="str">
            <v xml:space="preserve">Usinas Itamarati </v>
          </cell>
          <cell r="O100">
            <v>44398</v>
          </cell>
          <cell r="P100">
            <v>44398</v>
          </cell>
          <cell r="Q100">
            <v>44853</v>
          </cell>
          <cell r="R100" t="str">
            <v>Calibrado</v>
          </cell>
          <cell r="S100">
            <v>18658</v>
          </cell>
          <cell r="T100" t="str">
            <v>ER ANALITICA</v>
          </cell>
          <cell r="U100">
            <v>0</v>
          </cell>
          <cell r="V100" t="str">
            <v>REALIZADO</v>
          </cell>
          <cell r="W100">
            <v>10</v>
          </cell>
          <cell r="X100">
            <v>10</v>
          </cell>
        </row>
        <row r="101">
          <cell r="I101" t="str">
            <v xml:space="preserve">Multiparâmetro </v>
          </cell>
          <cell r="M101" t="str">
            <v>Nova Olimpia-MT</v>
          </cell>
          <cell r="N101" t="str">
            <v xml:space="preserve">Usinas Itamarati </v>
          </cell>
          <cell r="O101">
            <v>44398</v>
          </cell>
          <cell r="P101">
            <v>44398</v>
          </cell>
          <cell r="Q101">
            <v>44853</v>
          </cell>
          <cell r="R101" t="str">
            <v>Calibrado</v>
          </cell>
          <cell r="S101">
            <v>18664</v>
          </cell>
          <cell r="T101" t="str">
            <v>ER ANALITICA</v>
          </cell>
          <cell r="U101">
            <v>0</v>
          </cell>
          <cell r="V101" t="str">
            <v>REALIZADO</v>
          </cell>
          <cell r="W101">
            <v>10</v>
          </cell>
          <cell r="X101">
            <v>7</v>
          </cell>
        </row>
        <row r="102">
          <cell r="I102" t="str">
            <v xml:space="preserve">Multiparâmetro </v>
          </cell>
          <cell r="M102" t="str">
            <v>Nova Olimpia-MT</v>
          </cell>
          <cell r="N102" t="str">
            <v xml:space="preserve">Usinas Itamarati </v>
          </cell>
          <cell r="O102">
            <v>44398</v>
          </cell>
          <cell r="P102">
            <v>44398</v>
          </cell>
          <cell r="Q102">
            <v>44853</v>
          </cell>
          <cell r="R102" t="str">
            <v>Calibrado</v>
          </cell>
          <cell r="S102">
            <v>18662</v>
          </cell>
          <cell r="T102" t="str">
            <v>ER ANALITICA</v>
          </cell>
          <cell r="U102">
            <v>0</v>
          </cell>
          <cell r="V102" t="str">
            <v>REALIZADO</v>
          </cell>
          <cell r="W102">
            <v>10</v>
          </cell>
          <cell r="X102">
            <v>10</v>
          </cell>
        </row>
        <row r="103">
          <cell r="I103" t="str">
            <v xml:space="preserve">Multiparâmetro </v>
          </cell>
          <cell r="M103" t="str">
            <v>Nova Olimpia-MT</v>
          </cell>
          <cell r="N103" t="str">
            <v xml:space="preserve">Usinas Itamarati </v>
          </cell>
          <cell r="P103">
            <v>0</v>
          </cell>
          <cell r="Q103">
            <v>44853</v>
          </cell>
          <cell r="R103" t="str">
            <v>Calibrado</v>
          </cell>
          <cell r="S103">
            <v>18659</v>
          </cell>
          <cell r="T103" t="str">
            <v>ER ANALITICA</v>
          </cell>
          <cell r="U103">
            <v>0</v>
          </cell>
          <cell r="V103" t="str">
            <v>REALIZADO</v>
          </cell>
          <cell r="W103">
            <v>10</v>
          </cell>
        </row>
        <row r="104">
          <cell r="I104" t="str">
            <v xml:space="preserve">Multiparâmetro </v>
          </cell>
          <cell r="M104" t="str">
            <v>Nova Olimpia-MT</v>
          </cell>
          <cell r="N104" t="str">
            <v xml:space="preserve">Usinas Itamarati </v>
          </cell>
          <cell r="P104">
            <v>0</v>
          </cell>
          <cell r="Q104">
            <v>44853</v>
          </cell>
          <cell r="R104" t="str">
            <v>Calibrado</v>
          </cell>
          <cell r="S104">
            <v>18665</v>
          </cell>
          <cell r="T104" t="str">
            <v>ER ANALITICA</v>
          </cell>
          <cell r="U104">
            <v>0</v>
          </cell>
          <cell r="V104" t="str">
            <v>REALIZADO</v>
          </cell>
          <cell r="W104">
            <v>10</v>
          </cell>
        </row>
        <row r="105">
          <cell r="I105" t="str">
            <v>Turbidímetro</v>
          </cell>
          <cell r="M105" t="str">
            <v>Nova Olimpia-MT</v>
          </cell>
          <cell r="N105" t="str">
            <v xml:space="preserve">Usinas Itamarati </v>
          </cell>
          <cell r="P105">
            <v>0</v>
          </cell>
          <cell r="Q105">
            <v>44853</v>
          </cell>
          <cell r="R105" t="str">
            <v>Calibrado</v>
          </cell>
          <cell r="S105">
            <v>18660</v>
          </cell>
          <cell r="T105" t="str">
            <v>ER ANALITICA</v>
          </cell>
          <cell r="U105">
            <v>0</v>
          </cell>
          <cell r="V105" t="str">
            <v>REALIZADO</v>
          </cell>
          <cell r="W105">
            <v>10</v>
          </cell>
        </row>
        <row r="106">
          <cell r="I106" t="str">
            <v>pHmetro</v>
          </cell>
          <cell r="M106" t="str">
            <v>Barcarena-PA</v>
          </cell>
          <cell r="N106" t="str">
            <v xml:space="preserve">Alunorte </v>
          </cell>
          <cell r="O106">
            <v>44330</v>
          </cell>
          <cell r="P106">
            <v>44330</v>
          </cell>
          <cell r="Q106">
            <v>44697</v>
          </cell>
          <cell r="R106" t="str">
            <v>Calibrado</v>
          </cell>
          <cell r="S106">
            <v>16436</v>
          </cell>
          <cell r="T106" t="str">
            <v>ER ANALITICA</v>
          </cell>
          <cell r="U106">
            <v>0</v>
          </cell>
          <cell r="V106" t="str">
            <v>REALIZADO</v>
          </cell>
          <cell r="W106">
            <v>5</v>
          </cell>
          <cell r="X106">
            <v>4</v>
          </cell>
        </row>
        <row r="107">
          <cell r="I107" t="str">
            <v>pHmetro</v>
          </cell>
          <cell r="M107" t="str">
            <v>Barcarena-PA</v>
          </cell>
          <cell r="N107" t="str">
            <v xml:space="preserve">Alunorte </v>
          </cell>
          <cell r="O107">
            <v>44330</v>
          </cell>
          <cell r="P107">
            <v>44330</v>
          </cell>
          <cell r="Q107">
            <v>44697</v>
          </cell>
          <cell r="R107" t="str">
            <v>Calibrado</v>
          </cell>
          <cell r="S107">
            <v>16435</v>
          </cell>
          <cell r="T107" t="str">
            <v>ER ANALITICA</v>
          </cell>
          <cell r="U107">
            <v>0</v>
          </cell>
          <cell r="V107" t="str">
            <v>REALIZADO</v>
          </cell>
          <cell r="W107">
            <v>5</v>
          </cell>
          <cell r="X107">
            <v>4</v>
          </cell>
        </row>
        <row r="108">
          <cell r="I108" t="str">
            <v>Condutivímetro</v>
          </cell>
          <cell r="M108" t="str">
            <v>Barcarena-PA</v>
          </cell>
          <cell r="N108" t="str">
            <v xml:space="preserve">Alunorte </v>
          </cell>
          <cell r="O108">
            <v>44313</v>
          </cell>
          <cell r="P108">
            <v>44313</v>
          </cell>
          <cell r="Q108">
            <v>44697</v>
          </cell>
          <cell r="R108" t="str">
            <v>Calibrado</v>
          </cell>
          <cell r="S108">
            <v>16437</v>
          </cell>
          <cell r="T108" t="str">
            <v>ER ANALITICA</v>
          </cell>
          <cell r="U108">
            <v>0</v>
          </cell>
          <cell r="V108" t="str">
            <v>REALIZADO</v>
          </cell>
          <cell r="W108">
            <v>5</v>
          </cell>
          <cell r="X108">
            <v>5</v>
          </cell>
        </row>
        <row r="109">
          <cell r="I109" t="str">
            <v>pHmetro</v>
          </cell>
          <cell r="M109" t="str">
            <v>Barcarena-PA</v>
          </cell>
          <cell r="N109" t="str">
            <v xml:space="preserve">Alunorte </v>
          </cell>
          <cell r="O109">
            <v>44313</v>
          </cell>
          <cell r="P109">
            <v>44313</v>
          </cell>
          <cell r="Q109">
            <v>44697</v>
          </cell>
          <cell r="R109" t="str">
            <v>Calibrado</v>
          </cell>
          <cell r="S109">
            <v>16438</v>
          </cell>
          <cell r="T109" t="str">
            <v>ER ANALITICA</v>
          </cell>
          <cell r="U109">
            <v>0</v>
          </cell>
          <cell r="V109" t="str">
            <v>REALIZADO</v>
          </cell>
          <cell r="W109">
            <v>5</v>
          </cell>
          <cell r="X109">
            <v>5</v>
          </cell>
        </row>
        <row r="110">
          <cell r="I110" t="str">
            <v>pHmetro</v>
          </cell>
          <cell r="M110" t="str">
            <v>Barcarena-PA</v>
          </cell>
          <cell r="N110" t="str">
            <v xml:space="preserve">Alunorte </v>
          </cell>
          <cell r="P110">
            <v>0</v>
          </cell>
          <cell r="Q110">
            <v>44697</v>
          </cell>
          <cell r="R110" t="str">
            <v>Calibrado</v>
          </cell>
          <cell r="S110">
            <v>16441</v>
          </cell>
          <cell r="T110" t="str">
            <v>ER ANALITICA</v>
          </cell>
          <cell r="U110">
            <v>0</v>
          </cell>
          <cell r="V110" t="str">
            <v>REALIZADO</v>
          </cell>
          <cell r="W110">
            <v>5</v>
          </cell>
          <cell r="X110">
            <v>10</v>
          </cell>
        </row>
        <row r="111">
          <cell r="I111" t="str">
            <v>Espectrofotômetro</v>
          </cell>
          <cell r="M111" t="str">
            <v>Barcarena-PA</v>
          </cell>
          <cell r="N111" t="str">
            <v xml:space="preserve">Alunorte </v>
          </cell>
          <cell r="O111">
            <v>44313</v>
          </cell>
          <cell r="P111">
            <v>44313</v>
          </cell>
          <cell r="Q111">
            <v>44697</v>
          </cell>
          <cell r="R111" t="str">
            <v>Calibrado</v>
          </cell>
          <cell r="S111">
            <v>16440</v>
          </cell>
          <cell r="T111" t="str">
            <v>ER ANALITICA</v>
          </cell>
          <cell r="U111" t="str">
            <v>Intrumento liberado com restrição, apresenta avarias no display e no detector principal compartimento de cubeta.</v>
          </cell>
          <cell r="V111" t="str">
            <v>REALIZADO</v>
          </cell>
          <cell r="W111">
            <v>5</v>
          </cell>
          <cell r="X111">
            <v>9</v>
          </cell>
        </row>
        <row r="112">
          <cell r="I112" t="str">
            <v>Espectrofotômetro</v>
          </cell>
          <cell r="M112" t="str">
            <v xml:space="preserve">Jaboatão dos Guararapes-PE </v>
          </cell>
          <cell r="N112" t="str">
            <v>CBA</v>
          </cell>
          <cell r="P112">
            <v>44368</v>
          </cell>
          <cell r="Q112">
            <v>44769</v>
          </cell>
          <cell r="R112" t="str">
            <v>Calibrado</v>
          </cell>
          <cell r="S112">
            <v>17471</v>
          </cell>
          <cell r="T112" t="str">
            <v>ER ANALITICA</v>
          </cell>
          <cell r="U112">
            <v>0</v>
          </cell>
          <cell r="V112" t="str">
            <v>REALIZADO</v>
          </cell>
          <cell r="W112">
            <v>7</v>
          </cell>
          <cell r="X112">
            <v>9</v>
          </cell>
        </row>
        <row r="113">
          <cell r="I113" t="str">
            <v>Colorímetro</v>
          </cell>
          <cell r="M113" t="str">
            <v xml:space="preserve">Jaboatão dos Guararapes-PE </v>
          </cell>
          <cell r="N113" t="str">
            <v>CBA</v>
          </cell>
          <cell r="P113">
            <v>0</v>
          </cell>
          <cell r="Q113">
            <v>44769</v>
          </cell>
          <cell r="R113" t="str">
            <v>Calibrado</v>
          </cell>
          <cell r="S113">
            <v>17472</v>
          </cell>
          <cell r="T113" t="str">
            <v>ER ANALITICA</v>
          </cell>
          <cell r="U113">
            <v>0</v>
          </cell>
          <cell r="V113" t="str">
            <v>REALIZADO</v>
          </cell>
          <cell r="W113">
            <v>7</v>
          </cell>
          <cell r="X113">
            <v>9</v>
          </cell>
        </row>
        <row r="114">
          <cell r="I114" t="str">
            <v>pHmetro</v>
          </cell>
          <cell r="M114" t="str">
            <v xml:space="preserve">Jaboatão dos Guararapes-PE </v>
          </cell>
          <cell r="N114" t="str">
            <v>CBA</v>
          </cell>
          <cell r="P114">
            <v>0</v>
          </cell>
          <cell r="Q114">
            <v>44769</v>
          </cell>
          <cell r="R114" t="str">
            <v>Calibrado</v>
          </cell>
          <cell r="S114">
            <v>17473</v>
          </cell>
          <cell r="T114" t="str">
            <v>ER ANALITICA</v>
          </cell>
          <cell r="U114">
            <v>0</v>
          </cell>
          <cell r="V114" t="str">
            <v>REALIZADO</v>
          </cell>
          <cell r="W114">
            <v>7</v>
          </cell>
          <cell r="X114">
            <v>9</v>
          </cell>
        </row>
        <row r="115">
          <cell r="I115" t="str">
            <v xml:space="preserve">Multiparâmetro </v>
          </cell>
          <cell r="M115" t="str">
            <v xml:space="preserve">Jaboatão dos Guararapes-PE </v>
          </cell>
          <cell r="N115" t="str">
            <v>CBA</v>
          </cell>
          <cell r="P115">
            <v>0</v>
          </cell>
          <cell r="Q115">
            <v>44769</v>
          </cell>
          <cell r="R115" t="str">
            <v>Calibrado</v>
          </cell>
          <cell r="S115">
            <v>17474</v>
          </cell>
          <cell r="T115" t="str">
            <v>ER ANALITICA</v>
          </cell>
          <cell r="U115">
            <v>0</v>
          </cell>
          <cell r="V115" t="str">
            <v>REALIZADO</v>
          </cell>
          <cell r="W115">
            <v>7</v>
          </cell>
          <cell r="X115">
            <v>6</v>
          </cell>
        </row>
        <row r="116">
          <cell r="I116" t="str">
            <v>Colorímetro</v>
          </cell>
          <cell r="M116" t="str">
            <v>Teresina-PI</v>
          </cell>
          <cell r="O116">
            <v>44371</v>
          </cell>
          <cell r="P116">
            <v>44371</v>
          </cell>
          <cell r="Q116">
            <v>44851</v>
          </cell>
          <cell r="R116" t="str">
            <v>Calibrado</v>
          </cell>
          <cell r="S116">
            <v>18571</v>
          </cell>
          <cell r="T116" t="str">
            <v>ER ANALITICA</v>
          </cell>
          <cell r="U116">
            <v>0</v>
          </cell>
          <cell r="V116" t="str">
            <v>REALIZADO</v>
          </cell>
          <cell r="W116">
            <v>10</v>
          </cell>
          <cell r="X116">
            <v>6</v>
          </cell>
        </row>
        <row r="117">
          <cell r="I117" t="str">
            <v>Condutivímetro</v>
          </cell>
          <cell r="M117" t="str">
            <v>Teresina-PI</v>
          </cell>
          <cell r="O117">
            <v>44371</v>
          </cell>
          <cell r="P117">
            <v>44371</v>
          </cell>
          <cell r="Q117">
            <v>44851</v>
          </cell>
          <cell r="R117" t="str">
            <v>Calibrado</v>
          </cell>
          <cell r="S117">
            <v>18572</v>
          </cell>
          <cell r="T117" t="str">
            <v>ER ANALITICA</v>
          </cell>
          <cell r="U117">
            <v>0</v>
          </cell>
          <cell r="V117" t="str">
            <v>REALIZADO</v>
          </cell>
          <cell r="W117">
            <v>10</v>
          </cell>
          <cell r="X117">
            <v>4</v>
          </cell>
        </row>
        <row r="118">
          <cell r="I118" t="str">
            <v>Condutivímetro</v>
          </cell>
          <cell r="M118" t="str">
            <v>Teresina-PI</v>
          </cell>
          <cell r="O118">
            <v>44371</v>
          </cell>
          <cell r="P118">
            <v>44371</v>
          </cell>
          <cell r="Q118">
            <v>44851</v>
          </cell>
          <cell r="R118" t="str">
            <v>Calibrado</v>
          </cell>
          <cell r="S118">
            <v>18573</v>
          </cell>
          <cell r="T118" t="str">
            <v>ER ANALITICA</v>
          </cell>
          <cell r="U118">
            <v>0</v>
          </cell>
          <cell r="V118" t="str">
            <v>REALIZADO</v>
          </cell>
          <cell r="W118">
            <v>10</v>
          </cell>
          <cell r="X118">
            <v>4</v>
          </cell>
        </row>
        <row r="119">
          <cell r="I119" t="str">
            <v>Espectrofotômetro</v>
          </cell>
          <cell r="M119" t="str">
            <v>Teresina-PI</v>
          </cell>
          <cell r="O119">
            <v>44371</v>
          </cell>
          <cell r="P119">
            <v>44371</v>
          </cell>
          <cell r="Q119">
            <v>44851</v>
          </cell>
          <cell r="R119" t="str">
            <v>Calibrado</v>
          </cell>
          <cell r="S119">
            <v>18574</v>
          </cell>
          <cell r="T119" t="str">
            <v>ER ANALITICA</v>
          </cell>
          <cell r="U119">
            <v>0</v>
          </cell>
          <cell r="V119" t="str">
            <v>REALIZADO</v>
          </cell>
          <cell r="W119">
            <v>10</v>
          </cell>
          <cell r="X119">
            <v>4</v>
          </cell>
        </row>
        <row r="120">
          <cell r="I120" t="str">
            <v>pHmetro</v>
          </cell>
          <cell r="M120" t="str">
            <v>Teresina-PI</v>
          </cell>
          <cell r="O120">
            <v>44371</v>
          </cell>
          <cell r="P120">
            <v>44371</v>
          </cell>
          <cell r="Q120">
            <v>44851</v>
          </cell>
          <cell r="R120" t="str">
            <v>Calibrado</v>
          </cell>
          <cell r="S120">
            <v>18576</v>
          </cell>
          <cell r="T120" t="str">
            <v>ER ANALITICA</v>
          </cell>
          <cell r="U120">
            <v>0</v>
          </cell>
          <cell r="V120" t="str">
            <v>REALIZADO</v>
          </cell>
          <cell r="W120">
            <v>10</v>
          </cell>
          <cell r="X120">
            <v>1</v>
          </cell>
        </row>
        <row r="121">
          <cell r="I121" t="str">
            <v>pHmetro</v>
          </cell>
          <cell r="M121" t="str">
            <v>Teresina-PI</v>
          </cell>
          <cell r="O121">
            <v>44371</v>
          </cell>
          <cell r="P121">
            <v>44371</v>
          </cell>
          <cell r="Q121">
            <v>44851</v>
          </cell>
          <cell r="R121" t="str">
            <v>Calibrado</v>
          </cell>
          <cell r="S121">
            <v>18575</v>
          </cell>
          <cell r="T121" t="str">
            <v>ER ANALITICA</v>
          </cell>
          <cell r="U121">
            <v>0</v>
          </cell>
          <cell r="V121" t="str">
            <v>REALIZADO</v>
          </cell>
          <cell r="W121">
            <v>10</v>
          </cell>
          <cell r="X121">
            <v>6</v>
          </cell>
        </row>
        <row r="122">
          <cell r="I122" t="str">
            <v xml:space="preserve">Multiparâmetro </v>
          </cell>
          <cell r="M122" t="str">
            <v>Astorga-PR</v>
          </cell>
          <cell r="N122" t="str">
            <v>Nova Produtiva</v>
          </cell>
          <cell r="O122">
            <v>43888</v>
          </cell>
          <cell r="P122">
            <v>44523</v>
          </cell>
          <cell r="Q122">
            <v>44888</v>
          </cell>
          <cell r="R122" t="str">
            <v>Calibrado</v>
          </cell>
          <cell r="S122">
            <v>19073</v>
          </cell>
          <cell r="T122" t="str">
            <v>ER ANALITICA</v>
          </cell>
          <cell r="U122" t="str">
            <v>Equipamento apresenta tecla "CAL" intermitentemente inoperante,  e o contato metálico de bateria da placa eletrônica encontra-se oxidado, podendo parar o funcionamento do instrumento a qualquer momento.</v>
          </cell>
          <cell r="V122" t="str">
            <v>REALIZADO</v>
          </cell>
          <cell r="W122">
            <v>11</v>
          </cell>
          <cell r="X122">
            <v>1</v>
          </cell>
        </row>
        <row r="123">
          <cell r="I123" t="str">
            <v>Espectrofotômetro</v>
          </cell>
          <cell r="M123" t="str">
            <v>Astorga-PR</v>
          </cell>
          <cell r="N123" t="str">
            <v>Nova Produtiva</v>
          </cell>
          <cell r="O123">
            <v>44019</v>
          </cell>
          <cell r="P123">
            <v>44523</v>
          </cell>
          <cell r="Q123">
            <v>44848</v>
          </cell>
          <cell r="R123" t="str">
            <v>Calibrado</v>
          </cell>
          <cell r="S123">
            <v>17133</v>
          </cell>
          <cell r="T123" t="str">
            <v>ER ANALITICA</v>
          </cell>
          <cell r="U123">
            <v>0</v>
          </cell>
          <cell r="V123" t="str">
            <v>REALIZADO</v>
          </cell>
          <cell r="W123">
            <v>10</v>
          </cell>
        </row>
        <row r="124">
          <cell r="I124" t="str">
            <v>Espectrofotômetro</v>
          </cell>
          <cell r="M124" t="str">
            <v>Astorga-PR</v>
          </cell>
          <cell r="N124" t="str">
            <v>Nova Produtiva</v>
          </cell>
          <cell r="O124">
            <v>44019</v>
          </cell>
          <cell r="P124">
            <v>44523</v>
          </cell>
          <cell r="Q124">
            <v>44848</v>
          </cell>
          <cell r="R124" t="str">
            <v>Calibrado</v>
          </cell>
          <cell r="S124">
            <v>17132</v>
          </cell>
          <cell r="T124" t="str">
            <v>ER ANALITICA</v>
          </cell>
          <cell r="U124">
            <v>0</v>
          </cell>
          <cell r="V124" t="str">
            <v>REALIZADO</v>
          </cell>
          <cell r="W124">
            <v>10</v>
          </cell>
          <cell r="X124">
            <v>8</v>
          </cell>
        </row>
        <row r="125">
          <cell r="I125" t="str">
            <v>Espectrofotômetro</v>
          </cell>
          <cell r="M125" t="str">
            <v>Astorga-PR</v>
          </cell>
          <cell r="N125" t="str">
            <v>Nova Produtiva</v>
          </cell>
          <cell r="O125">
            <v>44019</v>
          </cell>
          <cell r="P125">
            <v>44523</v>
          </cell>
          <cell r="Q125">
            <v>44887</v>
          </cell>
          <cell r="R125" t="str">
            <v>Calibrado</v>
          </cell>
          <cell r="S125">
            <v>19075</v>
          </cell>
          <cell r="T125" t="str">
            <v>ER ANALITICA</v>
          </cell>
          <cell r="U125">
            <v>0</v>
          </cell>
          <cell r="V125" t="str">
            <v>REALIZADO</v>
          </cell>
          <cell r="W125">
            <v>11</v>
          </cell>
          <cell r="X125">
            <v>8</v>
          </cell>
        </row>
        <row r="126">
          <cell r="I126" t="str">
            <v xml:space="preserve">Multiparâmetro </v>
          </cell>
          <cell r="M126" t="str">
            <v>Astorga-PR</v>
          </cell>
          <cell r="N126" t="str">
            <v>Nova Produtiva</v>
          </cell>
          <cell r="O126">
            <v>44019</v>
          </cell>
          <cell r="P126">
            <v>44523</v>
          </cell>
          <cell r="Q126">
            <v>44888</v>
          </cell>
          <cell r="R126" t="str">
            <v>Calibrado</v>
          </cell>
          <cell r="S126">
            <v>19074</v>
          </cell>
          <cell r="T126" t="str">
            <v>ER ANALITICA</v>
          </cell>
          <cell r="U126">
            <v>0</v>
          </cell>
          <cell r="V126" t="str">
            <v>REALIZADO</v>
          </cell>
          <cell r="W126">
            <v>11</v>
          </cell>
          <cell r="X126">
            <v>8</v>
          </cell>
        </row>
        <row r="127">
          <cell r="I127" t="str">
            <v>Turbidímetro</v>
          </cell>
          <cell r="M127" t="str">
            <v>Astorga-PR</v>
          </cell>
          <cell r="N127" t="str">
            <v>Nova Produtiva</v>
          </cell>
          <cell r="O127">
            <v>44019</v>
          </cell>
          <cell r="P127">
            <v>44523</v>
          </cell>
          <cell r="Q127">
            <v>44797</v>
          </cell>
          <cell r="R127" t="str">
            <v>Calibrado</v>
          </cell>
          <cell r="S127">
            <v>17134</v>
          </cell>
          <cell r="T127" t="str">
            <v>ER ANALITICA</v>
          </cell>
          <cell r="U127">
            <v>0</v>
          </cell>
          <cell r="V127" t="str">
            <v>REALIZADO</v>
          </cell>
          <cell r="W127">
            <v>8</v>
          </cell>
          <cell r="X127">
            <v>8</v>
          </cell>
        </row>
        <row r="128">
          <cell r="I128" t="str">
            <v xml:space="preserve">Multiparâmetro </v>
          </cell>
          <cell r="M128" t="str">
            <v>Astorga-PR</v>
          </cell>
          <cell r="N128" t="str">
            <v>Nova Produtiva</v>
          </cell>
          <cell r="O128">
            <v>44019</v>
          </cell>
          <cell r="P128">
            <v>44523</v>
          </cell>
          <cell r="Q128">
            <v>44888</v>
          </cell>
          <cell r="R128" t="str">
            <v>Calibrado</v>
          </cell>
          <cell r="S128">
            <v>19082</v>
          </cell>
          <cell r="T128" t="str">
            <v>ER ANALITICA</v>
          </cell>
          <cell r="U128">
            <v>0</v>
          </cell>
          <cell r="V128" t="str">
            <v>REALIZADO</v>
          </cell>
          <cell r="W128">
            <v>11</v>
          </cell>
          <cell r="X128">
            <v>8</v>
          </cell>
        </row>
        <row r="129">
          <cell r="I129" t="str">
            <v xml:space="preserve">Multiparâmetro </v>
          </cell>
          <cell r="M129" t="str">
            <v>Astorga-PR</v>
          </cell>
          <cell r="N129" t="str">
            <v>Nova Produtiva</v>
          </cell>
          <cell r="O129">
            <v>44019</v>
          </cell>
          <cell r="P129">
            <v>44523</v>
          </cell>
          <cell r="Q129">
            <v>44888</v>
          </cell>
          <cell r="R129" t="str">
            <v>Calibrado</v>
          </cell>
          <cell r="S129">
            <v>19078</v>
          </cell>
          <cell r="T129" t="str">
            <v>ER ANALITICA</v>
          </cell>
          <cell r="U129">
            <v>0</v>
          </cell>
          <cell r="V129" t="str">
            <v>REALIZADO</v>
          </cell>
          <cell r="W129">
            <v>11</v>
          </cell>
          <cell r="X129">
            <v>8</v>
          </cell>
        </row>
        <row r="130">
          <cell r="I130" t="str">
            <v>pHmetro</v>
          </cell>
          <cell r="M130" t="str">
            <v>Astorga-PR</v>
          </cell>
          <cell r="N130" t="str">
            <v>Nova Produtiva</v>
          </cell>
          <cell r="O130">
            <v>44019</v>
          </cell>
          <cell r="P130">
            <v>44523</v>
          </cell>
          <cell r="Q130">
            <v>44888</v>
          </cell>
          <cell r="R130" t="str">
            <v>Calibrado</v>
          </cell>
          <cell r="S130">
            <v>19080</v>
          </cell>
          <cell r="T130" t="str">
            <v>ER ANALITICA</v>
          </cell>
          <cell r="U130" t="str">
            <v>Eletrodo de pH em fim de vida útil, necessário realizar a substituição imediatamente.</v>
          </cell>
          <cell r="V130" t="str">
            <v>REALIZADO</v>
          </cell>
          <cell r="W130">
            <v>11</v>
          </cell>
          <cell r="X130">
            <v>8</v>
          </cell>
        </row>
        <row r="131">
          <cell r="I131" t="str">
            <v xml:space="preserve">Multiparâmetro </v>
          </cell>
          <cell r="M131" t="str">
            <v>Astorga-PR</v>
          </cell>
          <cell r="N131" t="str">
            <v>Nova Produtiva</v>
          </cell>
          <cell r="P131">
            <v>44523</v>
          </cell>
          <cell r="Q131">
            <v>44888</v>
          </cell>
          <cell r="R131" t="str">
            <v>Calibrado</v>
          </cell>
          <cell r="S131">
            <v>19079</v>
          </cell>
          <cell r="T131" t="str">
            <v>ER ANALITICA</v>
          </cell>
          <cell r="U131" t="str">
            <v>Equipamento apresenta tecla "Seta para Baixo" inoperante, impossibilitando ajuste da curva de calibração. Eletrodo de pH com vida ùtil avançada.</v>
          </cell>
          <cell r="V131" t="str">
            <v>REALIZADO</v>
          </cell>
          <cell r="W131">
            <v>11</v>
          </cell>
          <cell r="X131">
            <v>9</v>
          </cell>
        </row>
        <row r="132">
          <cell r="I132" t="str">
            <v>Fotômetro</v>
          </cell>
          <cell r="M132" t="str">
            <v>Astorga-PR</v>
          </cell>
          <cell r="N132" t="str">
            <v>Nova Produtiva</v>
          </cell>
          <cell r="P132">
            <v>44442</v>
          </cell>
          <cell r="Q132">
            <v>44888</v>
          </cell>
          <cell r="R132" t="str">
            <v>Calibrado</v>
          </cell>
          <cell r="S132">
            <v>19083</v>
          </cell>
          <cell r="T132" t="str">
            <v>ER ANALITICA</v>
          </cell>
          <cell r="U132" t="str">
            <v>Equipamento encontra-se com compartimento de pilhas com pequenas oxidações e filtros de interferência manchados, necessário a substituição dos filtros o mais breve possível. Liberado com restrição.</v>
          </cell>
          <cell r="V132" t="str">
            <v>REALIZADO</v>
          </cell>
          <cell r="W132">
            <v>11</v>
          </cell>
          <cell r="X132">
            <v>9</v>
          </cell>
        </row>
        <row r="133">
          <cell r="I133" t="str">
            <v>Turbidímetro</v>
          </cell>
          <cell r="M133" t="str">
            <v>Astorga-PR</v>
          </cell>
          <cell r="N133" t="str">
            <v>Nova Produtiva</v>
          </cell>
          <cell r="P133">
            <v>0</v>
          </cell>
          <cell r="Q133">
            <v>44888</v>
          </cell>
          <cell r="R133" t="str">
            <v>Calibrado</v>
          </cell>
          <cell r="S133">
            <v>19076</v>
          </cell>
          <cell r="T133" t="str">
            <v>ER ANALITICA</v>
          </cell>
          <cell r="U133">
            <v>0</v>
          </cell>
          <cell r="V133" t="str">
            <v>REALIZADO</v>
          </cell>
          <cell r="W133">
            <v>11</v>
          </cell>
        </row>
        <row r="134">
          <cell r="I134" t="str">
            <v xml:space="preserve">Multiparâmetro </v>
          </cell>
          <cell r="M134" t="str">
            <v>Astorga-PR</v>
          </cell>
          <cell r="N134" t="str">
            <v>Nova Produtiva</v>
          </cell>
          <cell r="P134">
            <v>0</v>
          </cell>
          <cell r="Q134">
            <v>44888</v>
          </cell>
          <cell r="R134" t="str">
            <v>Calibrado</v>
          </cell>
          <cell r="S134">
            <v>19077</v>
          </cell>
          <cell r="T134" t="str">
            <v>ER ANALITICA</v>
          </cell>
          <cell r="U134">
            <v>0</v>
          </cell>
          <cell r="V134" t="str">
            <v>REALIZADO</v>
          </cell>
          <cell r="W134">
            <v>11</v>
          </cell>
        </row>
        <row r="135">
          <cell r="I135" t="str">
            <v>Colorímetro</v>
          </cell>
          <cell r="M135" t="str">
            <v>Ponta Grossa-PR</v>
          </cell>
          <cell r="N135" t="str">
            <v>AMBEV</v>
          </cell>
          <cell r="O135">
            <v>44022</v>
          </cell>
          <cell r="P135">
            <v>44371</v>
          </cell>
          <cell r="Q135">
            <v>44762</v>
          </cell>
          <cell r="R135" t="str">
            <v>Calibrado</v>
          </cell>
          <cell r="S135">
            <v>17444</v>
          </cell>
          <cell r="T135" t="str">
            <v>ER ANALITICA</v>
          </cell>
          <cell r="U135">
            <v>0</v>
          </cell>
          <cell r="V135" t="str">
            <v>REALIZADO</v>
          </cell>
          <cell r="W135">
            <v>7</v>
          </cell>
          <cell r="X135">
            <v>9</v>
          </cell>
        </row>
        <row r="136">
          <cell r="I136" t="str">
            <v>Condutivímetro</v>
          </cell>
          <cell r="M136" t="str">
            <v>Ponta Grossa-PR</v>
          </cell>
          <cell r="N136" t="str">
            <v>AMBEV</v>
          </cell>
          <cell r="O136">
            <v>44022</v>
          </cell>
          <cell r="P136">
            <v>44371</v>
          </cell>
          <cell r="Q136">
            <v>44762</v>
          </cell>
          <cell r="R136" t="str">
            <v>Calibrado</v>
          </cell>
          <cell r="S136">
            <v>17446</v>
          </cell>
          <cell r="T136" t="str">
            <v>ER ANALITICA</v>
          </cell>
          <cell r="U136">
            <v>0</v>
          </cell>
          <cell r="V136" t="str">
            <v>REALIZADO</v>
          </cell>
          <cell r="W136">
            <v>7</v>
          </cell>
          <cell r="X136">
            <v>9</v>
          </cell>
        </row>
        <row r="137">
          <cell r="I137" t="str">
            <v xml:space="preserve">Multiparâmetro </v>
          </cell>
          <cell r="M137" t="str">
            <v>Ponta Grossa-PR</v>
          </cell>
          <cell r="N137" t="str">
            <v>AMBEV</v>
          </cell>
          <cell r="O137">
            <v>44022</v>
          </cell>
          <cell r="P137">
            <v>44022</v>
          </cell>
          <cell r="Q137">
            <v>44762</v>
          </cell>
          <cell r="R137" t="str">
            <v>Calibrado</v>
          </cell>
          <cell r="S137">
            <v>17445</v>
          </cell>
          <cell r="T137" t="str">
            <v>ER ANALITICA</v>
          </cell>
          <cell r="U137">
            <v>0</v>
          </cell>
          <cell r="V137" t="str">
            <v>REALIZADO</v>
          </cell>
          <cell r="W137">
            <v>7</v>
          </cell>
          <cell r="X137">
            <v>7</v>
          </cell>
        </row>
        <row r="138">
          <cell r="I138" t="str">
            <v xml:space="preserve">Multiparâmetro </v>
          </cell>
          <cell r="M138" t="str">
            <v>Ponta Grossa-PR</v>
          </cell>
          <cell r="N138" t="str">
            <v>no fixed customer (carried by owner)</v>
          </cell>
          <cell r="P138">
            <v>0</v>
          </cell>
          <cell r="Q138">
            <v>44762</v>
          </cell>
          <cell r="R138" t="str">
            <v>Calibrado</v>
          </cell>
          <cell r="S138">
            <v>17447</v>
          </cell>
          <cell r="T138" t="str">
            <v>ER ANALITICA</v>
          </cell>
          <cell r="U138" t="str">
            <v>Eletrôdo do instrumento encontra-se avariado, impossibilitando o ajuste na escala de pH, liberado somente para uso na escala de condutívidade</v>
          </cell>
          <cell r="W138">
            <v>7</v>
          </cell>
          <cell r="X138">
            <v>7</v>
          </cell>
        </row>
        <row r="139">
          <cell r="I139" t="str">
            <v>Turbidímetro</v>
          </cell>
          <cell r="M139" t="str">
            <v>Ponta Grossa-PR</v>
          </cell>
          <cell r="N139" t="str">
            <v>no fixed customer (carried by owner)</v>
          </cell>
          <cell r="P139">
            <v>0</v>
          </cell>
          <cell r="Q139">
            <v>44762</v>
          </cell>
          <cell r="R139" t="str">
            <v>Calibrado</v>
          </cell>
          <cell r="S139">
            <v>17449</v>
          </cell>
          <cell r="T139" t="str">
            <v>ER ANALITICA</v>
          </cell>
          <cell r="U139">
            <v>0</v>
          </cell>
          <cell r="W139">
            <v>7</v>
          </cell>
          <cell r="X139">
            <v>7</v>
          </cell>
        </row>
        <row r="140">
          <cell r="I140" t="str">
            <v>Condutivímetro</v>
          </cell>
          <cell r="M140" t="str">
            <v>Duque de Caxias-RJ</v>
          </cell>
          <cell r="N140" t="str">
            <v>Arlanxeo</v>
          </cell>
          <cell r="O140">
            <v>44279</v>
          </cell>
          <cell r="P140">
            <v>44279</v>
          </cell>
          <cell r="Q140">
            <v>44643</v>
          </cell>
          <cell r="R140" t="str">
            <v>Calibrado</v>
          </cell>
          <cell r="S140">
            <v>15876</v>
          </cell>
          <cell r="T140" t="str">
            <v>ER ANALITICA</v>
          </cell>
          <cell r="U140">
            <v>0</v>
          </cell>
          <cell r="V140" t="str">
            <v>AGENDADO</v>
          </cell>
          <cell r="W140">
            <v>3</v>
          </cell>
          <cell r="X140">
            <v>9</v>
          </cell>
        </row>
        <row r="141">
          <cell r="I141" t="str">
            <v>Condutivímetro</v>
          </cell>
          <cell r="M141" t="str">
            <v>Duque de Caxias-RJ</v>
          </cell>
          <cell r="N141" t="str">
            <v>Arlanxeo</v>
          </cell>
          <cell r="O141">
            <v>44279</v>
          </cell>
          <cell r="P141">
            <v>44279</v>
          </cell>
          <cell r="Q141">
            <v>44643</v>
          </cell>
          <cell r="R141" t="str">
            <v>Calibrado</v>
          </cell>
          <cell r="S141">
            <v>15871</v>
          </cell>
          <cell r="T141" t="str">
            <v>ER ANALITICA</v>
          </cell>
          <cell r="U141">
            <v>0</v>
          </cell>
          <cell r="V141" t="str">
            <v>AGENDADO</v>
          </cell>
          <cell r="W141">
            <v>3</v>
          </cell>
          <cell r="X141">
            <v>9</v>
          </cell>
        </row>
        <row r="142">
          <cell r="I142" t="str">
            <v>pHmetro</v>
          </cell>
          <cell r="M142" t="str">
            <v>Duque de Caxias-RJ</v>
          </cell>
          <cell r="N142" t="str">
            <v>Arlanxeo</v>
          </cell>
          <cell r="O142">
            <v>44279</v>
          </cell>
          <cell r="P142">
            <v>44279</v>
          </cell>
          <cell r="Q142">
            <v>44643</v>
          </cell>
          <cell r="R142" t="str">
            <v>Calibrado</v>
          </cell>
          <cell r="S142">
            <v>15873</v>
          </cell>
          <cell r="T142" t="str">
            <v>ER ANALITICA</v>
          </cell>
          <cell r="U142">
            <v>0</v>
          </cell>
          <cell r="V142" t="str">
            <v>AGENDADO</v>
          </cell>
          <cell r="W142">
            <v>3</v>
          </cell>
          <cell r="X142">
            <v>9</v>
          </cell>
        </row>
        <row r="143">
          <cell r="I143" t="str">
            <v>Colorímetro</v>
          </cell>
          <cell r="M143" t="str">
            <v>Duque de Caxias-RJ</v>
          </cell>
          <cell r="N143" t="str">
            <v>Arlanxeo</v>
          </cell>
          <cell r="O143">
            <v>44284</v>
          </cell>
          <cell r="P143">
            <v>44284</v>
          </cell>
          <cell r="Q143">
            <v>44643</v>
          </cell>
          <cell r="R143" t="str">
            <v>Calibrado</v>
          </cell>
          <cell r="S143">
            <v>15875</v>
          </cell>
          <cell r="T143" t="str">
            <v>ER ANALITICA</v>
          </cell>
          <cell r="U143">
            <v>0</v>
          </cell>
          <cell r="V143" t="str">
            <v>AGENDADO</v>
          </cell>
          <cell r="W143">
            <v>3</v>
          </cell>
          <cell r="X143">
            <v>3</v>
          </cell>
        </row>
        <row r="144">
          <cell r="I144" t="str">
            <v>pHmetro</v>
          </cell>
          <cell r="M144" t="str">
            <v>Duque de Caxias-RJ</v>
          </cell>
          <cell r="N144" t="str">
            <v>Arlanxeo</v>
          </cell>
          <cell r="O144">
            <v>44643</v>
          </cell>
          <cell r="P144">
            <v>44643</v>
          </cell>
          <cell r="Q144">
            <v>44643</v>
          </cell>
          <cell r="R144" t="str">
            <v>Calibrado</v>
          </cell>
          <cell r="S144">
            <v>15872</v>
          </cell>
          <cell r="T144" t="str">
            <v>ER ANALITICA</v>
          </cell>
          <cell r="U144" t="str">
            <v xml:space="preserve"> Equipamento apresenta demasiada lentidão, indicando fim de vida útil.</v>
          </cell>
          <cell r="V144" t="str">
            <v>AGENDADO</v>
          </cell>
          <cell r="W144">
            <v>3</v>
          </cell>
          <cell r="X144">
            <v>7</v>
          </cell>
        </row>
        <row r="145">
          <cell r="I145" t="str">
            <v>Fotômetro</v>
          </cell>
          <cell r="M145" t="str">
            <v>Duque de Caxias-RJ</v>
          </cell>
          <cell r="N145" t="str">
            <v>Arlanxeo</v>
          </cell>
          <cell r="O145">
            <v>44643</v>
          </cell>
          <cell r="P145">
            <v>44643</v>
          </cell>
          <cell r="Q145">
            <v>44643</v>
          </cell>
          <cell r="R145" t="str">
            <v>Calibrado</v>
          </cell>
          <cell r="S145">
            <v>15874</v>
          </cell>
          <cell r="T145" t="str">
            <v>ER ANALITICA</v>
          </cell>
          <cell r="U145">
            <v>0</v>
          </cell>
          <cell r="V145" t="str">
            <v>AGENDADO</v>
          </cell>
          <cell r="W145">
            <v>3</v>
          </cell>
          <cell r="X145">
            <v>7</v>
          </cell>
        </row>
        <row r="146">
          <cell r="I146" t="str">
            <v>Balança Analítica</v>
          </cell>
          <cell r="M146" t="str">
            <v>Duque de Caxias-RJ</v>
          </cell>
          <cell r="N146" t="str">
            <v xml:space="preserve">Alfa Rio Química </v>
          </cell>
          <cell r="P146">
            <v>44333</v>
          </cell>
          <cell r="Q146">
            <v>44721</v>
          </cell>
          <cell r="R146" t="str">
            <v>Calibrado</v>
          </cell>
          <cell r="S146">
            <v>16777</v>
          </cell>
          <cell r="T146" t="str">
            <v>ER ANALITICA</v>
          </cell>
          <cell r="U146">
            <v>0</v>
          </cell>
          <cell r="V146" t="str">
            <v>REALIZADO</v>
          </cell>
          <cell r="W146">
            <v>6</v>
          </cell>
          <cell r="X146">
            <v>7</v>
          </cell>
        </row>
        <row r="147">
          <cell r="I147" t="str">
            <v>Balança Analítica</v>
          </cell>
          <cell r="M147" t="str">
            <v>Duque de Caxias-RJ</v>
          </cell>
          <cell r="N147" t="str">
            <v xml:space="preserve">Alfa Rio Química </v>
          </cell>
          <cell r="P147">
            <v>44333</v>
          </cell>
          <cell r="Q147">
            <v>44721</v>
          </cell>
          <cell r="R147" t="str">
            <v>Calibrado</v>
          </cell>
          <cell r="S147">
            <v>16730</v>
          </cell>
          <cell r="T147" t="str">
            <v>ER ANALITICA</v>
          </cell>
          <cell r="U147">
            <v>0</v>
          </cell>
          <cell r="V147" t="str">
            <v>REALIZADO</v>
          </cell>
          <cell r="W147">
            <v>6</v>
          </cell>
        </row>
        <row r="148">
          <cell r="I148" t="str">
            <v>pHmetro</v>
          </cell>
          <cell r="M148" t="str">
            <v>Duque de Caxias-RJ</v>
          </cell>
          <cell r="N148" t="str">
            <v xml:space="preserve">Alfa Rio Química </v>
          </cell>
          <cell r="O148">
            <v>43978</v>
          </cell>
          <cell r="P148">
            <v>44333</v>
          </cell>
          <cell r="Q148">
            <v>44721</v>
          </cell>
          <cell r="R148" t="str">
            <v>Calibrado</v>
          </cell>
          <cell r="S148">
            <v>16779</v>
          </cell>
          <cell r="T148" t="str">
            <v>ER ANALITICA</v>
          </cell>
          <cell r="U148">
            <v>0</v>
          </cell>
          <cell r="V148" t="str">
            <v>REALIZADO</v>
          </cell>
          <cell r="W148">
            <v>6</v>
          </cell>
        </row>
        <row r="149">
          <cell r="I149" t="str">
            <v>Turbidímetro</v>
          </cell>
          <cell r="M149" t="str">
            <v>Duque de Caxias-RJ</v>
          </cell>
          <cell r="N149" t="str">
            <v xml:space="preserve">Alfa Rio Química </v>
          </cell>
          <cell r="O149">
            <v>43979</v>
          </cell>
          <cell r="P149">
            <v>44333</v>
          </cell>
          <cell r="Q149">
            <v>44721</v>
          </cell>
          <cell r="R149" t="str">
            <v>Calibrado</v>
          </cell>
          <cell r="S149">
            <v>16780</v>
          </cell>
          <cell r="T149" t="str">
            <v>ER ANALITICA</v>
          </cell>
          <cell r="U149" t="str">
            <v xml:space="preserve">Carcaça superior com avarias. </v>
          </cell>
          <cell r="V149" t="str">
            <v>REALIZADO</v>
          </cell>
          <cell r="W149">
            <v>6</v>
          </cell>
          <cell r="X149">
            <v>5</v>
          </cell>
        </row>
        <row r="150">
          <cell r="I150" t="str">
            <v>Espectrofotômetro</v>
          </cell>
          <cell r="M150" t="str">
            <v>Duque de Caxias-RJ</v>
          </cell>
          <cell r="N150" t="str">
            <v xml:space="preserve">Alfa Rio Química </v>
          </cell>
          <cell r="O150">
            <v>43980</v>
          </cell>
          <cell r="P150">
            <v>44333</v>
          </cell>
          <cell r="Q150">
            <v>44721</v>
          </cell>
          <cell r="R150" t="str">
            <v>Calibrado</v>
          </cell>
          <cell r="S150">
            <v>16781</v>
          </cell>
          <cell r="T150" t="str">
            <v>ER ANALITICA</v>
          </cell>
          <cell r="U150">
            <v>0</v>
          </cell>
          <cell r="V150" t="str">
            <v>REALIZADO</v>
          </cell>
          <cell r="W150">
            <v>6</v>
          </cell>
          <cell r="X150">
            <v>5</v>
          </cell>
        </row>
        <row r="151">
          <cell r="I151" t="str">
            <v>Determinador de Umidade</v>
          </cell>
          <cell r="M151" t="str">
            <v>Duque de Caxias-RJ</v>
          </cell>
          <cell r="N151" t="str">
            <v xml:space="preserve">Alfa Rio Química </v>
          </cell>
          <cell r="O151">
            <v>44461</v>
          </cell>
          <cell r="P151">
            <v>44461</v>
          </cell>
          <cell r="Q151">
            <v>44721</v>
          </cell>
          <cell r="R151" t="str">
            <v>Calibrado</v>
          </cell>
          <cell r="S151">
            <v>16778</v>
          </cell>
          <cell r="T151" t="str">
            <v>ER ANALITICA</v>
          </cell>
          <cell r="U151">
            <v>0</v>
          </cell>
          <cell r="V151" t="str">
            <v>REALIZADO</v>
          </cell>
          <cell r="W151">
            <v>6</v>
          </cell>
          <cell r="X151">
            <v>6</v>
          </cell>
        </row>
        <row r="152">
          <cell r="I152" t="str">
            <v>Condutivímetro</v>
          </cell>
          <cell r="M152" t="str">
            <v>Itaguaí-RJ</v>
          </cell>
          <cell r="N152" t="str">
            <v>GERDAU</v>
          </cell>
          <cell r="O152">
            <v>44229</v>
          </cell>
          <cell r="P152">
            <v>44229</v>
          </cell>
          <cell r="Q152">
            <v>44642</v>
          </cell>
          <cell r="R152" t="str">
            <v>Calibrado</v>
          </cell>
          <cell r="S152">
            <v>15856</v>
          </cell>
          <cell r="T152" t="str">
            <v>ER ANALITICA</v>
          </cell>
          <cell r="U152">
            <v>0</v>
          </cell>
          <cell r="V152" t="str">
            <v>AGENDADO</v>
          </cell>
          <cell r="W152">
            <v>3</v>
          </cell>
          <cell r="X152">
            <v>6</v>
          </cell>
        </row>
        <row r="153">
          <cell r="I153" t="str">
            <v>Espectrofotômetro</v>
          </cell>
          <cell r="M153" t="str">
            <v>Itaguaí-RJ</v>
          </cell>
          <cell r="N153" t="str">
            <v>GERDAU</v>
          </cell>
          <cell r="O153">
            <v>44229</v>
          </cell>
          <cell r="P153">
            <v>44229</v>
          </cell>
          <cell r="Q153">
            <v>44642</v>
          </cell>
          <cell r="R153" t="str">
            <v>Calibrado</v>
          </cell>
          <cell r="S153">
            <v>15863</v>
          </cell>
          <cell r="T153" t="str">
            <v>ER ANALITICA</v>
          </cell>
          <cell r="U153">
            <v>0</v>
          </cell>
          <cell r="V153" t="str">
            <v>AGENDADO</v>
          </cell>
          <cell r="W153">
            <v>3</v>
          </cell>
          <cell r="X153">
            <v>6</v>
          </cell>
        </row>
        <row r="154">
          <cell r="I154" t="str">
            <v>pHmetro</v>
          </cell>
          <cell r="M154" t="str">
            <v>Itaguaí-RJ</v>
          </cell>
          <cell r="N154" t="str">
            <v>GERDAU</v>
          </cell>
          <cell r="O154">
            <v>44229</v>
          </cell>
          <cell r="P154">
            <v>44229</v>
          </cell>
          <cell r="Q154">
            <v>44642</v>
          </cell>
          <cell r="R154" t="str">
            <v>Calibrado</v>
          </cell>
          <cell r="S154">
            <v>15865</v>
          </cell>
          <cell r="T154" t="str">
            <v>ER ANALITICA</v>
          </cell>
          <cell r="U154" t="str">
            <v>Eletrodo apresenta lentidão e vida útil avançada</v>
          </cell>
          <cell r="V154" t="str">
            <v>AGENDADO</v>
          </cell>
          <cell r="W154">
            <v>3</v>
          </cell>
          <cell r="X154">
            <v>6</v>
          </cell>
        </row>
        <row r="155">
          <cell r="I155" t="str">
            <v>Turbidímetro</v>
          </cell>
          <cell r="M155" t="str">
            <v>Itaguaí-RJ</v>
          </cell>
          <cell r="N155" t="str">
            <v>GERDAU</v>
          </cell>
          <cell r="O155">
            <v>44229</v>
          </cell>
          <cell r="P155">
            <v>44229</v>
          </cell>
          <cell r="Q155">
            <v>44642</v>
          </cell>
          <cell r="R155" t="str">
            <v>Calibrado</v>
          </cell>
          <cell r="S155">
            <v>15860</v>
          </cell>
          <cell r="T155" t="str">
            <v>ER ANALITICA</v>
          </cell>
          <cell r="U155" t="str">
            <v>Contatos de pilhas oxidados e carcaça superior com vida útil avançada</v>
          </cell>
          <cell r="V155" t="str">
            <v>AGENDADO</v>
          </cell>
          <cell r="W155">
            <v>3</v>
          </cell>
          <cell r="X155">
            <v>8</v>
          </cell>
        </row>
        <row r="156">
          <cell r="I156" t="str">
            <v>Condutivímetro</v>
          </cell>
          <cell r="M156" t="str">
            <v>Itaguaí-RJ</v>
          </cell>
          <cell r="N156" t="str">
            <v>GERDAU</v>
          </cell>
          <cell r="O156">
            <v>44229</v>
          </cell>
          <cell r="P156">
            <v>44229</v>
          </cell>
          <cell r="Q156">
            <v>44642</v>
          </cell>
          <cell r="R156" t="str">
            <v>Calibrado</v>
          </cell>
          <cell r="S156">
            <v>15857</v>
          </cell>
          <cell r="T156" t="str">
            <v>ER ANALITICA</v>
          </cell>
          <cell r="U156">
            <v>0</v>
          </cell>
          <cell r="V156" t="str">
            <v>AGENDADO</v>
          </cell>
          <cell r="W156">
            <v>3</v>
          </cell>
          <cell r="X156">
            <v>8</v>
          </cell>
        </row>
        <row r="157">
          <cell r="I157" t="str">
            <v>Espectrofotômetro</v>
          </cell>
          <cell r="M157" t="str">
            <v>Itaguaí-RJ</v>
          </cell>
          <cell r="N157" t="str">
            <v>GERDAU</v>
          </cell>
          <cell r="O157">
            <v>44229</v>
          </cell>
          <cell r="P157">
            <v>44229</v>
          </cell>
          <cell r="Q157">
            <v>44642</v>
          </cell>
          <cell r="R157" t="str">
            <v>Calibrado</v>
          </cell>
          <cell r="S157">
            <v>15862</v>
          </cell>
          <cell r="T157" t="str">
            <v>ER ANALITICA</v>
          </cell>
          <cell r="U157" t="str">
            <v>Filtro óptico azul manchado.</v>
          </cell>
          <cell r="V157" t="str">
            <v>AGENDADO</v>
          </cell>
          <cell r="W157">
            <v>3</v>
          </cell>
          <cell r="X157">
            <v>8</v>
          </cell>
        </row>
        <row r="158">
          <cell r="I158" t="str">
            <v xml:space="preserve">Multiparâmetro </v>
          </cell>
          <cell r="M158" t="str">
            <v>Itaguaí-RJ</v>
          </cell>
          <cell r="N158" t="str">
            <v>GERDAU</v>
          </cell>
          <cell r="O158">
            <v>44229</v>
          </cell>
          <cell r="P158">
            <v>44229</v>
          </cell>
          <cell r="Q158">
            <v>44642</v>
          </cell>
          <cell r="R158" t="str">
            <v>Calibrado</v>
          </cell>
          <cell r="S158">
            <v>15858</v>
          </cell>
          <cell r="T158" t="str">
            <v>ER ANALITICA</v>
          </cell>
          <cell r="U158" t="str">
            <v xml:space="preserve"> Eletrodo de pH encontra-se inoperante.</v>
          </cell>
          <cell r="V158" t="str">
            <v>AGENDADO</v>
          </cell>
          <cell r="W158">
            <v>3</v>
          </cell>
          <cell r="X158">
            <v>8</v>
          </cell>
        </row>
        <row r="159">
          <cell r="I159" t="str">
            <v>pHmetro</v>
          </cell>
          <cell r="M159" t="str">
            <v>Itaguaí-RJ</v>
          </cell>
          <cell r="N159" t="str">
            <v>GERDAU</v>
          </cell>
          <cell r="O159">
            <v>44229</v>
          </cell>
          <cell r="P159">
            <v>44229</v>
          </cell>
          <cell r="Q159">
            <v>44642</v>
          </cell>
          <cell r="R159" t="str">
            <v>Calibrado</v>
          </cell>
          <cell r="S159">
            <v>15864</v>
          </cell>
          <cell r="T159" t="str">
            <v>ER ANALITICA</v>
          </cell>
          <cell r="U159">
            <v>0</v>
          </cell>
          <cell r="V159" t="str">
            <v>AGENDADO</v>
          </cell>
          <cell r="W159">
            <v>3</v>
          </cell>
          <cell r="X159">
            <v>7</v>
          </cell>
        </row>
        <row r="160">
          <cell r="I160" t="str">
            <v xml:space="preserve">Multiparâmetro </v>
          </cell>
          <cell r="M160" t="str">
            <v>Itaguaí-RJ</v>
          </cell>
          <cell r="N160" t="str">
            <v>GERDAU</v>
          </cell>
          <cell r="P160">
            <v>0</v>
          </cell>
          <cell r="Q160">
            <v>44642</v>
          </cell>
          <cell r="R160" t="str">
            <v>Calibrado</v>
          </cell>
          <cell r="S160">
            <v>15859</v>
          </cell>
          <cell r="T160" t="str">
            <v>ER ANALITICA</v>
          </cell>
          <cell r="U160" t="str">
            <v xml:space="preserve"> Eletrodo apresenta lentidão para realizar as leituras.</v>
          </cell>
          <cell r="V160" t="str">
            <v>AGENDADO</v>
          </cell>
          <cell r="W160">
            <v>3</v>
          </cell>
          <cell r="X160">
            <v>7</v>
          </cell>
        </row>
        <row r="161">
          <cell r="I161" t="str">
            <v>Turbidímetro</v>
          </cell>
          <cell r="M161" t="str">
            <v>Itaguaí-RJ</v>
          </cell>
          <cell r="N161" t="str">
            <v>GERDAU</v>
          </cell>
          <cell r="P161">
            <v>0</v>
          </cell>
          <cell r="Q161">
            <v>44642</v>
          </cell>
          <cell r="R161" t="str">
            <v>Calibrado</v>
          </cell>
          <cell r="S161">
            <v>15861</v>
          </cell>
          <cell r="T161" t="str">
            <v>ER ANALITICA</v>
          </cell>
          <cell r="U161">
            <v>0</v>
          </cell>
          <cell r="V161" t="str">
            <v>AGENDADO</v>
          </cell>
          <cell r="W161">
            <v>3</v>
          </cell>
          <cell r="X161">
            <v>5</v>
          </cell>
        </row>
        <row r="162">
          <cell r="I162" t="str">
            <v>Balança Analítica</v>
          </cell>
          <cell r="M162" t="str">
            <v>Itaguaí-RJ</v>
          </cell>
          <cell r="N162" t="str">
            <v>GERDAU</v>
          </cell>
          <cell r="P162">
            <v>0</v>
          </cell>
          <cell r="Q162">
            <v>44642</v>
          </cell>
          <cell r="R162" t="str">
            <v>Calibrado</v>
          </cell>
          <cell r="S162">
            <v>15866</v>
          </cell>
          <cell r="T162" t="str">
            <v>ER ANALITICA</v>
          </cell>
          <cell r="U162">
            <v>0</v>
          </cell>
          <cell r="V162" t="str">
            <v>AGENDADO</v>
          </cell>
          <cell r="W162">
            <v>3</v>
          </cell>
          <cell r="X162">
            <v>5</v>
          </cell>
        </row>
        <row r="163">
          <cell r="I163" t="str">
            <v>Colorímetro</v>
          </cell>
          <cell r="M163" t="str">
            <v>Macacu-RJ</v>
          </cell>
          <cell r="N163" t="str">
            <v>AMBEV</v>
          </cell>
          <cell r="O163">
            <v>44180</v>
          </cell>
          <cell r="P163">
            <v>44180</v>
          </cell>
          <cell r="Q163">
            <v>44644</v>
          </cell>
          <cell r="R163" t="str">
            <v>Calibrado</v>
          </cell>
          <cell r="S163">
            <v>15854</v>
          </cell>
          <cell r="T163" t="str">
            <v>ER ANALITICA</v>
          </cell>
          <cell r="U163">
            <v>0</v>
          </cell>
          <cell r="V163" t="str">
            <v>EM CONTATO</v>
          </cell>
          <cell r="W163">
            <v>3</v>
          </cell>
          <cell r="X163">
            <v>5</v>
          </cell>
        </row>
        <row r="164">
          <cell r="I164" t="str">
            <v>Fotômetro</v>
          </cell>
          <cell r="M164" t="str">
            <v>Rio de Janeiro-RJ</v>
          </cell>
          <cell r="N164" t="str">
            <v>Via Parque</v>
          </cell>
          <cell r="P164">
            <v>0</v>
          </cell>
          <cell r="Q164">
            <v>45013</v>
          </cell>
          <cell r="R164" t="str">
            <v>Calibrado</v>
          </cell>
          <cell r="S164">
            <v>20599</v>
          </cell>
          <cell r="T164" t="str">
            <v>ER ANALITICA</v>
          </cell>
          <cell r="U164">
            <v>0</v>
          </cell>
          <cell r="V164" t="str">
            <v>REALIZADO</v>
          </cell>
          <cell r="W164">
            <v>3</v>
          </cell>
        </row>
        <row r="165">
          <cell r="I165" t="str">
            <v xml:space="preserve">Multiparâmetro </v>
          </cell>
          <cell r="M165" t="str">
            <v>Rio de Janeiro-RJ</v>
          </cell>
          <cell r="N165" t="str">
            <v>Via Parque</v>
          </cell>
          <cell r="P165">
            <v>0</v>
          </cell>
          <cell r="Q165">
            <v>45013</v>
          </cell>
          <cell r="R165" t="str">
            <v>Calibrado</v>
          </cell>
          <cell r="S165">
            <v>20600</v>
          </cell>
          <cell r="T165" t="str">
            <v>ER ANALITICA</v>
          </cell>
          <cell r="U165">
            <v>0</v>
          </cell>
          <cell r="V165" t="str">
            <v>REALIZADO</v>
          </cell>
          <cell r="W165">
            <v>3</v>
          </cell>
        </row>
        <row r="166">
          <cell r="I166" t="str">
            <v>pHmetro</v>
          </cell>
          <cell r="M166" t="str">
            <v>Alegrete-RS</v>
          </cell>
          <cell r="P166">
            <v>44442</v>
          </cell>
          <cell r="Q166">
            <v>44876</v>
          </cell>
          <cell r="R166" t="str">
            <v>Calibrado</v>
          </cell>
          <cell r="S166">
            <v>18707</v>
          </cell>
          <cell r="T166" t="str">
            <v>ER ANALITICA</v>
          </cell>
          <cell r="U166">
            <v>0</v>
          </cell>
          <cell r="V166" t="str">
            <v>REALIZADO</v>
          </cell>
          <cell r="W166">
            <v>11</v>
          </cell>
          <cell r="X166">
            <v>5</v>
          </cell>
        </row>
        <row r="167">
          <cell r="I167" t="str">
            <v>Fotômetro</v>
          </cell>
          <cell r="M167" t="str">
            <v>Alegrete-RS</v>
          </cell>
          <cell r="P167">
            <v>0</v>
          </cell>
          <cell r="Q167">
            <v>44799</v>
          </cell>
          <cell r="R167" t="str">
            <v>Calibrado</v>
          </cell>
          <cell r="S167">
            <v>17719</v>
          </cell>
          <cell r="T167" t="str">
            <v>ER ANALITICA</v>
          </cell>
          <cell r="U167">
            <v>0</v>
          </cell>
          <cell r="V167" t="str">
            <v>REALIZADO</v>
          </cell>
          <cell r="W167">
            <v>8</v>
          </cell>
          <cell r="X167">
            <v>5</v>
          </cell>
        </row>
        <row r="168">
          <cell r="I168" t="str">
            <v xml:space="preserve">Multiparâmetro </v>
          </cell>
          <cell r="M168" t="str">
            <v>Porto Alegre-RS</v>
          </cell>
          <cell r="N168" t="str">
            <v>no fixed customer (carried by owner)</v>
          </cell>
          <cell r="P168">
            <v>0</v>
          </cell>
          <cell r="Q168">
            <v>44799</v>
          </cell>
          <cell r="R168" t="str">
            <v>Calibrado</v>
          </cell>
          <cell r="S168">
            <v>17708</v>
          </cell>
          <cell r="T168" t="str">
            <v>ER ANALITICA</v>
          </cell>
          <cell r="U168">
            <v>0</v>
          </cell>
          <cell r="V168" t="str">
            <v>REALIZADO</v>
          </cell>
          <cell r="W168">
            <v>8</v>
          </cell>
          <cell r="X168">
            <v>5</v>
          </cell>
        </row>
        <row r="169">
          <cell r="I169" t="str">
            <v>Colorímetro</v>
          </cell>
          <cell r="M169" t="str">
            <v>Porto Alegre-RS</v>
          </cell>
          <cell r="N169" t="str">
            <v>no fixed customer (carried by owner)</v>
          </cell>
          <cell r="P169">
            <v>0</v>
          </cell>
          <cell r="Q169">
            <v>44799</v>
          </cell>
          <cell r="R169" t="str">
            <v>Calibrado</v>
          </cell>
          <cell r="S169">
            <v>17707</v>
          </cell>
          <cell r="T169" t="str">
            <v>ER ANALITICA</v>
          </cell>
          <cell r="U169">
            <v>0</v>
          </cell>
          <cell r="V169" t="str">
            <v>REALIZADO</v>
          </cell>
          <cell r="W169">
            <v>8</v>
          </cell>
          <cell r="X169">
            <v>5</v>
          </cell>
        </row>
        <row r="170">
          <cell r="I170" t="str">
            <v>pHmetro</v>
          </cell>
          <cell r="M170" t="str">
            <v>Porto Alegre-RS</v>
          </cell>
          <cell r="N170" t="str">
            <v>no fixed customer (carried by owner)</v>
          </cell>
          <cell r="P170">
            <v>0</v>
          </cell>
          <cell r="Q170">
            <v>44799</v>
          </cell>
          <cell r="R170" t="str">
            <v>Calibrado</v>
          </cell>
          <cell r="S170">
            <v>17711</v>
          </cell>
          <cell r="T170" t="str">
            <v>ER ANALITICA</v>
          </cell>
          <cell r="U170">
            <v>0</v>
          </cell>
          <cell r="V170" t="str">
            <v>REALIZADO</v>
          </cell>
          <cell r="W170">
            <v>8</v>
          </cell>
          <cell r="X170">
            <v>8</v>
          </cell>
        </row>
        <row r="171">
          <cell r="I171" t="str">
            <v>Espectrofotômetro</v>
          </cell>
          <cell r="M171" t="str">
            <v>Porto Alegre-RS</v>
          </cell>
          <cell r="N171" t="str">
            <v>no fixed customer (carried by owner)</v>
          </cell>
          <cell r="P171">
            <v>0</v>
          </cell>
          <cell r="Q171">
            <v>44799</v>
          </cell>
          <cell r="R171" t="str">
            <v>Calibrado</v>
          </cell>
          <cell r="S171">
            <v>17709</v>
          </cell>
          <cell r="T171" t="str">
            <v>ER ANALITICA</v>
          </cell>
          <cell r="U171">
            <v>0</v>
          </cell>
          <cell r="V171" t="str">
            <v>REALIZADO</v>
          </cell>
          <cell r="W171">
            <v>8</v>
          </cell>
          <cell r="X171">
            <v>8</v>
          </cell>
        </row>
        <row r="172">
          <cell r="I172" t="str">
            <v>pHmetro</v>
          </cell>
          <cell r="M172" t="str">
            <v>Porto Alegre-RS</v>
          </cell>
          <cell r="N172" t="str">
            <v>no fixed customer (carried by owner)</v>
          </cell>
          <cell r="P172">
            <v>0</v>
          </cell>
          <cell r="Q172">
            <v>44799</v>
          </cell>
          <cell r="R172" t="str">
            <v>Calibrado</v>
          </cell>
          <cell r="S172">
            <v>17710</v>
          </cell>
          <cell r="T172" t="str">
            <v>ER ANALITICA</v>
          </cell>
          <cell r="U172">
            <v>0</v>
          </cell>
          <cell r="V172" t="str">
            <v>REALIZADO</v>
          </cell>
          <cell r="W172">
            <v>8</v>
          </cell>
          <cell r="X172">
            <v>8</v>
          </cell>
        </row>
        <row r="173">
          <cell r="I173" t="str">
            <v>Condutivímetro</v>
          </cell>
          <cell r="M173" t="str">
            <v>Porto Alegre-RS</v>
          </cell>
          <cell r="N173" t="str">
            <v>no fixed customer (carried by owner)</v>
          </cell>
          <cell r="P173">
            <v>0</v>
          </cell>
          <cell r="Q173">
            <v>44799</v>
          </cell>
          <cell r="R173" t="str">
            <v>Calibrado</v>
          </cell>
          <cell r="S173">
            <v>17712</v>
          </cell>
          <cell r="T173" t="str">
            <v>ER ANALITICA</v>
          </cell>
          <cell r="U173">
            <v>0</v>
          </cell>
          <cell r="V173" t="str">
            <v>REALIZADO</v>
          </cell>
          <cell r="W173">
            <v>8</v>
          </cell>
          <cell r="X173">
            <v>8</v>
          </cell>
        </row>
        <row r="174">
          <cell r="I174" t="str">
            <v>Condutivímetro</v>
          </cell>
          <cell r="M174" t="str">
            <v>Triunfo-RS</v>
          </cell>
          <cell r="N174" t="str">
            <v>Braskem</v>
          </cell>
          <cell r="O174">
            <v>44055</v>
          </cell>
          <cell r="P174">
            <v>44424</v>
          </cell>
          <cell r="Q174">
            <v>44799</v>
          </cell>
          <cell r="R174" t="str">
            <v>Calibrado</v>
          </cell>
          <cell r="S174">
            <v>17694</v>
          </cell>
          <cell r="T174" t="str">
            <v>ER ANALITICA</v>
          </cell>
          <cell r="U174">
            <v>0</v>
          </cell>
          <cell r="V174" t="str">
            <v>REALIZADO</v>
          </cell>
          <cell r="W174">
            <v>8</v>
          </cell>
          <cell r="X174">
            <v>8</v>
          </cell>
        </row>
        <row r="175">
          <cell r="I175" t="str">
            <v>Balança Analítica</v>
          </cell>
          <cell r="M175" t="str">
            <v>Triunfo-RS</v>
          </cell>
          <cell r="N175" t="str">
            <v>Braskem</v>
          </cell>
          <cell r="O175">
            <v>44056</v>
          </cell>
          <cell r="P175">
            <v>44426</v>
          </cell>
          <cell r="Q175">
            <v>44799</v>
          </cell>
          <cell r="R175" t="str">
            <v>Calibrado</v>
          </cell>
          <cell r="S175">
            <v>17700</v>
          </cell>
          <cell r="T175" t="str">
            <v>ER ANALITICA</v>
          </cell>
          <cell r="U175">
            <v>0</v>
          </cell>
          <cell r="V175" t="str">
            <v>REALIZADO</v>
          </cell>
          <cell r="W175">
            <v>8</v>
          </cell>
          <cell r="X175">
            <v>8</v>
          </cell>
        </row>
        <row r="176">
          <cell r="I176" t="str">
            <v>Colorímetro</v>
          </cell>
          <cell r="M176" t="str">
            <v>Triunfo-RS</v>
          </cell>
          <cell r="N176" t="str">
            <v>Braskem</v>
          </cell>
          <cell r="O176">
            <v>44056</v>
          </cell>
          <cell r="P176">
            <v>44424</v>
          </cell>
          <cell r="Q176">
            <v>44799</v>
          </cell>
          <cell r="R176" t="str">
            <v>Calibrado</v>
          </cell>
          <cell r="S176">
            <v>17702</v>
          </cell>
          <cell r="T176" t="str">
            <v>ER ANALITICA</v>
          </cell>
          <cell r="U176">
            <v>0</v>
          </cell>
          <cell r="V176" t="str">
            <v>REALIZADO</v>
          </cell>
          <cell r="W176">
            <v>8</v>
          </cell>
          <cell r="X176">
            <v>3</v>
          </cell>
        </row>
        <row r="177">
          <cell r="I177" t="str">
            <v>Colorímetro</v>
          </cell>
          <cell r="M177" t="str">
            <v>Triunfo-RS</v>
          </cell>
          <cell r="N177" t="str">
            <v>Braskem</v>
          </cell>
          <cell r="O177">
            <v>44056</v>
          </cell>
          <cell r="P177">
            <v>44424</v>
          </cell>
          <cell r="Q177">
            <v>44796</v>
          </cell>
          <cell r="R177" t="str">
            <v>Calibrado</v>
          </cell>
          <cell r="S177">
            <v>17715</v>
          </cell>
          <cell r="T177" t="str">
            <v>ER ANALITICA</v>
          </cell>
          <cell r="U177">
            <v>0</v>
          </cell>
          <cell r="V177" t="str">
            <v>REALIZADO</v>
          </cell>
          <cell r="W177">
            <v>8</v>
          </cell>
          <cell r="X177">
            <v>3</v>
          </cell>
        </row>
        <row r="178">
          <cell r="I178" t="str">
            <v>Condutivímetro</v>
          </cell>
          <cell r="M178" t="str">
            <v>Triunfo-RS</v>
          </cell>
          <cell r="N178" t="str">
            <v>Braskem</v>
          </cell>
          <cell r="O178">
            <v>44056</v>
          </cell>
          <cell r="P178">
            <v>44424</v>
          </cell>
          <cell r="Q178">
            <v>44799</v>
          </cell>
          <cell r="R178" t="str">
            <v>Calibrado</v>
          </cell>
          <cell r="S178">
            <v>17695</v>
          </cell>
          <cell r="T178" t="str">
            <v>ER ANALITICA</v>
          </cell>
          <cell r="U178">
            <v>0</v>
          </cell>
          <cell r="V178" t="str">
            <v>REALIZADO</v>
          </cell>
          <cell r="W178">
            <v>8</v>
          </cell>
          <cell r="X178">
            <v>3</v>
          </cell>
        </row>
        <row r="179">
          <cell r="I179" t="str">
            <v>Espectrofotômetro</v>
          </cell>
          <cell r="M179" t="str">
            <v>Triunfo-RS</v>
          </cell>
          <cell r="N179" t="str">
            <v>Braskem</v>
          </cell>
          <cell r="O179">
            <v>44056</v>
          </cell>
          <cell r="P179">
            <v>44453</v>
          </cell>
          <cell r="Q179">
            <v>44799</v>
          </cell>
          <cell r="R179" t="str">
            <v>Calibrado</v>
          </cell>
          <cell r="S179">
            <v>17701</v>
          </cell>
          <cell r="T179" t="str">
            <v>ER ANALITICA</v>
          </cell>
          <cell r="U179">
            <v>0</v>
          </cell>
          <cell r="V179" t="str">
            <v>REALIZADO</v>
          </cell>
          <cell r="W179">
            <v>8</v>
          </cell>
          <cell r="X179">
            <v>3</v>
          </cell>
        </row>
        <row r="180">
          <cell r="I180" t="str">
            <v xml:space="preserve">Multiparâmetro </v>
          </cell>
          <cell r="M180" t="str">
            <v>Triunfo-RS</v>
          </cell>
          <cell r="N180" t="str">
            <v>Braskem</v>
          </cell>
          <cell r="O180">
            <v>44056</v>
          </cell>
          <cell r="P180">
            <v>44424</v>
          </cell>
          <cell r="Q180">
            <v>44799</v>
          </cell>
          <cell r="R180" t="str">
            <v>Calibrado</v>
          </cell>
          <cell r="S180">
            <v>17696</v>
          </cell>
          <cell r="T180" t="str">
            <v>ER ANALITICA</v>
          </cell>
          <cell r="U180">
            <v>0</v>
          </cell>
          <cell r="V180" t="str">
            <v>REALIZADO</v>
          </cell>
          <cell r="W180">
            <v>8</v>
          </cell>
          <cell r="X180">
            <v>8</v>
          </cell>
        </row>
        <row r="181">
          <cell r="I181" t="str">
            <v>pHmetro</v>
          </cell>
          <cell r="M181" t="str">
            <v>Triunfo-RS</v>
          </cell>
          <cell r="N181" t="str">
            <v>Braskem</v>
          </cell>
          <cell r="O181">
            <v>44056</v>
          </cell>
          <cell r="P181">
            <v>44424</v>
          </cell>
          <cell r="Q181">
            <v>44799</v>
          </cell>
          <cell r="R181" t="str">
            <v>Calibrado</v>
          </cell>
          <cell r="S181">
            <v>17722</v>
          </cell>
          <cell r="T181" t="str">
            <v>ER ANALITICA</v>
          </cell>
          <cell r="U181">
            <v>0</v>
          </cell>
          <cell r="V181" t="str">
            <v>REALIZADO</v>
          </cell>
          <cell r="W181">
            <v>8</v>
          </cell>
          <cell r="X181">
            <v>8</v>
          </cell>
        </row>
        <row r="182">
          <cell r="I182" t="str">
            <v>pHmetro</v>
          </cell>
          <cell r="M182" t="str">
            <v>Triunfo-RS</v>
          </cell>
          <cell r="N182" t="str">
            <v>Braskem</v>
          </cell>
          <cell r="O182">
            <v>44056</v>
          </cell>
          <cell r="P182">
            <v>44424</v>
          </cell>
          <cell r="Q182">
            <v>44799</v>
          </cell>
          <cell r="R182" t="str">
            <v>Calibrado</v>
          </cell>
          <cell r="S182">
            <v>17705</v>
          </cell>
          <cell r="T182" t="str">
            <v>ER ANALITICA</v>
          </cell>
          <cell r="U182">
            <v>0</v>
          </cell>
          <cell r="V182" t="str">
            <v>REALIZADO</v>
          </cell>
          <cell r="W182">
            <v>8</v>
          </cell>
          <cell r="X182">
            <v>8</v>
          </cell>
        </row>
        <row r="183">
          <cell r="I183" t="str">
            <v>pHmetro</v>
          </cell>
          <cell r="M183" t="str">
            <v>Triunfo-RS</v>
          </cell>
          <cell r="N183" t="str">
            <v>Braskem</v>
          </cell>
          <cell r="O183">
            <v>44056</v>
          </cell>
          <cell r="P183">
            <v>44424</v>
          </cell>
          <cell r="Q183">
            <v>44799</v>
          </cell>
          <cell r="R183" t="str">
            <v>Calibrado</v>
          </cell>
          <cell r="S183">
            <v>17686</v>
          </cell>
          <cell r="T183" t="str">
            <v>ER ANALITICA</v>
          </cell>
          <cell r="U183">
            <v>0</v>
          </cell>
          <cell r="V183" t="str">
            <v>REALIZADO</v>
          </cell>
          <cell r="W183">
            <v>8</v>
          </cell>
          <cell r="X183">
            <v>8</v>
          </cell>
        </row>
        <row r="184">
          <cell r="I184" t="str">
            <v>Reator DQO</v>
          </cell>
          <cell r="M184" t="str">
            <v>Triunfo-RS</v>
          </cell>
          <cell r="N184" t="str">
            <v>Braskem</v>
          </cell>
          <cell r="O184">
            <v>44056</v>
          </cell>
          <cell r="P184">
            <v>44426</v>
          </cell>
          <cell r="Q184">
            <v>44799</v>
          </cell>
          <cell r="R184" t="str">
            <v>Calibrado</v>
          </cell>
          <cell r="S184">
            <v>17699</v>
          </cell>
          <cell r="T184" t="str">
            <v>ER ANALITICA</v>
          </cell>
          <cell r="U184">
            <v>0</v>
          </cell>
          <cell r="V184" t="str">
            <v>REALIZADO</v>
          </cell>
          <cell r="W184">
            <v>8</v>
          </cell>
          <cell r="X184">
            <v>9</v>
          </cell>
        </row>
        <row r="185">
          <cell r="I185" t="str">
            <v>pHmetro</v>
          </cell>
          <cell r="M185" t="str">
            <v>Triunfo-RS</v>
          </cell>
          <cell r="N185" t="str">
            <v>Braskem</v>
          </cell>
          <cell r="P185">
            <v>44424</v>
          </cell>
          <cell r="Q185">
            <v>44799</v>
          </cell>
          <cell r="R185" t="str">
            <v>Calibrado</v>
          </cell>
          <cell r="S185">
            <v>17689</v>
          </cell>
          <cell r="T185" t="str">
            <v>ER ANALITICA</v>
          </cell>
          <cell r="U185">
            <v>0</v>
          </cell>
          <cell r="V185" t="str">
            <v>REALIZADO</v>
          </cell>
          <cell r="W185">
            <v>8</v>
          </cell>
          <cell r="X185">
            <v>9</v>
          </cell>
        </row>
        <row r="186">
          <cell r="I186" t="str">
            <v>pHmetro</v>
          </cell>
          <cell r="M186" t="str">
            <v>Triunfo-RS</v>
          </cell>
          <cell r="N186" t="str">
            <v>Braskem</v>
          </cell>
          <cell r="P186">
            <v>44424</v>
          </cell>
          <cell r="Q186">
            <v>44796</v>
          </cell>
          <cell r="R186" t="str">
            <v>Calibrado</v>
          </cell>
          <cell r="S186">
            <v>17713</v>
          </cell>
          <cell r="T186" t="str">
            <v>ER ANALITICA</v>
          </cell>
          <cell r="U186">
            <v>0</v>
          </cell>
          <cell r="V186" t="str">
            <v>REALIZADO</v>
          </cell>
          <cell r="W186">
            <v>8</v>
          </cell>
          <cell r="X186">
            <v>9</v>
          </cell>
        </row>
        <row r="187">
          <cell r="I187" t="str">
            <v xml:space="preserve">Multiparâmetro </v>
          </cell>
          <cell r="M187" t="str">
            <v>Triunfo-RS</v>
          </cell>
          <cell r="N187" t="str">
            <v>Braskem</v>
          </cell>
          <cell r="P187">
            <v>44424</v>
          </cell>
          <cell r="Q187">
            <v>44799</v>
          </cell>
          <cell r="R187" t="str">
            <v>Calibrado</v>
          </cell>
          <cell r="S187">
            <v>17724</v>
          </cell>
          <cell r="T187" t="str">
            <v>ER ANALITICA</v>
          </cell>
          <cell r="U187" t="str">
            <v>Instrumento liberao com restrição, eletrodo com lentidão. Porém, aceitou a calibração</v>
          </cell>
          <cell r="V187" t="str">
            <v>REALIZADO</v>
          </cell>
          <cell r="W187">
            <v>8</v>
          </cell>
          <cell r="X187">
            <v>9</v>
          </cell>
        </row>
        <row r="188">
          <cell r="I188" t="str">
            <v>Espectrofotômetro</v>
          </cell>
          <cell r="M188" t="str">
            <v>Triunfo-RS</v>
          </cell>
          <cell r="N188" t="str">
            <v>Braskem</v>
          </cell>
          <cell r="P188">
            <v>44424</v>
          </cell>
          <cell r="Q188">
            <v>44799</v>
          </cell>
          <cell r="R188" t="str">
            <v>Calibrado</v>
          </cell>
          <cell r="S188">
            <v>17721</v>
          </cell>
          <cell r="T188" t="str">
            <v>ER ANALITICA</v>
          </cell>
          <cell r="U188" t="str">
            <v>Instrumento liberado com restrição, filtros opticos BG370 e OG570 (Redondos) com oxidação</v>
          </cell>
          <cell r="V188" t="str">
            <v>REALIZADO</v>
          </cell>
          <cell r="W188">
            <v>8</v>
          </cell>
          <cell r="X188">
            <v>9</v>
          </cell>
        </row>
        <row r="189">
          <cell r="I189" t="str">
            <v>Condutivímetro</v>
          </cell>
          <cell r="M189" t="str">
            <v>Triunfo-RS</v>
          </cell>
          <cell r="N189" t="str">
            <v>Braskem</v>
          </cell>
          <cell r="P189">
            <v>44424</v>
          </cell>
          <cell r="Q189">
            <v>44796</v>
          </cell>
          <cell r="R189" t="str">
            <v>Calibrado</v>
          </cell>
          <cell r="S189">
            <v>17714</v>
          </cell>
          <cell r="T189" t="str">
            <v>ER ANALITICA</v>
          </cell>
          <cell r="U189">
            <v>0</v>
          </cell>
          <cell r="V189" t="str">
            <v>REALIZADO</v>
          </cell>
          <cell r="W189">
            <v>8</v>
          </cell>
          <cell r="X189">
            <v>9</v>
          </cell>
        </row>
        <row r="190">
          <cell r="I190" t="str">
            <v xml:space="preserve">Multiparâmetro </v>
          </cell>
          <cell r="M190" t="str">
            <v>Triunfo-RS</v>
          </cell>
          <cell r="N190" t="str">
            <v>Braskem</v>
          </cell>
          <cell r="P190">
            <v>0</v>
          </cell>
          <cell r="Q190">
            <v>44796</v>
          </cell>
          <cell r="R190" t="str">
            <v>Calibrado</v>
          </cell>
          <cell r="S190">
            <v>17716</v>
          </cell>
          <cell r="T190" t="str">
            <v>ER ANALITICA</v>
          </cell>
          <cell r="U190">
            <v>0</v>
          </cell>
          <cell r="V190" t="str">
            <v>REALIZADO</v>
          </cell>
          <cell r="W190">
            <v>8</v>
          </cell>
          <cell r="X190">
            <v>9</v>
          </cell>
        </row>
        <row r="191">
          <cell r="I191" t="str">
            <v>Fotômetro</v>
          </cell>
          <cell r="M191" t="str">
            <v>Triunfo-RS</v>
          </cell>
          <cell r="N191" t="str">
            <v>Braskem</v>
          </cell>
          <cell r="P191">
            <v>0</v>
          </cell>
          <cell r="Q191">
            <v>44796</v>
          </cell>
          <cell r="R191" t="str">
            <v>Calibrado</v>
          </cell>
          <cell r="S191">
            <v>17717</v>
          </cell>
          <cell r="T191" t="str">
            <v>ER ANALITICA</v>
          </cell>
          <cell r="U191">
            <v>0</v>
          </cell>
          <cell r="V191" t="str">
            <v>REALIZADO</v>
          </cell>
          <cell r="W191">
            <v>8</v>
          </cell>
          <cell r="X191">
            <v>9</v>
          </cell>
        </row>
        <row r="192">
          <cell r="I192" t="str">
            <v>pHmetro</v>
          </cell>
          <cell r="M192" t="str">
            <v>Triunfo-RS</v>
          </cell>
          <cell r="N192" t="str">
            <v>Braskem</v>
          </cell>
          <cell r="P192">
            <v>0</v>
          </cell>
          <cell r="Q192">
            <v>44799</v>
          </cell>
          <cell r="R192" t="str">
            <v>Calibrado</v>
          </cell>
          <cell r="S192">
            <v>17687</v>
          </cell>
          <cell r="T192" t="str">
            <v>ER ANALITICA</v>
          </cell>
          <cell r="U192">
            <v>0</v>
          </cell>
          <cell r="V192" t="str">
            <v>REALIZADO</v>
          </cell>
          <cell r="W192">
            <v>8</v>
          </cell>
          <cell r="X192">
            <v>9</v>
          </cell>
        </row>
        <row r="193">
          <cell r="I193" t="str">
            <v>Turbidímetro</v>
          </cell>
          <cell r="M193" t="str">
            <v>Triunfo-RS</v>
          </cell>
          <cell r="N193" t="str">
            <v>Braskem</v>
          </cell>
          <cell r="P193">
            <v>0</v>
          </cell>
          <cell r="Q193">
            <v>44799</v>
          </cell>
          <cell r="R193" t="str">
            <v>Calibrado</v>
          </cell>
          <cell r="S193">
            <v>17703</v>
          </cell>
          <cell r="T193" t="str">
            <v>ER ANALITICA</v>
          </cell>
          <cell r="U193">
            <v>0</v>
          </cell>
          <cell r="V193" t="str">
            <v>REALIZADO</v>
          </cell>
          <cell r="W193">
            <v>8</v>
          </cell>
          <cell r="X193">
            <v>9</v>
          </cell>
        </row>
        <row r="194">
          <cell r="I194" t="str">
            <v>Espectrofotômetro</v>
          </cell>
          <cell r="M194" t="str">
            <v>Triunfo-RS</v>
          </cell>
          <cell r="N194" t="str">
            <v>Braskem</v>
          </cell>
          <cell r="O194">
            <v>44054</v>
          </cell>
          <cell r="P194">
            <v>44424</v>
          </cell>
          <cell r="Q194">
            <v>44799</v>
          </cell>
          <cell r="R194" t="str">
            <v>Calibrado</v>
          </cell>
          <cell r="S194">
            <v>17704</v>
          </cell>
          <cell r="T194" t="str">
            <v>ER ANALITICA</v>
          </cell>
          <cell r="U194">
            <v>0</v>
          </cell>
          <cell r="V194" t="str">
            <v>REALIZADO</v>
          </cell>
          <cell r="W194">
            <v>8</v>
          </cell>
          <cell r="X194">
            <v>9</v>
          </cell>
        </row>
        <row r="195">
          <cell r="I195" t="str">
            <v xml:space="preserve">Multiparâmetro </v>
          </cell>
          <cell r="M195" t="str">
            <v>Triunfo-RS</v>
          </cell>
          <cell r="N195" t="str">
            <v>Braskem</v>
          </cell>
          <cell r="P195">
            <v>0</v>
          </cell>
          <cell r="Q195">
            <v>44799</v>
          </cell>
          <cell r="R195" t="str">
            <v>Calibrado</v>
          </cell>
          <cell r="S195">
            <v>17723</v>
          </cell>
          <cell r="T195" t="str">
            <v>ER ANALITICA</v>
          </cell>
          <cell r="U195">
            <v>0</v>
          </cell>
          <cell r="V195" t="str">
            <v>REALIZADO</v>
          </cell>
          <cell r="W195">
            <v>8</v>
          </cell>
          <cell r="X195">
            <v>9</v>
          </cell>
        </row>
        <row r="196">
          <cell r="I196" t="str">
            <v>Turbidímetro</v>
          </cell>
          <cell r="M196" t="str">
            <v>Triunfo-RS</v>
          </cell>
          <cell r="N196" t="str">
            <v>Braskem</v>
          </cell>
          <cell r="P196">
            <v>0</v>
          </cell>
          <cell r="Q196">
            <v>44799</v>
          </cell>
          <cell r="R196" t="str">
            <v>Calibrado</v>
          </cell>
          <cell r="S196">
            <v>17725</v>
          </cell>
          <cell r="T196" t="str">
            <v>ER ANALITICA</v>
          </cell>
          <cell r="U196">
            <v>0</v>
          </cell>
          <cell r="V196" t="str">
            <v>REALIZADO</v>
          </cell>
          <cell r="W196">
            <v>8</v>
          </cell>
          <cell r="X196">
            <v>9</v>
          </cell>
        </row>
        <row r="197">
          <cell r="I197" t="str">
            <v>Fotômetro</v>
          </cell>
          <cell r="M197" t="str">
            <v>Triunfo-RS</v>
          </cell>
          <cell r="N197" t="str">
            <v>Braskem</v>
          </cell>
          <cell r="P197">
            <v>0</v>
          </cell>
          <cell r="Q197">
            <v>44799</v>
          </cell>
          <cell r="R197" t="str">
            <v>Calibrado</v>
          </cell>
          <cell r="S197">
            <v>17726</v>
          </cell>
          <cell r="T197" t="str">
            <v>ER ANALITICA</v>
          </cell>
          <cell r="U197">
            <v>0</v>
          </cell>
          <cell r="V197" t="str">
            <v>REALIZADO</v>
          </cell>
          <cell r="W197">
            <v>8</v>
          </cell>
          <cell r="X197">
            <v>9</v>
          </cell>
        </row>
        <row r="198">
          <cell r="I198" t="str">
            <v>Condutivímetro</v>
          </cell>
          <cell r="M198" t="str">
            <v>Triunfo-RS</v>
          </cell>
          <cell r="N198" t="str">
            <v>Braskem</v>
          </cell>
          <cell r="P198">
            <v>44333</v>
          </cell>
          <cell r="Q198">
            <v>44799</v>
          </cell>
          <cell r="R198" t="str">
            <v>Calibrado</v>
          </cell>
          <cell r="S198">
            <v>17693</v>
          </cell>
          <cell r="T198" t="str">
            <v>ER ANALITICA</v>
          </cell>
          <cell r="U198">
            <v>0</v>
          </cell>
          <cell r="V198" t="str">
            <v>REALIZADO</v>
          </cell>
          <cell r="W198">
            <v>8</v>
          </cell>
          <cell r="X198">
            <v>9</v>
          </cell>
        </row>
        <row r="199">
          <cell r="I199" t="str">
            <v>pHmetro</v>
          </cell>
          <cell r="M199" t="str">
            <v>Triunfo-RS</v>
          </cell>
          <cell r="N199" t="str">
            <v>Braskem</v>
          </cell>
          <cell r="P199">
            <v>44424</v>
          </cell>
          <cell r="Q199">
            <v>44799</v>
          </cell>
          <cell r="R199" t="str">
            <v>Calibrado</v>
          </cell>
          <cell r="S199">
            <v>17688</v>
          </cell>
          <cell r="T199" t="str">
            <v>ER ANALITICA</v>
          </cell>
          <cell r="U199" t="str">
            <v>Instrumento liberado com restrição, eletrodo com vida útil avançada.</v>
          </cell>
          <cell r="V199" t="str">
            <v>REALIZADO</v>
          </cell>
          <cell r="W199">
            <v>8</v>
          </cell>
          <cell r="X199">
            <v>11</v>
          </cell>
        </row>
        <row r="200">
          <cell r="I200" t="str">
            <v>Condutivímetro</v>
          </cell>
          <cell r="M200" t="str">
            <v>Triunfo-RS</v>
          </cell>
          <cell r="N200" t="str">
            <v>Braskem</v>
          </cell>
          <cell r="P200">
            <v>0</v>
          </cell>
          <cell r="Q200">
            <v>44799</v>
          </cell>
          <cell r="R200" t="str">
            <v>Calibrado</v>
          </cell>
          <cell r="S200">
            <v>17697</v>
          </cell>
          <cell r="T200" t="str">
            <v>ER ANALITICA</v>
          </cell>
          <cell r="U200" t="str">
            <v xml:space="preserve"> Instrumento liberado com restrição, eletrodo de pH com extrema lentidão</v>
          </cell>
          <cell r="V200" t="str">
            <v>REALIZADO</v>
          </cell>
          <cell r="W200">
            <v>8</v>
          </cell>
          <cell r="X200">
            <v>11</v>
          </cell>
        </row>
        <row r="201">
          <cell r="I201" t="str">
            <v>Condutivímetro</v>
          </cell>
          <cell r="M201" t="str">
            <v>Uruguaiana-RS</v>
          </cell>
          <cell r="N201" t="str">
            <v>AES</v>
          </cell>
          <cell r="O201">
            <v>44054</v>
          </cell>
          <cell r="P201">
            <v>44442</v>
          </cell>
          <cell r="Q201">
            <v>44823</v>
          </cell>
          <cell r="R201" t="str">
            <v>Calibrado</v>
          </cell>
          <cell r="S201">
            <v>18193</v>
          </cell>
          <cell r="T201" t="str">
            <v>ER ANALITICA</v>
          </cell>
          <cell r="U201">
            <v>0</v>
          </cell>
          <cell r="V201" t="str">
            <v>REALIZADO</v>
          </cell>
          <cell r="W201">
            <v>9</v>
          </cell>
          <cell r="X201">
            <v>3</v>
          </cell>
        </row>
        <row r="202">
          <cell r="I202" t="str">
            <v>pHmetro</v>
          </cell>
          <cell r="M202" t="str">
            <v>Uruguaiana-RS</v>
          </cell>
          <cell r="N202" t="str">
            <v>AES</v>
          </cell>
          <cell r="O202">
            <v>44054</v>
          </cell>
          <cell r="P202">
            <v>44442</v>
          </cell>
          <cell r="Q202">
            <v>44823</v>
          </cell>
          <cell r="R202" t="str">
            <v>Calibrado</v>
          </cell>
          <cell r="S202">
            <v>18194</v>
          </cell>
          <cell r="T202" t="str">
            <v>ER ANALITICA</v>
          </cell>
          <cell r="U202">
            <v>0</v>
          </cell>
          <cell r="V202" t="str">
            <v>REALIZADO</v>
          </cell>
          <cell r="W202">
            <v>9</v>
          </cell>
          <cell r="X202">
            <v>3</v>
          </cell>
        </row>
        <row r="203">
          <cell r="I203" t="str">
            <v>pHmetro</v>
          </cell>
          <cell r="M203" t="str">
            <v>Uruguaiana-RS</v>
          </cell>
          <cell r="N203" t="str">
            <v>AES</v>
          </cell>
          <cell r="O203">
            <v>44054</v>
          </cell>
          <cell r="P203">
            <v>44442</v>
          </cell>
          <cell r="Q203">
            <v>44823</v>
          </cell>
          <cell r="R203" t="str">
            <v>Calibrado</v>
          </cell>
          <cell r="S203">
            <v>18196</v>
          </cell>
          <cell r="T203" t="str">
            <v>ER ANALITICA</v>
          </cell>
          <cell r="U203">
            <v>0</v>
          </cell>
          <cell r="V203" t="str">
            <v>REALIZADO</v>
          </cell>
          <cell r="W203">
            <v>9</v>
          </cell>
          <cell r="X203">
            <v>3</v>
          </cell>
        </row>
        <row r="204">
          <cell r="I204" t="str">
            <v>Espectrofotômetro</v>
          </cell>
          <cell r="M204" t="str">
            <v>Uruguaiana-RS</v>
          </cell>
          <cell r="N204" t="str">
            <v>AES</v>
          </cell>
          <cell r="O204">
            <v>44054</v>
          </cell>
          <cell r="P204">
            <v>44442</v>
          </cell>
          <cell r="Q204">
            <v>44823</v>
          </cell>
          <cell r="R204" t="str">
            <v>Calibrado</v>
          </cell>
          <cell r="S204">
            <v>18197</v>
          </cell>
          <cell r="T204" t="str">
            <v>ER ANALITICA</v>
          </cell>
          <cell r="U204">
            <v>0</v>
          </cell>
          <cell r="V204" t="str">
            <v>REALIZADO</v>
          </cell>
          <cell r="W204">
            <v>9</v>
          </cell>
        </row>
        <row r="205">
          <cell r="I205" t="str">
            <v xml:space="preserve">Multiparâmetro </v>
          </cell>
          <cell r="M205" t="str">
            <v>Uruguaiana-RS</v>
          </cell>
          <cell r="N205" t="str">
            <v>AES</v>
          </cell>
          <cell r="O205">
            <v>44054</v>
          </cell>
          <cell r="P205">
            <v>44442</v>
          </cell>
          <cell r="Q205">
            <v>44823</v>
          </cell>
          <cell r="R205" t="str">
            <v>Calibrado</v>
          </cell>
          <cell r="S205">
            <v>18198</v>
          </cell>
          <cell r="T205" t="str">
            <v>ER ANALITICA</v>
          </cell>
          <cell r="U205">
            <v>0</v>
          </cell>
          <cell r="V205" t="str">
            <v>REALIZADO</v>
          </cell>
          <cell r="W205">
            <v>9</v>
          </cell>
        </row>
        <row r="206">
          <cell r="I206" t="str">
            <v>Fotômetro</v>
          </cell>
          <cell r="M206" t="str">
            <v>Jaraguá do Sul-SC</v>
          </cell>
          <cell r="N206" t="str">
            <v>no fixed customer (carried by owner)</v>
          </cell>
          <cell r="P206">
            <v>0</v>
          </cell>
          <cell r="Q206">
            <v>44761</v>
          </cell>
          <cell r="R206" t="str">
            <v>Calibrado</v>
          </cell>
          <cell r="S206">
            <v>17437</v>
          </cell>
          <cell r="T206" t="str">
            <v>ER ANALITICA</v>
          </cell>
          <cell r="U206">
            <v>0</v>
          </cell>
          <cell r="V206" t="str">
            <v>REALIZADO</v>
          </cell>
          <cell r="W206">
            <v>7</v>
          </cell>
        </row>
        <row r="207">
          <cell r="I207" t="str">
            <v xml:space="preserve">Multiparâmetro </v>
          </cell>
          <cell r="M207" t="str">
            <v>Jaraguá do Sul-SC</v>
          </cell>
          <cell r="N207" t="str">
            <v>no fixed customer (carried by owner)</v>
          </cell>
          <cell r="P207">
            <v>0</v>
          </cell>
          <cell r="Q207">
            <v>44761</v>
          </cell>
          <cell r="R207" t="str">
            <v>Calibrado</v>
          </cell>
          <cell r="S207">
            <v>17439</v>
          </cell>
          <cell r="T207" t="str">
            <v>ER ANALITICA</v>
          </cell>
          <cell r="U207" t="str">
            <v>Eletrôdo do instrumento encontra-se avariado, impossibilitando o ajuste na escala de pH, liberado somente para uso na escala de condutívidade</v>
          </cell>
          <cell r="V207" t="str">
            <v>REALIZADO</v>
          </cell>
          <cell r="W207">
            <v>7</v>
          </cell>
        </row>
        <row r="208">
          <cell r="I208" t="str">
            <v xml:space="preserve">Multiparâmetro </v>
          </cell>
          <cell r="M208" t="str">
            <v>Jaraguá do Sul-SC</v>
          </cell>
          <cell r="N208" t="str">
            <v>no fixed customer (carried by owner)</v>
          </cell>
          <cell r="P208">
            <v>0</v>
          </cell>
          <cell r="Q208">
            <v>44761</v>
          </cell>
          <cell r="R208" t="str">
            <v>Calibrado</v>
          </cell>
          <cell r="S208">
            <v>17434</v>
          </cell>
          <cell r="T208" t="str">
            <v>ER ANALITICA</v>
          </cell>
          <cell r="U208" t="str">
            <v>Eletrôdo do instrumento encontra-se avariado, impossibilitando o ajuste na escala de pH, liberado somente para uso na escala de condutívidade</v>
          </cell>
          <cell r="V208" t="str">
            <v>REALIZADO</v>
          </cell>
          <cell r="W208">
            <v>7</v>
          </cell>
          <cell r="X208">
            <v>6</v>
          </cell>
        </row>
        <row r="209">
          <cell r="I209" t="str">
            <v xml:space="preserve">Multiparâmetro </v>
          </cell>
          <cell r="M209" t="str">
            <v>Jaraguá do Sul-SC</v>
          </cell>
          <cell r="N209" t="str">
            <v>no fixed customer (carried by owner)</v>
          </cell>
          <cell r="P209">
            <v>0</v>
          </cell>
          <cell r="Q209">
            <v>44761</v>
          </cell>
          <cell r="R209" t="str">
            <v>Calibrado</v>
          </cell>
          <cell r="S209">
            <v>17433</v>
          </cell>
          <cell r="T209" t="str">
            <v>ER ANALITICA</v>
          </cell>
          <cell r="U209">
            <v>0</v>
          </cell>
          <cell r="V209" t="str">
            <v>REALIZADO</v>
          </cell>
          <cell r="W209">
            <v>7</v>
          </cell>
          <cell r="X209">
            <v>6</v>
          </cell>
        </row>
        <row r="210">
          <cell r="I210" t="str">
            <v xml:space="preserve">Multiparâmetro </v>
          </cell>
          <cell r="M210" t="str">
            <v>Jaraguá do Sul-SC</v>
          </cell>
          <cell r="N210" t="str">
            <v>no fixed customer (carried by owner)</v>
          </cell>
          <cell r="O210">
            <v>44369</v>
          </cell>
          <cell r="P210">
            <v>44369</v>
          </cell>
          <cell r="Q210">
            <v>44761</v>
          </cell>
          <cell r="R210" t="str">
            <v>Calibrado</v>
          </cell>
          <cell r="S210">
            <v>17440</v>
          </cell>
          <cell r="T210" t="str">
            <v>ER ANALITICA</v>
          </cell>
          <cell r="U210">
            <v>0</v>
          </cell>
          <cell r="V210" t="str">
            <v>REALIZADO</v>
          </cell>
          <cell r="W210">
            <v>7</v>
          </cell>
          <cell r="X210">
            <v>6</v>
          </cell>
        </row>
        <row r="211">
          <cell r="I211" t="str">
            <v xml:space="preserve">Multiparâmetro </v>
          </cell>
          <cell r="M211" t="str">
            <v>Jaraguá do Sul-SC</v>
          </cell>
          <cell r="N211" t="str">
            <v>no fixed customer (carried by owner)</v>
          </cell>
          <cell r="O211">
            <v>44369</v>
          </cell>
          <cell r="P211">
            <v>44369</v>
          </cell>
          <cell r="Q211">
            <v>44761</v>
          </cell>
          <cell r="R211" t="str">
            <v>Calibrado</v>
          </cell>
          <cell r="S211">
            <v>17438</v>
          </cell>
          <cell r="T211" t="str">
            <v>ER ANALITICA</v>
          </cell>
          <cell r="U211" t="str">
            <v>Eletrôdo do instrumento encontra-se avariado, impossibilitando o ajuste na escala de pH, liberado somente para uso na escala de condutívidade</v>
          </cell>
          <cell r="V211" t="str">
            <v>REALIZADO</v>
          </cell>
          <cell r="W211">
            <v>7</v>
          </cell>
          <cell r="X211">
            <v>6</v>
          </cell>
        </row>
        <row r="212">
          <cell r="I212" t="str">
            <v>Colorímetro</v>
          </cell>
          <cell r="M212" t="str">
            <v>Jaraguá do Sul-SC</v>
          </cell>
          <cell r="N212" t="str">
            <v>WEG</v>
          </cell>
          <cell r="O212">
            <v>44369</v>
          </cell>
          <cell r="P212">
            <v>44369</v>
          </cell>
          <cell r="Q212">
            <v>44761</v>
          </cell>
          <cell r="R212" t="str">
            <v>Calibrado</v>
          </cell>
          <cell r="S212">
            <v>17432</v>
          </cell>
          <cell r="T212" t="str">
            <v>ER ANALITICA</v>
          </cell>
          <cell r="U212">
            <v>0</v>
          </cell>
          <cell r="V212" t="str">
            <v>REALIZADO</v>
          </cell>
          <cell r="W212">
            <v>7</v>
          </cell>
          <cell r="X212">
            <v>6</v>
          </cell>
        </row>
        <row r="213">
          <cell r="I213" t="str">
            <v xml:space="preserve">Multiparâmetro </v>
          </cell>
          <cell r="M213" t="str">
            <v>Jaraguá do Sul-SC</v>
          </cell>
          <cell r="N213" t="str">
            <v>no fixed customer (carried by owner)</v>
          </cell>
          <cell r="O213">
            <v>44369</v>
          </cell>
          <cell r="P213">
            <v>44369</v>
          </cell>
          <cell r="Q213">
            <v>44761</v>
          </cell>
          <cell r="R213" t="str">
            <v>Calibrado</v>
          </cell>
          <cell r="S213">
            <v>17465</v>
          </cell>
          <cell r="T213" t="str">
            <v>ER ANALITICA</v>
          </cell>
          <cell r="U213">
            <v>0</v>
          </cell>
          <cell r="V213" t="str">
            <v>REALIZADO</v>
          </cell>
          <cell r="W213">
            <v>7</v>
          </cell>
          <cell r="X213">
            <v>6</v>
          </cell>
        </row>
        <row r="214">
          <cell r="I214" t="str">
            <v xml:space="preserve">Multiparâmetro </v>
          </cell>
          <cell r="M214" t="str">
            <v>Jaraguá do Sul-SC</v>
          </cell>
          <cell r="N214" t="str">
            <v>no fixed customer (carried by owner)</v>
          </cell>
          <cell r="O214">
            <v>44369</v>
          </cell>
          <cell r="P214">
            <v>44369</v>
          </cell>
          <cell r="Q214">
            <v>44761</v>
          </cell>
          <cell r="R214" t="str">
            <v>Calibrado</v>
          </cell>
          <cell r="S214">
            <v>17435</v>
          </cell>
          <cell r="T214" t="str">
            <v>ER ANALITICA</v>
          </cell>
          <cell r="U214">
            <v>0</v>
          </cell>
          <cell r="V214" t="str">
            <v>REALIZADO</v>
          </cell>
          <cell r="W214">
            <v>7</v>
          </cell>
          <cell r="X214">
            <v>3</v>
          </cell>
        </row>
        <row r="215">
          <cell r="I215" t="str">
            <v xml:space="preserve">Multiparâmetro </v>
          </cell>
          <cell r="M215" t="str">
            <v>Jaraguá do Sul-SC</v>
          </cell>
          <cell r="N215" t="str">
            <v>no fixed customer (carried by owner)</v>
          </cell>
          <cell r="O215">
            <v>44369</v>
          </cell>
          <cell r="P215">
            <v>44369</v>
          </cell>
          <cell r="Q215">
            <v>44761</v>
          </cell>
          <cell r="R215" t="str">
            <v>Calibrado</v>
          </cell>
          <cell r="S215">
            <v>17464</v>
          </cell>
          <cell r="T215" t="str">
            <v>ER ANALITICA</v>
          </cell>
          <cell r="U215" t="str">
            <v>Eletrôdo do instrumento encontra-se avariado, impossibilitando o ajuste na escala de pH, liberado somente para uso na escala de condutívidade</v>
          </cell>
          <cell r="V215" t="str">
            <v>REALIZADO</v>
          </cell>
          <cell r="W215">
            <v>7</v>
          </cell>
          <cell r="X215">
            <v>8</v>
          </cell>
        </row>
        <row r="216">
          <cell r="I216" t="str">
            <v>Colorímetro</v>
          </cell>
          <cell r="M216" t="str">
            <v>Jaraguá do Sul-SC</v>
          </cell>
          <cell r="N216" t="str">
            <v>no fixed customer (carried by owner)</v>
          </cell>
          <cell r="O216">
            <v>44035</v>
          </cell>
          <cell r="P216">
            <v>44426</v>
          </cell>
          <cell r="Q216">
            <v>44761</v>
          </cell>
          <cell r="R216" t="str">
            <v>Calibrado</v>
          </cell>
          <cell r="S216">
            <v>17431</v>
          </cell>
          <cell r="T216" t="str">
            <v>ER ANALITICA</v>
          </cell>
          <cell r="U216">
            <v>0</v>
          </cell>
          <cell r="V216" t="str">
            <v>REALIZADO</v>
          </cell>
          <cell r="W216">
            <v>7</v>
          </cell>
          <cell r="X216">
            <v>6</v>
          </cell>
        </row>
        <row r="217">
          <cell r="I217" t="str">
            <v>pHmetro</v>
          </cell>
          <cell r="M217" t="str">
            <v>ABC-SP</v>
          </cell>
          <cell r="N217" t="str">
            <v>no fixed customer (carried by owner)</v>
          </cell>
          <cell r="P217">
            <v>44333</v>
          </cell>
          <cell r="Q217">
            <v>44733</v>
          </cell>
          <cell r="R217" t="str">
            <v>Calibrado</v>
          </cell>
          <cell r="S217">
            <v>16933</v>
          </cell>
          <cell r="T217" t="str">
            <v>ER ANALITICA</v>
          </cell>
          <cell r="U217">
            <v>0</v>
          </cell>
          <cell r="V217" t="str">
            <v>REALIZADO</v>
          </cell>
          <cell r="W217">
            <v>6</v>
          </cell>
          <cell r="X217">
            <v>3</v>
          </cell>
        </row>
        <row r="218">
          <cell r="I218" t="str">
            <v>Condutivímetro</v>
          </cell>
          <cell r="M218" t="str">
            <v>ABC-SP</v>
          </cell>
          <cell r="N218" t="str">
            <v>no fixed customer (carried by owner)</v>
          </cell>
          <cell r="O218">
            <v>43977</v>
          </cell>
          <cell r="P218">
            <v>43977</v>
          </cell>
          <cell r="Q218">
            <v>44733</v>
          </cell>
          <cell r="R218" t="str">
            <v>Calibrado</v>
          </cell>
          <cell r="S218">
            <v>16955</v>
          </cell>
          <cell r="T218" t="str">
            <v>ER ANALITICA</v>
          </cell>
          <cell r="U218">
            <v>0</v>
          </cell>
          <cell r="V218" t="str">
            <v>REALIZADO</v>
          </cell>
          <cell r="W218">
            <v>6</v>
          </cell>
          <cell r="X218">
            <v>3</v>
          </cell>
        </row>
        <row r="219">
          <cell r="I219" t="str">
            <v>Espectrofotômetro</v>
          </cell>
          <cell r="M219" t="str">
            <v>Agudos-SP</v>
          </cell>
          <cell r="N219" t="str">
            <v>AMBEV</v>
          </cell>
          <cell r="O219">
            <v>44001</v>
          </cell>
          <cell r="P219">
            <v>44001</v>
          </cell>
          <cell r="Q219">
            <v>44756</v>
          </cell>
          <cell r="R219" t="str">
            <v>Calibrado</v>
          </cell>
          <cell r="S219">
            <v>17247</v>
          </cell>
          <cell r="T219" t="str">
            <v>ER ANALITICA</v>
          </cell>
          <cell r="U219" t="str">
            <v>Carcaça superior do instrumento encontra-se avariada.</v>
          </cell>
          <cell r="V219" t="str">
            <v>REALIZADO</v>
          </cell>
          <cell r="W219">
            <v>7</v>
          </cell>
          <cell r="X219">
            <v>5</v>
          </cell>
        </row>
        <row r="220">
          <cell r="I220" t="str">
            <v>Condutivímetro</v>
          </cell>
          <cell r="M220" t="str">
            <v>Alumínio-SP</v>
          </cell>
          <cell r="N220" t="str">
            <v>CBA</v>
          </cell>
          <cell r="O220">
            <v>43979</v>
          </cell>
          <cell r="P220">
            <v>44333</v>
          </cell>
          <cell r="Q220">
            <v>44725</v>
          </cell>
          <cell r="R220" t="str">
            <v>Calibrado</v>
          </cell>
          <cell r="S220">
            <v>16806</v>
          </cell>
          <cell r="T220" t="str">
            <v>ER ANALITICA</v>
          </cell>
          <cell r="U220">
            <v>0</v>
          </cell>
          <cell r="V220" t="str">
            <v>REALIZADO</v>
          </cell>
          <cell r="W220">
            <v>6</v>
          </cell>
          <cell r="X220">
            <v>8</v>
          </cell>
        </row>
        <row r="221">
          <cell r="I221" t="str">
            <v>Condutivímetro</v>
          </cell>
          <cell r="M221" t="str">
            <v>Alumínio-SP</v>
          </cell>
          <cell r="N221" t="str">
            <v>CBA</v>
          </cell>
          <cell r="O221">
            <v>43979</v>
          </cell>
          <cell r="P221">
            <v>44333</v>
          </cell>
          <cell r="Q221">
            <v>44725</v>
          </cell>
          <cell r="R221" t="str">
            <v>Calibrado</v>
          </cell>
          <cell r="S221">
            <v>16805</v>
          </cell>
          <cell r="T221" t="str">
            <v>ER ANALITICA</v>
          </cell>
          <cell r="U221">
            <v>0</v>
          </cell>
          <cell r="V221" t="str">
            <v>REALIZADO</v>
          </cell>
          <cell r="W221">
            <v>6</v>
          </cell>
          <cell r="X221">
            <v>9</v>
          </cell>
        </row>
        <row r="222">
          <cell r="I222" t="str">
            <v>Espectrofotômetro</v>
          </cell>
          <cell r="M222" t="str">
            <v>Alumínio-SP</v>
          </cell>
          <cell r="N222" t="str">
            <v>CBA</v>
          </cell>
          <cell r="O222">
            <v>43979</v>
          </cell>
          <cell r="P222">
            <v>44333</v>
          </cell>
          <cell r="Q222">
            <v>44791</v>
          </cell>
          <cell r="R222" t="str">
            <v>Calibrado</v>
          </cell>
          <cell r="S222">
            <v>16901</v>
          </cell>
          <cell r="T222" t="str">
            <v>ER ANALITICA</v>
          </cell>
          <cell r="U222">
            <v>0</v>
          </cell>
          <cell r="V222" t="str">
            <v>REALIZADO</v>
          </cell>
          <cell r="W222">
            <v>8</v>
          </cell>
          <cell r="X222">
            <v>9</v>
          </cell>
        </row>
        <row r="223">
          <cell r="I223" t="str">
            <v>pHmetro</v>
          </cell>
          <cell r="M223" t="str">
            <v>Alumínio-SP</v>
          </cell>
          <cell r="N223" t="str">
            <v>CBA</v>
          </cell>
          <cell r="O223">
            <v>43979</v>
          </cell>
          <cell r="P223">
            <v>44333</v>
          </cell>
          <cell r="Q223">
            <v>44725</v>
          </cell>
          <cell r="R223" t="str">
            <v>Calibrado</v>
          </cell>
          <cell r="S223">
            <v>16808</v>
          </cell>
          <cell r="T223" t="str">
            <v>ER ANALITICA</v>
          </cell>
          <cell r="U223" t="str">
            <v xml:space="preserve"> Adesivo do teclado deteriorado, liberado com restrição.</v>
          </cell>
          <cell r="V223" t="str">
            <v>REALIZADO</v>
          </cell>
          <cell r="W223">
            <v>6</v>
          </cell>
        </row>
        <row r="224">
          <cell r="I224" t="str">
            <v>Balança Analítica</v>
          </cell>
          <cell r="M224" t="str">
            <v>Araraquara-SP</v>
          </cell>
          <cell r="N224" t="str">
            <v>Suez WTS (Laboratório)</v>
          </cell>
          <cell r="O224">
            <v>44239</v>
          </cell>
          <cell r="P224">
            <v>44239</v>
          </cell>
          <cell r="Q224">
            <v>44678</v>
          </cell>
          <cell r="R224" t="str">
            <v>Calibrado</v>
          </cell>
          <cell r="S224">
            <v>16221</v>
          </cell>
          <cell r="T224" t="str">
            <v>ER ANALITICA</v>
          </cell>
          <cell r="U224" t="str">
            <v>Equipamento não aceita ajuste na sua curva de calibração</v>
          </cell>
          <cell r="V224" t="str">
            <v>EM CONTATO</v>
          </cell>
          <cell r="W224">
            <v>4</v>
          </cell>
          <cell r="X224">
            <v>9</v>
          </cell>
        </row>
        <row r="225">
          <cell r="I225" t="str">
            <v>pHmetro</v>
          </cell>
          <cell r="M225" t="str">
            <v>Araraquara-SP</v>
          </cell>
          <cell r="N225" t="str">
            <v>Suez WTS (Laboratório)</v>
          </cell>
          <cell r="O225">
            <v>44239</v>
          </cell>
          <cell r="P225">
            <v>44239</v>
          </cell>
          <cell r="Q225">
            <v>44678</v>
          </cell>
          <cell r="R225" t="str">
            <v>Calibrado</v>
          </cell>
          <cell r="S225">
            <v>16222</v>
          </cell>
          <cell r="T225" t="str">
            <v>ER ANALITICA</v>
          </cell>
          <cell r="U225">
            <v>0</v>
          </cell>
          <cell r="V225" t="str">
            <v>EM CONTATO</v>
          </cell>
          <cell r="W225">
            <v>4</v>
          </cell>
          <cell r="X225">
            <v>9</v>
          </cell>
        </row>
        <row r="226">
          <cell r="I226" t="str">
            <v>Turbidímetro</v>
          </cell>
          <cell r="M226" t="str">
            <v>Araraquara-SP</v>
          </cell>
          <cell r="N226" t="str">
            <v>Suez WTS (Laboratório)</v>
          </cell>
          <cell r="P226">
            <v>0</v>
          </cell>
          <cell r="Q226">
            <v>44678</v>
          </cell>
          <cell r="R226" t="str">
            <v>Calibrado</v>
          </cell>
          <cell r="S226">
            <v>16224</v>
          </cell>
          <cell r="T226" t="str">
            <v>ER ANALITICA</v>
          </cell>
          <cell r="U226">
            <v>0</v>
          </cell>
          <cell r="V226" t="str">
            <v>EM CONTATO</v>
          </cell>
          <cell r="W226">
            <v>4</v>
          </cell>
          <cell r="X226">
            <v>7</v>
          </cell>
        </row>
        <row r="227">
          <cell r="I227" t="str">
            <v>Espectrofotômetro</v>
          </cell>
          <cell r="M227" t="str">
            <v>Araraquara-SP</v>
          </cell>
          <cell r="N227" t="str">
            <v>Suez WTS (Laboratório)</v>
          </cell>
          <cell r="O227">
            <v>44239</v>
          </cell>
          <cell r="P227">
            <v>44239</v>
          </cell>
          <cell r="Q227">
            <v>44678</v>
          </cell>
          <cell r="R227" t="str">
            <v>Calibrado</v>
          </cell>
          <cell r="S227">
            <v>16223</v>
          </cell>
          <cell r="T227" t="str">
            <v>ER ANALITICA</v>
          </cell>
          <cell r="U227">
            <v>0</v>
          </cell>
          <cell r="V227" t="str">
            <v>EM CONTATO</v>
          </cell>
          <cell r="W227">
            <v>4</v>
          </cell>
          <cell r="X227">
            <v>7</v>
          </cell>
        </row>
        <row r="228">
          <cell r="I228" t="str">
            <v>Condutivímetro</v>
          </cell>
          <cell r="M228" t="str">
            <v>Araraquara-SP</v>
          </cell>
          <cell r="N228" t="str">
            <v>Suez WTS (Laboratório)</v>
          </cell>
          <cell r="P228">
            <v>44407</v>
          </cell>
          <cell r="Q228">
            <v>44756</v>
          </cell>
          <cell r="R228" t="str">
            <v>Calibrado</v>
          </cell>
          <cell r="S228">
            <v>17244</v>
          </cell>
          <cell r="T228" t="str">
            <v>ER ANALITICA</v>
          </cell>
          <cell r="U228">
            <v>0</v>
          </cell>
          <cell r="V228" t="str">
            <v>REALIZADO</v>
          </cell>
          <cell r="W228">
            <v>7</v>
          </cell>
          <cell r="X228">
            <v>7</v>
          </cell>
        </row>
        <row r="229">
          <cell r="I229" t="str">
            <v>Espectrofotômetro</v>
          </cell>
          <cell r="M229" t="str">
            <v>Araraquara-SP</v>
          </cell>
          <cell r="N229" t="str">
            <v>Suez WTS (Laboratório)</v>
          </cell>
          <cell r="P229">
            <v>0</v>
          </cell>
          <cell r="Q229">
            <v>44756</v>
          </cell>
          <cell r="R229" t="str">
            <v>Calibrado</v>
          </cell>
          <cell r="S229">
            <v>17243</v>
          </cell>
          <cell r="T229" t="str">
            <v>ER ANALITICA</v>
          </cell>
          <cell r="U229" t="str">
            <v>Leitor de código de barras do instrumento não está funcionando.</v>
          </cell>
          <cell r="V229" t="str">
            <v>REALIZADO</v>
          </cell>
          <cell r="W229">
            <v>7</v>
          </cell>
          <cell r="X229">
            <v>7</v>
          </cell>
        </row>
        <row r="230">
          <cell r="I230" t="str">
            <v>Phmetro</v>
          </cell>
          <cell r="M230" t="str">
            <v>Araraquara-SP</v>
          </cell>
          <cell r="N230" t="str">
            <v>Suez WTS (Laboratório)</v>
          </cell>
          <cell r="P230">
            <v>44407</v>
          </cell>
          <cell r="Q230">
            <v>44756</v>
          </cell>
          <cell r="R230" t="str">
            <v>Calibrado</v>
          </cell>
          <cell r="S230">
            <v>17242</v>
          </cell>
          <cell r="T230" t="str">
            <v>ER ANALITICA</v>
          </cell>
          <cell r="U230">
            <v>0</v>
          </cell>
          <cell r="V230" t="str">
            <v>REALIZADO</v>
          </cell>
          <cell r="W230">
            <v>7</v>
          </cell>
          <cell r="X230">
            <v>9</v>
          </cell>
        </row>
        <row r="231">
          <cell r="I231" t="str">
            <v>Espectrofotômetro</v>
          </cell>
          <cell r="M231" t="str">
            <v>Araraquara-SP</v>
          </cell>
          <cell r="N231" t="str">
            <v>Suez WTS (Laboratório)</v>
          </cell>
          <cell r="O231">
            <v>44407</v>
          </cell>
          <cell r="P231">
            <v>44407</v>
          </cell>
          <cell r="Q231">
            <v>44754</v>
          </cell>
          <cell r="R231" t="str">
            <v>Calibrado</v>
          </cell>
          <cell r="S231">
            <v>17213</v>
          </cell>
          <cell r="T231" t="str">
            <v>ER ANALITICA</v>
          </cell>
          <cell r="U231">
            <v>0</v>
          </cell>
          <cell r="V231" t="str">
            <v>REALIZADO</v>
          </cell>
          <cell r="W231">
            <v>7</v>
          </cell>
          <cell r="X231">
            <v>9</v>
          </cell>
        </row>
        <row r="232">
          <cell r="I232" t="str">
            <v xml:space="preserve">Multiparâmetro </v>
          </cell>
          <cell r="M232" t="str">
            <v>Araraquara-SP</v>
          </cell>
          <cell r="N232" t="str">
            <v>Suez WTS (Laboratório)</v>
          </cell>
          <cell r="O232">
            <v>44407</v>
          </cell>
          <cell r="P232">
            <v>44407</v>
          </cell>
          <cell r="Q232">
            <v>44754</v>
          </cell>
          <cell r="R232" t="str">
            <v>Calibrado</v>
          </cell>
          <cell r="S232">
            <v>17223</v>
          </cell>
          <cell r="T232" t="str">
            <v>ER ANALITICA</v>
          </cell>
          <cell r="U232" t="str">
            <v xml:space="preserve"> Eletrodo do instrumento encontra-se com vida avançado, apresentando lentidão nas leituras.</v>
          </cell>
          <cell r="V232" t="str">
            <v>REALIZADO</v>
          </cell>
          <cell r="W232">
            <v>7</v>
          </cell>
          <cell r="X232">
            <v>9</v>
          </cell>
        </row>
        <row r="233">
          <cell r="I233" t="str">
            <v>pHmetro</v>
          </cell>
          <cell r="M233" t="str">
            <v>Araraquara-SP</v>
          </cell>
          <cell r="N233" t="str">
            <v>Suez WTS (Laboratório)</v>
          </cell>
          <cell r="O233">
            <v>44407</v>
          </cell>
          <cell r="P233">
            <v>44407</v>
          </cell>
          <cell r="Q233">
            <v>44754</v>
          </cell>
          <cell r="R233" t="str">
            <v>Calibrado</v>
          </cell>
          <cell r="S233">
            <v>17234</v>
          </cell>
          <cell r="T233" t="str">
            <v>ER ANALITICA</v>
          </cell>
          <cell r="U233">
            <v>0</v>
          </cell>
          <cell r="V233" t="str">
            <v>REALIZADO</v>
          </cell>
          <cell r="W233">
            <v>7</v>
          </cell>
          <cell r="X233">
            <v>9</v>
          </cell>
        </row>
        <row r="234">
          <cell r="I234" t="str">
            <v>Turbidímetro</v>
          </cell>
          <cell r="M234" t="str">
            <v>Araraquara-SP</v>
          </cell>
          <cell r="N234" t="str">
            <v>Suez WTS (Laboratório)</v>
          </cell>
          <cell r="P234">
            <v>0</v>
          </cell>
          <cell r="Q234">
            <v>44754</v>
          </cell>
          <cell r="R234" t="str">
            <v>Calibrado</v>
          </cell>
          <cell r="S234">
            <v>17235</v>
          </cell>
          <cell r="T234" t="str">
            <v>ER ANALITICA</v>
          </cell>
          <cell r="U234">
            <v>0</v>
          </cell>
          <cell r="V234" t="str">
            <v>REALIZADO</v>
          </cell>
          <cell r="W234">
            <v>7</v>
          </cell>
          <cell r="X234">
            <v>7</v>
          </cell>
        </row>
        <row r="235">
          <cell r="I235" t="str">
            <v>Colorímetro</v>
          </cell>
          <cell r="M235" t="str">
            <v>Campinas-SP</v>
          </cell>
          <cell r="N235" t="str">
            <v>no fixed customer (carried by owner)</v>
          </cell>
          <cell r="O235">
            <v>44263</v>
          </cell>
          <cell r="P235">
            <v>44263</v>
          </cell>
          <cell r="Q235">
            <v>44657</v>
          </cell>
          <cell r="R235" t="str">
            <v>Calibrado</v>
          </cell>
          <cell r="S235">
            <v>16104</v>
          </cell>
          <cell r="T235" t="str">
            <v>ER ANALITICA</v>
          </cell>
          <cell r="U235">
            <v>0</v>
          </cell>
          <cell r="V235" t="str">
            <v>AGENDADO</v>
          </cell>
          <cell r="W235">
            <v>4</v>
          </cell>
          <cell r="X235">
            <v>11</v>
          </cell>
        </row>
        <row r="236">
          <cell r="I236" t="str">
            <v>Balança Analítica</v>
          </cell>
          <cell r="M236" t="str">
            <v>Cotia -SP</v>
          </cell>
          <cell r="P236">
            <v>44333</v>
          </cell>
          <cell r="Q236">
            <v>44333</v>
          </cell>
          <cell r="R236" t="str">
            <v>Vencido</v>
          </cell>
          <cell r="S236">
            <v>12354</v>
          </cell>
          <cell r="T236" t="str">
            <v>ER ANALITICA</v>
          </cell>
          <cell r="U236">
            <v>0</v>
          </cell>
          <cell r="V236" t="str">
            <v>AGUARDANDO RETORNO</v>
          </cell>
          <cell r="W236">
            <v>5</v>
          </cell>
          <cell r="X236">
            <v>7</v>
          </cell>
        </row>
        <row r="237">
          <cell r="I237" t="str">
            <v>Espectrofotômetro</v>
          </cell>
          <cell r="M237" t="str">
            <v>Cotia -SP</v>
          </cell>
          <cell r="N237" t="str">
            <v>Suez WTS (Laboratório)</v>
          </cell>
          <cell r="O237">
            <v>44239</v>
          </cell>
          <cell r="P237">
            <v>44239</v>
          </cell>
          <cell r="Q237">
            <v>44629</v>
          </cell>
          <cell r="R237" t="str">
            <v>Calibrado</v>
          </cell>
          <cell r="S237">
            <v>15707</v>
          </cell>
          <cell r="T237" t="str">
            <v>ER ANALITICA</v>
          </cell>
          <cell r="U237">
            <v>0</v>
          </cell>
          <cell r="V237" t="str">
            <v>EM CONTATO</v>
          </cell>
          <cell r="W237">
            <v>3</v>
          </cell>
          <cell r="X237">
            <v>6</v>
          </cell>
        </row>
        <row r="238">
          <cell r="I238" t="str">
            <v>pHmetro</v>
          </cell>
          <cell r="M238" t="str">
            <v>Cotia -SP</v>
          </cell>
          <cell r="N238" t="str">
            <v>Suez WTS (Laboratório)</v>
          </cell>
          <cell r="O238">
            <v>44239</v>
          </cell>
          <cell r="P238">
            <v>44239</v>
          </cell>
          <cell r="Q238">
            <v>44629</v>
          </cell>
          <cell r="R238" t="str">
            <v>Calibrado</v>
          </cell>
          <cell r="S238">
            <v>15718</v>
          </cell>
          <cell r="T238" t="str">
            <v>ER ANALITICA</v>
          </cell>
          <cell r="U238">
            <v>0</v>
          </cell>
          <cell r="V238" t="str">
            <v>EM CONTATO</v>
          </cell>
          <cell r="W238">
            <v>3</v>
          </cell>
          <cell r="X238">
            <v>6</v>
          </cell>
        </row>
        <row r="239">
          <cell r="I239" t="str">
            <v>Condutivímetro</v>
          </cell>
          <cell r="M239" t="str">
            <v>Cotia -SP</v>
          </cell>
          <cell r="P239">
            <v>44333</v>
          </cell>
          <cell r="Q239">
            <v>44333</v>
          </cell>
          <cell r="R239" t="str">
            <v>Vencido</v>
          </cell>
          <cell r="S239">
            <v>12341</v>
          </cell>
          <cell r="T239" t="str">
            <v>ER ANALITICA</v>
          </cell>
          <cell r="U239" t="str">
            <v>Display com avarias</v>
          </cell>
          <cell r="V239" t="str">
            <v>AGUARDANDO RETORNO</v>
          </cell>
          <cell r="W239">
            <v>5</v>
          </cell>
          <cell r="X239">
            <v>1</v>
          </cell>
        </row>
        <row r="240">
          <cell r="I240" t="str">
            <v>Condutivímetro</v>
          </cell>
          <cell r="M240" t="str">
            <v>Cotia -SP</v>
          </cell>
          <cell r="P240">
            <v>44333</v>
          </cell>
          <cell r="Q240">
            <v>44333</v>
          </cell>
          <cell r="R240" t="str">
            <v>Vencido</v>
          </cell>
          <cell r="S240">
            <v>12339</v>
          </cell>
          <cell r="T240" t="str">
            <v>ER ANALITICA</v>
          </cell>
          <cell r="U240" t="str">
            <v>Carcaça do instrumento trincada.</v>
          </cell>
          <cell r="V240" t="str">
            <v>AGUARDANDO RETORNO</v>
          </cell>
          <cell r="W240">
            <v>5</v>
          </cell>
          <cell r="X240">
            <v>9</v>
          </cell>
        </row>
        <row r="241">
          <cell r="I241" t="str">
            <v>Colorímetro</v>
          </cell>
          <cell r="M241" t="str">
            <v>Cotia -SP</v>
          </cell>
          <cell r="N241" t="str">
            <v>Suez WTS (Laboratório)</v>
          </cell>
          <cell r="O241">
            <v>44306</v>
          </cell>
          <cell r="P241">
            <v>44306</v>
          </cell>
          <cell r="Q241">
            <v>44306</v>
          </cell>
          <cell r="R241" t="str">
            <v>Vencido</v>
          </cell>
          <cell r="S241" t="str">
            <v/>
          </cell>
          <cell r="T241" t="str">
            <v>Hexis</v>
          </cell>
          <cell r="U241" t="str">
            <v/>
          </cell>
          <cell r="V241" t="str">
            <v>AGUARDANDO RETORNO</v>
          </cell>
          <cell r="W241">
            <v>4</v>
          </cell>
          <cell r="X241">
            <v>9</v>
          </cell>
        </row>
        <row r="242">
          <cell r="I242" t="str">
            <v>Colorímetro</v>
          </cell>
          <cell r="M242" t="str">
            <v>Cotia -SP</v>
          </cell>
          <cell r="N242" t="str">
            <v>Suez WTS (Laboratório)</v>
          </cell>
          <cell r="O242">
            <v>44306</v>
          </cell>
          <cell r="P242">
            <v>44306</v>
          </cell>
          <cell r="Q242">
            <v>44306</v>
          </cell>
          <cell r="R242" t="str">
            <v>Vencido</v>
          </cell>
          <cell r="S242" t="str">
            <v/>
          </cell>
          <cell r="T242" t="str">
            <v>Hexis</v>
          </cell>
          <cell r="U242" t="str">
            <v/>
          </cell>
          <cell r="V242" t="str">
            <v>AGUARDANDO RETORNO</v>
          </cell>
          <cell r="W242">
            <v>4</v>
          </cell>
          <cell r="X242">
            <v>9</v>
          </cell>
        </row>
        <row r="243">
          <cell r="I243" t="str">
            <v>Condutivímetro</v>
          </cell>
          <cell r="M243" t="str">
            <v>Cotia -SP</v>
          </cell>
          <cell r="N243" t="str">
            <v>Suez WTS (Laboratório)</v>
          </cell>
          <cell r="O243">
            <v>44306</v>
          </cell>
          <cell r="P243">
            <v>44306</v>
          </cell>
          <cell r="Q243">
            <v>44306</v>
          </cell>
          <cell r="R243" t="str">
            <v>Vencido</v>
          </cell>
          <cell r="S243" t="str">
            <v/>
          </cell>
          <cell r="T243" t="str">
            <v>Hexis</v>
          </cell>
          <cell r="U243" t="str">
            <v/>
          </cell>
          <cell r="V243" t="str">
            <v>AGUARDANDO RETORNO</v>
          </cell>
          <cell r="W243">
            <v>4</v>
          </cell>
          <cell r="X243">
            <v>9</v>
          </cell>
        </row>
        <row r="244">
          <cell r="I244" t="str">
            <v>pHmetro</v>
          </cell>
          <cell r="M244" t="str">
            <v>Cotia -SP</v>
          </cell>
          <cell r="N244" t="str">
            <v>Suez WTS (Laboratório)</v>
          </cell>
          <cell r="O244">
            <v>43979</v>
          </cell>
          <cell r="P244">
            <v>44333</v>
          </cell>
          <cell r="Q244">
            <v>44333</v>
          </cell>
          <cell r="R244" t="str">
            <v>Vencido</v>
          </cell>
          <cell r="S244">
            <v>12334</v>
          </cell>
          <cell r="T244" t="str">
            <v>ER ANALITICA</v>
          </cell>
          <cell r="U244" t="str">
            <v>Instrumento inoperante, devido vazamento de pilhas. Será encaminhado a ER.</v>
          </cell>
          <cell r="V244" t="str">
            <v>AGUARDANDO RETORNO</v>
          </cell>
          <cell r="W244">
            <v>5</v>
          </cell>
          <cell r="X244">
            <v>11</v>
          </cell>
        </row>
        <row r="245">
          <cell r="I245" t="str">
            <v>Colorímetro</v>
          </cell>
          <cell r="M245" t="str">
            <v>Cotia -SP</v>
          </cell>
          <cell r="N245" t="str">
            <v>Suez WTS (Laboratório)</v>
          </cell>
          <cell r="O245">
            <v>43978</v>
          </cell>
          <cell r="P245">
            <v>44333</v>
          </cell>
          <cell r="Q245">
            <v>44333</v>
          </cell>
          <cell r="R245" t="str">
            <v>Vencido</v>
          </cell>
          <cell r="S245">
            <v>12332</v>
          </cell>
          <cell r="T245" t="str">
            <v>ER ANALITICA</v>
          </cell>
          <cell r="U245">
            <v>0</v>
          </cell>
          <cell r="V245" t="str">
            <v>AGUARDANDO RETORNO</v>
          </cell>
          <cell r="W245">
            <v>5</v>
          </cell>
          <cell r="X245">
            <v>5</v>
          </cell>
        </row>
        <row r="246">
          <cell r="I246" t="str">
            <v>Condutivímetro</v>
          </cell>
          <cell r="M246" t="str">
            <v>Cotia -SP</v>
          </cell>
          <cell r="N246" t="str">
            <v>Suez WTS (Laboratório)</v>
          </cell>
          <cell r="O246">
            <v>44239</v>
          </cell>
          <cell r="P246">
            <v>44239</v>
          </cell>
          <cell r="Q246">
            <v>44239</v>
          </cell>
          <cell r="R246" t="str">
            <v>Vencido</v>
          </cell>
          <cell r="S246" t="str">
            <v/>
          </cell>
          <cell r="T246" t="str">
            <v>Hexis</v>
          </cell>
          <cell r="U246" t="str">
            <v/>
          </cell>
          <cell r="V246" t="str">
            <v>AGUARDANDO RETORNO</v>
          </cell>
          <cell r="W246">
            <v>2</v>
          </cell>
          <cell r="X246">
            <v>8</v>
          </cell>
        </row>
        <row r="247">
          <cell r="I247" t="str">
            <v xml:space="preserve">Multiparâmetro </v>
          </cell>
          <cell r="M247" t="str">
            <v>Cotia -SP</v>
          </cell>
          <cell r="N247" t="str">
            <v>Suez WTS (Laboratório)</v>
          </cell>
          <cell r="O247">
            <v>44239</v>
          </cell>
          <cell r="P247">
            <v>44239</v>
          </cell>
          <cell r="Q247">
            <v>44239</v>
          </cell>
          <cell r="R247" t="str">
            <v>Vencido</v>
          </cell>
          <cell r="S247" t="str">
            <v/>
          </cell>
          <cell r="T247" t="str">
            <v>Hexis</v>
          </cell>
          <cell r="U247" t="str">
            <v/>
          </cell>
          <cell r="V247" t="str">
            <v>AGUARDANDO RETORNO</v>
          </cell>
          <cell r="W247">
            <v>2</v>
          </cell>
          <cell r="X247">
            <v>8</v>
          </cell>
        </row>
        <row r="248">
          <cell r="I248" t="str">
            <v>pHmetro</v>
          </cell>
          <cell r="M248" t="str">
            <v>Cotia -SP</v>
          </cell>
          <cell r="N248" t="str">
            <v>Suez WTS (Laboratório)</v>
          </cell>
          <cell r="O248">
            <v>44239</v>
          </cell>
          <cell r="P248">
            <v>44239</v>
          </cell>
          <cell r="Q248">
            <v>44239</v>
          </cell>
          <cell r="R248" t="str">
            <v>Vencido</v>
          </cell>
          <cell r="S248" t="str">
            <v/>
          </cell>
          <cell r="T248" t="str">
            <v>Hexis</v>
          </cell>
          <cell r="U248" t="str">
            <v/>
          </cell>
          <cell r="V248" t="str">
            <v>AGUARDANDO RETORNO</v>
          </cell>
          <cell r="W248">
            <v>2</v>
          </cell>
          <cell r="X248">
            <v>8</v>
          </cell>
        </row>
        <row r="249">
          <cell r="I249" t="str">
            <v>Espectrofotômetro</v>
          </cell>
          <cell r="M249" t="str">
            <v>Lençois Paulista-SP</v>
          </cell>
          <cell r="N249" t="str">
            <v>Bracell</v>
          </cell>
          <cell r="O249">
            <v>44067</v>
          </cell>
          <cell r="P249">
            <v>44067</v>
          </cell>
          <cell r="Q249">
            <v>44788</v>
          </cell>
          <cell r="R249" t="str">
            <v>Calibrado</v>
          </cell>
          <cell r="S249">
            <v>17478</v>
          </cell>
          <cell r="T249" t="str">
            <v>ER ANALITICA</v>
          </cell>
          <cell r="U249">
            <v>0</v>
          </cell>
          <cell r="V249" t="str">
            <v>REALIZADO</v>
          </cell>
          <cell r="W249">
            <v>8</v>
          </cell>
          <cell r="X249">
            <v>11</v>
          </cell>
        </row>
        <row r="250">
          <cell r="I250" t="str">
            <v>Espectrofotômetro</v>
          </cell>
          <cell r="M250" t="str">
            <v>Presidente Prudente-SP</v>
          </cell>
          <cell r="N250" t="str">
            <v>Marfrig</v>
          </cell>
          <cell r="O250">
            <v>44173</v>
          </cell>
          <cell r="P250">
            <v>44173</v>
          </cell>
          <cell r="Q250">
            <v>44678</v>
          </cell>
          <cell r="R250" t="str">
            <v>Calibrado</v>
          </cell>
          <cell r="S250">
            <v>16237</v>
          </cell>
          <cell r="T250" t="str">
            <v>ER ANALITICA</v>
          </cell>
          <cell r="U250" t="str">
            <v xml:space="preserve"> Filtro óptico azul manchado e lâmpada de tungstênio com vida útil avançada.</v>
          </cell>
          <cell r="V250" t="str">
            <v>EM CONTATO</v>
          </cell>
          <cell r="W250">
            <v>4</v>
          </cell>
          <cell r="X250">
            <v>3</v>
          </cell>
        </row>
        <row r="251">
          <cell r="I251" t="str">
            <v>pHmetro</v>
          </cell>
          <cell r="M251" t="str">
            <v>Presidente Prudente-SP</v>
          </cell>
          <cell r="N251" t="str">
            <v>Marfrig</v>
          </cell>
          <cell r="O251">
            <v>44173</v>
          </cell>
          <cell r="P251">
            <v>44173</v>
          </cell>
          <cell r="Q251">
            <v>44678</v>
          </cell>
          <cell r="R251" t="str">
            <v>Calibrado</v>
          </cell>
          <cell r="S251">
            <v>16236</v>
          </cell>
          <cell r="T251" t="str">
            <v>ER ANALITICA</v>
          </cell>
          <cell r="U251">
            <v>0</v>
          </cell>
          <cell r="V251" t="str">
            <v>EM CONTATO</v>
          </cell>
          <cell r="W251">
            <v>4</v>
          </cell>
          <cell r="X251">
            <v>3</v>
          </cell>
        </row>
        <row r="252">
          <cell r="I252" t="str">
            <v>Condutivímetro</v>
          </cell>
          <cell r="M252" t="str">
            <v>Presidente Prudente-SP</v>
          </cell>
          <cell r="N252" t="str">
            <v>no fixed customer (carried by owner)</v>
          </cell>
          <cell r="P252">
            <v>0</v>
          </cell>
          <cell r="Q252">
            <v>44678</v>
          </cell>
          <cell r="R252" t="str">
            <v>Calibrado</v>
          </cell>
          <cell r="S252">
            <v>16235</v>
          </cell>
          <cell r="T252" t="str">
            <v>ER ANALITICA</v>
          </cell>
          <cell r="U252">
            <v>0</v>
          </cell>
          <cell r="V252" t="str">
            <v>EM CONTATO</v>
          </cell>
          <cell r="W252">
            <v>4</v>
          </cell>
          <cell r="X252">
            <v>3</v>
          </cell>
        </row>
        <row r="253">
          <cell r="I253" t="str">
            <v>Balança Analítica</v>
          </cell>
          <cell r="M253" t="str">
            <v>Promissão-SP</v>
          </cell>
          <cell r="N253" t="str">
            <v>Marfrig</v>
          </cell>
          <cell r="O253">
            <v>44173</v>
          </cell>
          <cell r="P253">
            <v>44173</v>
          </cell>
          <cell r="Q253">
            <v>44678</v>
          </cell>
          <cell r="R253" t="str">
            <v>Calibrado</v>
          </cell>
          <cell r="S253">
            <v>16228</v>
          </cell>
          <cell r="T253" t="str">
            <v>ER ANALITICA</v>
          </cell>
          <cell r="U253">
            <v>0</v>
          </cell>
          <cell r="V253" t="str">
            <v>EM CONTATO</v>
          </cell>
          <cell r="W253">
            <v>4</v>
          </cell>
          <cell r="X253">
            <v>3</v>
          </cell>
        </row>
        <row r="254">
          <cell r="I254" t="str">
            <v>Condutivímetro</v>
          </cell>
          <cell r="M254" t="str">
            <v>Promissão-SP</v>
          </cell>
          <cell r="N254" t="str">
            <v>Marfrig</v>
          </cell>
          <cell r="O254">
            <v>44173</v>
          </cell>
          <cell r="P254">
            <v>44173</v>
          </cell>
          <cell r="Q254">
            <v>44678</v>
          </cell>
          <cell r="R254" t="str">
            <v>Calibrado</v>
          </cell>
          <cell r="S254">
            <v>16229</v>
          </cell>
          <cell r="T254" t="str">
            <v>ER ANALITICA</v>
          </cell>
          <cell r="U254">
            <v>0</v>
          </cell>
          <cell r="V254" t="str">
            <v>EM CONTATO</v>
          </cell>
          <cell r="W254">
            <v>4</v>
          </cell>
          <cell r="X254">
            <v>8</v>
          </cell>
        </row>
        <row r="255">
          <cell r="I255" t="str">
            <v>Condutivímetro</v>
          </cell>
          <cell r="M255" t="str">
            <v>Promissão-SP</v>
          </cell>
          <cell r="N255" t="str">
            <v>Marfrig</v>
          </cell>
          <cell r="O255">
            <v>44173</v>
          </cell>
          <cell r="P255">
            <v>44173</v>
          </cell>
          <cell r="Q255">
            <v>44678</v>
          </cell>
          <cell r="R255" t="str">
            <v>Calibrado</v>
          </cell>
          <cell r="S255">
            <v>16230</v>
          </cell>
          <cell r="T255" t="str">
            <v>ER ANALITICA</v>
          </cell>
          <cell r="U255">
            <v>0</v>
          </cell>
          <cell r="V255" t="str">
            <v>EM CONTATO</v>
          </cell>
          <cell r="W255">
            <v>4</v>
          </cell>
          <cell r="X255">
            <v>8</v>
          </cell>
        </row>
        <row r="256">
          <cell r="I256" t="str">
            <v>Espectrofotômetro</v>
          </cell>
          <cell r="M256" t="str">
            <v>Promissão-SP</v>
          </cell>
          <cell r="N256" t="str">
            <v>Marfrig</v>
          </cell>
          <cell r="O256">
            <v>44173</v>
          </cell>
          <cell r="P256">
            <v>44173</v>
          </cell>
          <cell r="Q256">
            <v>44678</v>
          </cell>
          <cell r="R256" t="str">
            <v>Calibrado</v>
          </cell>
          <cell r="S256">
            <v>16226</v>
          </cell>
          <cell r="T256" t="str">
            <v>ER ANALITICA</v>
          </cell>
          <cell r="U256" t="str">
            <v>Carcaça superior danificada, necessário troca na próxima manutenção.</v>
          </cell>
          <cell r="V256" t="str">
            <v>EM CONTATO</v>
          </cell>
          <cell r="W256">
            <v>4</v>
          </cell>
          <cell r="X256">
            <v>7</v>
          </cell>
        </row>
        <row r="257">
          <cell r="I257" t="str">
            <v>pHmetro</v>
          </cell>
          <cell r="M257" t="str">
            <v>Promissão-SP</v>
          </cell>
          <cell r="N257" t="str">
            <v>Marfrig</v>
          </cell>
          <cell r="O257">
            <v>44173</v>
          </cell>
          <cell r="P257">
            <v>44173</v>
          </cell>
          <cell r="Q257">
            <v>44678</v>
          </cell>
          <cell r="R257" t="str">
            <v>Calibrado</v>
          </cell>
          <cell r="S257">
            <v>16232</v>
          </cell>
          <cell r="T257" t="str">
            <v>ER ANALITICA</v>
          </cell>
          <cell r="U257">
            <v>0</v>
          </cell>
          <cell r="V257" t="str">
            <v>EM CONTATO</v>
          </cell>
          <cell r="W257">
            <v>4</v>
          </cell>
          <cell r="X257">
            <v>8</v>
          </cell>
        </row>
        <row r="258">
          <cell r="I258" t="str">
            <v>pHmetro</v>
          </cell>
          <cell r="M258" t="str">
            <v>Promissão-SP</v>
          </cell>
          <cell r="N258" t="str">
            <v>Marfrig</v>
          </cell>
          <cell r="O258">
            <v>44173</v>
          </cell>
          <cell r="P258">
            <v>44173</v>
          </cell>
          <cell r="Q258">
            <v>44678</v>
          </cell>
          <cell r="R258" t="str">
            <v>Calibrado</v>
          </cell>
          <cell r="S258">
            <v>16227</v>
          </cell>
          <cell r="T258" t="str">
            <v>ER ANALITICA</v>
          </cell>
          <cell r="U258" t="str">
            <v>Eletrodo com vida útil avançada, sendo necessário sua troca.</v>
          </cell>
          <cell r="V258" t="str">
            <v>EM CONTATO</v>
          </cell>
          <cell r="W258">
            <v>4</v>
          </cell>
          <cell r="X258">
            <v>9</v>
          </cell>
        </row>
        <row r="259">
          <cell r="I259" t="str">
            <v>Turbidímetro</v>
          </cell>
          <cell r="M259" t="str">
            <v>Promissão-SP</v>
          </cell>
          <cell r="N259" t="str">
            <v>Marfrig</v>
          </cell>
          <cell r="O259">
            <v>44173</v>
          </cell>
          <cell r="P259">
            <v>44173</v>
          </cell>
          <cell r="Q259">
            <v>44678</v>
          </cell>
          <cell r="R259" t="str">
            <v>Calibrado</v>
          </cell>
          <cell r="S259">
            <v>16234</v>
          </cell>
          <cell r="T259" t="str">
            <v>ER ANALITICA</v>
          </cell>
          <cell r="U259">
            <v>0</v>
          </cell>
          <cell r="V259" t="str">
            <v>EM CONTATO</v>
          </cell>
          <cell r="W259">
            <v>4</v>
          </cell>
          <cell r="X259">
            <v>9</v>
          </cell>
        </row>
        <row r="260">
          <cell r="I260" t="str">
            <v>Espectrofotômetro</v>
          </cell>
          <cell r="M260" t="str">
            <v>Promissão-SP</v>
          </cell>
          <cell r="N260" t="str">
            <v>Marfrig</v>
          </cell>
          <cell r="O260">
            <v>44173</v>
          </cell>
          <cell r="P260">
            <v>44173</v>
          </cell>
          <cell r="Q260">
            <v>44678</v>
          </cell>
          <cell r="R260" t="str">
            <v>Calibrado</v>
          </cell>
          <cell r="S260">
            <v>16231</v>
          </cell>
          <cell r="T260" t="str">
            <v>ER ANALITICA</v>
          </cell>
          <cell r="U260">
            <v>0</v>
          </cell>
          <cell r="V260" t="str">
            <v>EM CONTATO</v>
          </cell>
          <cell r="W260">
            <v>4</v>
          </cell>
          <cell r="X260">
            <v>3</v>
          </cell>
        </row>
        <row r="261">
          <cell r="I261" t="str">
            <v xml:space="preserve">Multiparâmetro </v>
          </cell>
          <cell r="M261" t="str">
            <v>Promissão-SP</v>
          </cell>
          <cell r="N261" t="str">
            <v>Marfrig</v>
          </cell>
          <cell r="O261">
            <v>44173</v>
          </cell>
          <cell r="P261">
            <v>44173</v>
          </cell>
          <cell r="Q261">
            <v>44678</v>
          </cell>
          <cell r="R261" t="str">
            <v>Calibrado</v>
          </cell>
          <cell r="S261">
            <v>16225</v>
          </cell>
          <cell r="T261" t="str">
            <v>ER ANALITICA</v>
          </cell>
          <cell r="U261">
            <v>0</v>
          </cell>
          <cell r="V261" t="str">
            <v>EM CONTATO</v>
          </cell>
          <cell r="W261">
            <v>4</v>
          </cell>
          <cell r="X261">
            <v>9</v>
          </cell>
        </row>
        <row r="262">
          <cell r="I262" t="str">
            <v>pHmetro</v>
          </cell>
          <cell r="M262" t="str">
            <v>Promissão-SP</v>
          </cell>
          <cell r="N262" t="str">
            <v>Marfrig</v>
          </cell>
          <cell r="O262">
            <v>44173</v>
          </cell>
          <cell r="P262">
            <v>44173</v>
          </cell>
          <cell r="Q262">
            <v>44678</v>
          </cell>
          <cell r="R262" t="str">
            <v>Calibrado</v>
          </cell>
          <cell r="S262">
            <v>16233</v>
          </cell>
          <cell r="T262" t="str">
            <v>ER ANALITICA</v>
          </cell>
          <cell r="U262">
            <v>0</v>
          </cell>
          <cell r="V262" t="str">
            <v>EM CONTATO</v>
          </cell>
          <cell r="W262">
            <v>4</v>
          </cell>
          <cell r="X262">
            <v>9</v>
          </cell>
        </row>
        <row r="263">
          <cell r="I263" t="str">
            <v xml:space="preserve">Multiparâmetro </v>
          </cell>
          <cell r="M263" t="str">
            <v>Rio Claro-SP</v>
          </cell>
          <cell r="N263" t="str">
            <v>DELTA</v>
          </cell>
          <cell r="P263">
            <v>0</v>
          </cell>
          <cell r="Q263">
            <v>44754</v>
          </cell>
          <cell r="R263" t="str">
            <v>Calibrado</v>
          </cell>
          <cell r="S263">
            <v>17207</v>
          </cell>
          <cell r="T263" t="str">
            <v>ER ANALITICA</v>
          </cell>
          <cell r="U263">
            <v>0</v>
          </cell>
          <cell r="V263" t="str">
            <v>REALIZADO</v>
          </cell>
          <cell r="W263">
            <v>7</v>
          </cell>
          <cell r="X263">
            <v>9</v>
          </cell>
        </row>
        <row r="264">
          <cell r="I264" t="str">
            <v xml:space="preserve">Multiparâmetro </v>
          </cell>
          <cell r="M264" t="str">
            <v>Rio Claro-SP</v>
          </cell>
          <cell r="N264" t="str">
            <v>DELTA</v>
          </cell>
          <cell r="P264">
            <v>0</v>
          </cell>
          <cell r="Q264">
            <v>44754</v>
          </cell>
          <cell r="R264" t="str">
            <v>Calibrado</v>
          </cell>
          <cell r="S264">
            <v>17210</v>
          </cell>
          <cell r="T264" t="str">
            <v>ER ANALITICA</v>
          </cell>
          <cell r="U264">
            <v>0</v>
          </cell>
          <cell r="V264" t="str">
            <v>REALIZADO</v>
          </cell>
          <cell r="W264">
            <v>7</v>
          </cell>
          <cell r="X264">
            <v>7</v>
          </cell>
        </row>
        <row r="265">
          <cell r="I265" t="str">
            <v xml:space="preserve">Multiparâmetro </v>
          </cell>
          <cell r="M265" t="str">
            <v>Rio Claro-SP</v>
          </cell>
          <cell r="N265" t="str">
            <v>DELTA</v>
          </cell>
          <cell r="P265">
            <v>0</v>
          </cell>
          <cell r="Q265">
            <v>44754</v>
          </cell>
          <cell r="R265" t="str">
            <v>Calibrado</v>
          </cell>
          <cell r="S265">
            <v>12208</v>
          </cell>
          <cell r="T265" t="str">
            <v>ER ANALITICA</v>
          </cell>
          <cell r="U265" t="str">
            <v>Equipamento não aceita ajuste na escala de pH, devido vida útil avançada do eletrodo.</v>
          </cell>
          <cell r="V265" t="str">
            <v>REALIZADO</v>
          </cell>
          <cell r="W265">
            <v>7</v>
          </cell>
          <cell r="X265">
            <v>7</v>
          </cell>
        </row>
        <row r="266">
          <cell r="I266" t="str">
            <v>Espectrofotômetro</v>
          </cell>
          <cell r="M266" t="str">
            <v>Rio Claro-SP</v>
          </cell>
          <cell r="N266" t="str">
            <v>DELTA</v>
          </cell>
          <cell r="O266">
            <v>44406</v>
          </cell>
          <cell r="P266">
            <v>44406</v>
          </cell>
          <cell r="Q266">
            <v>44754</v>
          </cell>
          <cell r="R266" t="str">
            <v>Calibrado</v>
          </cell>
          <cell r="S266">
            <v>17206</v>
          </cell>
          <cell r="T266" t="str">
            <v>ER ANALITICA</v>
          </cell>
          <cell r="U266" t="str">
            <v>Carcaça superior do instrumento encontra-se avariada e possui oxidação nos conectores da placa eletronica, indicando vida útil avançada do equipamento.</v>
          </cell>
          <cell r="V266" t="str">
            <v>REALIZADO</v>
          </cell>
          <cell r="W266">
            <v>7</v>
          </cell>
          <cell r="X266">
            <v>7</v>
          </cell>
        </row>
        <row r="267">
          <cell r="I267" t="str">
            <v xml:space="preserve">Multiparâmetro </v>
          </cell>
          <cell r="M267" t="str">
            <v>Rio Claro-SP</v>
          </cell>
          <cell r="N267" t="str">
            <v>DELTA</v>
          </cell>
          <cell r="O267">
            <v>44406</v>
          </cell>
          <cell r="P267">
            <v>44406</v>
          </cell>
          <cell r="Q267">
            <v>44756</v>
          </cell>
          <cell r="R267" t="str">
            <v>Calibrado</v>
          </cell>
          <cell r="S267">
            <v>17250</v>
          </cell>
          <cell r="T267" t="str">
            <v>ER ANALITICA</v>
          </cell>
          <cell r="U267">
            <v>0</v>
          </cell>
          <cell r="V267" t="str">
            <v>REALIZADO</v>
          </cell>
          <cell r="W267">
            <v>7</v>
          </cell>
          <cell r="X267">
            <v>3</v>
          </cell>
        </row>
        <row r="268">
          <cell r="I268" t="str">
            <v>pHmetro</v>
          </cell>
          <cell r="M268" t="str">
            <v>Rio Claro-SP</v>
          </cell>
          <cell r="N268" t="str">
            <v>DELTA</v>
          </cell>
          <cell r="O268">
            <v>44406</v>
          </cell>
          <cell r="P268">
            <v>44406</v>
          </cell>
          <cell r="Q268">
            <v>44754</v>
          </cell>
          <cell r="R268" t="str">
            <v>Calibrado</v>
          </cell>
          <cell r="S268">
            <v>17212</v>
          </cell>
          <cell r="T268" t="str">
            <v>ER ANALITICA</v>
          </cell>
          <cell r="U268">
            <v>0</v>
          </cell>
          <cell r="V268" t="str">
            <v>REALIZADO</v>
          </cell>
          <cell r="W268">
            <v>7</v>
          </cell>
          <cell r="X268">
            <v>5</v>
          </cell>
        </row>
        <row r="269">
          <cell r="I269" t="str">
            <v>Espectrofotômetro</v>
          </cell>
          <cell r="M269" t="str">
            <v>Santo André-SP</v>
          </cell>
          <cell r="N269" t="str">
            <v>RHODIA</v>
          </cell>
          <cell r="P269">
            <v>0</v>
          </cell>
          <cell r="Q269">
            <v>44902</v>
          </cell>
          <cell r="R269" t="str">
            <v>Calibrado</v>
          </cell>
          <cell r="S269">
            <v>19126</v>
          </cell>
          <cell r="T269" t="str">
            <v>ER ANALITICA</v>
          </cell>
          <cell r="U269">
            <v>0</v>
          </cell>
          <cell r="V269" t="str">
            <v>REALIZADO</v>
          </cell>
          <cell r="W269">
            <v>12</v>
          </cell>
        </row>
        <row r="270">
          <cell r="I270" t="str">
            <v>Reator DQO</v>
          </cell>
          <cell r="M270" t="str">
            <v>Santo André-SP</v>
          </cell>
          <cell r="N270" t="str">
            <v>RHODIA</v>
          </cell>
          <cell r="O270">
            <v>44068</v>
          </cell>
          <cell r="P270">
            <v>44370</v>
          </cell>
          <cell r="Q270">
            <v>44785</v>
          </cell>
          <cell r="R270" t="str">
            <v>Calibrado</v>
          </cell>
          <cell r="S270">
            <v>16911</v>
          </cell>
          <cell r="T270" t="str">
            <v>ER ANALITICA</v>
          </cell>
          <cell r="U270">
            <v>0</v>
          </cell>
          <cell r="V270" t="str">
            <v>REALIZADO</v>
          </cell>
          <cell r="W270">
            <v>8</v>
          </cell>
          <cell r="X270">
            <v>5</v>
          </cell>
        </row>
        <row r="271">
          <cell r="I271" t="str">
            <v>Turbidímetro</v>
          </cell>
          <cell r="M271" t="str">
            <v>Santo André-SP</v>
          </cell>
          <cell r="N271" t="str">
            <v>Braskem</v>
          </cell>
          <cell r="O271">
            <v>43843</v>
          </cell>
          <cell r="P271">
            <v>44370</v>
          </cell>
          <cell r="Q271">
            <v>44727</v>
          </cell>
          <cell r="R271" t="str">
            <v>Calibrado</v>
          </cell>
          <cell r="S271">
            <v>16837</v>
          </cell>
          <cell r="T271" t="str">
            <v>ER ANALITICA</v>
          </cell>
          <cell r="U271" t="str">
            <v xml:space="preserve">16837 - Tampa superior avariada, recomendamos a troca na próxima manutenção. </v>
          </cell>
          <cell r="V271" t="str">
            <v>REALIZADO</v>
          </cell>
          <cell r="W271">
            <v>6</v>
          </cell>
          <cell r="X271">
            <v>3</v>
          </cell>
        </row>
        <row r="272">
          <cell r="I272" t="str">
            <v>Condutivímetro</v>
          </cell>
          <cell r="M272" t="str">
            <v>Santo André-SP</v>
          </cell>
          <cell r="N272" t="str">
            <v>Braskem</v>
          </cell>
          <cell r="O272">
            <v>44259</v>
          </cell>
          <cell r="P272">
            <v>44259</v>
          </cell>
          <cell r="Q272">
            <v>44628</v>
          </cell>
          <cell r="R272" t="str">
            <v>Calibrado</v>
          </cell>
          <cell r="S272">
            <v>15725</v>
          </cell>
          <cell r="T272" t="str">
            <v>ER ANALITICA</v>
          </cell>
          <cell r="U272">
            <v>0</v>
          </cell>
          <cell r="V272" t="str">
            <v>AGENDADO</v>
          </cell>
          <cell r="W272">
            <v>3</v>
          </cell>
          <cell r="X272">
            <v>5</v>
          </cell>
        </row>
        <row r="273">
          <cell r="I273" t="str">
            <v>pHmetro</v>
          </cell>
          <cell r="M273" t="str">
            <v>Santo André-SP</v>
          </cell>
          <cell r="N273" t="str">
            <v>Braskem</v>
          </cell>
          <cell r="O273">
            <v>44259</v>
          </cell>
          <cell r="P273">
            <v>44259</v>
          </cell>
          <cell r="Q273">
            <v>44628</v>
          </cell>
          <cell r="R273" t="str">
            <v>Calibrado</v>
          </cell>
          <cell r="S273">
            <v>15726</v>
          </cell>
          <cell r="T273" t="str">
            <v>ER ANALITICA</v>
          </cell>
          <cell r="U273">
            <v>0</v>
          </cell>
          <cell r="V273" t="str">
            <v>AGENDADO</v>
          </cell>
          <cell r="W273">
            <v>3</v>
          </cell>
          <cell r="X273">
            <v>6</v>
          </cell>
        </row>
        <row r="274">
          <cell r="I274" t="str">
            <v>Colorímetro</v>
          </cell>
          <cell r="M274" t="str">
            <v>Santo André-SP</v>
          </cell>
          <cell r="N274" t="str">
            <v>Braskem</v>
          </cell>
          <cell r="O274">
            <v>44285</v>
          </cell>
          <cell r="P274">
            <v>44285</v>
          </cell>
          <cell r="Q274">
            <v>44628</v>
          </cell>
          <cell r="R274" t="str">
            <v>Calibrado</v>
          </cell>
          <cell r="S274">
            <v>15723</v>
          </cell>
          <cell r="T274" t="str">
            <v>ER ANALITICA</v>
          </cell>
          <cell r="U274" t="str">
            <v>Substituido o compartimento de pilhas</v>
          </cell>
          <cell r="V274" t="str">
            <v>AGENDADO</v>
          </cell>
          <cell r="W274">
            <v>3</v>
          </cell>
          <cell r="X274">
            <v>6</v>
          </cell>
        </row>
        <row r="275">
          <cell r="I275" t="str">
            <v>Espectrofotômetro</v>
          </cell>
          <cell r="M275" t="str">
            <v>Santo André-SP</v>
          </cell>
          <cell r="N275" t="str">
            <v>Braskem</v>
          </cell>
          <cell r="O275">
            <v>44285</v>
          </cell>
          <cell r="P275">
            <v>44285</v>
          </cell>
          <cell r="Q275">
            <v>44628</v>
          </cell>
          <cell r="R275" t="str">
            <v>Calibrado</v>
          </cell>
          <cell r="S275">
            <v>15722</v>
          </cell>
          <cell r="T275" t="str">
            <v>ER ANALITICA</v>
          </cell>
          <cell r="U275">
            <v>0</v>
          </cell>
          <cell r="V275" t="str">
            <v>AGENDADO</v>
          </cell>
          <cell r="W275">
            <v>3</v>
          </cell>
          <cell r="X275">
            <v>6</v>
          </cell>
        </row>
        <row r="276">
          <cell r="I276" t="str">
            <v>Turbidímetro</v>
          </cell>
          <cell r="M276" t="str">
            <v>Santo André-SP</v>
          </cell>
          <cell r="N276" t="str">
            <v>Braskem</v>
          </cell>
          <cell r="O276">
            <v>44285</v>
          </cell>
          <cell r="P276">
            <v>44285</v>
          </cell>
          <cell r="Q276">
            <v>44628</v>
          </cell>
          <cell r="R276" t="str">
            <v>Calibrado</v>
          </cell>
          <cell r="S276">
            <v>15724</v>
          </cell>
          <cell r="T276" t="str">
            <v>ER ANALITICA</v>
          </cell>
          <cell r="U276">
            <v>0</v>
          </cell>
          <cell r="V276" t="str">
            <v>AGENDADO</v>
          </cell>
          <cell r="W276">
            <v>3</v>
          </cell>
          <cell r="X276">
            <v>9</v>
          </cell>
        </row>
        <row r="277">
          <cell r="I277" t="str">
            <v>Colorímetro</v>
          </cell>
          <cell r="M277" t="str">
            <v>Santo André-SP</v>
          </cell>
          <cell r="N277" t="str">
            <v>Braskem</v>
          </cell>
          <cell r="O277">
            <v>44147</v>
          </cell>
          <cell r="P277">
            <v>44531</v>
          </cell>
          <cell r="Q277">
            <v>44902</v>
          </cell>
          <cell r="R277" t="str">
            <v>Calibrado</v>
          </cell>
          <cell r="S277">
            <v>19130</v>
          </cell>
          <cell r="T277" t="str">
            <v>ER ANALITICA</v>
          </cell>
          <cell r="U277">
            <v>0</v>
          </cell>
          <cell r="V277" t="str">
            <v>REALIZADO</v>
          </cell>
          <cell r="W277">
            <v>12</v>
          </cell>
          <cell r="X277">
            <v>9</v>
          </cell>
        </row>
        <row r="278">
          <cell r="I278" t="str">
            <v>Condutivímetro</v>
          </cell>
          <cell r="M278" t="str">
            <v>Santo André-SP</v>
          </cell>
          <cell r="N278" t="str">
            <v>RHODIA</v>
          </cell>
          <cell r="O278">
            <v>44068</v>
          </cell>
          <cell r="P278">
            <v>44370</v>
          </cell>
          <cell r="Q278">
            <v>44727</v>
          </cell>
          <cell r="R278" t="str">
            <v>Calibrado</v>
          </cell>
          <cell r="S278">
            <v>16830</v>
          </cell>
          <cell r="T278" t="str">
            <v>ER ANALITICA</v>
          </cell>
          <cell r="U278">
            <v>0</v>
          </cell>
          <cell r="V278" t="str">
            <v>REALIZADO</v>
          </cell>
          <cell r="W278">
            <v>6</v>
          </cell>
          <cell r="X278">
            <v>9</v>
          </cell>
        </row>
        <row r="279">
          <cell r="I279" t="str">
            <v>Condutivímetro</v>
          </cell>
          <cell r="M279" t="str">
            <v>Santo André-SP</v>
          </cell>
          <cell r="N279" t="str">
            <v>RHODIA</v>
          </cell>
          <cell r="O279">
            <v>44068</v>
          </cell>
          <cell r="P279">
            <v>44370</v>
          </cell>
          <cell r="Q279">
            <v>44727</v>
          </cell>
          <cell r="R279" t="str">
            <v>Calibrado</v>
          </cell>
          <cell r="S279">
            <v>16831</v>
          </cell>
          <cell r="T279" t="str">
            <v>ER ANALITICA</v>
          </cell>
          <cell r="U279">
            <v>0</v>
          </cell>
          <cell r="V279" t="str">
            <v>REALIZADO</v>
          </cell>
          <cell r="W279">
            <v>6</v>
          </cell>
          <cell r="X279">
            <v>3</v>
          </cell>
        </row>
        <row r="280">
          <cell r="I280" t="str">
            <v>Espectrofotômetro</v>
          </cell>
          <cell r="M280" t="str">
            <v>Santo André-SP</v>
          </cell>
          <cell r="N280" t="str">
            <v>RHODIA</v>
          </cell>
          <cell r="O280">
            <v>44068</v>
          </cell>
          <cell r="P280">
            <v>44370</v>
          </cell>
          <cell r="Q280">
            <v>44727</v>
          </cell>
          <cell r="R280" t="str">
            <v>Calibrado</v>
          </cell>
          <cell r="S280">
            <v>16832</v>
          </cell>
          <cell r="T280" t="str">
            <v>ER ANALITICA</v>
          </cell>
          <cell r="U280">
            <v>0</v>
          </cell>
          <cell r="V280" t="str">
            <v>REALIZADO</v>
          </cell>
          <cell r="W280">
            <v>6</v>
          </cell>
          <cell r="X280">
            <v>5</v>
          </cell>
        </row>
        <row r="281">
          <cell r="I281" t="str">
            <v>Condutivímetro</v>
          </cell>
          <cell r="M281" t="str">
            <v>Santo André-SP</v>
          </cell>
          <cell r="N281" t="str">
            <v>Unipar</v>
          </cell>
          <cell r="P281">
            <v>0</v>
          </cell>
          <cell r="Q281">
            <v>44902</v>
          </cell>
          <cell r="R281" t="str">
            <v>Calibrado</v>
          </cell>
          <cell r="S281">
            <v>19127</v>
          </cell>
          <cell r="T281" t="str">
            <v>ER ANALITICA</v>
          </cell>
          <cell r="U281">
            <v>0</v>
          </cell>
          <cell r="V281" t="str">
            <v>REALIZADO</v>
          </cell>
          <cell r="W281">
            <v>12</v>
          </cell>
        </row>
        <row r="282">
          <cell r="I282" t="str">
            <v>Turbidímetro</v>
          </cell>
          <cell r="M282" t="str">
            <v>Santo André-SP</v>
          </cell>
          <cell r="N282" t="str">
            <v>Unipar</v>
          </cell>
          <cell r="P282">
            <v>0</v>
          </cell>
          <cell r="Q282">
            <v>44902</v>
          </cell>
          <cell r="R282" t="str">
            <v>Calibrado</v>
          </cell>
          <cell r="S282">
            <v>19128</v>
          </cell>
          <cell r="T282" t="str">
            <v>ER ANALITICA</v>
          </cell>
          <cell r="U282">
            <v>0</v>
          </cell>
          <cell r="V282" t="str">
            <v>REALIZADO</v>
          </cell>
          <cell r="W282">
            <v>12</v>
          </cell>
        </row>
        <row r="283">
          <cell r="I283" t="str">
            <v>pHmetro</v>
          </cell>
          <cell r="M283" t="str">
            <v>Santo André-SP</v>
          </cell>
          <cell r="N283" t="str">
            <v>Unipar</v>
          </cell>
          <cell r="P283">
            <v>0</v>
          </cell>
          <cell r="Q283">
            <v>44902</v>
          </cell>
          <cell r="R283" t="str">
            <v>Calibrado</v>
          </cell>
          <cell r="S283">
            <v>19470</v>
          </cell>
          <cell r="T283" t="str">
            <v>ER ANALITICA</v>
          </cell>
          <cell r="U283">
            <v>0</v>
          </cell>
          <cell r="V283" t="str">
            <v>REALIZADO</v>
          </cell>
          <cell r="W283">
            <v>12</v>
          </cell>
        </row>
        <row r="284">
          <cell r="I284" t="str">
            <v>Turbidímetro</v>
          </cell>
          <cell r="M284" t="str">
            <v>Santo André-SP</v>
          </cell>
          <cell r="N284" t="str">
            <v>Unipar</v>
          </cell>
          <cell r="P284">
            <v>0</v>
          </cell>
          <cell r="Q284">
            <v>44902</v>
          </cell>
          <cell r="R284" t="str">
            <v>Calibrado</v>
          </cell>
          <cell r="S284">
            <v>19129</v>
          </cell>
          <cell r="T284" t="str">
            <v>ER ANALITICA</v>
          </cell>
          <cell r="U284">
            <v>0</v>
          </cell>
          <cell r="V284" t="str">
            <v>REALIZADO</v>
          </cell>
          <cell r="W284">
            <v>12</v>
          </cell>
        </row>
        <row r="285">
          <cell r="I285" t="str">
            <v>pHmetro</v>
          </cell>
          <cell r="M285" t="str">
            <v>Santo André-SP</v>
          </cell>
          <cell r="N285" t="str">
            <v>Unipar</v>
          </cell>
          <cell r="P285">
            <v>0</v>
          </cell>
          <cell r="Q285">
            <v>44902</v>
          </cell>
          <cell r="R285" t="str">
            <v>Calibrado</v>
          </cell>
          <cell r="S285">
            <v>19490</v>
          </cell>
          <cell r="T285" t="str">
            <v>ER ANALITICA</v>
          </cell>
          <cell r="U285">
            <v>0</v>
          </cell>
          <cell r="V285" t="str">
            <v>REALIZADO</v>
          </cell>
          <cell r="W285">
            <v>12</v>
          </cell>
        </row>
        <row r="286">
          <cell r="I286" t="str">
            <v>Condutivímetro</v>
          </cell>
          <cell r="M286" t="str">
            <v>Santo André-SP</v>
          </cell>
          <cell r="N286" t="str">
            <v>Unipar</v>
          </cell>
          <cell r="P286">
            <v>0</v>
          </cell>
          <cell r="Q286">
            <v>44902</v>
          </cell>
          <cell r="R286" t="str">
            <v>Calibrado</v>
          </cell>
          <cell r="S286">
            <v>19491</v>
          </cell>
          <cell r="T286" t="str">
            <v>ER ANALITICA</v>
          </cell>
          <cell r="U286">
            <v>0</v>
          </cell>
          <cell r="V286" t="str">
            <v>REALIZADO</v>
          </cell>
          <cell r="W286">
            <v>12</v>
          </cell>
        </row>
        <row r="287">
          <cell r="I287" t="str">
            <v>pHmetro</v>
          </cell>
          <cell r="M287" t="str">
            <v>Santo André-SP</v>
          </cell>
          <cell r="N287" t="str">
            <v>Prometeon</v>
          </cell>
          <cell r="P287">
            <v>44418</v>
          </cell>
          <cell r="Q287">
            <v>44733</v>
          </cell>
          <cell r="R287" t="str">
            <v>Calibrado</v>
          </cell>
          <cell r="S287">
            <v>16936</v>
          </cell>
          <cell r="T287" t="str">
            <v>ER ANALITICA</v>
          </cell>
          <cell r="U287" t="str">
            <v>Instrumento liberado com restrição. Avarias na mascara do teclado.</v>
          </cell>
          <cell r="V287" t="str">
            <v>REALIZADO</v>
          </cell>
          <cell r="W287">
            <v>6</v>
          </cell>
          <cell r="X287">
            <v>3</v>
          </cell>
        </row>
        <row r="288">
          <cell r="I288" t="str">
            <v>Colorímetro</v>
          </cell>
          <cell r="M288" t="str">
            <v>Santo André-SP</v>
          </cell>
          <cell r="N288" t="str">
            <v>Prometeon</v>
          </cell>
          <cell r="P288">
            <v>44418</v>
          </cell>
          <cell r="Q288">
            <v>44733</v>
          </cell>
          <cell r="R288" t="str">
            <v>Calibrado</v>
          </cell>
          <cell r="S288">
            <v>16937</v>
          </cell>
          <cell r="T288" t="str">
            <v>ER ANALITICA</v>
          </cell>
          <cell r="U288">
            <v>0</v>
          </cell>
          <cell r="V288" t="str">
            <v>REALIZADO</v>
          </cell>
          <cell r="W288">
            <v>6</v>
          </cell>
          <cell r="X288">
            <v>6</v>
          </cell>
        </row>
        <row r="289">
          <cell r="I289" t="str">
            <v>Fotômetro</v>
          </cell>
          <cell r="M289" t="str">
            <v>Santo André-SP</v>
          </cell>
          <cell r="N289" t="str">
            <v xml:space="preserve">Prometeon </v>
          </cell>
          <cell r="P289">
            <v>0</v>
          </cell>
          <cell r="Q289">
            <v>44733</v>
          </cell>
          <cell r="R289" t="str">
            <v>Calibrado</v>
          </cell>
          <cell r="S289">
            <v>16953</v>
          </cell>
          <cell r="T289" t="str">
            <v>ER ANALITICA</v>
          </cell>
          <cell r="U289" t="str">
            <v xml:space="preserve"> Instrumento liberado com restrição. Todos filtros opticos e contatos de pilhas com oxidação.</v>
          </cell>
          <cell r="V289" t="str">
            <v>REALIZADO</v>
          </cell>
          <cell r="W289">
            <v>6</v>
          </cell>
          <cell r="X289">
            <v>5</v>
          </cell>
        </row>
        <row r="290">
          <cell r="I290" t="str">
            <v>Condutivímetro</v>
          </cell>
          <cell r="M290" t="str">
            <v>São José dos Campos-SP</v>
          </cell>
          <cell r="N290" t="str">
            <v>REVAP</v>
          </cell>
          <cell r="O290">
            <v>44012</v>
          </cell>
          <cell r="P290">
            <v>44370</v>
          </cell>
          <cell r="Q290">
            <v>44727</v>
          </cell>
          <cell r="R290" t="str">
            <v>Calibrado</v>
          </cell>
          <cell r="S290">
            <v>16827</v>
          </cell>
          <cell r="T290" t="str">
            <v>ER ANALITICA</v>
          </cell>
          <cell r="U290">
            <v>0</v>
          </cell>
          <cell r="V290" t="str">
            <v>REALIZADO</v>
          </cell>
          <cell r="W290">
            <v>6</v>
          </cell>
          <cell r="X290">
            <v>5</v>
          </cell>
        </row>
        <row r="291">
          <cell r="I291" t="str">
            <v>Colorímetro</v>
          </cell>
          <cell r="M291" t="str">
            <v>São José dos Campos-SP</v>
          </cell>
          <cell r="N291" t="str">
            <v>REVAP</v>
          </cell>
          <cell r="O291">
            <v>44012</v>
          </cell>
          <cell r="P291">
            <v>44370</v>
          </cell>
          <cell r="Q291">
            <v>44841</v>
          </cell>
          <cell r="R291" t="str">
            <v>Calibrado</v>
          </cell>
          <cell r="S291">
            <v>18057</v>
          </cell>
          <cell r="T291" t="str">
            <v>ER ANALITICA</v>
          </cell>
          <cell r="U291">
            <v>0</v>
          </cell>
          <cell r="V291" t="str">
            <v>REALIZADO</v>
          </cell>
          <cell r="W291">
            <v>10</v>
          </cell>
        </row>
        <row r="292">
          <cell r="I292" t="str">
            <v>Condutivímetro</v>
          </cell>
          <cell r="M292" t="str">
            <v>São Paulo-SP</v>
          </cell>
          <cell r="N292" t="str">
            <v>no fixed customer (carried by owner)</v>
          </cell>
          <cell r="P292">
            <v>44333</v>
          </cell>
          <cell r="Q292">
            <v>44732</v>
          </cell>
          <cell r="R292" t="str">
            <v>Calibrado</v>
          </cell>
          <cell r="S292">
            <v>16924</v>
          </cell>
          <cell r="T292" t="str">
            <v>ER ANALITICA</v>
          </cell>
          <cell r="U292">
            <v>0</v>
          </cell>
          <cell r="V292" t="str">
            <v>REALIZADO</v>
          </cell>
          <cell r="W292">
            <v>6</v>
          </cell>
          <cell r="X292">
            <v>5</v>
          </cell>
        </row>
        <row r="293">
          <cell r="I293" t="str">
            <v>pHmetro</v>
          </cell>
          <cell r="M293" t="str">
            <v>São Paulo-SP</v>
          </cell>
          <cell r="N293" t="str">
            <v>no fixed customer (carried by owner)</v>
          </cell>
          <cell r="O293">
            <v>43979</v>
          </cell>
          <cell r="P293">
            <v>44333</v>
          </cell>
          <cell r="Q293">
            <v>44732</v>
          </cell>
          <cell r="R293" t="str">
            <v>Calibrado</v>
          </cell>
          <cell r="S293">
            <v>16922</v>
          </cell>
          <cell r="T293" t="str">
            <v>ER ANALITICA</v>
          </cell>
          <cell r="U293">
            <v>0</v>
          </cell>
          <cell r="V293" t="str">
            <v>REALIZADO</v>
          </cell>
          <cell r="W293">
            <v>6</v>
          </cell>
          <cell r="X293">
            <v>5</v>
          </cell>
        </row>
        <row r="294">
          <cell r="I294" t="str">
            <v>Condutivímetro</v>
          </cell>
          <cell r="M294" t="str">
            <v>São Paulo-SP</v>
          </cell>
          <cell r="N294" t="str">
            <v>no fixed customer (carried by owner)</v>
          </cell>
          <cell r="P294">
            <v>0</v>
          </cell>
          <cell r="Q294">
            <v>44732</v>
          </cell>
          <cell r="R294" t="str">
            <v>Calibrado</v>
          </cell>
          <cell r="S294">
            <v>16925</v>
          </cell>
          <cell r="T294" t="str">
            <v>ER ANALITICA</v>
          </cell>
          <cell r="U294">
            <v>0</v>
          </cell>
          <cell r="V294" t="str">
            <v>REALIZADO</v>
          </cell>
          <cell r="W294">
            <v>6</v>
          </cell>
          <cell r="X294">
            <v>6</v>
          </cell>
        </row>
        <row r="295">
          <cell r="I295" t="str">
            <v>Colorímetro</v>
          </cell>
          <cell r="M295" t="str">
            <v>São Paulo-SP</v>
          </cell>
          <cell r="N295" t="str">
            <v>no fixed customer (carried by owner)</v>
          </cell>
          <cell r="O295">
            <v>43978</v>
          </cell>
          <cell r="P295">
            <v>43978</v>
          </cell>
          <cell r="Q295">
            <v>44732</v>
          </cell>
          <cell r="R295" t="str">
            <v>Calibrado</v>
          </cell>
          <cell r="S295">
            <v>16923</v>
          </cell>
          <cell r="T295" t="str">
            <v>ER ANALITICA</v>
          </cell>
          <cell r="U295">
            <v>0</v>
          </cell>
          <cell r="V295" t="str">
            <v>REALIZADO</v>
          </cell>
          <cell r="W295">
            <v>6</v>
          </cell>
          <cell r="X295">
            <v>9</v>
          </cell>
        </row>
        <row r="296">
          <cell r="I296" t="str">
            <v>Condutivímetro</v>
          </cell>
          <cell r="M296" t="str">
            <v>São Paulo-SP</v>
          </cell>
          <cell r="N296" t="str">
            <v>no fixed customer (carried by owner)</v>
          </cell>
          <cell r="O296">
            <v>43977</v>
          </cell>
          <cell r="P296">
            <v>44333</v>
          </cell>
          <cell r="Q296">
            <v>44333</v>
          </cell>
          <cell r="R296" t="str">
            <v>Vencido</v>
          </cell>
          <cell r="S296">
            <v>12348</v>
          </cell>
          <cell r="T296" t="str">
            <v>ER ANALITICA</v>
          </cell>
          <cell r="U296">
            <v>0</v>
          </cell>
          <cell r="V296" t="str">
            <v>AGENDADO</v>
          </cell>
          <cell r="W296">
            <v>5</v>
          </cell>
          <cell r="X296">
            <v>5</v>
          </cell>
        </row>
        <row r="297">
          <cell r="I297" t="str">
            <v>Turbidímetro</v>
          </cell>
          <cell r="M297" t="str">
            <v>São Paulo-SP</v>
          </cell>
          <cell r="N297" t="str">
            <v>no fixed customer (carried by owner)</v>
          </cell>
          <cell r="O297">
            <v>43978</v>
          </cell>
          <cell r="P297">
            <v>44333</v>
          </cell>
          <cell r="Q297">
            <v>44333</v>
          </cell>
          <cell r="R297" t="str">
            <v>Vencido</v>
          </cell>
          <cell r="S297">
            <v>12328</v>
          </cell>
          <cell r="T297" t="str">
            <v>ER ANALITICA</v>
          </cell>
          <cell r="U297">
            <v>0</v>
          </cell>
          <cell r="V297" t="str">
            <v>AGENDADO</v>
          </cell>
          <cell r="W297">
            <v>5</v>
          </cell>
        </row>
        <row r="298">
          <cell r="I298" t="str">
            <v>pHmetro</v>
          </cell>
          <cell r="M298" t="str">
            <v>São Paulo-SP</v>
          </cell>
          <cell r="N298" t="str">
            <v>no fixed customer (carried by owner)</v>
          </cell>
          <cell r="O298">
            <v>43979</v>
          </cell>
          <cell r="P298">
            <v>44333</v>
          </cell>
          <cell r="Q298">
            <v>44333</v>
          </cell>
          <cell r="R298" t="str">
            <v>Vencido</v>
          </cell>
          <cell r="S298">
            <v>12345</v>
          </cell>
          <cell r="T298" t="str">
            <v>ER ANALITICA</v>
          </cell>
          <cell r="U298" t="str">
            <v>Instrumento com divergências de resistividade. Será encaminhado para ER.</v>
          </cell>
          <cell r="V298" t="str">
            <v>AGENDADO</v>
          </cell>
          <cell r="W298">
            <v>5</v>
          </cell>
          <cell r="X298">
            <v>4</v>
          </cell>
        </row>
        <row r="299">
          <cell r="I299" t="str">
            <v>Reator DQO</v>
          </cell>
          <cell r="M299" t="str">
            <v>Sorocaba-SP</v>
          </cell>
          <cell r="N299" t="str">
            <v>FACENS</v>
          </cell>
          <cell r="O299">
            <v>43979</v>
          </cell>
          <cell r="P299">
            <v>44333</v>
          </cell>
          <cell r="Q299">
            <v>44732</v>
          </cell>
          <cell r="R299" t="str">
            <v>Calibrado</v>
          </cell>
          <cell r="S299">
            <v>16914</v>
          </cell>
          <cell r="T299" t="str">
            <v>ER ANALITICA</v>
          </cell>
          <cell r="U299">
            <v>0</v>
          </cell>
          <cell r="V299" t="str">
            <v>REALIZADO</v>
          </cell>
          <cell r="W299">
            <v>6</v>
          </cell>
          <cell r="X299">
            <v>8</v>
          </cell>
        </row>
        <row r="300">
          <cell r="I300" t="str">
            <v xml:space="preserve">Multiparâmetro </v>
          </cell>
          <cell r="M300" t="str">
            <v>Sorocaba-SP</v>
          </cell>
          <cell r="N300" t="str">
            <v>FACENS</v>
          </cell>
          <cell r="O300">
            <v>44239</v>
          </cell>
          <cell r="P300">
            <v>44239</v>
          </cell>
          <cell r="Q300">
            <v>44732</v>
          </cell>
          <cell r="R300" t="str">
            <v>Calibrado</v>
          </cell>
          <cell r="S300">
            <v>16916</v>
          </cell>
          <cell r="T300" t="str">
            <v>ER ANALITICA</v>
          </cell>
          <cell r="U300">
            <v>0</v>
          </cell>
          <cell r="V300" t="str">
            <v>REALIZADO</v>
          </cell>
          <cell r="W300">
            <v>6</v>
          </cell>
          <cell r="X300">
            <v>8</v>
          </cell>
        </row>
        <row r="301">
          <cell r="I301" t="str">
            <v>Espectrofotômetro</v>
          </cell>
          <cell r="M301" t="str">
            <v>Sorocaba-SP</v>
          </cell>
          <cell r="N301" t="str">
            <v>FACENS</v>
          </cell>
          <cell r="O301">
            <v>43980</v>
          </cell>
          <cell r="P301">
            <v>44333</v>
          </cell>
          <cell r="Q301">
            <v>44732</v>
          </cell>
          <cell r="R301" t="str">
            <v>Calibrado</v>
          </cell>
          <cell r="S301">
            <v>16619</v>
          </cell>
          <cell r="T301" t="str">
            <v>ER ANALITICA</v>
          </cell>
          <cell r="U301">
            <v>0</v>
          </cell>
          <cell r="V301" t="str">
            <v>REALIZADO</v>
          </cell>
          <cell r="W301">
            <v>6</v>
          </cell>
          <cell r="X301">
            <v>8</v>
          </cell>
        </row>
        <row r="302">
          <cell r="I302" t="str">
            <v>Espectrofotômetro</v>
          </cell>
          <cell r="M302" t="str">
            <v>Sorocaba-SP</v>
          </cell>
          <cell r="N302" t="str">
            <v>FACENS</v>
          </cell>
          <cell r="O302">
            <v>43978</v>
          </cell>
          <cell r="P302">
            <v>44333</v>
          </cell>
          <cell r="Q302">
            <v>44981</v>
          </cell>
          <cell r="R302" t="str">
            <v>Calibrado</v>
          </cell>
          <cell r="S302">
            <v>20572</v>
          </cell>
          <cell r="T302" t="str">
            <v>ER ANALITICA</v>
          </cell>
          <cell r="U302" t="str">
            <v>Necessário substituição dos filtros ópticos KG20 / BG370, devido a oxidação e bateria de lítio, em razão a baixa carga. Circuito leitor de código de barras danificado.</v>
          </cell>
          <cell r="V302" t="str">
            <v>REALIZADO</v>
          </cell>
          <cell r="W302">
            <v>2</v>
          </cell>
          <cell r="X302">
            <v>7</v>
          </cell>
        </row>
        <row r="303">
          <cell r="I303" t="str">
            <v>Reator DQO</v>
          </cell>
          <cell r="M303" t="str">
            <v>Sorocaba-SP</v>
          </cell>
          <cell r="N303" t="str">
            <v>FACENS</v>
          </cell>
          <cell r="O303">
            <v>43978</v>
          </cell>
          <cell r="P303">
            <v>44333</v>
          </cell>
          <cell r="Q303">
            <v>44981</v>
          </cell>
          <cell r="R303" t="str">
            <v>Calibrado</v>
          </cell>
          <cell r="S303">
            <v>20573</v>
          </cell>
          <cell r="T303" t="str">
            <v>ER ANALITICA</v>
          </cell>
          <cell r="U303">
            <v>0</v>
          </cell>
          <cell r="V303" t="str">
            <v>REALIZADO</v>
          </cell>
          <cell r="W303">
            <v>2</v>
          </cell>
          <cell r="X303">
            <v>7</v>
          </cell>
        </row>
        <row r="304">
          <cell r="I304" t="str">
            <v>Turbidímetro</v>
          </cell>
          <cell r="M304" t="str">
            <v>Sorocaba-SP</v>
          </cell>
          <cell r="N304" t="str">
            <v>FACENS</v>
          </cell>
          <cell r="O304">
            <v>43978</v>
          </cell>
          <cell r="P304">
            <v>44333</v>
          </cell>
          <cell r="Q304">
            <v>44981</v>
          </cell>
          <cell r="R304" t="str">
            <v>Calibrado</v>
          </cell>
          <cell r="S304">
            <v>20574</v>
          </cell>
          <cell r="T304" t="str">
            <v>ER ANALITICA</v>
          </cell>
          <cell r="U304">
            <v>0</v>
          </cell>
          <cell r="V304" t="str">
            <v>REALIZADO</v>
          </cell>
          <cell r="W304">
            <v>2</v>
          </cell>
          <cell r="X304">
            <v>7</v>
          </cell>
        </row>
        <row r="305">
          <cell r="I305" t="str">
            <v>Balança Analítica</v>
          </cell>
          <cell r="M305" t="str">
            <v>Sorocaba-SP</v>
          </cell>
          <cell r="N305" t="str">
            <v>FACENS</v>
          </cell>
          <cell r="P305">
            <v>44333</v>
          </cell>
          <cell r="Q305">
            <v>44812</v>
          </cell>
          <cell r="R305" t="str">
            <v>Calibrado</v>
          </cell>
          <cell r="S305">
            <v>17983</v>
          </cell>
          <cell r="T305" t="str">
            <v>ER ANALITICA</v>
          </cell>
          <cell r="U305">
            <v>0</v>
          </cell>
          <cell r="V305" t="str">
            <v>REALIZADO</v>
          </cell>
          <cell r="W305">
            <v>9</v>
          </cell>
          <cell r="X305">
            <v>7</v>
          </cell>
        </row>
        <row r="306">
          <cell r="I306" t="str">
            <v>Balança Analítica</v>
          </cell>
          <cell r="M306" t="str">
            <v>Sorocaba-SP</v>
          </cell>
          <cell r="N306" t="str">
            <v>FACENS</v>
          </cell>
          <cell r="P306">
            <v>44333</v>
          </cell>
          <cell r="Q306">
            <v>44981</v>
          </cell>
          <cell r="R306" t="str">
            <v>Calibrado</v>
          </cell>
          <cell r="S306">
            <v>20576</v>
          </cell>
          <cell r="T306" t="str">
            <v>ER ANALITICA</v>
          </cell>
          <cell r="U306">
            <v>0</v>
          </cell>
          <cell r="V306" t="str">
            <v>REALIZADO</v>
          </cell>
          <cell r="W306">
            <v>2</v>
          </cell>
          <cell r="X306">
            <v>7</v>
          </cell>
        </row>
        <row r="307">
          <cell r="I307" t="str">
            <v>pHmetro</v>
          </cell>
          <cell r="M307" t="str">
            <v>Sorocaba-SP</v>
          </cell>
          <cell r="N307" t="str">
            <v>FACENS</v>
          </cell>
          <cell r="P307">
            <v>44333</v>
          </cell>
          <cell r="Q307">
            <v>44981</v>
          </cell>
          <cell r="R307" t="str">
            <v>Calibrado</v>
          </cell>
          <cell r="S307">
            <v>20577</v>
          </cell>
          <cell r="T307" t="str">
            <v>ER ANALITICA</v>
          </cell>
          <cell r="U307">
            <v>0</v>
          </cell>
          <cell r="V307" t="str">
            <v>REALIZADO</v>
          </cell>
          <cell r="W307">
            <v>2</v>
          </cell>
          <cell r="X307">
            <v>3</v>
          </cell>
        </row>
        <row r="308">
          <cell r="I308" t="str">
            <v>Balança Analítica</v>
          </cell>
          <cell r="M308" t="str">
            <v>Sorocaba-SP</v>
          </cell>
          <cell r="N308" t="str">
            <v>FACENS</v>
          </cell>
          <cell r="P308">
            <v>44333</v>
          </cell>
          <cell r="Q308">
            <v>44812</v>
          </cell>
          <cell r="R308" t="str">
            <v>Calibrado</v>
          </cell>
          <cell r="S308">
            <v>17986</v>
          </cell>
          <cell r="T308" t="str">
            <v>ER ANALITICA</v>
          </cell>
          <cell r="U308">
            <v>0</v>
          </cell>
          <cell r="V308" t="str">
            <v>REALIZADO</v>
          </cell>
          <cell r="W308">
            <v>9</v>
          </cell>
          <cell r="X308">
            <v>11</v>
          </cell>
        </row>
        <row r="309">
          <cell r="I309" t="str">
            <v>Balança Analítica</v>
          </cell>
          <cell r="M309" t="str">
            <v>Sorocaba-SP</v>
          </cell>
          <cell r="N309" t="str">
            <v>FACENS</v>
          </cell>
          <cell r="P309">
            <v>44333</v>
          </cell>
          <cell r="Q309">
            <v>44812</v>
          </cell>
          <cell r="R309" t="str">
            <v>Calibrado</v>
          </cell>
          <cell r="S309">
            <v>17985</v>
          </cell>
          <cell r="T309" t="str">
            <v>ER ANALITICA</v>
          </cell>
          <cell r="U309">
            <v>0</v>
          </cell>
          <cell r="V309" t="str">
            <v>REALIZADO</v>
          </cell>
          <cell r="W309">
            <v>9</v>
          </cell>
          <cell r="X309">
            <v>11</v>
          </cell>
        </row>
        <row r="310">
          <cell r="I310" t="str">
            <v>Condutivímetro</v>
          </cell>
          <cell r="M310" t="str">
            <v>Sorocaba-SP</v>
          </cell>
          <cell r="N310" t="str">
            <v>FACENS</v>
          </cell>
          <cell r="P310">
            <v>0</v>
          </cell>
          <cell r="Q310">
            <v>44812</v>
          </cell>
          <cell r="R310" t="str">
            <v>Calibrado</v>
          </cell>
          <cell r="S310">
            <v>17984</v>
          </cell>
          <cell r="T310" t="str">
            <v>ER ANALITICA</v>
          </cell>
          <cell r="U310">
            <v>0</v>
          </cell>
          <cell r="V310" t="str">
            <v>REALIZADO</v>
          </cell>
          <cell r="W310">
            <v>9</v>
          </cell>
        </row>
        <row r="311">
          <cell r="I311" t="str">
            <v>pHmetro</v>
          </cell>
          <cell r="M311" t="str">
            <v>Sorocaba-SP</v>
          </cell>
          <cell r="N311" t="str">
            <v>FACENS</v>
          </cell>
          <cell r="P311">
            <v>0</v>
          </cell>
          <cell r="Q311">
            <v>44981</v>
          </cell>
          <cell r="R311" t="str">
            <v>Calibrado</v>
          </cell>
          <cell r="S311">
            <v>20617</v>
          </cell>
          <cell r="T311" t="str">
            <v>ER ANALITICA</v>
          </cell>
          <cell r="U311">
            <v>0</v>
          </cell>
          <cell r="V311" t="str">
            <v>REALIZADO</v>
          </cell>
          <cell r="W311">
            <v>2</v>
          </cell>
        </row>
        <row r="312">
          <cell r="I312" t="str">
            <v>Turbidímetro</v>
          </cell>
          <cell r="M312" t="str">
            <v>Sorocaba-SP</v>
          </cell>
          <cell r="N312" t="str">
            <v>Suez WTS (Laboratório)</v>
          </cell>
          <cell r="O312">
            <v>44007</v>
          </cell>
          <cell r="P312">
            <v>44007</v>
          </cell>
          <cell r="Q312">
            <v>44725</v>
          </cell>
          <cell r="R312" t="str">
            <v>Calibrado</v>
          </cell>
          <cell r="S312">
            <v>16819</v>
          </cell>
          <cell r="T312" t="str">
            <v>ER ANALITICA</v>
          </cell>
          <cell r="U312">
            <v>0</v>
          </cell>
          <cell r="V312" t="str">
            <v>REALIZADO</v>
          </cell>
          <cell r="W312">
            <v>6</v>
          </cell>
          <cell r="X312">
            <v>4</v>
          </cell>
        </row>
        <row r="313">
          <cell r="I313" t="str">
            <v>Condutivímetro</v>
          </cell>
          <cell r="M313" t="str">
            <v>Sorocaba-SP</v>
          </cell>
          <cell r="N313" t="str">
            <v>Suez WTS (Laboratório)</v>
          </cell>
          <cell r="O313">
            <v>44007</v>
          </cell>
          <cell r="P313">
            <v>44007</v>
          </cell>
          <cell r="Q313">
            <v>44725</v>
          </cell>
          <cell r="R313" t="str">
            <v>Calibrado</v>
          </cell>
          <cell r="S313">
            <v>16811</v>
          </cell>
          <cell r="T313" t="str">
            <v>ER ANALITICA</v>
          </cell>
          <cell r="U313">
            <v>0</v>
          </cell>
          <cell r="V313" t="str">
            <v>REALIZADO</v>
          </cell>
          <cell r="W313">
            <v>6</v>
          </cell>
          <cell r="X313">
            <v>4</v>
          </cell>
        </row>
        <row r="314">
          <cell r="I314" t="str">
            <v>Espectrofotômetro</v>
          </cell>
          <cell r="M314" t="str">
            <v>Sorocaba-SP</v>
          </cell>
          <cell r="N314" t="str">
            <v>Suez WTS (Laboratório)</v>
          </cell>
          <cell r="O314">
            <v>44007</v>
          </cell>
          <cell r="P314">
            <v>44007</v>
          </cell>
          <cell r="Q314">
            <v>44725</v>
          </cell>
          <cell r="R314" t="str">
            <v>Calibrado</v>
          </cell>
          <cell r="S314">
            <v>16812</v>
          </cell>
          <cell r="T314" t="str">
            <v>ER ANALITICA</v>
          </cell>
          <cell r="U314">
            <v>0</v>
          </cell>
          <cell r="V314" t="str">
            <v>REALIZADO</v>
          </cell>
          <cell r="W314">
            <v>6</v>
          </cell>
          <cell r="X314">
            <v>4</v>
          </cell>
        </row>
        <row r="315">
          <cell r="I315" t="str">
            <v>pHmetro</v>
          </cell>
          <cell r="M315" t="str">
            <v>Sorocaba-SP</v>
          </cell>
          <cell r="N315" t="str">
            <v>Suez WTS (Laboratório)</v>
          </cell>
          <cell r="O315">
            <v>44007</v>
          </cell>
          <cell r="P315">
            <v>44368</v>
          </cell>
          <cell r="Q315">
            <v>44725</v>
          </cell>
          <cell r="R315" t="str">
            <v>Calibrado</v>
          </cell>
          <cell r="S315">
            <v>16813</v>
          </cell>
          <cell r="T315" t="str">
            <v>ER ANALITICA</v>
          </cell>
          <cell r="U315">
            <v>0</v>
          </cell>
          <cell r="V315" t="str">
            <v>REALIZADO</v>
          </cell>
          <cell r="W315">
            <v>6</v>
          </cell>
          <cell r="X315">
            <v>7</v>
          </cell>
        </row>
        <row r="316">
          <cell r="I316" t="str">
            <v>pHmetro</v>
          </cell>
          <cell r="M316" t="str">
            <v>Sorocaba-SP</v>
          </cell>
          <cell r="N316" t="str">
            <v>Suez WTS (Laboratório)</v>
          </cell>
          <cell r="O316">
            <v>44007</v>
          </cell>
          <cell r="P316">
            <v>44007</v>
          </cell>
          <cell r="Q316">
            <v>44725</v>
          </cell>
          <cell r="R316" t="str">
            <v>Calibrado</v>
          </cell>
          <cell r="S316">
            <v>16815</v>
          </cell>
          <cell r="T316" t="str">
            <v>ER ANALITICA</v>
          </cell>
          <cell r="U316">
            <v>0</v>
          </cell>
          <cell r="V316" t="str">
            <v>REALIZADO</v>
          </cell>
          <cell r="W316">
            <v>6</v>
          </cell>
          <cell r="X316">
            <v>8</v>
          </cell>
        </row>
        <row r="317">
          <cell r="I317" t="str">
            <v>pHmetro</v>
          </cell>
          <cell r="M317" t="str">
            <v>Sorocaba-SP</v>
          </cell>
          <cell r="N317" t="str">
            <v>Suez WTS (Laboratório)</v>
          </cell>
          <cell r="O317">
            <v>44007</v>
          </cell>
          <cell r="P317">
            <v>44368</v>
          </cell>
          <cell r="Q317">
            <v>44725</v>
          </cell>
          <cell r="R317" t="str">
            <v>Calibrado</v>
          </cell>
          <cell r="S317">
            <v>16814</v>
          </cell>
          <cell r="T317" t="str">
            <v>ER ANALITICA</v>
          </cell>
          <cell r="U317">
            <v>0</v>
          </cell>
          <cell r="V317" t="str">
            <v>REALIZADO</v>
          </cell>
          <cell r="W317">
            <v>6</v>
          </cell>
          <cell r="X317">
            <v>8</v>
          </cell>
        </row>
        <row r="318">
          <cell r="I318" t="str">
            <v>Espectrofotômetro</v>
          </cell>
          <cell r="M318" t="str">
            <v>Sorocaba-SP</v>
          </cell>
          <cell r="N318" t="str">
            <v>Suez WTS (Laboratório)</v>
          </cell>
          <cell r="O318">
            <v>44007</v>
          </cell>
          <cell r="P318">
            <v>44498</v>
          </cell>
          <cell r="Q318">
            <v>44725</v>
          </cell>
          <cell r="R318" t="str">
            <v>Calibrado</v>
          </cell>
          <cell r="S318">
            <v>16816</v>
          </cell>
          <cell r="T318" t="str">
            <v>ER ANALITICA</v>
          </cell>
          <cell r="U318">
            <v>0</v>
          </cell>
          <cell r="V318" t="str">
            <v>REALIZADO</v>
          </cell>
          <cell r="W318">
            <v>6</v>
          </cell>
          <cell r="X318">
            <v>8</v>
          </cell>
        </row>
        <row r="319">
          <cell r="I319" t="str">
            <v>Turbidímetro</v>
          </cell>
          <cell r="M319" t="str">
            <v>Sorocaba-SP</v>
          </cell>
          <cell r="N319" t="str">
            <v>Suez WTS (Laboratório)</v>
          </cell>
          <cell r="P319">
            <v>0</v>
          </cell>
          <cell r="Q319">
            <v>44725</v>
          </cell>
          <cell r="R319" t="str">
            <v>Calibrado</v>
          </cell>
          <cell r="S319">
            <v>16810</v>
          </cell>
          <cell r="T319" t="str">
            <v>ER ANALITICA</v>
          </cell>
          <cell r="U319">
            <v>0</v>
          </cell>
          <cell r="V319" t="str">
            <v>REALIZADO</v>
          </cell>
          <cell r="W319">
            <v>6</v>
          </cell>
          <cell r="X319">
            <v>8</v>
          </cell>
        </row>
        <row r="320">
          <cell r="I320" t="str">
            <v>Fotômetro</v>
          </cell>
          <cell r="M320" t="str">
            <v>Sorocaba-SP</v>
          </cell>
          <cell r="N320" t="str">
            <v>Suez WTS (Laboratório)</v>
          </cell>
          <cell r="P320">
            <v>0</v>
          </cell>
          <cell r="Q320">
            <v>44725</v>
          </cell>
          <cell r="R320" t="str">
            <v>Calibrado</v>
          </cell>
          <cell r="S320">
            <v>16817</v>
          </cell>
          <cell r="T320" t="str">
            <v>ER ANALITICA</v>
          </cell>
          <cell r="U320" t="str">
            <v>Instrumento com demasiada oxidação no compartimento de pilhas, liberado com restrição.</v>
          </cell>
          <cell r="V320" t="str">
            <v>REALIZADO</v>
          </cell>
          <cell r="W320">
            <v>6</v>
          </cell>
          <cell r="X320">
            <v>8</v>
          </cell>
        </row>
        <row r="321">
          <cell r="I321" t="str">
            <v>Fotômetro</v>
          </cell>
          <cell r="M321" t="str">
            <v>Sorocaba-SP</v>
          </cell>
          <cell r="N321" t="str">
            <v>Suez WTS (Laboratório)</v>
          </cell>
          <cell r="P321">
            <v>0</v>
          </cell>
          <cell r="Q321">
            <v>44725</v>
          </cell>
          <cell r="R321" t="str">
            <v>Calibrado</v>
          </cell>
          <cell r="S321">
            <v>16818</v>
          </cell>
          <cell r="T321" t="str">
            <v>ER ANALITICA</v>
          </cell>
          <cell r="U321" t="str">
            <v>Equipamento com demasiada oxidação no compartimento de pilhas, liberado com restrição.</v>
          </cell>
          <cell r="V321" t="str">
            <v>REALIZADO</v>
          </cell>
          <cell r="W321">
            <v>6</v>
          </cell>
          <cell r="X321">
            <v>8</v>
          </cell>
        </row>
        <row r="322">
          <cell r="I322" t="str">
            <v>Condutivímetro</v>
          </cell>
          <cell r="M322" t="str">
            <v>Sorocaba-SP</v>
          </cell>
          <cell r="N322" t="str">
            <v>Suez WTS (Laboratório)</v>
          </cell>
          <cell r="P322">
            <v>0</v>
          </cell>
          <cell r="Q322">
            <v>44725</v>
          </cell>
          <cell r="R322" t="str">
            <v>Calibrado</v>
          </cell>
          <cell r="S322">
            <v>16820</v>
          </cell>
          <cell r="T322" t="str">
            <v>ER ANALITICA</v>
          </cell>
          <cell r="U322">
            <v>0</v>
          </cell>
          <cell r="V322" t="str">
            <v>REALIZADO</v>
          </cell>
          <cell r="W322">
            <v>6</v>
          </cell>
        </row>
        <row r="323">
          <cell r="I323" t="str">
            <v>pHmetro</v>
          </cell>
          <cell r="M323" t="str">
            <v>Sorocaba-SP</v>
          </cell>
          <cell r="N323" t="str">
            <v>Suez WTS (Laboratório)</v>
          </cell>
          <cell r="P323">
            <v>0</v>
          </cell>
          <cell r="Q323">
            <v>44725</v>
          </cell>
          <cell r="R323" t="str">
            <v>Calibrado</v>
          </cell>
          <cell r="S323">
            <v>16821</v>
          </cell>
          <cell r="T323" t="str">
            <v>ER ANALITICA</v>
          </cell>
          <cell r="U323" t="str">
            <v xml:space="preserve"> Eletrodo de pH com alta lentidão, indicando fim de vida útil, necessário troca. Liberado com restrição.</v>
          </cell>
          <cell r="V323" t="str">
            <v>REALIZADO</v>
          </cell>
          <cell r="W323">
            <v>6</v>
          </cell>
        </row>
        <row r="324">
          <cell r="I324" t="str">
            <v>Medidor de OD</v>
          </cell>
          <cell r="M324" t="str">
            <v>Sorocaba-SP</v>
          </cell>
          <cell r="N324" t="str">
            <v>Suez WTS (Laboratório)</v>
          </cell>
          <cell r="P324">
            <v>0</v>
          </cell>
          <cell r="Q324">
            <v>44725</v>
          </cell>
          <cell r="R324" t="str">
            <v>Calibrado</v>
          </cell>
          <cell r="S324">
            <v>16822</v>
          </cell>
          <cell r="T324" t="str">
            <v>ER ANALITICA</v>
          </cell>
          <cell r="U324">
            <v>0</v>
          </cell>
          <cell r="V324" t="str">
            <v>REALIZADO</v>
          </cell>
          <cell r="W324">
            <v>6</v>
          </cell>
        </row>
        <row r="325">
          <cell r="I325" t="str">
            <v>Condutivímetro</v>
          </cell>
          <cell r="M325" t="str">
            <v>Sorocaba-SP</v>
          </cell>
          <cell r="N325" t="str">
            <v>Suez WTS (Laboratório)</v>
          </cell>
          <cell r="P325">
            <v>0</v>
          </cell>
          <cell r="Q325">
            <v>44725</v>
          </cell>
          <cell r="R325" t="str">
            <v>Calibrado</v>
          </cell>
          <cell r="S325">
            <v>16878</v>
          </cell>
          <cell r="T325" t="str">
            <v>ER ANALITICA</v>
          </cell>
          <cell r="U325">
            <v>0</v>
          </cell>
          <cell r="V325" t="str">
            <v>REALIZADO</v>
          </cell>
          <cell r="W325">
            <v>6</v>
          </cell>
        </row>
        <row r="326">
          <cell r="I326" t="str">
            <v>Turbidímetro</v>
          </cell>
          <cell r="M326" t="str">
            <v>Varzea Paulista-SP</v>
          </cell>
          <cell r="N326" t="str">
            <v>Elekeiroz</v>
          </cell>
          <cell r="P326">
            <v>44370</v>
          </cell>
          <cell r="Q326">
            <v>44832</v>
          </cell>
          <cell r="R326" t="str">
            <v>Calibrado</v>
          </cell>
          <cell r="S326">
            <v>16910</v>
          </cell>
          <cell r="T326" t="str">
            <v>ER ANALITICA</v>
          </cell>
          <cell r="U326">
            <v>0</v>
          </cell>
          <cell r="V326" t="str">
            <v>REALIZADO</v>
          </cell>
          <cell r="W326">
            <v>9</v>
          </cell>
          <cell r="X326">
            <v>6</v>
          </cell>
        </row>
        <row r="327">
          <cell r="I327" t="str">
            <v>Colorímetro</v>
          </cell>
          <cell r="M327" t="str">
            <v>Varzea Paulista-SP</v>
          </cell>
          <cell r="N327" t="str">
            <v>Elekeiroz</v>
          </cell>
          <cell r="O327">
            <v>44067</v>
          </cell>
          <cell r="P327">
            <v>44421</v>
          </cell>
          <cell r="Q327">
            <v>44788</v>
          </cell>
          <cell r="R327" t="str">
            <v>Calibrado</v>
          </cell>
          <cell r="S327">
            <v>17475</v>
          </cell>
          <cell r="T327" t="str">
            <v>ER ANALITICA</v>
          </cell>
          <cell r="U327">
            <v>0</v>
          </cell>
          <cell r="V327" t="str">
            <v>REALIZADO</v>
          </cell>
          <cell r="W327">
            <v>8</v>
          </cell>
        </row>
        <row r="328">
          <cell r="I328" t="str">
            <v>Condutivímetro</v>
          </cell>
          <cell r="M328" t="str">
            <v>Varzea Paulista-SP</v>
          </cell>
          <cell r="N328" t="str">
            <v>Elekeiroz</v>
          </cell>
          <cell r="O328">
            <v>44067</v>
          </cell>
          <cell r="P328">
            <v>44067</v>
          </cell>
          <cell r="Q328">
            <v>44788</v>
          </cell>
          <cell r="R328" t="str">
            <v>Calibrado</v>
          </cell>
          <cell r="S328">
            <v>17476</v>
          </cell>
          <cell r="T328" t="str">
            <v>ER ANALITICA</v>
          </cell>
          <cell r="U328">
            <v>0</v>
          </cell>
          <cell r="V328" t="str">
            <v>REALIZADO</v>
          </cell>
          <cell r="W328">
            <v>8</v>
          </cell>
        </row>
        <row r="329">
          <cell r="I329" t="str">
            <v>Espectrofotômetro</v>
          </cell>
          <cell r="M329" t="str">
            <v>Varzea Paulista-SP</v>
          </cell>
          <cell r="N329" t="str">
            <v>Elekeiroz</v>
          </cell>
          <cell r="O329">
            <v>44067</v>
          </cell>
          <cell r="P329">
            <v>44067</v>
          </cell>
          <cell r="Q329">
            <v>44788</v>
          </cell>
          <cell r="R329" t="str">
            <v>Calibrado</v>
          </cell>
          <cell r="S329">
            <v>17477</v>
          </cell>
          <cell r="T329" t="str">
            <v>ER ANALITICA</v>
          </cell>
          <cell r="U329">
            <v>0</v>
          </cell>
          <cell r="V329" t="str">
            <v>REALIZADO</v>
          </cell>
          <cell r="W329">
            <v>8</v>
          </cell>
          <cell r="X329">
            <v>6</v>
          </cell>
        </row>
        <row r="330">
          <cell r="I330" t="str">
            <v>pHmetro</v>
          </cell>
          <cell r="M330" t="str">
            <v>Varzea Paulista-SP</v>
          </cell>
          <cell r="N330" t="str">
            <v>Elekeiroz</v>
          </cell>
          <cell r="O330">
            <v>44067</v>
          </cell>
          <cell r="P330">
            <v>44067</v>
          </cell>
          <cell r="Q330">
            <v>44788</v>
          </cell>
          <cell r="R330" t="str">
            <v>Calibrado</v>
          </cell>
          <cell r="S330">
            <v>17479</v>
          </cell>
          <cell r="T330" t="str">
            <v>ER ANALITICA</v>
          </cell>
          <cell r="U330">
            <v>0</v>
          </cell>
          <cell r="V330" t="str">
            <v>REALIZADO</v>
          </cell>
          <cell r="W330">
            <v>8</v>
          </cell>
          <cell r="X330">
            <v>3</v>
          </cell>
        </row>
        <row r="331">
          <cell r="I331" t="str">
            <v>Fotômetro</v>
          </cell>
          <cell r="P331">
            <v>0</v>
          </cell>
          <cell r="Q331">
            <v>44755</v>
          </cell>
          <cell r="R331" t="str">
            <v>Calibrado</v>
          </cell>
          <cell r="S331">
            <v>17238</v>
          </cell>
          <cell r="T331" t="str">
            <v>ER ANALITICA</v>
          </cell>
          <cell r="U331">
            <v>0</v>
          </cell>
          <cell r="V331" t="str">
            <v>REALIZADO</v>
          </cell>
          <cell r="W331">
            <v>7</v>
          </cell>
          <cell r="X331">
            <v>3</v>
          </cell>
        </row>
        <row r="332">
          <cell r="I332" t="str">
            <v>Fotômetro</v>
          </cell>
          <cell r="P332">
            <v>0</v>
          </cell>
          <cell r="Q332">
            <v>44755</v>
          </cell>
          <cell r="R332" t="str">
            <v>Calibrado</v>
          </cell>
          <cell r="S332">
            <v>17239</v>
          </cell>
          <cell r="T332" t="str">
            <v>ER ANALITICA</v>
          </cell>
          <cell r="U332">
            <v>0</v>
          </cell>
          <cell r="V332" t="str">
            <v>REALIZADO</v>
          </cell>
          <cell r="W332">
            <v>7</v>
          </cell>
          <cell r="X332">
            <v>3</v>
          </cell>
        </row>
        <row r="333">
          <cell r="I333" t="str">
            <v>Turbidímetro</v>
          </cell>
          <cell r="O333">
            <v>44406</v>
          </cell>
          <cell r="P333">
            <v>44406</v>
          </cell>
          <cell r="Q333">
            <v>44756</v>
          </cell>
          <cell r="R333" t="str">
            <v>Calibrado</v>
          </cell>
          <cell r="S333">
            <v>17209</v>
          </cell>
          <cell r="T333" t="str">
            <v>ER ANALITICA</v>
          </cell>
          <cell r="U333" t="str">
            <v>Instrumento apresenta falta de estabilidade nas leituras, recomendado o envio à ER para verificação. Liberado com restrição.</v>
          </cell>
          <cell r="V333" t="str">
            <v>REALIZADO</v>
          </cell>
          <cell r="W333">
            <v>7</v>
          </cell>
          <cell r="X333">
            <v>4</v>
          </cell>
        </row>
        <row r="334">
          <cell r="I334" t="str">
            <v>Fotômetro</v>
          </cell>
          <cell r="P334">
            <v>0</v>
          </cell>
          <cell r="Q334">
            <v>44756</v>
          </cell>
          <cell r="R334" t="str">
            <v>Calibrado</v>
          </cell>
          <cell r="S334">
            <v>17246</v>
          </cell>
          <cell r="T334" t="str">
            <v>ER ANALITICA</v>
          </cell>
          <cell r="U334">
            <v>0</v>
          </cell>
          <cell r="V334" t="str">
            <v>REALIZADO</v>
          </cell>
          <cell r="W334">
            <v>7</v>
          </cell>
          <cell r="X334">
            <v>7</v>
          </cell>
        </row>
        <row r="335">
          <cell r="I335" t="str">
            <v>Espectrofotômetro</v>
          </cell>
          <cell r="O335">
            <v>44406</v>
          </cell>
          <cell r="P335">
            <v>44406</v>
          </cell>
          <cell r="Q335">
            <v>44756</v>
          </cell>
          <cell r="R335" t="str">
            <v>Calibrado</v>
          </cell>
          <cell r="S335">
            <v>17205</v>
          </cell>
          <cell r="T335" t="str">
            <v>ER ANALITICA</v>
          </cell>
          <cell r="U335" t="str">
            <v>Carcaça superior do instrumento encontra-se avariada.</v>
          </cell>
          <cell r="V335" t="str">
            <v>REALIZADO</v>
          </cell>
          <cell r="W335">
            <v>7</v>
          </cell>
        </row>
        <row r="336">
          <cell r="I336" t="str">
            <v>Espectrofotômetro</v>
          </cell>
          <cell r="P336">
            <v>0</v>
          </cell>
          <cell r="Q336">
            <v>44756</v>
          </cell>
          <cell r="R336" t="str">
            <v>Calibrado</v>
          </cell>
          <cell r="S336">
            <v>17409</v>
          </cell>
          <cell r="T336" t="str">
            <v>ER ANALITICA</v>
          </cell>
          <cell r="U336" t="str">
            <v>Bateria de lítio encontra-se com baixa carga.</v>
          </cell>
          <cell r="V336" t="str">
            <v>REALIZADO</v>
          </cell>
          <cell r="W336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Daniel" refreshedDate="45036.64091238426" backgroundQuery="1" createdVersion="8" refreshedVersion="8" minRefreshableVersion="3" recordCount="0" supportSubquery="1" supportAdvancedDrill="1" xr:uid="{13590482-3148-4CC6-9AEE-3DDDA2005546}">
  <cacheSource type="external" connectionId="1"/>
  <cacheFields count="4">
    <cacheField name="[PrevistoAcumulado].[Item].[Item]" caption="Item" numFmtId="0" hierarchy="8" level="1">
      <sharedItems count="3">
        <s v="Deslocamento"/>
        <s v="Serviço"/>
        <s v="Total"/>
      </sharedItems>
    </cacheField>
    <cacheField name="[Measures].[Soma de Acumulado Previsto]" caption="Soma de Acumulado Previsto" numFmtId="0" hierarchy="23" level="32767"/>
    <cacheField name="[Measures].[Soma de A realizar]" caption="Soma de A realizar" numFmtId="0" hierarchy="24" level="32767"/>
    <cacheField name="[Measures].[Soma de Previsão de Saldo]" caption="Soma de Previsão de Saldo" numFmtId="0" hierarchy="25" level="32767"/>
  </cacheFields>
  <cacheHierarchies count="26">
    <cacheHierarchy uniqueName="[ConsumoMensal].[Mês]" caption="Mês" attribute="1" defaultMemberUniqueName="[ConsumoMensal].[Mês].[All]" allUniqueName="[ConsumoMensal].[Mês].[All]" dimensionUniqueName="[ConsumoMensal]" displayFolder="" count="0" memberValueDatatype="130" unbalanced="0"/>
    <cacheHierarchy uniqueName="[ConsumoMensal].[Serviço Previsto]" caption="Serviço Previsto" attribute="1" defaultMemberUniqueName="[ConsumoMensal].[Serviço Previsto].[All]" allUniqueName="[ConsumoMensal].[Serviço Previsto].[All]" dimensionUniqueName="[ConsumoMensal]" displayFolder="" count="0" memberValueDatatype="5" unbalanced="0"/>
    <cacheHierarchy uniqueName="[ConsumoMensal].[Deslocamento Previsto]" caption="Deslocamento Previsto" attribute="1" defaultMemberUniqueName="[ConsumoMensal].[Deslocamento Previsto].[All]" allUniqueName="[ConsumoMensal].[Deslocamento Previsto].[All]" dimensionUniqueName="[ConsumoMensal]" displayFolder="" count="0" memberValueDatatype="5" unbalanced="0"/>
    <cacheHierarchy uniqueName="[ConsumoMensal].[Total Previsto por Mês]" caption="Total Previsto por Mês" attribute="1" defaultMemberUniqueName="[ConsumoMensal].[Total Previsto por Mês].[All]" allUniqueName="[ConsumoMensal].[Total Previsto por Mês].[All]" dimensionUniqueName="[ConsumoMensal]" displayFolder="" count="0" memberValueDatatype="5" unbalanced="0"/>
    <cacheHierarchy uniqueName="[ConsumoMensal].[Serviço Execuado]" caption="Serviço Execuado" attribute="1" defaultMemberUniqueName="[ConsumoMensal].[Serviço Execuado].[All]" allUniqueName="[ConsumoMensal].[Serviço Execuado].[All]" dimensionUniqueName="[ConsumoMensal]" displayFolder="" count="0" memberValueDatatype="5" unbalanced="0"/>
    <cacheHierarchy uniqueName="[ConsumoMensal].[Deslocamento Executado]" caption="Deslocamento Executado" attribute="1" defaultMemberUniqueName="[ConsumoMensal].[Deslocamento Executado].[All]" allUniqueName="[ConsumoMensal].[Deslocamento Executado].[All]" dimensionUniqueName="[ConsumoMensal]" displayFolder="" count="0" memberValueDatatype="5" unbalanced="0"/>
    <cacheHierarchy uniqueName="[ConsumoMensal].[Total Executado por Mês]" caption="Total Executado por Mês" attribute="1" defaultMemberUniqueName="[ConsumoMensal].[Total Executado por Mês].[All]" allUniqueName="[ConsumoMensal].[Total Executado por Mês].[All]" dimensionUniqueName="[ConsumoMensal]" displayFolder="" count="0" memberValueDatatype="5" unbalanced="0"/>
    <cacheHierarchy uniqueName="[ConsumoMensal].[Ponderado Médio]" caption="Ponderado Médio" attribute="1" defaultMemberUniqueName="[ConsumoMensal].[Ponderado Médio].[All]" allUniqueName="[ConsumoMensal].[Ponderado Médio].[All]" dimensionUniqueName="[ConsumoMensal]" displayFolder="" count="0" memberValueDatatype="5" unbalanced="0"/>
    <cacheHierarchy uniqueName="[PrevistoAcumulado].[Item]" caption="Item" attribute="1" defaultMemberUniqueName="[PrevistoAcumulado].[Item].[All]" allUniqueName="[PrevistoAcumulado].[Item].[All]" dimensionUniqueName="[PrevistoAcumulado]" displayFolder="" count="2" memberValueDatatype="130" unbalanced="0">
      <fieldsUsage count="2">
        <fieldUsage x="-1"/>
        <fieldUsage x="0"/>
      </fieldsUsage>
    </cacheHierarchy>
    <cacheHierarchy uniqueName="[PrevistoAcumulado].[Contrato]" caption="Contrato" attribute="1" defaultMemberUniqueName="[PrevistoAcumulado].[Contrato].[All]" allUniqueName="[PrevistoAcumulado].[Contrato].[All]" dimensionUniqueName="[PrevistoAcumulado]" displayFolder="" count="0" memberValueDatatype="5" unbalanced="0"/>
    <cacheHierarchy uniqueName="[PrevistoAcumulado].[Consumo]" caption="Consumo" attribute="1" defaultMemberUniqueName="[PrevistoAcumulado].[Consumo].[All]" allUniqueName="[PrevistoAcumulado].[Consumo].[All]" dimensionUniqueName="[PrevistoAcumulado]" displayFolder="" count="0" memberValueDatatype="5" unbalanced="0"/>
    <cacheHierarchy uniqueName="[PrevistoAcumulado].[A realizar]" caption="A realizar" attribute="1" defaultMemberUniqueName="[PrevistoAcumulado].[A realizar].[All]" allUniqueName="[PrevistoAcumulado].[A realizar].[All]" dimensionUniqueName="[PrevistoAcumulado]" displayFolder="" count="0" memberValueDatatype="5" unbalanced="0"/>
    <cacheHierarchy uniqueName="[PrevistoAcumulado].[Acumulado Previsto]" caption="Acumulado Previsto" attribute="1" defaultMemberUniqueName="[PrevistoAcumulado].[Acumulado Previsto].[All]" allUniqueName="[PrevistoAcumulado].[Acumulado Previsto].[All]" dimensionUniqueName="[PrevistoAcumulado]" displayFolder="" count="0" memberValueDatatype="5" unbalanced="0"/>
    <cacheHierarchy uniqueName="[PrevistoAcumulado].[Previsão de Saldo]" caption="Previsão de Saldo" attribute="1" defaultMemberUniqueName="[PrevistoAcumulado].[Previsão de Saldo].[All]" allUniqueName="[PrevistoAcumulado].[Previsão de Saldo].[All]" dimensionUniqueName="[PrevistoAcumulado]" displayFolder="" count="0" memberValueDatatype="5" unbalanced="0"/>
    <cacheHierarchy uniqueName="[Measures].[__XL_Count ConsumoMensal]" caption="__XL_Count ConsumoMensal" measure="1" displayFolder="" measureGroup="ConsumoMensal" count="0" hidden="1"/>
    <cacheHierarchy uniqueName="[Measures].[__XL_Count PrevistoAcumulado]" caption="__XL_Count PrevistoAcumulado" measure="1" displayFolder="" measureGroup="PrevistoAcumulado" count="0" hidden="1"/>
    <cacheHierarchy uniqueName="[Measures].[__No measures defined]" caption="__No measures defined" measure="1" displayFolder="" count="0" hidden="1"/>
    <cacheHierarchy uniqueName="[Measures].[Soma de Deslocamento Previsto]" caption="Soma de Deslocamento Previsto" measure="1" displayFolder="" measureGroup="ConsumoMens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Deslocamento Executado]" caption="Soma de Deslocamento Executado" measure="1" displayFolder="" measureGroup="ConsumoMensa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Ponderado Médio]" caption="Soma de Ponderado Médio" measure="1" displayFolder="" measureGroup="ConsumoMens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Total Previsto por Mês]" caption="Contagem de Total Previsto por Mês" measure="1" displayFolder="" measureGroup="ConsumoMens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Total Executado por Mês]" caption="Contagem de Total Executado por Mês" measure="1" displayFolder="" measureGroup="ConsumoMensa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ontrato]" caption="Soma de Contrato" measure="1" displayFolder="" measureGroup="PrevistoAcumulad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Acumulado Previsto]" caption="Soma de Acumulado Previsto" measure="1" displayFolder="" measureGroup="PrevistoAcumula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 realizar]" caption="Soma de A realizar" measure="1" displayFolder="" measureGroup="PrevistoAcumulad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evisão de Saldo]" caption="Soma de Previsão de Saldo" measure="1" displayFolder="" measureGroup="PrevistoAcumulad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onsumoMensal" uniqueName="[ConsumoMensal]" caption="ConsumoMensal"/>
    <dimension measure="1" name="Measures" uniqueName="[Measures]" caption="Measures"/>
    <dimension name="PrevistoAcumulado" uniqueName="[PrevistoAcumulado]" caption="PrevistoAcumulado"/>
  </dimensions>
  <measureGroups count="2">
    <measureGroup name="ConsumoMensal" caption="ConsumoMensal"/>
    <measureGroup name="PrevistoAcumulado" caption="PrevistoAcumulad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Daniel" refreshedDate="45036.640913541669" backgroundQuery="1" createdVersion="8" refreshedVersion="8" minRefreshableVersion="3" recordCount="0" supportSubquery="1" supportAdvancedDrill="1" xr:uid="{A23D4EC7-1DDF-4B34-9A03-5F60E1FBEB19}">
  <cacheSource type="external" connectionId="1"/>
  <cacheFields count="3">
    <cacheField name="[PrevistoAcumulado].[Item].[Item]" caption="Item" numFmtId="0" hierarchy="8" level="1">
      <sharedItems count="3">
        <s v="Deslocamento"/>
        <s v="Serviço"/>
        <s v="Total"/>
      </sharedItems>
    </cacheField>
    <cacheField name="[Measures].[Soma de Contrato]" caption="Soma de Contrato" numFmtId="0" hierarchy="22" level="32767"/>
    <cacheField name="[Measures].[Soma de Acumulado Previsto]" caption="Soma de Acumulado Previsto" numFmtId="0" hierarchy="23" level="32767"/>
  </cacheFields>
  <cacheHierarchies count="26">
    <cacheHierarchy uniqueName="[ConsumoMensal].[Mês]" caption="Mês" attribute="1" defaultMemberUniqueName="[ConsumoMensal].[Mês].[All]" allUniqueName="[ConsumoMensal].[Mês].[All]" dimensionUniqueName="[ConsumoMensal]" displayFolder="" count="0" memberValueDatatype="130" unbalanced="0"/>
    <cacheHierarchy uniqueName="[ConsumoMensal].[Serviço Previsto]" caption="Serviço Previsto" attribute="1" defaultMemberUniqueName="[ConsumoMensal].[Serviço Previsto].[All]" allUniqueName="[ConsumoMensal].[Serviço Previsto].[All]" dimensionUniqueName="[ConsumoMensal]" displayFolder="" count="0" memberValueDatatype="5" unbalanced="0"/>
    <cacheHierarchy uniqueName="[ConsumoMensal].[Deslocamento Previsto]" caption="Deslocamento Previsto" attribute="1" defaultMemberUniqueName="[ConsumoMensal].[Deslocamento Previsto].[All]" allUniqueName="[ConsumoMensal].[Deslocamento Previsto].[All]" dimensionUniqueName="[ConsumoMensal]" displayFolder="" count="0" memberValueDatatype="5" unbalanced="0"/>
    <cacheHierarchy uniqueName="[ConsumoMensal].[Total Previsto por Mês]" caption="Total Previsto por Mês" attribute="1" defaultMemberUniqueName="[ConsumoMensal].[Total Previsto por Mês].[All]" allUniqueName="[ConsumoMensal].[Total Previsto por Mês].[All]" dimensionUniqueName="[ConsumoMensal]" displayFolder="" count="0" memberValueDatatype="5" unbalanced="0"/>
    <cacheHierarchy uniqueName="[ConsumoMensal].[Serviço Execuado]" caption="Serviço Execuado" attribute="1" defaultMemberUniqueName="[ConsumoMensal].[Serviço Execuado].[All]" allUniqueName="[ConsumoMensal].[Serviço Execuado].[All]" dimensionUniqueName="[ConsumoMensal]" displayFolder="" count="0" memberValueDatatype="5" unbalanced="0"/>
    <cacheHierarchy uniqueName="[ConsumoMensal].[Deslocamento Executado]" caption="Deslocamento Executado" attribute="1" defaultMemberUniqueName="[ConsumoMensal].[Deslocamento Executado].[All]" allUniqueName="[ConsumoMensal].[Deslocamento Executado].[All]" dimensionUniqueName="[ConsumoMensal]" displayFolder="" count="0" memberValueDatatype="5" unbalanced="0"/>
    <cacheHierarchy uniqueName="[ConsumoMensal].[Total Executado por Mês]" caption="Total Executado por Mês" attribute="1" defaultMemberUniqueName="[ConsumoMensal].[Total Executado por Mês].[All]" allUniqueName="[ConsumoMensal].[Total Executado por Mês].[All]" dimensionUniqueName="[ConsumoMensal]" displayFolder="" count="0" memberValueDatatype="5" unbalanced="0"/>
    <cacheHierarchy uniqueName="[ConsumoMensal].[Ponderado Médio]" caption="Ponderado Médio" attribute="1" defaultMemberUniqueName="[ConsumoMensal].[Ponderado Médio].[All]" allUniqueName="[ConsumoMensal].[Ponderado Médio].[All]" dimensionUniqueName="[ConsumoMensal]" displayFolder="" count="0" memberValueDatatype="5" unbalanced="0"/>
    <cacheHierarchy uniqueName="[PrevistoAcumulado].[Item]" caption="Item" attribute="1" defaultMemberUniqueName="[PrevistoAcumulado].[Item].[All]" allUniqueName="[PrevistoAcumulado].[Item].[All]" dimensionUniqueName="[PrevistoAcumulado]" displayFolder="" count="2" memberValueDatatype="130" unbalanced="0">
      <fieldsUsage count="2">
        <fieldUsage x="-1"/>
        <fieldUsage x="0"/>
      </fieldsUsage>
    </cacheHierarchy>
    <cacheHierarchy uniqueName="[PrevistoAcumulado].[Contrato]" caption="Contrato" attribute="1" defaultMemberUniqueName="[PrevistoAcumulado].[Contrato].[All]" allUniqueName="[PrevistoAcumulado].[Contrato].[All]" dimensionUniqueName="[PrevistoAcumulado]" displayFolder="" count="0" memberValueDatatype="5" unbalanced="0"/>
    <cacheHierarchy uniqueName="[PrevistoAcumulado].[Consumo]" caption="Consumo" attribute="1" defaultMemberUniqueName="[PrevistoAcumulado].[Consumo].[All]" allUniqueName="[PrevistoAcumulado].[Consumo].[All]" dimensionUniqueName="[PrevistoAcumulado]" displayFolder="" count="0" memberValueDatatype="5" unbalanced="0"/>
    <cacheHierarchy uniqueName="[PrevistoAcumulado].[A realizar]" caption="A realizar" attribute="1" defaultMemberUniqueName="[PrevistoAcumulado].[A realizar].[All]" allUniqueName="[PrevistoAcumulado].[A realizar].[All]" dimensionUniqueName="[PrevistoAcumulado]" displayFolder="" count="0" memberValueDatatype="5" unbalanced="0"/>
    <cacheHierarchy uniqueName="[PrevistoAcumulado].[Acumulado Previsto]" caption="Acumulado Previsto" attribute="1" defaultMemberUniqueName="[PrevistoAcumulado].[Acumulado Previsto].[All]" allUniqueName="[PrevistoAcumulado].[Acumulado Previsto].[All]" dimensionUniqueName="[PrevistoAcumulado]" displayFolder="" count="0" memberValueDatatype="5" unbalanced="0"/>
    <cacheHierarchy uniqueName="[PrevistoAcumulado].[Previsão de Saldo]" caption="Previsão de Saldo" attribute="1" defaultMemberUniqueName="[PrevistoAcumulado].[Previsão de Saldo].[All]" allUniqueName="[PrevistoAcumulado].[Previsão de Saldo].[All]" dimensionUniqueName="[PrevistoAcumulado]" displayFolder="" count="0" memberValueDatatype="5" unbalanced="0"/>
    <cacheHierarchy uniqueName="[Measures].[__XL_Count ConsumoMensal]" caption="__XL_Count ConsumoMensal" measure="1" displayFolder="" measureGroup="ConsumoMensal" count="0" hidden="1"/>
    <cacheHierarchy uniqueName="[Measures].[__XL_Count PrevistoAcumulado]" caption="__XL_Count PrevistoAcumulado" measure="1" displayFolder="" measureGroup="PrevistoAcumulado" count="0" hidden="1"/>
    <cacheHierarchy uniqueName="[Measures].[__No measures defined]" caption="__No measures defined" measure="1" displayFolder="" count="0" hidden="1"/>
    <cacheHierarchy uniqueName="[Measures].[Soma de Deslocamento Previsto]" caption="Soma de Deslocamento Previsto" measure="1" displayFolder="" measureGroup="ConsumoMens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Deslocamento Executado]" caption="Soma de Deslocamento Executado" measure="1" displayFolder="" measureGroup="ConsumoMensa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Ponderado Médio]" caption="Soma de Ponderado Médio" measure="1" displayFolder="" measureGroup="ConsumoMens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Total Previsto por Mês]" caption="Contagem de Total Previsto por Mês" measure="1" displayFolder="" measureGroup="ConsumoMens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Total Executado por Mês]" caption="Contagem de Total Executado por Mês" measure="1" displayFolder="" measureGroup="ConsumoMensa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ontrato]" caption="Soma de Contrato" measure="1" displayFolder="" measureGroup="PrevistoAcumula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Acumulado Previsto]" caption="Soma de Acumulado Previsto" measure="1" displayFolder="" measureGroup="PrevistoAcumulad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 realizar]" caption="Soma de A realizar" measure="1" displayFolder="" measureGroup="PrevistoAcumulad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evisão de Saldo]" caption="Soma de Previsão de Saldo" measure="1" displayFolder="" measureGroup="PrevistoAcumulad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onsumoMensal" uniqueName="[ConsumoMensal]" caption="ConsumoMensal"/>
    <dimension measure="1" name="Measures" uniqueName="[Measures]" caption="Measures"/>
    <dimension name="PrevistoAcumulado" uniqueName="[PrevistoAcumulado]" caption="PrevistoAcumulado"/>
  </dimensions>
  <measureGroups count="2">
    <measureGroup name="ConsumoMensal" caption="ConsumoMensal"/>
    <measureGroup name="PrevistoAcumulado" caption="PrevistoAcumulad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iel" refreshedDate="45036.640913657408" createdVersion="8" refreshedVersion="8" minRefreshableVersion="3" recordCount="3" xr:uid="{91DFB3A7-419C-4DDB-A3EA-83F56928471D}">
  <cacheSource type="worksheet">
    <worksheetSource name="Consumo"/>
  </cacheSource>
  <cacheFields count="4">
    <cacheField name="Item" numFmtId="0">
      <sharedItems count="3">
        <s v="Total "/>
        <s v="Serviço "/>
        <s v="Deslocamento "/>
      </sharedItems>
    </cacheField>
    <cacheField name="Contrato " numFmtId="44">
      <sharedItems containsSemiMixedTypes="0" containsString="0" containsNumber="1" minValue="100422.41" maxValue="240368.05000000002"/>
    </cacheField>
    <cacheField name="Consumo " numFmtId="44">
      <sharedItems containsSemiMixedTypes="0" containsString="0" containsNumber="1" minValue="90908.820000000022" maxValue="218768.35000000003"/>
    </cacheField>
    <cacheField name="Saldo" numFmtId="44">
      <sharedItems containsSemiMixedTypes="0" containsString="0" containsNumber="1" minValue="9513.589999999982" maxValue="21599.699999999983"/>
    </cacheField>
  </cacheFields>
  <extLst>
    <ext xmlns:x14="http://schemas.microsoft.com/office/spreadsheetml/2009/9/main" uri="{725AE2AE-9491-48be-B2B4-4EB974FC3084}">
      <x14:pivotCacheDefinition pivotCacheId="55439043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iel" refreshedDate="45036.640914351854" createdVersion="8" refreshedVersion="8" minRefreshableVersion="3" recordCount="12" xr:uid="{91341953-03B2-44B4-80B1-F7E302110D6B}">
  <cacheSource type="worksheet">
    <worksheetSource name="ConsumoMensal"/>
  </cacheSource>
  <cacheFields count="8"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Serviço Previsto" numFmtId="44">
      <sharedItems containsSemiMixedTypes="0" containsString="0" containsNumber="1" minValue="492.03" maxValue="28886.110000000004"/>
    </cacheField>
    <cacheField name="Deslocamento Previsto" numFmtId="44">
      <sharedItems containsSemiMixedTypes="0" containsString="0" containsNumber="1" minValue="0" maxValue="16898.849999999999"/>
    </cacheField>
    <cacheField name="Total Previsto por Mês" numFmtId="44">
      <sharedItems containsSemiMixedTypes="0" containsString="0" containsNumber="1" minValue="492.03" maxValue="36164.850000000006"/>
    </cacheField>
    <cacheField name="Serviço Execuado" numFmtId="44">
      <sharedItems containsSemiMixedTypes="0" containsString="0" containsNumber="1" minValue="0" maxValue="29971.520000000004"/>
    </cacheField>
    <cacheField name="Deslocamento Executado" numFmtId="44">
      <sharedItems containsSemiMixedTypes="0" containsString="0" containsNumber="1" minValue="0" maxValue="22924.240000000002"/>
    </cacheField>
    <cacheField name="Total Executado por Mês" numFmtId="44">
      <sharedItems containsSemiMixedTypes="0" containsString="0" containsNumber="1" minValue="0" maxValue="52895.760000000009"/>
    </cacheField>
    <cacheField name="Ponderado Médio " numFmtId="44">
      <sharedItems containsSemiMixedTypes="0" containsString="0" containsNumber="1" minValue="20030.670833333334" maxValue="20030.670833333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40368.05000000002"/>
    <n v="218768.35000000003"/>
    <n v="21599.699999999983"/>
  </r>
  <r>
    <x v="1"/>
    <n v="139945.64000000001"/>
    <n v="127859.53000000001"/>
    <n v="12086.11"/>
  </r>
  <r>
    <x v="2"/>
    <n v="100422.41"/>
    <n v="90908.820000000022"/>
    <n v="9513.5899999999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461.8999999999996"/>
    <n v="4786.33"/>
    <n v="7248.23"/>
    <n v="0"/>
    <n v="0"/>
    <n v="0"/>
    <n v="20030.670833333334"/>
  </r>
  <r>
    <x v="1"/>
    <n v="492.03"/>
    <n v="0"/>
    <n v="492.03"/>
    <n v="2985.2299999999996"/>
    <n v="0"/>
    <n v="2985.2299999999996"/>
    <n v="20030.670833333334"/>
  </r>
  <r>
    <x v="2"/>
    <n v="12010.54"/>
    <n v="7962.46"/>
    <n v="19973"/>
    <n v="998.12"/>
    <n v="4235.3100000000004"/>
    <n v="5233.43"/>
    <n v="20030.670833333334"/>
  </r>
  <r>
    <x v="3"/>
    <n v="6915.26"/>
    <n v="16898.849999999999"/>
    <n v="23814.11"/>
    <n v="0"/>
    <n v="0"/>
    <n v="0"/>
    <n v="20030.670833333334"/>
  </r>
  <r>
    <x v="4"/>
    <n v="15582.17"/>
    <n v="6839.34"/>
    <n v="22421.510000000002"/>
    <n v="3630.15"/>
    <n v="9788.23"/>
    <n v="13418.38"/>
    <n v="20030.670833333334"/>
  </r>
  <r>
    <x v="5"/>
    <n v="18396.82"/>
    <n v="14439.730000000001"/>
    <n v="32836.550000000003"/>
    <n v="17986.810000000005"/>
    <n v="0"/>
    <n v="17986.810000000005"/>
    <n v="20030.670833333334"/>
  </r>
  <r>
    <x v="6"/>
    <n v="21068.410000000003"/>
    <n v="8773.44"/>
    <n v="29841.850000000006"/>
    <n v="23411.180000000004"/>
    <n v="7243.2"/>
    <n v="30654.380000000005"/>
    <n v="20030.670833333334"/>
  </r>
  <r>
    <x v="7"/>
    <n v="28886.110000000004"/>
    <n v="7278.7400000000007"/>
    <n v="36164.850000000006"/>
    <n v="28169.33"/>
    <n v="22147.67"/>
    <n v="50317"/>
    <n v="20030.670833333334"/>
  </r>
  <r>
    <x v="8"/>
    <n v="27521.090000000004"/>
    <n v="2217.88"/>
    <n v="29738.970000000005"/>
    <n v="29971.520000000004"/>
    <n v="22924.240000000002"/>
    <n v="52895.760000000009"/>
    <n v="20030.670833333334"/>
  </r>
  <r>
    <x v="9"/>
    <n v="2997.6400000000003"/>
    <n v="5197.42"/>
    <n v="8195.0600000000013"/>
    <n v="8589.6500000000015"/>
    <n v="13593.51"/>
    <n v="22183.160000000003"/>
    <n v="20030.670833333334"/>
  </r>
  <r>
    <x v="10"/>
    <n v="4577.0600000000004"/>
    <n v="8794.32"/>
    <n v="13371.380000000001"/>
    <n v="8430.98"/>
    <n v="10229.06"/>
    <n v="18660.04"/>
    <n v="20030.670833333334"/>
  </r>
  <r>
    <x v="11"/>
    <n v="1295.1099999999999"/>
    <n v="0"/>
    <n v="1295.1099999999999"/>
    <n v="3686.56"/>
    <n v="747.6"/>
    <n v="4434.16"/>
    <n v="20030.6708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D8744-EA45-462A-9A2A-32FF258C0252}" name="Acumulado" cacheId="23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O3:R6" firstHeaderRow="0" firstDataRow="1" firstDataCol="1"/>
  <pivotFields count="4">
    <pivotField axis="axisRow" allDrilled="1" subtotalTop="0" showAll="0" sortType="descending" defaultSubtotal="0" defaultAttributeDrillState="1">
      <items count="3">
        <item x="2"/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Acumulado Previsto" fld="1" baseField="0" baseItem="0"/>
    <dataField name="Soma de A realizar" fld="2" baseField="0" baseItem="0"/>
    <dataField name="Previsão de Saldo" fld="3" baseField="0" baseItem="0"/>
  </dataFields>
  <formats count="1">
    <format dxfId="163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ntrato"/>
    <pivotHierarchy dragToData="1"/>
    <pivotHierarchy dragToData="1"/>
    <pivotHierarchy dragToData="1" caption="Previsão de Sald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icadores Financeiros - 2022-2023.xlsx!PrevistoAcumulado">
        <x15:activeTabTopLevelEntity name="[PrevistoAcumula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8476A-E8AE-4157-8F14-61D6036D88A0}" name="Gráfico 1" cacheId="29" dataOnRows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>
  <location ref="A3:D6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numFmtId="44" showAll="0"/>
    <pivotField dataField="1" numFmtId="44" showAll="0"/>
    <pivotField dataField="1" numFmtId="44" showAll="0"/>
  </pivotFields>
  <rowFields count="1">
    <field x="-2"/>
  </rowFields>
  <rowItems count="2">
    <i>
      <x/>
    </i>
    <i i="1">
      <x v="1"/>
    </i>
  </rowItems>
  <colFields count="1">
    <field x="0"/>
  </colFields>
  <colItems count="3">
    <i>
      <x/>
    </i>
    <i>
      <x v="1"/>
    </i>
    <i>
      <x v="2"/>
    </i>
  </colItems>
  <dataFields count="2">
    <dataField name="Consumo" fld="2" baseField="0" baseItem="0"/>
    <dataField name="Saldo " fld="3" baseField="0" baseItem="0"/>
  </dataFields>
  <formats count="2">
    <format>
      <pivotArea outline="0" collapsedLevelsAreSubtotals="1" fieldPosition="0"/>
    </format>
    <format dxfId="164">
      <pivotArea dataOnly="0" outline="0" fieldPosition="0">
        <references count="1">
          <reference field="0" count="0"/>
        </references>
      </pivotArea>
    </format>
  </format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A7A68-5066-4E7D-A2B3-A68DC3B50C78}" name="Consumo Mensal" cacheId="3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2">
  <location ref="F3:I15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4" showAll="0"/>
    <pivotField numFmtId="44" showAll="0"/>
    <pivotField dataField="1" numFmtId="44" showAll="0"/>
    <pivotField numFmtId="44" showAll="0"/>
    <pivotField numFmtId="44" showAll="0"/>
    <pivotField dataField="1" numFmtId="44" showAll="0"/>
    <pivotField dataField="1" numFmtId="44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Previsto" fld="3" baseField="0" baseItem="0"/>
    <dataField name="Executado" fld="6" baseField="0" baseItem="0"/>
    <dataField name="Ponderado Médio" fld="7" baseField="0" baseItem="0"/>
  </dataFields>
  <formats count="1">
    <format dxfId="165">
      <pivotArea outline="0" collapsedLevelsAreSubtotals="1" fieldPosition="0"/>
    </format>
  </formats>
  <chartFormats count="9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6EA63-1603-4225-990F-68721CC27DB0}" name="Gráfico2" cacheId="2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4">
  <location ref="A8:C11" firstHeaderRow="0" firstDataRow="1" firstDataCol="1"/>
  <pivotFields count="4">
    <pivotField axis="axisRow" showAll="0">
      <items count="4">
        <item x="2"/>
        <item x="1"/>
        <item n="Contrato" x="0"/>
        <item t="default"/>
      </items>
    </pivotField>
    <pivotField dataField="1" numFmtId="44" showAll="0"/>
    <pivotField dataField="1" numFmtId="44" showAll="0"/>
    <pivotField numFmtId="44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Total do Contrato " fld="1" baseField="0" baseItem="0"/>
    <dataField name="Executado" fld="2" baseField="0" baseItem="0"/>
  </dataFields>
  <formats count="2">
    <format>
      <pivotArea outline="0" collapsedLevelsAreSubtotals="1" fieldPosition="0"/>
    </format>
    <format dxfId="166">
      <pivotArea dataOnly="0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67213-F276-4DDB-B28B-6791EB66E493}" name="Acumulado Previsto" cacheId="26" applyNumberFormats="0" applyBorderFormats="0" applyFontFormats="0" applyPatternFormats="0" applyAlignmentFormats="0" applyWidthHeightFormats="1" dataCaption="Valores" updatedVersion="8" minRefreshableVersion="3" subtotalHiddenItems="1" rowGrandTotals="0" colGrandTotals="0" itemPrintTitles="1" createdVersion="8" indent="0" outline="1" outlineData="1" multipleFieldFilters="0" chartFormat="6">
  <location ref="K3:M6" firstHeaderRow="0" firstDataRow="1" firstDataCol="1"/>
  <pivotFields count="3">
    <pivotField axis="axisRow" allDrilled="1" subtotalTop="0" showAll="0" defaultSubtotal="0" defaultAttributeDrillState="1">
      <items count="3">
        <item x="2"/>
        <item x="1"/>
        <item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cumulado Previsto" fld="2" baseField="0" baseItem="0"/>
    <dataField name="Contrato" fld="1" baseField="0" baseItem="0"/>
  </dataFields>
  <formats count="1">
    <format dxfId="167">
      <pivotArea outline="0" collapsedLevelsAreSubtotals="1" fieldPosition="0"/>
    </format>
  </formats>
  <chartFormats count="5"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ntrato"/>
    <pivotHierarchy dragToData="1" caption="Acumulado Previst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icadores Financeiros - 2022-2023.xlsx!PrevistoAcumulado">
        <x15:activeTabTopLevelEntity name="[PrevistoAcumula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tem" xr10:uid="{27E0D282-0D3D-4F2A-8E5D-6F1E4016BA42}" sourceName="Item">
  <pivotTables>
    <pivotTable tabId="5" name="Gráfico 1"/>
    <pivotTable tabId="5" name="Gráfico2"/>
  </pivotTables>
  <data>
    <tabular pivotCacheId="55439043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" xr10:uid="{DC4B0F53-8FDC-4AAC-AB7C-17F731BADE25}" cache="SegmentaçãodeDados_Item" caption="Item" columnCount="3" showCaption="0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9ECB53-CE37-433C-9557-6987AF70F737}" name="ConsumoMensal" displayName="ConsumoMensal" ref="A11:H23" totalsRowShown="0" headerRowDxfId="162" headerRowBorderDxfId="161" tableBorderDxfId="160" totalsRowBorderDxfId="159">
  <autoFilter ref="A11:H23" xr:uid="{2F9ECB53-CE37-433C-9557-6987AF70F737}"/>
  <tableColumns count="8">
    <tableColumn id="1" xr3:uid="{D2467AF7-77E0-4970-BF45-8E2154977F05}" name="Mês" dataDxfId="158"/>
    <tableColumn id="2" xr3:uid="{C89A8C42-7F8C-43AD-9137-2FE0C61AC2DF}" name="Serviço Previsto" dataDxfId="157" dataCellStyle="Moeda">
      <calculatedColumnFormula>'Extrato - serviço'!Y3</calculatedColumnFormula>
    </tableColumn>
    <tableColumn id="3" xr3:uid="{09031F0F-7E99-4C24-AFA7-E19926F50944}" name="Deslocamento Previsto" dataDxfId="156" dataCellStyle="Moeda">
      <calculatedColumnFormula>'Extrato - deslocamento '!K2</calculatedColumnFormula>
    </tableColumn>
    <tableColumn id="4" xr3:uid="{4F358679-A6C7-4D95-BD8D-2ED8555070BE}" name="Total Previsto por Mês" dataDxfId="155" dataCellStyle="Moeda">
      <calculatedColumnFormula>SUM(ConsumoMensal[[#This Row],[Serviço Previsto]:[Deslocamento Previsto]])</calculatedColumnFormula>
    </tableColumn>
    <tableColumn id="5" xr3:uid="{C465F47B-F375-4234-BAE6-2B165A56D9BA}" name="Serviço Execuado" dataDxfId="154" dataCellStyle="Moeda">
      <calculatedColumnFormula>'Extrato - serviço'!Y21</calculatedColumnFormula>
    </tableColumn>
    <tableColumn id="6" xr3:uid="{A49925CB-A7BD-43F8-892C-6509E5B17C3F}" name="Deslocamento Executado" dataDxfId="153" dataCellStyle="Moeda">
      <calculatedColumnFormula>'Extrato - deslocamento '!L2</calculatedColumnFormula>
    </tableColumn>
    <tableColumn id="7" xr3:uid="{7F4B02A2-49AA-4F2D-9896-37B0B465E020}" name="Total Executado por Mês" dataDxfId="152" dataCellStyle="Moeda">
      <calculatedColumnFormula>SUM(ConsumoMensal[[#This Row],[Serviço Execuado]:[Deslocamento Executado]])</calculatedColumnFormula>
    </tableColumn>
    <tableColumn id="8" xr3:uid="{840CD4EA-79DF-4208-8A00-382C6E141F10}" name="Ponderado Médio " dataDxfId="151" dataCellStyle="Moeda">
      <calculatedColumnFormula>$B$4/12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CEE0C6-987E-47B2-9D80-F535682FF3F4}" name="Tabela8" displayName="Tabela8" ref="A1:H55" totalsRowCount="1" headerRowDxfId="41">
  <autoFilter ref="A1:H54" xr:uid="{EFCEE0C6-987E-47B2-9D80-F535682FF3F4}"/>
  <tableColumns count="8">
    <tableColumn id="1" xr3:uid="{FEB76208-4130-408A-88D6-C33B4E279030}" name="UF" totalsRowLabel="Total" dataDxfId="40" totalsRowDxfId="39"/>
    <tableColumn id="2" xr3:uid="{94D7E5EA-6EDB-471C-B760-A69C1B4CB0B2}" name="Cidade" dataDxfId="38" totalsRowDxfId="37"/>
    <tableColumn id="3" xr3:uid="{B1FD35E8-67E6-4F31-A1AC-9004A80FE568}" name="Valor" dataDxfId="36" totalsRowDxfId="35" dataCellStyle="Moeda"/>
    <tableColumn id="4" xr3:uid="{B6DEE756-B433-45BD-9FB7-F4BB25135F0F}" name="Status " dataDxfId="34" totalsRowDxfId="33"/>
    <tableColumn id="5" xr3:uid="{5A79D5B2-EF04-4991-9810-735D051102B9}" name="Previsto " dataDxfId="32" totalsRowDxfId="31">
      <calculatedColumnFormula>IFERROR(VLOOKUP(B2,'[1]Controle de Equipamentos '!$M:$X,12,0),E3)</calculatedColumnFormula>
    </tableColumn>
    <tableColumn id="6" xr3:uid="{1F58148A-2ED0-4A3D-9FCF-43FE18477893}" name="Executado " dataDxfId="30" totalsRowDxfId="29">
      <calculatedColumnFormula>IFERROR(VLOOKUP(B2,'[1]Controle de Equipamentos '!$M:$X,11,0),F3)</calculatedColumnFormula>
    </tableColumn>
    <tableColumn id="7" xr3:uid="{9D0FC124-0E3C-4DA2-A640-97189BAE8EF2}" name="Realizado" totalsRowFunction="sum" dataDxfId="28" totalsRowDxfId="27" dataCellStyle="Moeda">
      <calculatedColumnFormula>IF(Tabela8[[#This Row],[Status ]]="REALIZADO",Tabela8[[#This Row],[Valor]],0)</calculatedColumnFormula>
    </tableColumn>
    <tableColumn id="8" xr3:uid="{89D63816-4B3B-4E8A-A22D-6AEEBAAE3E38}" name="A realizar" totalsRowFunction="sum" dataDxfId="26" totalsRowDxfId="25" dataCellStyle="Moeda">
      <calculatedColumnFormula>IF(Tabela8[[#This Row],[Status ]]="REALIZADO",0,Tabela8[[#This Row],[Valor]])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F5EB03-E124-4B19-812D-239503F70D46}" name="Tabela1" displayName="Tabela1" ref="J1:L13" totalsRowShown="0" headerRowDxfId="24" headerRowBorderDxfId="23" tableBorderDxfId="22" totalsRowBorderDxfId="21">
  <autoFilter ref="J1:L13" xr:uid="{A8F5EB03-E124-4B19-812D-239503F70D46}"/>
  <tableColumns count="3">
    <tableColumn id="1" xr3:uid="{6E307FDC-998B-4988-B1A2-C046457E0AEB}" name="Mês" dataDxfId="20"/>
    <tableColumn id="2" xr3:uid="{22B62630-E5B9-498C-8DBF-E8848AF56AE3}" name="Deslocamento Previsto " dataDxfId="19" dataCellStyle="Moeda">
      <calculatedColumnFormula>SUMIF($E:$E,J2,$C:$C)</calculatedColumnFormula>
    </tableColumn>
    <tableColumn id="3" xr3:uid="{CBBA3375-A0E1-4BB4-91FB-8C150049D47D}" name="Deslocamento Executado" dataDxfId="18" dataCellStyle="Moeda">
      <calculatedColumnFormula>SUMIFS($C:$C,$D:$D,"REALIZADO",$F:$F,J2)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63ADA8-46AF-4087-B1D5-69464AD269A1}" name="Consumo" displayName="Consumo" ref="A3:D6" totalsRowShown="0" headerRowDxfId="150">
  <autoFilter ref="A3:D6" xr:uid="{0663ADA8-46AF-4087-B1D5-69464AD269A1}"/>
  <tableColumns count="4">
    <tableColumn id="1" xr3:uid="{0DEA8E9F-3493-415C-969E-665701C10170}" name="Item" dataDxfId="149"/>
    <tableColumn id="2" xr3:uid="{CB86A727-311C-47F1-B000-831F52D181C7}" name="Contrato " dataDxfId="148" dataCellStyle="Moeda"/>
    <tableColumn id="3" xr3:uid="{C2DDCAFB-A213-48B4-8E31-EA1EDD3D29B0}" name="Consumo " dataDxfId="147" dataCellStyle="Moeda"/>
    <tableColumn id="4" xr3:uid="{53B94300-3138-43EF-88FA-2529E6777F4F}" name="Saldo" dataDxfId="146" dataCellStyle="Moed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E2415-2B4B-492E-8CDF-EF0412BFAC46}" name="PrevistoAcumulado" displayName="PrevistoAcumulado" ref="G3:L6" totalsRowShown="0" headerRowDxfId="145" dataDxfId="143" headerRowBorderDxfId="144" tableBorderDxfId="142" totalsRowBorderDxfId="141" dataCellStyle="Moeda">
  <autoFilter ref="G3:L6" xr:uid="{AC4E2415-2B4B-492E-8CDF-EF0412BFAC46}"/>
  <tableColumns count="6">
    <tableColumn id="1" xr3:uid="{DD491368-E5BD-4E77-A270-3957D230A9B5}" name="Item" dataDxfId="140"/>
    <tableColumn id="6" xr3:uid="{40C5B2F2-BD9C-4A55-9D9C-580205A4489A}" name="Contrato" dataDxfId="139">
      <calculatedColumnFormula>Consumo[[#This Row],[Contrato ]]</calculatedColumnFormula>
    </tableColumn>
    <tableColumn id="2" xr3:uid="{1B35B0D7-8A0D-4926-930F-1355FDF9F4FB}" name="Consumo " dataDxfId="138" dataCellStyle="Moeda">
      <calculatedColumnFormula>Consumo[[#This Row],[Consumo ]]</calculatedColumnFormula>
    </tableColumn>
    <tableColumn id="3" xr3:uid="{4B6E5A18-B8A7-4995-85A0-DDAA6EC9D3D6}" name="A realizar " dataDxfId="137" dataCellStyle="Moeda"/>
    <tableColumn id="4" xr3:uid="{02D1EF0C-33F7-4254-8CB2-23FCCB6013D2}" name="Acumulado Previsto " dataDxfId="136" dataCellStyle="Moeda">
      <calculatedColumnFormula>PrevistoAcumulado[[#This Row],[Consumo ]]+PrevistoAcumulado[[#This Row],[A realizar ]]</calculatedColumnFormula>
    </tableColumn>
    <tableColumn id="5" xr3:uid="{401C02CF-8839-4336-AF15-AF632628E3B1}" name="Previsão de Saldo" dataDxfId="135">
      <calculatedColumnFormula>Consumo[[#This Row],[Contrato ]]-PrevistoAcumulado[[#This Row],[Acumulado Previsto 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F0C302-9B30-4D17-8567-3ABD64FF6B86}" name="Serviços" displayName="Serviços" ref="A1:I15" totalsRowCount="1" headerRowDxfId="134">
  <autoFilter ref="A1:I14" xr:uid="{4FF0C302-9B30-4D17-8567-3ABD64FF6B86}"/>
  <tableColumns count="9">
    <tableColumn id="1" xr3:uid="{70636EE7-76E0-4CF9-A642-62B4CF795EB3}" name="Equipamento" totalsRowLabel="Total" dataDxfId="133" totalsRowDxfId="132"/>
    <tableColumn id="2" xr3:uid="{8EFC317E-1CC3-42FA-915A-1ABA8C79F799}" name="Qtd." dataDxfId="131" totalsRowDxfId="130">
      <calculatedColumnFormula>COUNTIF([1]!Controle[Equipamento],Serviços[[#This Row],[Equipamento]])</calculatedColumnFormula>
    </tableColumn>
    <tableColumn id="3" xr3:uid="{5DFD67DA-E598-4CC9-A09F-125CE21E5608}" name="Valor Unit. Calibração " dataDxfId="129" totalsRowDxfId="128" dataCellStyle="Moeda"/>
    <tableColumn id="4" xr3:uid="{9EBBE664-6C44-42BD-BF5B-F58441F304FA}" name="Valor Unit. Manutenção " dataDxfId="127" totalsRowDxfId="126" dataCellStyle="Moeda"/>
    <tableColumn id="5" xr3:uid="{6E33D853-BC87-4069-B9D3-8B6D18B11D89}" name="Total " dataDxfId="125" totalsRowDxfId="124" dataCellStyle="Moeda">
      <calculatedColumnFormula>C2+D2</calculatedColumnFormula>
    </tableColumn>
    <tableColumn id="6" xr3:uid="{58200970-BAF4-44EB-9140-EA2909805371}" name="Qtd. Realizado " totalsRowFunction="sum" dataDxfId="123" totalsRowDxfId="122">
      <calculatedColumnFormula>COUNTIFS([1]!Controle[STATUS2],"REALIZADO",[1]!Controle[Equipamento],Serviços[[#This Row],[Equipamento]])</calculatedColumnFormula>
    </tableColumn>
    <tableColumn id="7" xr3:uid="{9756FABB-AA1D-4366-869A-F00AF8E243A1}" name="Valor Executado" totalsRowFunction="sum" dataDxfId="121" totalsRowDxfId="120" dataCellStyle="Moeda">
      <calculatedColumnFormula>F2*E2</calculatedColumnFormula>
    </tableColumn>
    <tableColumn id="8" xr3:uid="{1FDF76E7-15C8-47EB-9B30-4F7E3D4C866A}" name="Qtd. a realizar " totalsRowFunction="sum" dataDxfId="119" totalsRowDxfId="118">
      <calculatedColumnFormula>B2-F2</calculatedColumnFormula>
    </tableColumn>
    <tableColumn id="9" xr3:uid="{04233781-75A5-42F1-BAFE-D4EFD9C5E77B}" name="Valor a executar" totalsRowFunction="sum" dataDxfId="117" totalsRowDxfId="116" dataCellStyle="Moeda">
      <calculatedColumnFormula>H2*E2</calculatedColumn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272B52-F300-4ECE-8A04-07F8307BD481}" name="ServiçosPrevistos" displayName="ServiçosPrevistos" ref="K2:Y15" totalsRowCount="1" headerRowDxfId="115" dataDxfId="114">
  <autoFilter ref="K2:Y14" xr:uid="{AE272B52-F300-4ECE-8A04-07F8307BD481}"/>
  <tableColumns count="15">
    <tableColumn id="1" xr3:uid="{042B2F91-BB7F-4B2E-9275-06BCCCFD0289}" name="Mês" totalsRowLabel="Total" dataDxfId="113" totalsRowDxfId="112"/>
    <tableColumn id="2" xr3:uid="{1C3571FA-97EF-4B2A-BA88-759BA7985F6A}" name="Balança Analítica" totalsRowFunction="sum" dataDxfId="111" totalsRowDxfId="110" dataCellStyle="Moeda">
      <calculatedColumnFormula>COUNTIFS([1]!Controle[Equipamento],ServiçosPrevistos[[#Headers],[Balança Analítica]],[1]!Controle[Previsto],$K3)*$E$2</calculatedColumnFormula>
    </tableColumn>
    <tableColumn id="3" xr3:uid="{84C81781-2E41-43F8-AF69-5F58849B469F}" name="Colorímetro" totalsRowFunction="sum" dataDxfId="109" totalsRowDxfId="108" dataCellStyle="Moeda">
      <calculatedColumnFormula>COUNTIFS([1]!Controle[Equipamento],ServiçosPrevistos[[#Headers],[Colorímetro]],[1]!Controle[Previsto],$K3)*$E$3</calculatedColumnFormula>
    </tableColumn>
    <tableColumn id="4" xr3:uid="{8636E70A-333A-4C2A-BF21-F35250F20C7E}" name="Condutivímetro" totalsRowFunction="sum" dataDxfId="107" totalsRowDxfId="106" dataCellStyle="Moeda">
      <calculatedColumnFormula>COUNTIFS([1]!Controle[Equipamento],ServiçosPrevistos[[#Headers],[Condutivímetro]],[1]!Controle[Previsto],$K3)*$E$4</calculatedColumnFormula>
    </tableColumn>
    <tableColumn id="12" xr3:uid="{14FF593E-35E3-46EE-8137-3D2D5DC1D843}" name="Determinador de Umidade" totalsRowFunction="sum" dataDxfId="105" totalsRowDxfId="104" dataCellStyle="Moeda">
      <calculatedColumnFormula>COUNTIFS([1]!Controle[Equipamento],ServiçosPrevistos[[#Headers],[Determinador de Umidade]],[1]!Controle[Previsto],$K3)*$E$5</calculatedColumnFormula>
    </tableColumn>
    <tableColumn id="5" xr3:uid="{3B391DD2-B568-4B3F-BF6B-F6A289FFADD8}" name="Espectrofotômetro" totalsRowFunction="sum" dataDxfId="103" totalsRowDxfId="102" dataCellStyle="Moeda">
      <calculatedColumnFormula>COUNTIFS([1]!Controle[Equipamento],ServiçosPrevistos[[#Headers],[Espectrofotômetro]],[1]!Controle[Previsto],$K3)*$E$6</calculatedColumnFormula>
    </tableColumn>
    <tableColumn id="6" xr3:uid="{462D59B6-B280-494B-AC74-0DD6362EF59B}" name="Fotômetro" totalsRowFunction="sum" dataDxfId="101" totalsRowDxfId="100" dataCellStyle="Moeda">
      <calculatedColumnFormula>COUNTIFS([1]!Controle[Equipamento],ServiçosPrevistos[[#Headers],[Fotômetro]],[1]!Controle[Previsto],$K3)*$E$7</calculatedColumnFormula>
    </tableColumn>
    <tableColumn id="13" xr3:uid="{6094FC6B-8713-4C9E-ADFD-BC9F60E6E249}" name="Medidor de Íon Seletivo" totalsRowFunction="sum" dataDxfId="99" totalsRowDxfId="98" dataCellStyle="Moeda">
      <calculatedColumnFormula>COUNTIFS([1]!Controle[Equipamento],ServiçosPrevistos[[#Headers],[Medidor de Íon Seletivo]],[1]!Controle[Previsto],$K3)*$E$8</calculatedColumnFormula>
    </tableColumn>
    <tableColumn id="14" xr3:uid="{1D426861-DCEC-4E24-B116-83A4AAE0843C}" name="Medidor de OD" totalsRowFunction="sum" dataDxfId="97" totalsRowDxfId="96" dataCellStyle="Moeda">
      <calculatedColumnFormula>COUNTIFS([1]!Controle[Equipamento],ServiçosPrevistos[[#Headers],[Medidor de OD]],[1]!Controle[Previsto],$K3)*$E$9</calculatedColumnFormula>
    </tableColumn>
    <tableColumn id="7" xr3:uid="{E62A74CF-5302-40A6-BD16-997A7D1AC6DA}" name="Multiparâmetro " totalsRowFunction="sum" dataDxfId="95" totalsRowDxfId="94" dataCellStyle="Moeda">
      <calculatedColumnFormula>COUNTIFS([1]!Controle[Equipamento],ServiçosPrevistos[[#Headers],[Multiparâmetro ]],[1]!Controle[Previsto],$K3)*$E$10</calculatedColumnFormula>
    </tableColumn>
    <tableColumn id="8" xr3:uid="{7F9944EF-4B7F-467C-9E70-9465E996ABAE}" name="pHmetro" totalsRowFunction="sum" dataDxfId="93" totalsRowDxfId="92" dataCellStyle="Moeda">
      <calculatedColumnFormula>COUNTIFS([1]!Controle[Equipamento],ServiçosPrevistos[[#Headers],[pHmetro]],[1]!Controle[Previsto],$K3)*$E$11</calculatedColumnFormula>
    </tableColumn>
    <tableColumn id="15" xr3:uid="{6D7CADFB-FD4F-4D89-992B-D94E354748E8}" name="pHmetro de Processo" totalsRowFunction="sum" dataDxfId="91" totalsRowDxfId="90" dataCellStyle="Moeda">
      <calculatedColumnFormula>COUNTIFS([1]!Controle[Equipamento],ServiçosPrevistos[[#Headers],[pHmetro de Processo]],[1]!Controle[Previsto],$K3)*$E$12</calculatedColumnFormula>
    </tableColumn>
    <tableColumn id="9" xr3:uid="{C1F9221B-7779-49DE-BCA3-6064F7A8A53D}" name="Reator DQO" totalsRowFunction="sum" dataDxfId="89" totalsRowDxfId="88" dataCellStyle="Moeda">
      <calculatedColumnFormula>COUNTIFS([1]!Controle[Equipamento],ServiçosPrevistos[[#Headers],[Reator DQO]],[1]!Controle[Previsto],$K3)*$E$13</calculatedColumnFormula>
    </tableColumn>
    <tableColumn id="10" xr3:uid="{BAD8AD1C-1BAA-40E3-B551-6216F276BD1E}" name="Turbidímetro" totalsRowFunction="sum" dataDxfId="87" totalsRowDxfId="86" dataCellStyle="Moeda"/>
    <tableColumn id="11" xr3:uid="{C607D930-29CC-4DF4-A549-9CFAEE8357AF}" name="Total  por Mês" dataDxfId="85" totalsRowDxfId="84" dataCellStyle="Moeda">
      <calculatedColumnFormula>SUM(ServiçosPrevistos[[#This Row],[Balança Analítica]:[Turbidímetro]])</calculatedColumnFormula>
    </tableColumn>
  </tableColumns>
  <tableStyleInfo name="TableStyleLight9" showFirstColumn="0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87E729-AC44-47B9-BC25-7D07B647DECA}" name="ServiçosExecutados" displayName="ServiçosExecutados" ref="K20:Y33" totalsRowCount="1" headerRowDxfId="83" dataDxfId="82">
  <autoFilter ref="K20:Y32" xr:uid="{F287E729-AC44-47B9-BC25-7D07B647DECA}"/>
  <tableColumns count="15">
    <tableColumn id="1" xr3:uid="{DE9EA1C6-7DCB-44F0-BB94-BBBF81578B92}" name="Mês" totalsRowLabel="Total" dataDxfId="81" totalsRowDxfId="80"/>
    <tableColumn id="2" xr3:uid="{0F8F0325-99CE-4793-B974-D5C8A4CFE2CE}" name="Balança Analítica" totalsRowFunction="sum" dataDxfId="79" totalsRowDxfId="78" dataCellStyle="Moeda">
      <calculatedColumnFormula>COUNTIFS([1]!Controle[Equipamento],ServiçosExecutados[[#Headers],[Balança Analítica]],[1]!Controle[Executado],$K21,[1]!Controle[STATUS2],"REALIZADO")*$E$2</calculatedColumnFormula>
    </tableColumn>
    <tableColumn id="3" xr3:uid="{0A68A1D7-4FF5-41DB-9E4B-7535A7F82CC2}" name="Colorímetro" totalsRowFunction="sum" dataDxfId="77" totalsRowDxfId="76" dataCellStyle="Moeda">
      <calculatedColumnFormula>COUNTIFS([1]!Controle[Equipamento],ServiçosExecutados[[#Headers],[Colorímetro]],[1]!Controle[Executado],$K21,[1]!Controle[STATUS2],"REALIZADO")*$E$3</calculatedColumnFormula>
    </tableColumn>
    <tableColumn id="4" xr3:uid="{2D660205-93CE-4F8F-8CBC-5B5E49AFF7E6}" name="Condutivímetro" totalsRowFunction="sum" dataDxfId="75" totalsRowDxfId="74" dataCellStyle="Moeda">
      <calculatedColumnFormula>COUNTIFS([1]!Controle[Equipamento],ServiçosExecutados[[#Headers],[Condutivímetro]],[1]!Controle[Executado],$K21,[1]!Controle[STATUS2],"REALIZADO")*$E$4</calculatedColumnFormula>
    </tableColumn>
    <tableColumn id="5" xr3:uid="{D9317751-AE83-4C19-910A-A0ED8BA2119B}" name="Determinador de Umidade" totalsRowFunction="sum" dataDxfId="73" totalsRowDxfId="72" dataCellStyle="Moeda">
      <calculatedColumnFormula>COUNTIFS([1]!Controle[Equipamento],ServiçosExecutados[[#Headers],[Determinador de Umidade]],[1]!Controle[Executado],$K21,[1]!Controle[STATUS2],"REALIZADO")*$E$5</calculatedColumnFormula>
    </tableColumn>
    <tableColumn id="6" xr3:uid="{03E88B9A-EDD2-4246-B7E0-4C7DD163A1F0}" name="Espectrofotômetro" totalsRowFunction="sum" dataDxfId="71" totalsRowDxfId="70" dataCellStyle="Moeda">
      <calculatedColumnFormula>COUNTIFS([1]!Controle[Equipamento],ServiçosExecutados[[#Headers],[Espectrofotômetro]],[1]!Controle[Executado],$K21,[1]!Controle[STATUS2],"REALIZADO")*$E$6</calculatedColumnFormula>
    </tableColumn>
    <tableColumn id="7" xr3:uid="{26CB2848-1F50-43CB-B43B-3ADDA8BB88F9}" name="Fotômetro" totalsRowFunction="sum" dataDxfId="69" totalsRowDxfId="68" dataCellStyle="Moeda">
      <calculatedColumnFormula>COUNTIFS([1]!Controle[Equipamento],ServiçosExecutados[[#Headers],[Fotômetro]],[1]!Controle[Executado],$K21,[1]!Controle[STATUS2],"REALIZADO")*$E$7</calculatedColumnFormula>
    </tableColumn>
    <tableColumn id="8" xr3:uid="{7CA3B0EA-F2BE-4563-BA10-9802B1952BB2}" name="Medidor de Íon Seletivo" totalsRowFunction="sum" dataDxfId="67" totalsRowDxfId="66" dataCellStyle="Moeda">
      <calculatedColumnFormula>COUNTIFS([1]!Controle[Equipamento],ServiçosExecutados[[#Headers],[Medidor de Íon Seletivo]],[1]!Controle[Executado],$K21,[1]!Controle[STATUS2],"REALIZADO")*$E$8</calculatedColumnFormula>
    </tableColumn>
    <tableColumn id="9" xr3:uid="{20B3355F-F369-49D7-B72F-760CD6759A43}" name="Medidor de OD" totalsRowFunction="sum" dataDxfId="65" totalsRowDxfId="64" dataCellStyle="Moeda">
      <calculatedColumnFormula>COUNTIFS([1]!Controle[Equipamento],ServiçosExecutados[[#Headers],[Medidor de OD]],[1]!Controle[Executado],$K21,[1]!Controle[STATUS2],"REALIZADO")*$E$9</calculatedColumnFormula>
    </tableColumn>
    <tableColumn id="10" xr3:uid="{6C36E7A0-5B84-40FE-A4DA-73D085279904}" name="Multiparâmetro " totalsRowFunction="sum" dataDxfId="63" totalsRowDxfId="62" dataCellStyle="Moeda">
      <calculatedColumnFormula>COUNTIFS([1]!Controle[Equipamento],ServiçosExecutados[[#Headers],[Multiparâmetro ]],[1]!Controle[Executado],$K21,[1]!Controle[STATUS2],"REALIZADO")*$E$10</calculatedColumnFormula>
    </tableColumn>
    <tableColumn id="11" xr3:uid="{50D0C355-D538-41B8-81F5-25E31E4E8CCA}" name="pHmetro" totalsRowFunction="custom" dataDxfId="61" totalsRowDxfId="60" dataCellStyle="Moeda">
      <calculatedColumnFormula>COUNTIFS([1]!Controle[Equipamento],ServiçosExecutados[[#Headers],[pHmetro]],[1]!Controle[Executado],$K21,[1]!Controle[STATUS2],"REALIZADO")*$E$11</calculatedColumnFormula>
      <totalsRowFormula>SUBTOTAL(109,ServiçosExecutados[Colorímetro])</totalsRowFormula>
    </tableColumn>
    <tableColumn id="12" xr3:uid="{5C4B97F1-70CC-4D1A-B50C-925C37A5EC6F}" name="pHmetro de Processo" totalsRowFunction="custom" dataDxfId="59" totalsRowDxfId="58" dataCellStyle="Moeda">
      <calculatedColumnFormula>COUNTIFS([1]!Controle[Equipamento],ServiçosExecutados[[#Headers],[pHmetro de Processo]],[1]!Controle[Executado],$K21,[1]!Controle[STATUS2],"REALIZADO")*$E$12</calculatedColumnFormula>
      <totalsRowFormula>SUBTOTAL(109,ServiçosExecutados[Condutivímetro])</totalsRowFormula>
    </tableColumn>
    <tableColumn id="13" xr3:uid="{B543F924-1056-4158-8936-843281C60DD8}" name="Reator DQO" totalsRowFunction="custom" dataDxfId="57" totalsRowDxfId="56" dataCellStyle="Moeda">
      <calculatedColumnFormula>COUNTIFS([1]!Controle[Equipamento],ServiçosExecutados[[#Headers],[Reator DQO]],[1]!Controle[Executado],$K21,[1]!Controle[STATUS2],"REALIZADO")*$E$13</calculatedColumnFormula>
      <totalsRowFormula>SUBTOTAL(109,ServiçosExecutados[Determinador de Umidade])</totalsRowFormula>
    </tableColumn>
    <tableColumn id="14" xr3:uid="{B05137A7-05D1-462C-A727-D87B06EDE626}" name="Turbidímetro" totalsRowFunction="custom" dataDxfId="55" totalsRowDxfId="54" dataCellStyle="Moeda">
      <calculatedColumnFormula>COUNTIFS([1]!Controle[Equipamento],ServiçosExecutados[[#Headers],[Turbidímetro]],[1]!Controle[Executado],$K21,[1]!Controle[STATUS2],"REALIZADO")*$E$14</calculatedColumnFormula>
      <totalsRowFormula>SUBTOTAL(109,ServiçosExecutados[Espectrofotômetro])</totalsRowFormula>
    </tableColumn>
    <tableColumn id="15" xr3:uid="{A495E0D1-0AFB-493B-AA7E-F87F8D295BDA}" name="Total  por Mês" dataDxfId="53" totalsRowDxfId="52" dataCellStyle="Moeda">
      <calculatedColumnFormula>SUM(ServiçosExecutados[[#This Row],[Balança Analítica]:[Turbidímetro]])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A8C660-B486-46D8-BA24-E94F62BDCE4C}" name="Tabela13" displayName="Tabela13" ref="A21:H22" totalsRowShown="0" headerRowDxfId="51">
  <autoFilter ref="A21:H22" xr:uid="{2AA8C660-B486-46D8-BA24-E94F62BDCE4C}"/>
  <tableColumns count="8">
    <tableColumn id="1" xr3:uid="{79F85069-A053-4A8A-BF75-8E1E733AE2E6}" name="Ref. ER" dataDxfId="50"/>
    <tableColumn id="2" xr3:uid="{5F3BAE40-069C-4C56-8BF5-23751D62F859}" name="Ref. Cliente" dataDxfId="49">
      <calculatedColumnFormula>VLOOKUP(Tabela13[[#This Row],[Ref. ER]],Tabela11[[#All],[Ref. ER]:[Total]],2,0)</calculatedColumnFormula>
    </tableColumn>
    <tableColumn id="3" xr3:uid="{04A01C2C-2FE5-43F2-9676-585DEBF7F749}" name="PO" dataDxfId="48">
      <calculatedColumnFormula>VLOOKUP(Tabela13[[#This Row],[Ref. ER]],Tabela11[[#All],[Ref. ER]:[Total]],3,0)</calculatedColumnFormula>
    </tableColumn>
    <tableColumn id="4" xr3:uid="{CC343244-609D-45F8-BE9F-3E7FE20CE7D1}" name="Serviços  " dataDxfId="47" dataCellStyle="Moeda">
      <calculatedColumnFormula>VLOOKUP(Tabela13[[#This Row],[Ref. ER]],Tabela11[[#All],[Ref. ER]:[Total]],5,0)</calculatedColumnFormula>
    </tableColumn>
    <tableColumn id="5" xr3:uid="{DA7F45A2-A5A2-43E5-B5D1-7494B167B740}" name="Deslocamento" dataDxfId="46" dataCellStyle="Moeda">
      <calculatedColumnFormula>IFERROR(VLOOKUP(Tabela13[[#This Row],[Ref. ER]],Tabela12[],4,0),0)</calculatedColumnFormula>
    </tableColumn>
    <tableColumn id="6" xr3:uid="{2ACAA69E-7703-429B-8473-5DBC1D44EB4B}" name="Total ">
      <calculatedColumnFormula>Tabela13[[#This Row],[Serviços  ]]+Tabela13[[#This Row],[Deslocamento]]</calculatedColumnFormula>
    </tableColumn>
    <tableColumn id="7" xr3:uid="{0DD6B6C0-C70E-4811-89EA-D68598912B41}" name="Desconto no Contrato? "/>
    <tableColumn id="9" xr3:uid="{17A1F9C5-2456-4F66-A287-14A281B57662}" name="Observação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B8624AE-6464-4135-8666-6C74676176CC}" name="Tabela11" displayName="Tabela11" ref="A2:H4" totalsRowShown="0">
  <autoFilter ref="A2:H4" xr:uid="{BB8624AE-6464-4135-8666-6C74676176CC}"/>
  <tableColumns count="8">
    <tableColumn id="1" xr3:uid="{E1B9CA0F-6179-4629-BC1A-0EA3711357CF}" name="Equipamento"/>
    <tableColumn id="2" xr3:uid="{1CFC3E5C-1465-4EEA-8E5A-3DD4534C6714}" name="Valor Unit. Calibração" dataDxfId="45" dataCellStyle="Moeda">
      <calculatedColumnFormula>VLOOKUP(A3,Serviços[[Equipamento]:[Valor Unit. Manutenção ]],3,0)</calculatedColumnFormula>
    </tableColumn>
    <tableColumn id="3" xr3:uid="{5073951C-CF25-471F-8B2C-C6DFD820ED6F}" name="Valor Unit. Manutenção " dataDxfId="44" dataCellStyle="Moeda">
      <calculatedColumnFormula>VLOOKUP(A3,Serviços[[Equipamento]:[Valor Unit. Manutenção ]],4,0)</calculatedColumnFormula>
    </tableColumn>
    <tableColumn id="7" xr3:uid="{64712D7A-E67C-4BCB-A579-72A9204B3EFD}" name="Ref. ER" dataDxfId="43" dataCellStyle="Moeda"/>
    <tableColumn id="6" xr3:uid="{97928931-D142-474C-AE42-38F169B6CF3C}" name="Ref. Cliente"/>
    <tableColumn id="8" xr3:uid="{2AEA27DC-7078-4E21-8EF8-76D89A941D54}" name="PO"/>
    <tableColumn id="4" xr3:uid="{FCF79A6D-D07F-4F3E-BC97-2C6EC9CDA3BC}" name="Qtd. "/>
    <tableColumn id="5" xr3:uid="{5EE5B0DD-C464-46D2-81C8-14F993978CA6}" name="Total" dataDxfId="42" dataCellStyle="Moeda">
      <calculatedColumnFormula>(B3+C3)*G3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17A0639-36EB-4833-B7C9-37C4A07EA23E}" name="Tabela12" displayName="Tabela12" ref="J2:M3" insertRow="1" totalsRowShown="0">
  <autoFilter ref="J2:M3" xr:uid="{417A0639-36EB-4833-B7C9-37C4A07EA23E}"/>
  <tableColumns count="4">
    <tableColumn id="1" xr3:uid="{2311AEB6-DBA3-43F1-A579-D8FDD4D7589C}" name="Ref. Cliente"/>
    <tableColumn id="2" xr3:uid="{A1EECB34-4977-44D3-BBA5-498BC64A57D0}" name="Ref. ER"/>
    <tableColumn id="3" xr3:uid="{2BF4F5F2-84B5-469D-9B25-B4ABA483FC1C}" name="PO"/>
    <tableColumn id="4" xr3:uid="{666BEC45-DD7A-48E2-A3D0-4381F92D076B}" name="Total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1A10-D750-4420-A119-6749D5659C6E}">
  <dimension ref="A1:V35"/>
  <sheetViews>
    <sheetView showGridLines="0" showRowColHeaders="0" zoomScale="92" zoomScaleNormal="92" workbookViewId="0">
      <selection activeCell="K6" sqref="K6"/>
    </sheetView>
  </sheetViews>
  <sheetFormatPr defaultColWidth="0" defaultRowHeight="15" zeroHeight="1" x14ac:dyDescent="0.25"/>
  <cols>
    <col min="1" max="22" width="9.140625" style="4" customWidth="1"/>
    <col min="23" max="16384" width="9.140625" style="4" hidden="1"/>
  </cols>
  <sheetData>
    <row r="1" spans="1:22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spans="1:22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</row>
    <row r="4" spans="1:22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pans="1:22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</row>
    <row r="6" spans="1:22" x14ac:dyDescent="0.2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</row>
    <row r="7" spans="1:22" x14ac:dyDescent="0.25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</row>
    <row r="8" spans="1:22" x14ac:dyDescent="0.25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pans="1:22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x14ac:dyDescent="0.25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x14ac:dyDescent="0.25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x14ac:dyDescent="0.2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x14ac:dyDescent="0.25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x14ac:dyDescent="0.2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x14ac:dyDescent="0.2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pans="1:22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pans="1:22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spans="1:22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spans="1:22" x14ac:dyDescent="0.2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spans="1:22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</row>
    <row r="28" spans="1:22" x14ac:dyDescent="0.2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spans="1:22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pans="1:22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 spans="1:22" x14ac:dyDescent="0.2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 spans="1:22" x14ac:dyDescent="0.25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</row>
    <row r="33" spans="1:22" x14ac:dyDescent="0.2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pans="1:22" x14ac:dyDescent="0.2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spans="1:22" hidden="1" x14ac:dyDescent="0.25">
      <c r="A35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949C-4C15-4999-88A8-352306C4834E}">
  <dimension ref="A3:R15"/>
  <sheetViews>
    <sheetView tabSelected="1" workbookViewId="0">
      <selection activeCell="B9" sqref="B9:B10"/>
    </sheetView>
  </sheetViews>
  <sheetFormatPr defaultRowHeight="15" x14ac:dyDescent="0.25"/>
  <cols>
    <col min="1" max="1" width="18" bestFit="1" customWidth="1"/>
    <col min="2" max="2" width="18.42578125" bestFit="1" customWidth="1"/>
    <col min="3" max="3" width="14.28515625" bestFit="1" customWidth="1"/>
    <col min="4" max="4" width="15.7109375" bestFit="1" customWidth="1"/>
    <col min="5" max="5" width="14.28515625" bestFit="1" customWidth="1"/>
    <col min="6" max="6" width="18" bestFit="1" customWidth="1"/>
    <col min="7" max="8" width="13.28515625" bestFit="1" customWidth="1"/>
    <col min="9" max="9" width="17.28515625" bestFit="1" customWidth="1"/>
    <col min="10" max="10" width="29.42578125" bestFit="1" customWidth="1"/>
    <col min="11" max="11" width="18" bestFit="1" customWidth="1"/>
    <col min="12" max="12" width="19" bestFit="1" customWidth="1"/>
    <col min="13" max="13" width="14.28515625" bestFit="1" customWidth="1"/>
    <col min="14" max="14" width="17.5703125" bestFit="1" customWidth="1"/>
    <col min="15" max="15" width="18" bestFit="1" customWidth="1"/>
    <col min="16" max="16" width="17.5703125" bestFit="1" customWidth="1"/>
    <col min="17" max="17" width="19" bestFit="1" customWidth="1"/>
    <col min="18" max="18" width="16.7109375" bestFit="1" customWidth="1"/>
    <col min="19" max="19" width="14.28515625" bestFit="1" customWidth="1"/>
  </cols>
  <sheetData>
    <row r="3" spans="1:18" x14ac:dyDescent="0.25">
      <c r="B3" s="1" t="s">
        <v>137</v>
      </c>
      <c r="F3" s="1" t="s">
        <v>135</v>
      </c>
      <c r="G3" t="s">
        <v>112</v>
      </c>
      <c r="H3" t="s">
        <v>138</v>
      </c>
      <c r="I3" t="s">
        <v>131</v>
      </c>
      <c r="K3" s="1" t="s">
        <v>135</v>
      </c>
      <c r="L3" t="s">
        <v>147</v>
      </c>
      <c r="M3" t="s">
        <v>140</v>
      </c>
      <c r="O3" s="1" t="s">
        <v>135</v>
      </c>
      <c r="P3" t="s">
        <v>149</v>
      </c>
      <c r="Q3" t="s">
        <v>148</v>
      </c>
      <c r="R3" t="s">
        <v>144</v>
      </c>
    </row>
    <row r="4" spans="1:18" x14ac:dyDescent="0.25">
      <c r="A4" s="1" t="s">
        <v>136</v>
      </c>
      <c r="B4" s="5" t="s">
        <v>24</v>
      </c>
      <c r="C4" s="5" t="s">
        <v>106</v>
      </c>
      <c r="D4" s="5" t="s">
        <v>107</v>
      </c>
      <c r="F4" s="2" t="s">
        <v>113</v>
      </c>
      <c r="G4" s="5">
        <v>7248.23</v>
      </c>
      <c r="H4" s="5">
        <v>0</v>
      </c>
      <c r="I4" s="5">
        <v>20030.670833333334</v>
      </c>
      <c r="K4" s="2" t="s">
        <v>11</v>
      </c>
      <c r="L4" s="5">
        <v>262081.41000000003</v>
      </c>
      <c r="M4" s="5">
        <v>240368.05000000002</v>
      </c>
      <c r="O4" s="2" t="s">
        <v>11</v>
      </c>
      <c r="P4" s="5">
        <v>262081.41000000003</v>
      </c>
      <c r="Q4" s="5">
        <v>43313.06</v>
      </c>
      <c r="R4" s="5">
        <v>-21713.360000000015</v>
      </c>
    </row>
    <row r="5" spans="1:18" x14ac:dyDescent="0.25">
      <c r="A5" s="2" t="s">
        <v>150</v>
      </c>
      <c r="B5" s="5">
        <v>218768.35000000003</v>
      </c>
      <c r="C5" s="5">
        <v>127859.53000000001</v>
      </c>
      <c r="D5" s="5">
        <v>90908.820000000022</v>
      </c>
      <c r="F5" s="2" t="s">
        <v>114</v>
      </c>
      <c r="G5" s="5">
        <v>492.03</v>
      </c>
      <c r="H5" s="5">
        <v>2985.2299999999996</v>
      </c>
      <c r="I5" s="5">
        <v>20030.670833333334</v>
      </c>
      <c r="K5" s="2" t="s">
        <v>146</v>
      </c>
      <c r="L5" s="5">
        <v>161659</v>
      </c>
      <c r="M5" s="5">
        <v>139945.64000000001</v>
      </c>
      <c r="O5" s="2" t="s">
        <v>146</v>
      </c>
      <c r="P5" s="5">
        <v>161659</v>
      </c>
      <c r="Q5" s="5">
        <v>33799.47</v>
      </c>
      <c r="R5" s="5">
        <v>-21713.359999999986</v>
      </c>
    </row>
    <row r="6" spans="1:18" x14ac:dyDescent="0.25">
      <c r="A6" s="2" t="s">
        <v>151</v>
      </c>
      <c r="B6" s="5">
        <v>21599.699999999983</v>
      </c>
      <c r="C6" s="5">
        <v>12086.11</v>
      </c>
      <c r="D6" s="5">
        <v>9513.589999999982</v>
      </c>
      <c r="F6" s="2" t="s">
        <v>115</v>
      </c>
      <c r="G6" s="5">
        <v>19973</v>
      </c>
      <c r="H6" s="5">
        <v>5233.43</v>
      </c>
      <c r="I6" s="5">
        <v>20030.670833333334</v>
      </c>
      <c r="K6" s="2" t="s">
        <v>145</v>
      </c>
      <c r="L6" s="5">
        <v>100422.41000000002</v>
      </c>
      <c r="M6" s="5">
        <v>100422.41</v>
      </c>
      <c r="O6" s="2" t="s">
        <v>145</v>
      </c>
      <c r="P6" s="5">
        <v>100422.41000000002</v>
      </c>
      <c r="Q6" s="5">
        <v>9513.59</v>
      </c>
      <c r="R6" s="5">
        <v>0</v>
      </c>
    </row>
    <row r="7" spans="1:18" x14ac:dyDescent="0.25">
      <c r="F7" s="2" t="s">
        <v>116</v>
      </c>
      <c r="G7" s="5">
        <v>23814.11</v>
      </c>
      <c r="H7" s="5">
        <v>0</v>
      </c>
      <c r="I7" s="5">
        <v>20030.670833333334</v>
      </c>
    </row>
    <row r="8" spans="1:18" x14ac:dyDescent="0.25">
      <c r="A8" s="1" t="s">
        <v>135</v>
      </c>
      <c r="B8" s="5" t="s">
        <v>139</v>
      </c>
      <c r="C8" s="5" t="s">
        <v>138</v>
      </c>
      <c r="F8" s="2" t="s">
        <v>117</v>
      </c>
      <c r="G8" s="5">
        <v>22421.510000000002</v>
      </c>
      <c r="H8" s="5">
        <v>13418.38</v>
      </c>
      <c r="I8" s="5">
        <v>20030.670833333334</v>
      </c>
    </row>
    <row r="9" spans="1:18" x14ac:dyDescent="0.25">
      <c r="A9" s="2" t="s">
        <v>107</v>
      </c>
      <c r="B9" s="5">
        <v>100422.41</v>
      </c>
      <c r="C9" s="5">
        <v>90908.820000000022</v>
      </c>
      <c r="F9" s="2" t="s">
        <v>118</v>
      </c>
      <c r="G9" s="5">
        <v>32836.550000000003</v>
      </c>
      <c r="H9" s="5">
        <v>17986.810000000005</v>
      </c>
      <c r="I9" s="5">
        <v>20030.670833333334</v>
      </c>
    </row>
    <row r="10" spans="1:18" x14ac:dyDescent="0.25">
      <c r="A10" s="2" t="s">
        <v>106</v>
      </c>
      <c r="B10" s="5">
        <v>139945.64000000001</v>
      </c>
      <c r="C10" s="5">
        <v>127859.53000000001</v>
      </c>
      <c r="F10" s="2" t="s">
        <v>119</v>
      </c>
      <c r="G10" s="5">
        <v>29841.850000000006</v>
      </c>
      <c r="H10" s="5">
        <v>30654.380000000005</v>
      </c>
      <c r="I10" s="5">
        <v>20030.670833333334</v>
      </c>
    </row>
    <row r="11" spans="1:18" x14ac:dyDescent="0.25">
      <c r="A11" s="2" t="s">
        <v>140</v>
      </c>
      <c r="B11" s="5">
        <v>240368.05000000002</v>
      </c>
      <c r="C11" s="5">
        <v>218768.35000000003</v>
      </c>
      <c r="F11" s="2" t="s">
        <v>120</v>
      </c>
      <c r="G11" s="5">
        <v>36164.850000000006</v>
      </c>
      <c r="H11" s="5">
        <v>50317</v>
      </c>
      <c r="I11" s="5">
        <v>20030.670833333334</v>
      </c>
    </row>
    <row r="12" spans="1:18" x14ac:dyDescent="0.25">
      <c r="F12" s="2" t="s">
        <v>121</v>
      </c>
      <c r="G12" s="5">
        <v>29738.970000000005</v>
      </c>
      <c r="H12" s="5">
        <v>52895.760000000009</v>
      </c>
      <c r="I12" s="5">
        <v>20030.670833333334</v>
      </c>
    </row>
    <row r="13" spans="1:18" x14ac:dyDescent="0.25">
      <c r="F13" s="2" t="s">
        <v>122</v>
      </c>
      <c r="G13" s="5">
        <v>8195.0600000000013</v>
      </c>
      <c r="H13" s="5">
        <v>22183.160000000003</v>
      </c>
      <c r="I13" s="5">
        <v>20030.670833333334</v>
      </c>
    </row>
    <row r="14" spans="1:18" x14ac:dyDescent="0.25">
      <c r="F14" s="2" t="s">
        <v>123</v>
      </c>
      <c r="G14" s="5">
        <v>13371.380000000001</v>
      </c>
      <c r="H14" s="5">
        <v>18660.04</v>
      </c>
      <c r="I14" s="5">
        <v>20030.670833333334</v>
      </c>
    </row>
    <row r="15" spans="1:18" x14ac:dyDescent="0.25">
      <c r="F15" s="2" t="s">
        <v>124</v>
      </c>
      <c r="G15" s="5">
        <v>1295.1099999999999</v>
      </c>
      <c r="H15" s="5">
        <v>4434.16</v>
      </c>
      <c r="I15" s="5">
        <v>20030.670833333334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C550-CF5E-4AAB-A9F6-3299F2FF1922}">
  <dimension ref="A1:L23"/>
  <sheetViews>
    <sheetView workbookViewId="0">
      <selection activeCell="G16" sqref="G16"/>
    </sheetView>
  </sheetViews>
  <sheetFormatPr defaultRowHeight="15" x14ac:dyDescent="0.25"/>
  <cols>
    <col min="1" max="1" width="14.28515625" bestFit="1" customWidth="1"/>
    <col min="2" max="2" width="17.28515625" customWidth="1"/>
    <col min="3" max="3" width="23.5703125" customWidth="1"/>
    <col min="4" max="4" width="23" customWidth="1"/>
    <col min="5" max="5" width="18.42578125" customWidth="1"/>
    <col min="6" max="6" width="25.42578125" customWidth="1"/>
    <col min="7" max="7" width="24.85546875" customWidth="1"/>
    <col min="8" max="8" width="19.5703125" customWidth="1"/>
    <col min="9" max="9" width="15.7109375" customWidth="1"/>
    <col min="10" max="10" width="21.28515625" customWidth="1"/>
    <col min="11" max="11" width="24" bestFit="1" customWidth="1"/>
    <col min="12" max="12" width="21.28515625" bestFit="1" customWidth="1"/>
    <col min="13" max="15" width="15.7109375" customWidth="1"/>
  </cols>
  <sheetData>
    <row r="1" spans="1:12" x14ac:dyDescent="0.25">
      <c r="A1" s="84" t="s">
        <v>103</v>
      </c>
      <c r="B1" s="84"/>
      <c r="C1" s="84"/>
      <c r="D1" s="84"/>
      <c r="E1" s="84"/>
      <c r="G1" s="92" t="s">
        <v>141</v>
      </c>
      <c r="H1" s="93"/>
      <c r="I1" s="93"/>
      <c r="J1" s="93"/>
      <c r="K1" s="93"/>
      <c r="L1" s="93"/>
    </row>
    <row r="2" spans="1:12" x14ac:dyDescent="0.25">
      <c r="A2" s="84"/>
      <c r="B2" s="84"/>
      <c r="C2" s="84"/>
      <c r="D2" s="84"/>
      <c r="E2" s="84"/>
      <c r="G2" s="92"/>
      <c r="H2" s="93"/>
      <c r="I2" s="93"/>
      <c r="J2" s="93"/>
      <c r="K2" s="93"/>
      <c r="L2" s="93"/>
    </row>
    <row r="3" spans="1:12" x14ac:dyDescent="0.25">
      <c r="A3" s="69" t="s">
        <v>108</v>
      </c>
      <c r="B3" s="69" t="s">
        <v>104</v>
      </c>
      <c r="C3" s="69" t="s">
        <v>105</v>
      </c>
      <c r="D3" s="69" t="s">
        <v>109</v>
      </c>
      <c r="E3" s="69" t="s">
        <v>131</v>
      </c>
      <c r="G3" s="70" t="s">
        <v>108</v>
      </c>
      <c r="H3" s="70" t="s">
        <v>140</v>
      </c>
      <c r="I3" s="71" t="s">
        <v>105</v>
      </c>
      <c r="J3" s="71" t="s">
        <v>142</v>
      </c>
      <c r="K3" s="71" t="s">
        <v>143</v>
      </c>
      <c r="L3" s="72" t="s">
        <v>144</v>
      </c>
    </row>
    <row r="4" spans="1:12" x14ac:dyDescent="0.25">
      <c r="A4" s="3" t="s">
        <v>24</v>
      </c>
      <c r="B4" s="6">
        <f>B5+B6</f>
        <v>240368.05000000002</v>
      </c>
      <c r="C4" s="6">
        <f>C5+C6</f>
        <v>218768.35000000003</v>
      </c>
      <c r="D4" s="6">
        <f>D5+D6</f>
        <v>21599.699999999983</v>
      </c>
      <c r="E4" s="85">
        <f>B4/12</f>
        <v>20030.670833333334</v>
      </c>
      <c r="G4" s="14" t="s">
        <v>11</v>
      </c>
      <c r="H4" s="67">
        <f>Consumo[[#This Row],[Contrato ]]</f>
        <v>240368.05000000002</v>
      </c>
      <c r="I4" s="6">
        <f>Consumo[[#This Row],[Consumo ]]</f>
        <v>218768.35000000003</v>
      </c>
      <c r="J4" s="6">
        <f>J5+J6</f>
        <v>43313.06</v>
      </c>
      <c r="K4" s="6">
        <f>PrevistoAcumulado[[#This Row],[Consumo ]]+PrevistoAcumulado[[#This Row],[A realizar ]]</f>
        <v>262081.41000000003</v>
      </c>
      <c r="L4" s="65">
        <f>Consumo[[#This Row],[Contrato ]]-PrevistoAcumulado[[#This Row],[Acumulado Previsto ]]</f>
        <v>-21713.360000000015</v>
      </c>
    </row>
    <row r="5" spans="1:12" x14ac:dyDescent="0.25">
      <c r="A5" s="3" t="s">
        <v>106</v>
      </c>
      <c r="B5" s="6">
        <f>144345.64-4400</f>
        <v>139945.64000000001</v>
      </c>
      <c r="C5" s="6">
        <f>Serviços[[#Totals],[Valor Executado]]</f>
        <v>127859.53000000001</v>
      </c>
      <c r="D5" s="6">
        <f>Consumo[[#This Row],[Contrato ]]-Consumo[[#This Row],[Consumo ]]</f>
        <v>12086.11</v>
      </c>
      <c r="E5" s="85"/>
      <c r="G5" s="14" t="s">
        <v>106</v>
      </c>
      <c r="H5" s="67">
        <f>Consumo[[#This Row],[Contrato ]]</f>
        <v>139945.64000000001</v>
      </c>
      <c r="I5" s="6">
        <f>Consumo[[#This Row],[Consumo ]]</f>
        <v>127859.53000000001</v>
      </c>
      <c r="J5" s="6">
        <f>Serviços[[#Totals],[Valor a executar]]</f>
        <v>33799.47</v>
      </c>
      <c r="K5" s="6">
        <f>PrevistoAcumulado[[#This Row],[Consumo ]]+PrevistoAcumulado[[#This Row],[A realizar ]]</f>
        <v>161659</v>
      </c>
      <c r="L5" s="65">
        <f>Consumo[[#This Row],[Contrato ]]-PrevistoAcumulado[[#This Row],[Acumulado Previsto ]]</f>
        <v>-21713.359999999986</v>
      </c>
    </row>
    <row r="6" spans="1:12" x14ac:dyDescent="0.25">
      <c r="A6" s="3" t="s">
        <v>107</v>
      </c>
      <c r="B6" s="6">
        <v>100422.41</v>
      </c>
      <c r="C6" s="6">
        <f>Tabela8[[#Totals],[Realizado]]</f>
        <v>90908.820000000022</v>
      </c>
      <c r="D6" s="6">
        <f>Consumo[[#This Row],[Contrato ]]-Consumo[[#This Row],[Consumo ]]</f>
        <v>9513.589999999982</v>
      </c>
      <c r="E6" s="85"/>
      <c r="G6" s="16" t="s">
        <v>145</v>
      </c>
      <c r="H6" s="68">
        <f>Consumo[[#This Row],[Contrato ]]</f>
        <v>100422.41</v>
      </c>
      <c r="I6" s="17">
        <f>Consumo[[#This Row],[Consumo ]]</f>
        <v>90908.820000000022</v>
      </c>
      <c r="J6" s="17">
        <f>Tabela8[[#Totals],[A realizar]]</f>
        <v>9513.59</v>
      </c>
      <c r="K6" s="17">
        <f>PrevistoAcumulado[[#This Row],[Consumo ]]+PrevistoAcumulado[[#This Row],[A realizar ]]</f>
        <v>100422.41000000002</v>
      </c>
      <c r="L6" s="66">
        <f>Consumo[[#This Row],[Contrato ]]-PrevistoAcumulado[[#This Row],[Acumulado Previsto ]]</f>
        <v>0</v>
      </c>
    </row>
    <row r="8" spans="1:12" ht="15.75" thickBot="1" x14ac:dyDescent="0.3"/>
    <row r="9" spans="1:12" ht="15.75" thickBot="1" x14ac:dyDescent="0.3">
      <c r="A9" s="89" t="s">
        <v>110</v>
      </c>
      <c r="B9" s="90"/>
      <c r="C9" s="90"/>
      <c r="D9" s="90"/>
      <c r="E9" s="90"/>
      <c r="F9" s="90"/>
      <c r="G9" s="90"/>
      <c r="H9" s="91"/>
    </row>
    <row r="10" spans="1:12" ht="15.75" thickBot="1" x14ac:dyDescent="0.3">
      <c r="A10" s="12"/>
      <c r="B10" s="86" t="s">
        <v>112</v>
      </c>
      <c r="C10" s="87"/>
      <c r="D10" s="88"/>
      <c r="E10" s="86" t="s">
        <v>26</v>
      </c>
      <c r="F10" s="87"/>
      <c r="G10" s="88"/>
      <c r="H10" s="13"/>
    </row>
    <row r="11" spans="1:12" x14ac:dyDescent="0.25">
      <c r="A11" s="20" t="s">
        <v>97</v>
      </c>
      <c r="B11" s="10" t="s">
        <v>125</v>
      </c>
      <c r="C11" s="9" t="s">
        <v>126</v>
      </c>
      <c r="D11" s="11" t="s">
        <v>127</v>
      </c>
      <c r="E11" s="10" t="s">
        <v>128</v>
      </c>
      <c r="F11" s="9" t="s">
        <v>129</v>
      </c>
      <c r="G11" s="11" t="s">
        <v>130</v>
      </c>
      <c r="H11" s="20" t="s">
        <v>111</v>
      </c>
    </row>
    <row r="12" spans="1:12" x14ac:dyDescent="0.25">
      <c r="A12" s="21" t="s">
        <v>113</v>
      </c>
      <c r="B12" s="22">
        <f>'Extrato - serviço'!Y3</f>
        <v>2461.8999999999996</v>
      </c>
      <c r="C12" s="6">
        <f>'Extrato - deslocamento '!K2</f>
        <v>4786.33</v>
      </c>
      <c r="D12" s="23">
        <f>SUM(ConsumoMensal[[#This Row],[Serviço Previsto]:[Deslocamento Previsto]])</f>
        <v>7248.23</v>
      </c>
      <c r="E12" s="22">
        <f>'Extrato - serviço'!Y21</f>
        <v>0</v>
      </c>
      <c r="F12" s="6">
        <f>'Extrato - deslocamento '!L2</f>
        <v>0</v>
      </c>
      <c r="G12" s="23">
        <f>SUM(ConsumoMensal[[#This Row],[Serviço Execuado]:[Deslocamento Executado]])</f>
        <v>0</v>
      </c>
      <c r="H12" s="26">
        <f>$B$4/12</f>
        <v>20030.670833333334</v>
      </c>
    </row>
    <row r="13" spans="1:12" x14ac:dyDescent="0.25">
      <c r="A13" s="21" t="s">
        <v>114</v>
      </c>
      <c r="B13" s="22">
        <f>'Extrato - serviço'!Y4</f>
        <v>492.03</v>
      </c>
      <c r="C13" s="6">
        <f>'Extrato - deslocamento '!K3</f>
        <v>0</v>
      </c>
      <c r="D13" s="23">
        <f>SUM(ConsumoMensal[[#This Row],[Serviço Previsto]:[Deslocamento Previsto]])</f>
        <v>492.03</v>
      </c>
      <c r="E13" s="22">
        <f>'Extrato - serviço'!Y22</f>
        <v>2985.2299999999996</v>
      </c>
      <c r="F13" s="6">
        <f>'Extrato - deslocamento '!L3</f>
        <v>0</v>
      </c>
      <c r="G13" s="23">
        <f>SUM(ConsumoMensal[[#This Row],[Serviço Execuado]:[Deslocamento Executado]])</f>
        <v>2985.2299999999996</v>
      </c>
      <c r="H13" s="26">
        <f t="shared" ref="H13:H23" si="0">$B$4/12</f>
        <v>20030.670833333334</v>
      </c>
    </row>
    <row r="14" spans="1:12" x14ac:dyDescent="0.25">
      <c r="A14" s="21" t="s">
        <v>115</v>
      </c>
      <c r="B14" s="22">
        <f>'Extrato - serviço'!Y5</f>
        <v>12010.54</v>
      </c>
      <c r="C14" s="6">
        <f>'Extrato - deslocamento '!K4</f>
        <v>7962.46</v>
      </c>
      <c r="D14" s="23">
        <f>SUM(ConsumoMensal[[#This Row],[Serviço Previsto]:[Deslocamento Previsto]])</f>
        <v>19973</v>
      </c>
      <c r="E14" s="22">
        <f>'Extrato - serviço'!Y23</f>
        <v>998.12</v>
      </c>
      <c r="F14" s="6">
        <f>'Extrato - deslocamento '!L4</f>
        <v>4235.3100000000004</v>
      </c>
      <c r="G14" s="23">
        <f>SUM(ConsumoMensal[[#This Row],[Serviço Execuado]:[Deslocamento Executado]])</f>
        <v>5233.43</v>
      </c>
      <c r="H14" s="26">
        <f t="shared" si="0"/>
        <v>20030.670833333334</v>
      </c>
    </row>
    <row r="15" spans="1:12" x14ac:dyDescent="0.25">
      <c r="A15" s="21" t="s">
        <v>116</v>
      </c>
      <c r="B15" s="22">
        <f>'Extrato - serviço'!Y6</f>
        <v>6915.26</v>
      </c>
      <c r="C15" s="6">
        <f>'Extrato - deslocamento '!K5</f>
        <v>16898.849999999999</v>
      </c>
      <c r="D15" s="23">
        <f>SUM(ConsumoMensal[[#This Row],[Serviço Previsto]:[Deslocamento Previsto]])</f>
        <v>23814.11</v>
      </c>
      <c r="E15" s="22">
        <f>'Extrato - serviço'!Y24</f>
        <v>0</v>
      </c>
      <c r="F15" s="6">
        <f>'Extrato - deslocamento '!L5</f>
        <v>0</v>
      </c>
      <c r="G15" s="23">
        <f>SUM(ConsumoMensal[[#This Row],[Serviço Execuado]:[Deslocamento Executado]])</f>
        <v>0</v>
      </c>
      <c r="H15" s="26">
        <f t="shared" si="0"/>
        <v>20030.670833333334</v>
      </c>
    </row>
    <row r="16" spans="1:12" x14ac:dyDescent="0.25">
      <c r="A16" s="21" t="s">
        <v>117</v>
      </c>
      <c r="B16" s="22">
        <f>'Extrato - serviço'!Y7</f>
        <v>15582.17</v>
      </c>
      <c r="C16" s="6">
        <f>'Extrato - deslocamento '!K6</f>
        <v>6839.34</v>
      </c>
      <c r="D16" s="23">
        <f>SUM(ConsumoMensal[[#This Row],[Serviço Previsto]:[Deslocamento Previsto]])</f>
        <v>22421.510000000002</v>
      </c>
      <c r="E16" s="22">
        <f>'Extrato - serviço'!Y25</f>
        <v>3630.15</v>
      </c>
      <c r="F16" s="6">
        <f>'Extrato - deslocamento '!L6</f>
        <v>9788.23</v>
      </c>
      <c r="G16" s="23">
        <f>SUM(ConsumoMensal[[#This Row],[Serviço Execuado]:[Deslocamento Executado]])</f>
        <v>13418.38</v>
      </c>
      <c r="H16" s="26">
        <f t="shared" si="0"/>
        <v>20030.670833333334</v>
      </c>
    </row>
    <row r="17" spans="1:8" x14ac:dyDescent="0.25">
      <c r="A17" s="21" t="s">
        <v>118</v>
      </c>
      <c r="B17" s="22">
        <f>'Extrato - serviço'!Y8</f>
        <v>18396.82</v>
      </c>
      <c r="C17" s="6">
        <f>'Extrato - deslocamento '!K7</f>
        <v>14439.730000000001</v>
      </c>
      <c r="D17" s="23">
        <f>SUM(ConsumoMensal[[#This Row],[Serviço Previsto]:[Deslocamento Previsto]])</f>
        <v>32836.550000000003</v>
      </c>
      <c r="E17" s="22">
        <f>'Extrato - serviço'!Y26</f>
        <v>17986.810000000005</v>
      </c>
      <c r="F17" s="6">
        <f>'Extrato - deslocamento '!L7</f>
        <v>0</v>
      </c>
      <c r="G17" s="23">
        <f>SUM(ConsumoMensal[[#This Row],[Serviço Execuado]:[Deslocamento Executado]])</f>
        <v>17986.810000000005</v>
      </c>
      <c r="H17" s="26">
        <f t="shared" si="0"/>
        <v>20030.670833333334</v>
      </c>
    </row>
    <row r="18" spans="1:8" x14ac:dyDescent="0.25">
      <c r="A18" s="21" t="s">
        <v>119</v>
      </c>
      <c r="B18" s="22">
        <f>'Extrato - serviço'!Y9</f>
        <v>21068.410000000003</v>
      </c>
      <c r="C18" s="6">
        <f>'Extrato - deslocamento '!K8</f>
        <v>8773.44</v>
      </c>
      <c r="D18" s="23">
        <f>SUM(ConsumoMensal[[#This Row],[Serviço Previsto]:[Deslocamento Previsto]])</f>
        <v>29841.850000000006</v>
      </c>
      <c r="E18" s="22">
        <f>'Extrato - serviço'!Y27</f>
        <v>23411.180000000004</v>
      </c>
      <c r="F18" s="6">
        <f>'Extrato - deslocamento '!L8</f>
        <v>7243.2</v>
      </c>
      <c r="G18" s="23">
        <f>SUM(ConsumoMensal[[#This Row],[Serviço Execuado]:[Deslocamento Executado]])</f>
        <v>30654.380000000005</v>
      </c>
      <c r="H18" s="26">
        <f t="shared" si="0"/>
        <v>20030.670833333334</v>
      </c>
    </row>
    <row r="19" spans="1:8" x14ac:dyDescent="0.25">
      <c r="A19" s="21" t="s">
        <v>120</v>
      </c>
      <c r="B19" s="22">
        <f>'Extrato - serviço'!Y10</f>
        <v>28886.110000000004</v>
      </c>
      <c r="C19" s="6">
        <f>'Extrato - deslocamento '!K9</f>
        <v>7278.7400000000007</v>
      </c>
      <c r="D19" s="23">
        <f>SUM(ConsumoMensal[[#This Row],[Serviço Previsto]:[Deslocamento Previsto]])</f>
        <v>36164.850000000006</v>
      </c>
      <c r="E19" s="22">
        <f>'Extrato - serviço'!Y28</f>
        <v>28169.33</v>
      </c>
      <c r="F19" s="6">
        <f>'Extrato - deslocamento '!L9</f>
        <v>22147.67</v>
      </c>
      <c r="G19" s="23">
        <f>SUM(ConsumoMensal[[#This Row],[Serviço Execuado]:[Deslocamento Executado]])</f>
        <v>50317</v>
      </c>
      <c r="H19" s="26">
        <f t="shared" si="0"/>
        <v>20030.670833333334</v>
      </c>
    </row>
    <row r="20" spans="1:8" x14ac:dyDescent="0.25">
      <c r="A20" s="21" t="s">
        <v>121</v>
      </c>
      <c r="B20" s="22">
        <f>'Extrato - serviço'!Y11</f>
        <v>27521.090000000004</v>
      </c>
      <c r="C20" s="6">
        <f>'Extrato - deslocamento '!K10</f>
        <v>2217.88</v>
      </c>
      <c r="D20" s="23">
        <f>SUM(ConsumoMensal[[#This Row],[Serviço Previsto]:[Deslocamento Previsto]])</f>
        <v>29738.970000000005</v>
      </c>
      <c r="E20" s="22">
        <f>'Extrato - serviço'!Y29</f>
        <v>29971.520000000004</v>
      </c>
      <c r="F20" s="6">
        <f>'Extrato - deslocamento '!L10</f>
        <v>22924.240000000002</v>
      </c>
      <c r="G20" s="23">
        <f>SUM(ConsumoMensal[[#This Row],[Serviço Execuado]:[Deslocamento Executado]])</f>
        <v>52895.760000000009</v>
      </c>
      <c r="H20" s="26">
        <f t="shared" si="0"/>
        <v>20030.670833333334</v>
      </c>
    </row>
    <row r="21" spans="1:8" x14ac:dyDescent="0.25">
      <c r="A21" s="21" t="s">
        <v>122</v>
      </c>
      <c r="B21" s="22">
        <f>'Extrato - serviço'!Y12</f>
        <v>2997.6400000000003</v>
      </c>
      <c r="C21" s="6">
        <f>'Extrato - deslocamento '!K11</f>
        <v>5197.42</v>
      </c>
      <c r="D21" s="23">
        <f>SUM(ConsumoMensal[[#This Row],[Serviço Previsto]:[Deslocamento Previsto]])</f>
        <v>8195.0600000000013</v>
      </c>
      <c r="E21" s="22">
        <f>'Extrato - serviço'!Y30</f>
        <v>8589.6500000000015</v>
      </c>
      <c r="F21" s="6">
        <f>'Extrato - deslocamento '!L11</f>
        <v>13593.51</v>
      </c>
      <c r="G21" s="23">
        <f>SUM(ConsumoMensal[[#This Row],[Serviço Execuado]:[Deslocamento Executado]])</f>
        <v>22183.160000000003</v>
      </c>
      <c r="H21" s="26">
        <f t="shared" si="0"/>
        <v>20030.670833333334</v>
      </c>
    </row>
    <row r="22" spans="1:8" x14ac:dyDescent="0.25">
      <c r="A22" s="21" t="s">
        <v>123</v>
      </c>
      <c r="B22" s="22">
        <f>'Extrato - serviço'!Y13</f>
        <v>4577.0600000000004</v>
      </c>
      <c r="C22" s="6">
        <f>'Extrato - deslocamento '!K12</f>
        <v>8794.32</v>
      </c>
      <c r="D22" s="23">
        <f>SUM(ConsumoMensal[[#This Row],[Serviço Previsto]:[Deslocamento Previsto]])</f>
        <v>13371.380000000001</v>
      </c>
      <c r="E22" s="22">
        <f>'Extrato - serviço'!Y31</f>
        <v>8430.98</v>
      </c>
      <c r="F22" s="6">
        <f>'Extrato - deslocamento '!L12</f>
        <v>10229.06</v>
      </c>
      <c r="G22" s="23">
        <f>SUM(ConsumoMensal[[#This Row],[Serviço Execuado]:[Deslocamento Executado]])</f>
        <v>18660.04</v>
      </c>
      <c r="H22" s="26">
        <f t="shared" si="0"/>
        <v>20030.670833333334</v>
      </c>
    </row>
    <row r="23" spans="1:8" ht="15.75" thickBot="1" x14ac:dyDescent="0.3">
      <c r="A23" s="19" t="s">
        <v>124</v>
      </c>
      <c r="B23" s="22">
        <f>'Extrato - serviço'!Y14</f>
        <v>1295.1099999999999</v>
      </c>
      <c r="C23" s="24">
        <f>'Extrato - deslocamento '!K13</f>
        <v>0</v>
      </c>
      <c r="D23" s="23">
        <f>SUM(ConsumoMensal[[#This Row],[Serviço Previsto]:[Deslocamento Previsto]])</f>
        <v>1295.1099999999999</v>
      </c>
      <c r="E23" s="22">
        <f>'Extrato - serviço'!Y32</f>
        <v>3686.56</v>
      </c>
      <c r="F23" s="6">
        <f>'Extrato - deslocamento '!L13</f>
        <v>747.6</v>
      </c>
      <c r="G23" s="25">
        <f>SUM(ConsumoMensal[[#This Row],[Serviço Execuado]:[Deslocamento Executado]])</f>
        <v>4434.16</v>
      </c>
      <c r="H23" s="27">
        <f t="shared" si="0"/>
        <v>20030.670833333334</v>
      </c>
    </row>
  </sheetData>
  <mergeCells count="6">
    <mergeCell ref="A1:E2"/>
    <mergeCell ref="E4:E6"/>
    <mergeCell ref="B10:D10"/>
    <mergeCell ref="E10:G10"/>
    <mergeCell ref="A9:H9"/>
    <mergeCell ref="G1:L2"/>
  </mergeCells>
  <conditionalFormatting sqref="A11">
    <cfRule type="containsBlanks" dxfId="17" priority="3">
      <formula>LEN(TRIM(A11))=0</formula>
    </cfRule>
  </conditionalFormatting>
  <conditionalFormatting sqref="A3:E3 G3:L3">
    <cfRule type="containsBlanks" dxfId="16" priority="4">
      <formula>LEN(TRIM(A3))=0</formula>
    </cfRule>
  </conditionalFormatting>
  <conditionalFormatting sqref="B11:H11">
    <cfRule type="containsBlanks" dxfId="15" priority="2">
      <formula>LEN(TRIM(B11))=0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90B1-0059-4552-80EF-9AE8519988E5}">
  <dimension ref="A1:AA33"/>
  <sheetViews>
    <sheetView workbookViewId="0">
      <selection activeCell="A2" sqref="A2"/>
    </sheetView>
  </sheetViews>
  <sheetFormatPr defaultRowHeight="15" x14ac:dyDescent="0.25"/>
  <cols>
    <col min="1" max="1" width="25.140625" bestFit="1" customWidth="1"/>
    <col min="2" max="2" width="13.5703125" customWidth="1"/>
    <col min="3" max="4" width="14.7109375" customWidth="1"/>
    <col min="5" max="5" width="15.85546875" customWidth="1"/>
    <col min="6" max="6" width="10.85546875" customWidth="1"/>
    <col min="7" max="7" width="23.7109375" customWidth="1"/>
    <col min="8" max="8" width="20.85546875" customWidth="1"/>
    <col min="9" max="9" width="14.7109375" customWidth="1"/>
    <col min="11" max="11" width="12.140625" bestFit="1" customWidth="1"/>
    <col min="12" max="12" width="18" customWidth="1"/>
    <col min="13" max="13" width="13.85546875" customWidth="1"/>
    <col min="14" max="14" width="17.140625" customWidth="1"/>
    <col min="15" max="15" width="19.85546875" customWidth="1"/>
    <col min="16" max="16" width="22.5703125" bestFit="1" customWidth="1"/>
    <col min="17" max="17" width="17.7109375" customWidth="1"/>
    <col min="18" max="18" width="27.42578125" bestFit="1" customWidth="1"/>
    <col min="19" max="19" width="19.28515625" bestFit="1" customWidth="1"/>
    <col min="20" max="20" width="20.28515625" bestFit="1" customWidth="1"/>
    <col min="21" max="21" width="18.140625" bestFit="1" customWidth="1"/>
    <col min="22" max="22" width="24.7109375" bestFit="1" customWidth="1"/>
    <col min="23" max="23" width="16" bestFit="1" customWidth="1"/>
    <col min="24" max="24" width="17.28515625" bestFit="1" customWidth="1"/>
    <col min="25" max="25" width="18.28515625" bestFit="1" customWidth="1"/>
    <col min="27" max="27" width="12.140625" bestFit="1" customWidth="1"/>
  </cols>
  <sheetData>
    <row r="1" spans="1:27" x14ac:dyDescent="0.25">
      <c r="A1" s="32" t="s">
        <v>0</v>
      </c>
      <c r="B1" s="32" t="s">
        <v>21</v>
      </c>
      <c r="C1" s="32" t="s">
        <v>22</v>
      </c>
      <c r="D1" s="32" t="s">
        <v>23</v>
      </c>
      <c r="E1" s="32" t="s">
        <v>24</v>
      </c>
      <c r="F1" s="32" t="s">
        <v>95</v>
      </c>
      <c r="G1" s="32" t="s">
        <v>133</v>
      </c>
      <c r="H1" s="32" t="s">
        <v>96</v>
      </c>
      <c r="I1" s="32" t="s">
        <v>134</v>
      </c>
      <c r="K1" s="94" t="s">
        <v>99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7" x14ac:dyDescent="0.25">
      <c r="A2" s="33" t="s">
        <v>1</v>
      </c>
      <c r="B2" s="34">
        <f>COUNTIF([1]!Controle[Equipamento],Serviços[[#This Row],[Equipamento]])</f>
        <v>16</v>
      </c>
      <c r="C2" s="6">
        <v>173.66</v>
      </c>
      <c r="D2" s="6">
        <v>257.05</v>
      </c>
      <c r="E2" s="6">
        <f t="shared" ref="E2:E14" si="0">C2+D2</f>
        <v>430.71000000000004</v>
      </c>
      <c r="F2" s="34">
        <f>COUNTIFS([1]!Controle[STATUS2],"REALIZADO",[1]!Controle[Equipamento],Serviços[[#This Row],[Equipamento]])</f>
        <v>12</v>
      </c>
      <c r="G2" s="6">
        <f t="shared" ref="G2:G14" si="1">F2*E2</f>
        <v>5168.5200000000004</v>
      </c>
      <c r="H2" s="34">
        <f t="shared" ref="H2:H14" si="2">B2-F2</f>
        <v>4</v>
      </c>
      <c r="I2" s="6">
        <f t="shared" ref="I2:I14" si="3">H2*E2</f>
        <v>1722.8400000000001</v>
      </c>
      <c r="K2" s="28" t="s">
        <v>97</v>
      </c>
      <c r="L2" s="28" t="s">
        <v>1</v>
      </c>
      <c r="M2" s="28" t="s">
        <v>2</v>
      </c>
      <c r="N2" s="28" t="s">
        <v>3</v>
      </c>
      <c r="O2" s="28" t="s">
        <v>155</v>
      </c>
      <c r="P2" s="28" t="s">
        <v>4</v>
      </c>
      <c r="Q2" s="28" t="s">
        <v>6</v>
      </c>
      <c r="R2" s="28" t="s">
        <v>152</v>
      </c>
      <c r="S2" s="28" t="s">
        <v>153</v>
      </c>
      <c r="T2" s="28" t="s">
        <v>7</v>
      </c>
      <c r="U2" s="28" t="s">
        <v>8</v>
      </c>
      <c r="V2" s="28" t="s">
        <v>154</v>
      </c>
      <c r="W2" s="28" t="s">
        <v>9</v>
      </c>
      <c r="X2" s="28" t="s">
        <v>10</v>
      </c>
      <c r="Y2" s="28" t="s">
        <v>98</v>
      </c>
    </row>
    <row r="3" spans="1:27" ht="15" customHeight="1" x14ac:dyDescent="0.25">
      <c r="A3" s="33" t="s">
        <v>2</v>
      </c>
      <c r="B3" s="34">
        <f>COUNTIF([1]!Controle[Equipamento],Serviços[[#This Row],[Equipamento]])</f>
        <v>32</v>
      </c>
      <c r="C3" s="6">
        <v>186.95</v>
      </c>
      <c r="D3" s="6">
        <v>334.16</v>
      </c>
      <c r="E3" s="6">
        <f t="shared" si="0"/>
        <v>521.11</v>
      </c>
      <c r="F3" s="34">
        <f>COUNTIFS([1]!Controle[STATUS2],"REALIZADO",[1]!Controle[Equipamento],Serviços[[#This Row],[Equipamento]])</f>
        <v>22</v>
      </c>
      <c r="G3" s="6">
        <f t="shared" si="1"/>
        <v>11464.42</v>
      </c>
      <c r="H3" s="34">
        <f t="shared" si="2"/>
        <v>10</v>
      </c>
      <c r="I3" s="6">
        <f t="shared" si="3"/>
        <v>5211.1000000000004</v>
      </c>
      <c r="K3" s="37">
        <v>1</v>
      </c>
      <c r="L3" s="38">
        <f>COUNTIFS([1]!Controle[Equipamento],ServiçosPrevistos[[#Headers],[Balança Analítica]],[1]!Controle[Previsto],$K3)*$E$2</f>
        <v>0</v>
      </c>
      <c r="M3" s="38">
        <f>COUNTIFS([1]!Controle[Equipamento],ServiçosPrevistos[[#Headers],[Colorímetro]],[1]!Controle[Previsto],$K3)*$E$3</f>
        <v>521.11</v>
      </c>
      <c r="N3" s="38">
        <f>COUNTIFS([1]!Controle[Equipamento],ServiçosPrevistos[[#Headers],[Condutivímetro]],[1]!Controle[Previsto],$K3)*$E$4</f>
        <v>311.05</v>
      </c>
      <c r="O3" s="38">
        <f>COUNTIFS([1]!Controle[Equipamento],ServiçosPrevistos[[#Headers],[Determinador de Umidade]],[1]!Controle[Previsto],$K3)*$E$5</f>
        <v>0</v>
      </c>
      <c r="P3" s="38">
        <f>COUNTIFS([1]!Controle[Equipamento],ServiçosPrevistos[[#Headers],[Espectrofotômetro]],[1]!Controle[Previsto],$K3)*$E$6</f>
        <v>0</v>
      </c>
      <c r="Q3" s="38">
        <f>COUNTIFS([1]!Controle[Equipamento],ServiçosPrevistos[[#Headers],[Fotômetro]],[1]!Controle[Previsto],$K3)*$E$7</f>
        <v>0</v>
      </c>
      <c r="R3" s="38">
        <f>COUNTIFS([1]!Controle[Equipamento],ServiçosPrevistos[[#Headers],[Medidor de Íon Seletivo]],[1]!Controle[Previsto],$K3)*$E$8</f>
        <v>0</v>
      </c>
      <c r="S3" s="38">
        <f>COUNTIFS([1]!Controle[Equipamento],ServiçosPrevistos[[#Headers],[Medidor de OD]],[1]!Controle[Previsto],$K3)*$E$9</f>
        <v>0</v>
      </c>
      <c r="T3" s="38">
        <f>COUNTIFS([1]!Controle[Equipamento],ServiçosPrevistos[[#Headers],[Multiparâmetro ]],[1]!Controle[Previsto],$K3)*$E$10</f>
        <v>515.61</v>
      </c>
      <c r="U3" s="38">
        <f>COUNTIFS([1]!Controle[Equipamento],ServiçosPrevistos[[#Headers],[pHmetro]],[1]!Controle[Previsto],$K3)*$E$11</f>
        <v>622.1</v>
      </c>
      <c r="V3" s="38">
        <f>COUNTIFS([1]!Controle[Equipamento],ServiçosPrevistos[[#Headers],[pHmetro de Processo]],[1]!Controle[Previsto],$K3)*$E$12</f>
        <v>0</v>
      </c>
      <c r="W3" s="38">
        <f>COUNTIFS([1]!Controle[Equipamento],ServiçosPrevistos[[#Headers],[Reator DQO]],[1]!Controle[Previsto],$K3)*$E$13</f>
        <v>0</v>
      </c>
      <c r="X3" s="38">
        <f>COUNTIFS([1]!Controle[Equipamento],ServiçosPrevistos[[#Headers],[Turbidímetro]],[1]!Controle[Previsto],$K3)*$E$14</f>
        <v>492.03</v>
      </c>
      <c r="Y3" s="38">
        <f>SUM(ServiçosPrevistos[[#This Row],[Balança Analítica]:[Turbidímetro]])</f>
        <v>2461.8999999999996</v>
      </c>
    </row>
    <row r="4" spans="1:27" x14ac:dyDescent="0.25">
      <c r="A4" s="33" t="s">
        <v>3</v>
      </c>
      <c r="B4" s="34">
        <f>COUNTIF([1]!Controle[Equipamento],Serviços[[#This Row],[Equipamento]])</f>
        <v>59</v>
      </c>
      <c r="C4" s="6">
        <v>106.51</v>
      </c>
      <c r="D4" s="6">
        <v>204.54</v>
      </c>
      <c r="E4" s="6">
        <f t="shared" si="0"/>
        <v>311.05</v>
      </c>
      <c r="F4" s="34">
        <f>COUNTIFS([1]!Controle[STATUS2],"REALIZADO",[1]!Controle[Equipamento],Serviços[[#This Row],[Equipamento]])</f>
        <v>45</v>
      </c>
      <c r="G4" s="6">
        <f t="shared" si="1"/>
        <v>13997.25</v>
      </c>
      <c r="H4" s="34">
        <f t="shared" si="2"/>
        <v>14</v>
      </c>
      <c r="I4" s="6">
        <f t="shared" si="3"/>
        <v>4354.7</v>
      </c>
      <c r="K4" s="37">
        <v>2</v>
      </c>
      <c r="L4" s="38">
        <f>COUNTIFS([1]!Controle[Equipamento],ServiçosPrevistos[[#Headers],[Balança Analítica]],[1]!Controle[Previsto],$K4)*$E$2</f>
        <v>0</v>
      </c>
      <c r="M4" s="38">
        <f>COUNTIFS([1]!Controle[Equipamento],ServiçosPrevistos[[#Headers],[Colorímetro]],[1]!Controle[Previsto],$K4)*$E$3</f>
        <v>0</v>
      </c>
      <c r="N4" s="38">
        <f>COUNTIFS([1]!Controle[Equipamento],ServiçosPrevistos[[#Headers],[Condutivímetro]],[1]!Controle[Previsto],$K4)*$E$4</f>
        <v>0</v>
      </c>
      <c r="O4" s="38">
        <f>COUNTIFS([1]!Controle[Equipamento],ServiçosPrevistos[[#Headers],[Determinador de Umidade]],[1]!Controle[Previsto],$K4)*$E$5</f>
        <v>0</v>
      </c>
      <c r="P4" s="38">
        <f>COUNTIFS([1]!Controle[Equipamento],ServiçosPrevistos[[#Headers],[Espectrofotômetro]],[1]!Controle[Previsto],$K4)*$E$6</f>
        <v>0</v>
      </c>
      <c r="Q4" s="38">
        <f>COUNTIFS([1]!Controle[Equipamento],ServiçosPrevistos[[#Headers],[Fotômetro]],[1]!Controle[Previsto],$K4)*$E$7</f>
        <v>0</v>
      </c>
      <c r="R4" s="38">
        <f>COUNTIFS([1]!Controle[Equipamento],ServiçosPrevistos[[#Headers],[Medidor de Íon Seletivo]],[1]!Controle[Previsto],$K4)*$E$8</f>
        <v>0</v>
      </c>
      <c r="S4" s="38">
        <f>COUNTIFS([1]!Controle[Equipamento],ServiçosPrevistos[[#Headers],[Medidor de OD]],[1]!Controle[Previsto],$K4)*$E$9</f>
        <v>0</v>
      </c>
      <c r="T4" s="38">
        <f>COUNTIFS([1]!Controle[Equipamento],ServiçosPrevistos[[#Headers],[Multiparâmetro ]],[1]!Controle[Previsto],$K4)*$E$10</f>
        <v>0</v>
      </c>
      <c r="U4" s="38">
        <f>COUNTIFS([1]!Controle[Equipamento],ServiçosPrevistos[[#Headers],[pHmetro]],[1]!Controle[Previsto],$K4)*$E$11</f>
        <v>0</v>
      </c>
      <c r="V4" s="38">
        <f>COUNTIFS([1]!Controle[Equipamento],ServiçosPrevistos[[#Headers],[pHmetro de Processo]],[1]!Controle[Previsto],$K4)*$E$12</f>
        <v>0</v>
      </c>
      <c r="W4" s="38">
        <f>COUNTIFS([1]!Controle[Equipamento],ServiçosPrevistos[[#Headers],[Reator DQO]],[1]!Controle[Previsto],$K4)*$E$13</f>
        <v>0</v>
      </c>
      <c r="X4" s="38">
        <f>COUNTIFS('[1]Controle de Equipamentos '!$I:$I,$X$2,'[1]Controle de Equipamentos '!$W:$W,$K4)*$E$14</f>
        <v>492.03</v>
      </c>
      <c r="Y4" s="38">
        <f>SUM(ServiçosPrevistos[[#This Row],[Balança Analítica]:[Turbidímetro]])</f>
        <v>492.03</v>
      </c>
    </row>
    <row r="5" spans="1:27" x14ac:dyDescent="0.25">
      <c r="A5" s="33" t="s">
        <v>155</v>
      </c>
      <c r="B5" s="34">
        <f>COUNTIF([1]!Controle[Equipamento],Serviços[[#This Row],[Equipamento]])</f>
        <v>1</v>
      </c>
      <c r="C5" s="6">
        <v>173.66</v>
      </c>
      <c r="D5" s="6">
        <v>257.05</v>
      </c>
      <c r="E5" s="6">
        <f t="shared" si="0"/>
        <v>430.71000000000004</v>
      </c>
      <c r="F5" s="34">
        <f>COUNTIFS([1]!Controle[STATUS2],"REALIZADO",[1]!Controle[Equipamento],Serviços[[#This Row],[Equipamento]])</f>
        <v>1</v>
      </c>
      <c r="G5" s="6">
        <f t="shared" si="1"/>
        <v>430.71000000000004</v>
      </c>
      <c r="H5" s="34">
        <f t="shared" si="2"/>
        <v>0</v>
      </c>
      <c r="I5" s="6">
        <f t="shared" si="3"/>
        <v>0</v>
      </c>
      <c r="K5" s="37">
        <v>3</v>
      </c>
      <c r="L5" s="38">
        <f>COUNTIFS([1]!Controle[Equipamento],ServiçosPrevistos[[#Headers],[Balança Analítica]],[1]!Controle[Previsto],$K5)*$E$2</f>
        <v>430.71000000000004</v>
      </c>
      <c r="M5" s="38">
        <f>COUNTIFS([1]!Controle[Equipamento],ServiçosPrevistos[[#Headers],[Colorímetro]],[1]!Controle[Previsto],$K5)*$E$3</f>
        <v>1563.33</v>
      </c>
      <c r="N5" s="38">
        <f>COUNTIFS([1]!Controle[Equipamento],ServiçosPrevistos[[#Headers],[Condutivímetro]],[1]!Controle[Previsto],$K5)*$E$4</f>
        <v>1555.25</v>
      </c>
      <c r="O5" s="38">
        <f>COUNTIFS([1]!Controle[Equipamento],ServiçosPrevistos[[#Headers],[Determinador de Umidade]],[1]!Controle[Previsto],$K5)*$E$5</f>
        <v>0</v>
      </c>
      <c r="P5" s="38">
        <f>COUNTIFS([1]!Controle[Equipamento],ServiçosPrevistos[[#Headers],[Espectrofotômetro]],[1]!Controle[Previsto],$K5)*$E$6</f>
        <v>2811.57</v>
      </c>
      <c r="Q5" s="38">
        <f>COUNTIFS([1]!Controle[Equipamento],ServiçosPrevistos[[#Headers],[Fotômetro]],[1]!Controle[Previsto],$K5)*$E$7</f>
        <v>965.02</v>
      </c>
      <c r="R5" s="38">
        <f>COUNTIFS([1]!Controle[Equipamento],ServiçosPrevistos[[#Headers],[Medidor de Íon Seletivo]],[1]!Controle[Previsto],$K5)*$E$8</f>
        <v>0</v>
      </c>
      <c r="S5" s="38">
        <f>COUNTIFS([1]!Controle[Equipamento],ServiçosPrevistos[[#Headers],[Medidor de OD]],[1]!Controle[Previsto],$K5)*$E$9</f>
        <v>0</v>
      </c>
      <c r="T5" s="38">
        <f>COUNTIFS([1]!Controle[Equipamento],ServiçosPrevistos[[#Headers],[Multiparâmetro ]],[1]!Controle[Previsto],$K5)*$E$10</f>
        <v>1031.22</v>
      </c>
      <c r="U5" s="38">
        <f>COUNTIFS([1]!Controle[Equipamento],ServiçosPrevistos[[#Headers],[pHmetro]],[1]!Controle[Previsto],$K5)*$E$11</f>
        <v>2177.35</v>
      </c>
      <c r="V5" s="38">
        <f>COUNTIFS([1]!Controle[Equipamento],ServiçosPrevistos[[#Headers],[pHmetro de Processo]],[1]!Controle[Previsto],$K5)*$E$12</f>
        <v>0</v>
      </c>
      <c r="W5" s="38">
        <f>COUNTIFS([1]!Controle[Equipamento],ServiçosPrevistos[[#Headers],[Reator DQO]],[1]!Controle[Previsto],$K5)*$E$13</f>
        <v>0</v>
      </c>
      <c r="X5" s="38">
        <f>COUNTIFS('[1]Controle de Equipamentos '!$I:$I,$X$2,'[1]Controle de Equipamentos '!$W:$W,$K5)*$E$14</f>
        <v>1476.09</v>
      </c>
      <c r="Y5" s="38">
        <f>SUM(ServiçosPrevistos[[#This Row],[Balança Analítica]:[Turbidímetro]])</f>
        <v>12010.54</v>
      </c>
    </row>
    <row r="6" spans="1:27" x14ac:dyDescent="0.25">
      <c r="A6" s="33" t="s">
        <v>4</v>
      </c>
      <c r="B6" s="34">
        <f>COUNTIF([1]!Controle[Equipamento],Serviços[[#This Row],[Equipamento]])</f>
        <v>46</v>
      </c>
      <c r="C6" s="6">
        <v>489.35</v>
      </c>
      <c r="D6" s="6">
        <v>447.84</v>
      </c>
      <c r="E6" s="6">
        <f t="shared" si="0"/>
        <v>937.19</v>
      </c>
      <c r="F6" s="34">
        <f>COUNTIFS([1]!Controle[STATUS2],"REALIZADO",[1]!Controle[Equipamento],Serviços[[#This Row],[Equipamento]])</f>
        <v>35</v>
      </c>
      <c r="G6" s="6">
        <f t="shared" si="1"/>
        <v>32801.65</v>
      </c>
      <c r="H6" s="34">
        <f t="shared" si="2"/>
        <v>11</v>
      </c>
      <c r="I6" s="6">
        <f t="shared" si="3"/>
        <v>10309.09</v>
      </c>
      <c r="K6" s="37">
        <v>4</v>
      </c>
      <c r="L6" s="38">
        <f>COUNTIFS([1]!Controle[Equipamento],ServiçosPrevistos[[#Headers],[Balança Analítica]],[1]!Controle[Previsto],$K6)*$E$2</f>
        <v>430.71000000000004</v>
      </c>
      <c r="M6" s="38">
        <f>COUNTIFS([1]!Controle[Equipamento],ServiçosPrevistos[[#Headers],[Colorímetro]],[1]!Controle[Previsto],$K6)*$E$3</f>
        <v>0</v>
      </c>
      <c r="N6" s="38">
        <f>COUNTIFS([1]!Controle[Equipamento],ServiçosPrevistos[[#Headers],[Condutivímetro]],[1]!Controle[Previsto],$K6)*$E$4</f>
        <v>1555.25</v>
      </c>
      <c r="O6" s="38">
        <f>COUNTIFS([1]!Controle[Equipamento],ServiçosPrevistos[[#Headers],[Determinador de Umidade]],[1]!Controle[Previsto],$K6)*$E$5</f>
        <v>0</v>
      </c>
      <c r="P6" s="38">
        <f>COUNTIFS([1]!Controle[Equipamento],ServiçosPrevistos[[#Headers],[Espectrofotômetro]],[1]!Controle[Previsto],$K6)*$E$6</f>
        <v>1874.38</v>
      </c>
      <c r="Q6" s="38">
        <f>COUNTIFS([1]!Controle[Equipamento],ServiçosPrevistos[[#Headers],[Fotômetro]],[1]!Controle[Previsto],$K6)*$E$7</f>
        <v>0</v>
      </c>
      <c r="R6" s="38">
        <f>COUNTIFS([1]!Controle[Equipamento],ServiçosPrevistos[[#Headers],[Medidor de Íon Seletivo]],[1]!Controle[Previsto],$K6)*$E$8</f>
        <v>0</v>
      </c>
      <c r="S6" s="38">
        <f>COUNTIFS([1]!Controle[Equipamento],ServiçosPrevistos[[#Headers],[Medidor de OD]],[1]!Controle[Previsto],$K6)*$E$9</f>
        <v>0</v>
      </c>
      <c r="T6" s="38">
        <f>COUNTIFS([1]!Controle[Equipamento],ServiçosPrevistos[[#Headers],[Multiparâmetro ]],[1]!Controle[Previsto],$K6)*$E$10</f>
        <v>515.61</v>
      </c>
      <c r="U6" s="38">
        <f>COUNTIFS([1]!Controle[Equipamento],ServiçosPrevistos[[#Headers],[pHmetro]],[1]!Controle[Previsto],$K6)*$E$11</f>
        <v>1244.2</v>
      </c>
      <c r="V6" s="38">
        <f>COUNTIFS([1]!Controle[Equipamento],ServiçosPrevistos[[#Headers],[pHmetro de Processo]],[1]!Controle[Previsto],$K6)*$E$12</f>
        <v>311.05</v>
      </c>
      <c r="W6" s="38">
        <f>COUNTIFS([1]!Controle[Equipamento],ServiçosPrevistos[[#Headers],[Reator DQO]],[1]!Controle[Previsto],$K6)*$E$13</f>
        <v>0</v>
      </c>
      <c r="X6" s="38">
        <f>COUNTIFS('[1]Controle de Equipamentos '!$I:$I,$X$2,'[1]Controle de Equipamentos '!$W:$W,$K6)*$E$14</f>
        <v>984.06</v>
      </c>
      <c r="Y6" s="38">
        <f>SUM(ServiçosPrevistos[[#This Row],[Balança Analítica]:[Turbidímetro]])</f>
        <v>6915.26</v>
      </c>
    </row>
    <row r="7" spans="1:27" x14ac:dyDescent="0.25">
      <c r="A7" s="33" t="s">
        <v>6</v>
      </c>
      <c r="B7" s="34">
        <f>COUNTIF([1]!Controle[Equipamento],Serviços[[#This Row],[Equipamento]])</f>
        <v>14</v>
      </c>
      <c r="C7" s="6">
        <v>173.1</v>
      </c>
      <c r="D7" s="6">
        <v>309.41000000000003</v>
      </c>
      <c r="E7" s="6">
        <f t="shared" si="0"/>
        <v>482.51</v>
      </c>
      <c r="F7" s="34">
        <f>COUNTIFS([1]!Controle[STATUS2],"REALIZADO",[1]!Controle[Equipamento],Serviços[[#This Row],[Equipamento]])</f>
        <v>13</v>
      </c>
      <c r="G7" s="6">
        <f t="shared" si="1"/>
        <v>6272.63</v>
      </c>
      <c r="H7" s="34">
        <f t="shared" si="2"/>
        <v>1</v>
      </c>
      <c r="I7" s="6">
        <f t="shared" si="3"/>
        <v>482.51</v>
      </c>
      <c r="K7" s="37">
        <v>5</v>
      </c>
      <c r="L7" s="38">
        <f>COUNTIFS([1]!Controle[Equipamento],ServiçosPrevistos[[#Headers],[Balança Analítica]],[1]!Controle[Previsto],$K7)*$E$2</f>
        <v>861.42000000000007</v>
      </c>
      <c r="M7" s="38">
        <f>COUNTIFS([1]!Controle[Equipamento],ServiçosPrevistos[[#Headers],[Colorímetro]],[1]!Controle[Previsto],$K7)*$E$3</f>
        <v>1563.33</v>
      </c>
      <c r="N7" s="38">
        <f>COUNTIFS([1]!Controle[Equipamento],ServiçosPrevistos[[#Headers],[Condutivímetro]],[1]!Controle[Previsto],$K7)*$E$4</f>
        <v>2488.4</v>
      </c>
      <c r="O7" s="38">
        <f>COUNTIFS([1]!Controle[Equipamento],ServiçosPrevistos[[#Headers],[Determinador de Umidade]],[1]!Controle[Previsto],$K7)*$E$5</f>
        <v>0</v>
      </c>
      <c r="P7" s="38">
        <f>COUNTIFS([1]!Controle[Equipamento],ServiçosPrevistos[[#Headers],[Espectrofotômetro]],[1]!Controle[Previsto],$K7)*$E$6</f>
        <v>4685.9500000000007</v>
      </c>
      <c r="Q7" s="38">
        <f>COUNTIFS([1]!Controle[Equipamento],ServiçosPrevistos[[#Headers],[Fotômetro]],[1]!Controle[Previsto],$K7)*$E$7</f>
        <v>965.02</v>
      </c>
      <c r="R7" s="38">
        <f>COUNTIFS([1]!Controle[Equipamento],ServiçosPrevistos[[#Headers],[Medidor de Íon Seletivo]],[1]!Controle[Previsto],$K7)*$E$8</f>
        <v>0</v>
      </c>
      <c r="S7" s="38">
        <f>COUNTIFS([1]!Controle[Equipamento],ServiçosPrevistos[[#Headers],[Medidor de OD]],[1]!Controle[Previsto],$K7)*$E$9</f>
        <v>0</v>
      </c>
      <c r="T7" s="38">
        <f>COUNTIFS([1]!Controle[Equipamento],ServiçosPrevistos[[#Headers],[Multiparâmetro ]],[1]!Controle[Previsto],$K7)*$E$10</f>
        <v>1031.22</v>
      </c>
      <c r="U7" s="38">
        <f>COUNTIFS([1]!Controle[Equipamento],ServiçosPrevistos[[#Headers],[pHmetro]],[1]!Controle[Previsto],$K7)*$E$11</f>
        <v>2488.4</v>
      </c>
      <c r="V7" s="38">
        <f>COUNTIFS([1]!Controle[Equipamento],ServiçosPrevistos[[#Headers],[pHmetro de Processo]],[1]!Controle[Previsto],$K7)*$E$12</f>
        <v>0</v>
      </c>
      <c r="W7" s="38">
        <f>COUNTIFS([1]!Controle[Equipamento],ServiçosPrevistos[[#Headers],[Reator DQO]],[1]!Controle[Previsto],$K7)*$E$13</f>
        <v>1006.4000000000001</v>
      </c>
      <c r="X7" s="38">
        <f>COUNTIFS('[1]Controle de Equipamentos '!$I:$I,$X$2,'[1]Controle de Equipamentos '!$W:$W,$K7)*$E$14</f>
        <v>492.03</v>
      </c>
      <c r="Y7" s="38">
        <f>SUM(ServiçosPrevistos[[#This Row],[Balança Analítica]:[Turbidímetro]])</f>
        <v>15582.17</v>
      </c>
    </row>
    <row r="8" spans="1:27" x14ac:dyDescent="0.25">
      <c r="A8" s="33" t="s">
        <v>152</v>
      </c>
      <c r="B8" s="34">
        <f>COUNTIF([1]!Controle[Equipamento],Serviços[[#This Row],[Equipamento]])</f>
        <v>1</v>
      </c>
      <c r="C8" s="6">
        <v>106.51</v>
      </c>
      <c r="D8" s="6">
        <v>409.1</v>
      </c>
      <c r="E8" s="6">
        <f t="shared" si="0"/>
        <v>515.61</v>
      </c>
      <c r="F8" s="34">
        <f>COUNTIFS([1]!Controle[STATUS2],"REALIZADO",[1]!Controle[Equipamento],Serviços[[#This Row],[Equipamento]])</f>
        <v>1</v>
      </c>
      <c r="G8" s="6">
        <f t="shared" si="1"/>
        <v>515.61</v>
      </c>
      <c r="H8" s="34">
        <f t="shared" si="2"/>
        <v>0</v>
      </c>
      <c r="I8" s="6">
        <f t="shared" si="3"/>
        <v>0</v>
      </c>
      <c r="K8" s="37">
        <v>6</v>
      </c>
      <c r="L8" s="38">
        <f>COUNTIFS([1]!Controle[Equipamento],ServiçosPrevistos[[#Headers],[Balança Analítica]],[1]!Controle[Previsto],$K8)*$E$2</f>
        <v>861.42000000000007</v>
      </c>
      <c r="M8" s="38">
        <f>COUNTIFS([1]!Controle[Equipamento],ServiçosPrevistos[[#Headers],[Colorímetro]],[1]!Controle[Previsto],$K8)*$E$3</f>
        <v>2605.5500000000002</v>
      </c>
      <c r="N8" s="38">
        <f>COUNTIFS([1]!Controle[Equipamento],ServiçosPrevistos[[#Headers],[Condutivímetro]],[1]!Controle[Previsto],$K8)*$E$4</f>
        <v>1555.25</v>
      </c>
      <c r="O8" s="38">
        <f>COUNTIFS([1]!Controle[Equipamento],ServiçosPrevistos[[#Headers],[Determinador de Umidade]],[1]!Controle[Previsto],$K8)*$E$5</f>
        <v>430.71000000000004</v>
      </c>
      <c r="P8" s="38">
        <f>COUNTIFS([1]!Controle[Equipamento],ServiçosPrevistos[[#Headers],[Espectrofotômetro]],[1]!Controle[Previsto],$K8)*$E$6</f>
        <v>4685.9500000000007</v>
      </c>
      <c r="Q8" s="38">
        <f>COUNTIFS([1]!Controle[Equipamento],ServiçosPrevistos[[#Headers],[Fotômetro]],[1]!Controle[Previsto],$K8)*$E$7</f>
        <v>0</v>
      </c>
      <c r="R8" s="38">
        <f>COUNTIFS([1]!Controle[Equipamento],ServiçosPrevistos[[#Headers],[Medidor de Íon Seletivo]],[1]!Controle[Previsto],$K8)*$E$8</f>
        <v>0</v>
      </c>
      <c r="S8" s="38">
        <f>COUNTIFS([1]!Controle[Equipamento],ServiçosPrevistos[[#Headers],[Medidor de OD]],[1]!Controle[Previsto],$K8)*$E$9</f>
        <v>0</v>
      </c>
      <c r="T8" s="38">
        <f>COUNTIFS([1]!Controle[Equipamento],ServiçosPrevistos[[#Headers],[Multiparâmetro ]],[1]!Controle[Previsto],$K8)*$E$10</f>
        <v>3609.27</v>
      </c>
      <c r="U8" s="38">
        <f>COUNTIFS([1]!Controle[Equipamento],ServiçosPrevistos[[#Headers],[pHmetro]],[1]!Controle[Previsto],$K8)*$E$11</f>
        <v>2177.35</v>
      </c>
      <c r="V8" s="38">
        <f>COUNTIFS([1]!Controle[Equipamento],ServiçosPrevistos[[#Headers],[pHmetro de Processo]],[1]!Controle[Previsto],$K8)*$E$12</f>
        <v>0</v>
      </c>
      <c r="W8" s="38">
        <f>COUNTIFS([1]!Controle[Equipamento],ServiçosPrevistos[[#Headers],[Reator DQO]],[1]!Controle[Previsto],$K8)*$E$13</f>
        <v>503.20000000000005</v>
      </c>
      <c r="X8" s="38">
        <f>COUNTIFS('[1]Controle de Equipamentos '!$I:$I,$X$2,'[1]Controle de Equipamentos '!$W:$W,$K8)*$E$14</f>
        <v>1968.12</v>
      </c>
      <c r="Y8" s="38">
        <f>SUM(ServiçosPrevistos[[#This Row],[Balança Analítica]:[Turbidímetro]])</f>
        <v>18396.82</v>
      </c>
    </row>
    <row r="9" spans="1:27" x14ac:dyDescent="0.25">
      <c r="A9" s="33" t="s">
        <v>153</v>
      </c>
      <c r="B9" s="34">
        <f>COUNTIF([1]!Controle[Equipamento],Serviços[[#This Row],[Equipamento]])</f>
        <v>1</v>
      </c>
      <c r="C9" s="6">
        <v>106.51</v>
      </c>
      <c r="D9" s="6">
        <v>204.54</v>
      </c>
      <c r="E9" s="6">
        <f t="shared" si="0"/>
        <v>311.05</v>
      </c>
      <c r="F9" s="34">
        <f>COUNTIFS([1]!Controle[STATUS2],"REALIZADO",[1]!Controle[Equipamento],Serviços[[#This Row],[Equipamento]])</f>
        <v>1</v>
      </c>
      <c r="G9" s="6">
        <f t="shared" si="1"/>
        <v>311.05</v>
      </c>
      <c r="H9" s="34">
        <f t="shared" si="2"/>
        <v>0</v>
      </c>
      <c r="I9" s="6">
        <f t="shared" si="3"/>
        <v>0</v>
      </c>
      <c r="K9" s="37">
        <v>7</v>
      </c>
      <c r="L9" s="38">
        <f>COUNTIFS([1]!Controle[Equipamento],ServiçosPrevistos[[#Headers],[Balança Analítica]],[1]!Controle[Previsto],$K9)*$E$2</f>
        <v>1722.8400000000001</v>
      </c>
      <c r="M9" s="38">
        <f>COUNTIFS([1]!Controle[Equipamento],ServiçosPrevistos[[#Headers],[Colorímetro]],[1]!Controle[Previsto],$K9)*$E$3</f>
        <v>2605.5500000000002</v>
      </c>
      <c r="N9" s="38">
        <f>COUNTIFS([1]!Controle[Equipamento],ServiçosPrevistos[[#Headers],[Condutivímetro]],[1]!Controle[Previsto],$K9)*$E$4</f>
        <v>1555.25</v>
      </c>
      <c r="O9" s="38">
        <f>COUNTIFS([1]!Controle[Equipamento],ServiçosPrevistos[[#Headers],[Determinador de Umidade]],[1]!Controle[Previsto],$K9)*$E$5</f>
        <v>0</v>
      </c>
      <c r="P9" s="38">
        <f>COUNTIFS([1]!Controle[Equipamento],ServiçosPrevistos[[#Headers],[Espectrofotômetro]],[1]!Controle[Previsto],$K9)*$E$6</f>
        <v>6560.33</v>
      </c>
      <c r="Q9" s="38">
        <f>COUNTIFS([1]!Controle[Equipamento],ServiçosPrevistos[[#Headers],[Fotômetro]],[1]!Controle[Previsto],$K9)*$E$7</f>
        <v>965.02</v>
      </c>
      <c r="R9" s="38">
        <f>COUNTIFS([1]!Controle[Equipamento],ServiçosPrevistos[[#Headers],[Medidor de Íon Seletivo]],[1]!Controle[Previsto],$K9)*$E$8</f>
        <v>0</v>
      </c>
      <c r="S9" s="38">
        <f>COUNTIFS([1]!Controle[Equipamento],ServiçosPrevistos[[#Headers],[Medidor de OD]],[1]!Controle[Previsto],$K9)*$E$9</f>
        <v>0</v>
      </c>
      <c r="T9" s="38">
        <f>COUNTIFS([1]!Controle[Equipamento],ServiçosPrevistos[[#Headers],[Multiparâmetro ]],[1]!Controle[Previsto],$K9)*$E$10</f>
        <v>4124.88</v>
      </c>
      <c r="U9" s="38">
        <f>COUNTIFS([1]!Controle[Equipamento],ServiçosPrevistos[[#Headers],[pHmetro]],[1]!Controle[Previsto],$K9)*$E$11</f>
        <v>1555.25</v>
      </c>
      <c r="V9" s="38">
        <f>COUNTIFS([1]!Controle[Equipamento],ServiçosPrevistos[[#Headers],[pHmetro de Processo]],[1]!Controle[Previsto],$K9)*$E$12</f>
        <v>0</v>
      </c>
      <c r="W9" s="38">
        <f>COUNTIFS([1]!Controle[Equipamento],ServiçosPrevistos[[#Headers],[Reator DQO]],[1]!Controle[Previsto],$K9)*$E$13</f>
        <v>503.20000000000005</v>
      </c>
      <c r="X9" s="38">
        <f>COUNTIFS('[1]Controle de Equipamentos '!$I:$I,$X$2,'[1]Controle de Equipamentos '!$W:$W,$K9)*$E$14</f>
        <v>1476.09</v>
      </c>
      <c r="Y9" s="38">
        <f>SUM(ServiçosPrevistos[[#This Row],[Balança Analítica]:[Turbidímetro]])</f>
        <v>21068.410000000003</v>
      </c>
    </row>
    <row r="10" spans="1:27" x14ac:dyDescent="0.25">
      <c r="A10" s="33" t="s">
        <v>7</v>
      </c>
      <c r="B10" s="34">
        <f>COUNTIF([1]!Controle[Equipamento],Serviços[[#This Row],[Equipamento]])</f>
        <v>47</v>
      </c>
      <c r="C10" s="6">
        <v>106.51</v>
      </c>
      <c r="D10" s="6">
        <v>409.1</v>
      </c>
      <c r="E10" s="6">
        <f t="shared" si="0"/>
        <v>515.61</v>
      </c>
      <c r="F10" s="34">
        <f>COUNTIFS([1]!Controle[STATUS2],"REALIZADO",[1]!Controle[Equipamento],Serviços[[#This Row],[Equipamento]])</f>
        <v>40</v>
      </c>
      <c r="G10" s="6">
        <f>F10*E10</f>
        <v>20624.400000000001</v>
      </c>
      <c r="H10" s="34">
        <f t="shared" si="2"/>
        <v>7</v>
      </c>
      <c r="I10" s="6">
        <f t="shared" si="3"/>
        <v>3609.27</v>
      </c>
      <c r="K10" s="37">
        <v>8</v>
      </c>
      <c r="L10" s="38">
        <f>COUNTIFS([1]!Controle[Equipamento],ServiçosPrevistos[[#Headers],[Balança Analítica]],[1]!Controle[Previsto],$K10)*$E$2</f>
        <v>430.71000000000004</v>
      </c>
      <c r="M10" s="38">
        <f>COUNTIFS([1]!Controle[Equipamento],ServiçosPrevistos[[#Headers],[Colorímetro]],[1]!Controle[Previsto],$K10)*$E$3</f>
        <v>1563.33</v>
      </c>
      <c r="N10" s="38">
        <f>COUNTIFS([1]!Controle[Equipamento],ServiçosPrevistos[[#Headers],[Condutivímetro]],[1]!Controle[Previsto],$K10)*$E$4</f>
        <v>3732.6000000000004</v>
      </c>
      <c r="O10" s="38">
        <f>COUNTIFS([1]!Controle[Equipamento],ServiçosPrevistos[[#Headers],[Determinador de Umidade]],[1]!Controle[Previsto],$K10)*$E$5</f>
        <v>0</v>
      </c>
      <c r="P10" s="38">
        <f>COUNTIFS([1]!Controle[Equipamento],ServiçosPrevistos[[#Headers],[Espectrofotômetro]],[1]!Controle[Previsto],$K10)*$E$6</f>
        <v>8434.7100000000009</v>
      </c>
      <c r="Q10" s="38">
        <f>COUNTIFS([1]!Controle[Equipamento],ServiçosPrevistos[[#Headers],[Fotômetro]],[1]!Controle[Previsto],$K10)*$E$7</f>
        <v>1447.53</v>
      </c>
      <c r="R10" s="38">
        <f>COUNTIFS([1]!Controle[Equipamento],ServiçosPrevistos[[#Headers],[Medidor de Íon Seletivo]],[1]!Controle[Previsto],$K10)*$E$8</f>
        <v>0</v>
      </c>
      <c r="S10" s="38">
        <f>COUNTIFS([1]!Controle[Equipamento],ServiçosPrevistos[[#Headers],[Medidor de OD]],[1]!Controle[Previsto],$K10)*$E$9</f>
        <v>0</v>
      </c>
      <c r="T10" s="38">
        <f>COUNTIFS([1]!Controle[Equipamento],ServiçosPrevistos[[#Headers],[Multiparâmetro ]],[1]!Controle[Previsto],$K10)*$E$10</f>
        <v>5156.1000000000004</v>
      </c>
      <c r="U10" s="38">
        <f>COUNTIFS([1]!Controle[Equipamento],ServiçosPrevistos[[#Headers],[pHmetro]],[1]!Controle[Previsto],$K10)*$E$11</f>
        <v>4354.7</v>
      </c>
      <c r="V10" s="38">
        <f>COUNTIFS([1]!Controle[Equipamento],ServiçosPrevistos[[#Headers],[pHmetro de Processo]],[1]!Controle[Previsto],$K10)*$E$12</f>
        <v>311.05</v>
      </c>
      <c r="W10" s="38">
        <f>COUNTIFS([1]!Controle[Equipamento],ServiçosPrevistos[[#Headers],[Reator DQO]],[1]!Controle[Previsto],$K10)*$E$13</f>
        <v>503.20000000000005</v>
      </c>
      <c r="X10" s="38">
        <f>COUNTIFS('[1]Controle de Equipamentos '!$I:$I,$X$2,'[1]Controle de Equipamentos '!$W:$W,$K10)*$E$14</f>
        <v>2952.18</v>
      </c>
      <c r="Y10" s="38">
        <f>SUM(ServiçosPrevistos[[#This Row],[Balança Analítica]:[Turbidímetro]])</f>
        <v>28886.110000000004</v>
      </c>
    </row>
    <row r="11" spans="1:27" x14ac:dyDescent="0.25">
      <c r="A11" s="33" t="s">
        <v>8</v>
      </c>
      <c r="B11" s="34">
        <f>COUNTIF([1]!Controle[Equipamento],Serviços[[#This Row],[Equipamento]])</f>
        <v>71</v>
      </c>
      <c r="C11" s="6">
        <v>106.51</v>
      </c>
      <c r="D11" s="6">
        <v>204.54</v>
      </c>
      <c r="E11" s="6">
        <f t="shared" si="0"/>
        <v>311.05</v>
      </c>
      <c r="F11" s="34">
        <f>COUNTIFS([1]!Controle[STATUS2],"REALIZADO",[1]!Controle[Equipamento],Serviços[[#This Row],[Equipamento]])</f>
        <v>56</v>
      </c>
      <c r="G11" s="6">
        <f t="shared" si="1"/>
        <v>17418.8</v>
      </c>
      <c r="H11" s="34">
        <f t="shared" si="2"/>
        <v>15</v>
      </c>
      <c r="I11" s="6">
        <f t="shared" si="3"/>
        <v>4665.75</v>
      </c>
      <c r="K11" s="37">
        <v>9</v>
      </c>
      <c r="L11" s="38">
        <f>COUNTIFS([1]!Controle[Equipamento],ServiçosPrevistos[[#Headers],[Balança Analítica]],[1]!Controle[Previsto],$K11)*$E$2</f>
        <v>430.71000000000004</v>
      </c>
      <c r="M11" s="38">
        <f>COUNTIFS([1]!Controle[Equipamento],ServiçosPrevistos[[#Headers],[Colorímetro]],[1]!Controle[Previsto],$K11)*$E$3</f>
        <v>3647.77</v>
      </c>
      <c r="N11" s="38">
        <f>COUNTIFS([1]!Controle[Equipamento],ServiçosPrevistos[[#Headers],[Condutivímetro]],[1]!Controle[Previsto],$K11)*$E$4</f>
        <v>2799.4500000000003</v>
      </c>
      <c r="O11" s="38">
        <f>COUNTIFS([1]!Controle[Equipamento],ServiçosPrevistos[[#Headers],[Determinador de Umidade]],[1]!Controle[Previsto],$K11)*$E$5</f>
        <v>0</v>
      </c>
      <c r="P11" s="38">
        <f>COUNTIFS([1]!Controle[Equipamento],ServiçosPrevistos[[#Headers],[Espectrofotômetro]],[1]!Controle[Previsto],$K11)*$E$6</f>
        <v>6560.33</v>
      </c>
      <c r="Q11" s="38">
        <f>COUNTIFS([1]!Controle[Equipamento],ServiçosPrevistos[[#Headers],[Fotômetro]],[1]!Controle[Previsto],$K11)*$E$7</f>
        <v>1447.53</v>
      </c>
      <c r="R11" s="38">
        <f>COUNTIFS([1]!Controle[Equipamento],ServiçosPrevistos[[#Headers],[Medidor de Íon Seletivo]],[1]!Controle[Previsto],$K11)*$E$8</f>
        <v>0</v>
      </c>
      <c r="S11" s="38">
        <f>COUNTIFS([1]!Controle[Equipamento],ServiçosPrevistos[[#Headers],[Medidor de OD]],[1]!Controle[Previsto],$K11)*$E$9</f>
        <v>0</v>
      </c>
      <c r="T11" s="38">
        <f>COUNTIFS([1]!Controle[Equipamento],ServiçosPrevistos[[#Headers],[Multiparâmetro ]],[1]!Controle[Previsto],$K11)*$E$10</f>
        <v>3609.27</v>
      </c>
      <c r="U11" s="38">
        <f>COUNTIFS([1]!Controle[Equipamento],ServiçosPrevistos[[#Headers],[pHmetro]],[1]!Controle[Previsto],$K11)*$E$11</f>
        <v>3110.5</v>
      </c>
      <c r="V11" s="38">
        <f>COUNTIFS([1]!Controle[Equipamento],ServiçosPrevistos[[#Headers],[pHmetro de Processo]],[1]!Controle[Previsto],$K11)*$E$12</f>
        <v>0</v>
      </c>
      <c r="W11" s="38">
        <f>COUNTIFS([1]!Controle[Equipamento],ServiçosPrevistos[[#Headers],[Reator DQO]],[1]!Controle[Previsto],$K11)*$E$13</f>
        <v>503.20000000000005</v>
      </c>
      <c r="X11" s="38">
        <f>COUNTIFS('[1]Controle de Equipamentos '!$I:$I,$X$2,'[1]Controle de Equipamentos '!$W:$W,$K11)*$E$14</f>
        <v>5412.33</v>
      </c>
      <c r="Y11" s="38">
        <f>SUM(ServiçosPrevistos[[#This Row],[Balança Analítica]:[Turbidímetro]])</f>
        <v>27521.090000000004</v>
      </c>
    </row>
    <row r="12" spans="1:27" x14ac:dyDescent="0.25">
      <c r="A12" s="33" t="s">
        <v>154</v>
      </c>
      <c r="B12" s="34">
        <f>COUNTIF([1]!Controle[Equipamento],Serviços[[#This Row],[Equipamento]])</f>
        <v>5</v>
      </c>
      <c r="C12" s="6">
        <v>106.51</v>
      </c>
      <c r="D12" s="6">
        <v>204.54</v>
      </c>
      <c r="E12" s="6">
        <f t="shared" si="0"/>
        <v>311.05</v>
      </c>
      <c r="F12" s="34">
        <f>COUNTIFS([1]!Controle[STATUS2],"REALIZADO",[1]!Controle[Equipamento],Serviços[[#This Row],[Equipamento]])</f>
        <v>5</v>
      </c>
      <c r="G12" s="6">
        <f t="shared" si="1"/>
        <v>1555.25</v>
      </c>
      <c r="H12" s="34">
        <f t="shared" si="2"/>
        <v>0</v>
      </c>
      <c r="I12" s="6">
        <f t="shared" si="3"/>
        <v>0</v>
      </c>
      <c r="K12" s="37">
        <v>10</v>
      </c>
      <c r="L12" s="38">
        <f>COUNTIFS([1]!Controle[Equipamento],ServiçosPrevistos[[#Headers],[Balança Analítica]],[1]!Controle[Previsto],$K12)*$E$2</f>
        <v>430.71000000000004</v>
      </c>
      <c r="M12" s="38">
        <f>COUNTIFS([1]!Controle[Equipamento],ServiçosPrevistos[[#Headers],[Colorímetro]],[1]!Controle[Previsto],$K12)*$E$3</f>
        <v>0</v>
      </c>
      <c r="N12" s="38">
        <f>COUNTIFS([1]!Controle[Equipamento],ServiçosPrevistos[[#Headers],[Condutivímetro]],[1]!Controle[Previsto],$K12)*$E$4</f>
        <v>0</v>
      </c>
      <c r="O12" s="38">
        <f>COUNTIFS([1]!Controle[Equipamento],ServiçosPrevistos[[#Headers],[Determinador de Umidade]],[1]!Controle[Previsto],$K12)*$E$5</f>
        <v>0</v>
      </c>
      <c r="P12" s="38">
        <f>COUNTIFS([1]!Controle[Equipamento],ServiçosPrevistos[[#Headers],[Espectrofotômetro]],[1]!Controle[Previsto],$K12)*$E$6</f>
        <v>937.19</v>
      </c>
      <c r="Q12" s="38">
        <f>COUNTIFS([1]!Controle[Equipamento],ServiçosPrevistos[[#Headers],[Fotômetro]],[1]!Controle[Previsto],$K12)*$E$7</f>
        <v>0</v>
      </c>
      <c r="R12" s="38">
        <f>COUNTIFS([1]!Controle[Equipamento],ServiçosPrevistos[[#Headers],[Medidor de Íon Seletivo]],[1]!Controle[Previsto],$K12)*$E$8</f>
        <v>0</v>
      </c>
      <c r="S12" s="38">
        <f>COUNTIFS([1]!Controle[Equipamento],ServiçosPrevistos[[#Headers],[Medidor de OD]],[1]!Controle[Previsto],$K12)*$E$9</f>
        <v>0</v>
      </c>
      <c r="T12" s="38">
        <f>COUNTIFS([1]!Controle[Equipamento],ServiçosPrevistos[[#Headers],[Multiparâmetro ]],[1]!Controle[Previsto],$K12)*$E$10</f>
        <v>515.61</v>
      </c>
      <c r="U12" s="38">
        <f>COUNTIFS([1]!Controle[Equipamento],ServiçosPrevistos[[#Headers],[pHmetro]],[1]!Controle[Previsto],$K12)*$E$11</f>
        <v>622.1</v>
      </c>
      <c r="V12" s="38">
        <f>COUNTIFS([1]!Controle[Equipamento],ServiçosPrevistos[[#Headers],[pHmetro de Processo]],[1]!Controle[Previsto],$K12)*$E$12</f>
        <v>0</v>
      </c>
      <c r="W12" s="38">
        <f>COUNTIFS([1]!Controle[Equipamento],ServiçosPrevistos[[#Headers],[Reator DQO]],[1]!Controle[Previsto],$K12)*$E$13</f>
        <v>0</v>
      </c>
      <c r="X12" s="38">
        <f>COUNTIFS('[1]Controle de Equipamentos '!$I:$I,$X$2,'[1]Controle de Equipamentos '!$W:$W,$K12)*$E$14</f>
        <v>492.03</v>
      </c>
      <c r="Y12" s="38">
        <f>SUM(ServiçosPrevistos[[#This Row],[Balança Analítica]:[Turbidímetro]])</f>
        <v>2997.6400000000003</v>
      </c>
    </row>
    <row r="13" spans="1:27" x14ac:dyDescent="0.25">
      <c r="A13" s="33" t="s">
        <v>9</v>
      </c>
      <c r="B13" s="34">
        <f>COUNTIF([1]!Controle[Equipamento],Serviços[[#This Row],[Equipamento]])</f>
        <v>7</v>
      </c>
      <c r="C13" s="6">
        <v>208.08</v>
      </c>
      <c r="D13" s="6">
        <v>295.12</v>
      </c>
      <c r="E13" s="6">
        <f t="shared" si="0"/>
        <v>503.20000000000005</v>
      </c>
      <c r="F13" s="34">
        <f>COUNTIFS([1]!Controle[STATUS2],"REALIZADO",[1]!Controle[Equipamento],Serviços[[#This Row],[Equipamento]])</f>
        <v>7</v>
      </c>
      <c r="G13" s="6">
        <f t="shared" si="1"/>
        <v>3522.4000000000005</v>
      </c>
      <c r="H13" s="34">
        <f t="shared" si="2"/>
        <v>0</v>
      </c>
      <c r="I13" s="6">
        <f t="shared" si="3"/>
        <v>0</v>
      </c>
      <c r="K13" s="37">
        <v>11</v>
      </c>
      <c r="L13" s="38">
        <f>COUNTIFS([1]!Controle[Equipamento],ServiçosPrevistos[[#Headers],[Balança Analítica]],[1]!Controle[Previsto],$K13)*$E$2</f>
        <v>861.42000000000007</v>
      </c>
      <c r="M13" s="38">
        <f>COUNTIFS([1]!Controle[Equipamento],ServiçosPrevistos[[#Headers],[Colorímetro]],[1]!Controle[Previsto],$K13)*$E$3</f>
        <v>1042.22</v>
      </c>
      <c r="N13" s="38">
        <f>COUNTIFS([1]!Controle[Equipamento],ServiçosPrevistos[[#Headers],[Condutivímetro]],[1]!Controle[Previsto],$K13)*$E$4</f>
        <v>311.05</v>
      </c>
      <c r="O13" s="38">
        <f>COUNTIFS([1]!Controle[Equipamento],ServiçosPrevistos[[#Headers],[Determinador de Umidade]],[1]!Controle[Previsto],$K13)*$E$5</f>
        <v>0</v>
      </c>
      <c r="P13" s="38">
        <f>COUNTIFS([1]!Controle[Equipamento],ServiçosPrevistos[[#Headers],[Espectrofotômetro]],[1]!Controle[Previsto],$K13)*$E$6</f>
        <v>937.19</v>
      </c>
      <c r="Q13" s="38">
        <f>COUNTIFS([1]!Controle[Equipamento],ServiçosPrevistos[[#Headers],[Fotômetro]],[1]!Controle[Previsto],$K13)*$E$7</f>
        <v>0</v>
      </c>
      <c r="R13" s="38">
        <f>COUNTIFS([1]!Controle[Equipamento],ServiçosPrevistos[[#Headers],[Medidor de Íon Seletivo]],[1]!Controle[Previsto],$K13)*$E$8</f>
        <v>0</v>
      </c>
      <c r="S13" s="38">
        <f>COUNTIFS([1]!Controle[Equipamento],ServiçosPrevistos[[#Headers],[Medidor de OD]],[1]!Controle[Previsto],$K13)*$E$9</f>
        <v>0</v>
      </c>
      <c r="T13" s="38">
        <f>COUNTIFS([1]!Controle[Equipamento],ServiçosPrevistos[[#Headers],[Multiparâmetro ]],[1]!Controle[Previsto],$K13)*$E$10</f>
        <v>0</v>
      </c>
      <c r="U13" s="38">
        <f>COUNTIFS([1]!Controle[Equipamento],ServiçosPrevistos[[#Headers],[pHmetro]],[1]!Controle[Previsto],$K13)*$E$11</f>
        <v>933.15000000000009</v>
      </c>
      <c r="V13" s="38">
        <f>COUNTIFS([1]!Controle[Equipamento],ServiçosPrevistos[[#Headers],[pHmetro de Processo]],[1]!Controle[Previsto],$K13)*$E$12</f>
        <v>0</v>
      </c>
      <c r="W13" s="38">
        <f>COUNTIFS([1]!Controle[Equipamento],ServiçosPrevistos[[#Headers],[Reator DQO]],[1]!Controle[Previsto],$K13)*$E$13</f>
        <v>0</v>
      </c>
      <c r="X13" s="38">
        <f>COUNTIFS('[1]Controle de Equipamentos '!$I:$I,$X$2,'[1]Controle de Equipamentos '!$W:$W,$K13)*$E$14</f>
        <v>492.03</v>
      </c>
      <c r="Y13" s="38">
        <f>SUM(ServiçosPrevistos[[#This Row],[Balança Analítica]:[Turbidímetro]])</f>
        <v>4577.0600000000004</v>
      </c>
    </row>
    <row r="14" spans="1:27" x14ac:dyDescent="0.25">
      <c r="A14" s="33" t="s">
        <v>10</v>
      </c>
      <c r="B14" s="34">
        <f>COUNTIF([1]!Controle[Equipamento],Serviços[[#This Row],[Equipamento]])</f>
        <v>35</v>
      </c>
      <c r="C14" s="6">
        <v>248.52</v>
      </c>
      <c r="D14" s="6">
        <v>243.51</v>
      </c>
      <c r="E14" s="6">
        <f t="shared" si="0"/>
        <v>492.03</v>
      </c>
      <c r="F14" s="34">
        <f>COUNTIFS([1]!Controle[STATUS2],"REALIZADO",[1]!Controle[Equipamento],Serviços[[#This Row],[Equipamento]])</f>
        <v>28</v>
      </c>
      <c r="G14" s="6">
        <f t="shared" si="1"/>
        <v>13776.84</v>
      </c>
      <c r="H14" s="34">
        <f t="shared" si="2"/>
        <v>7</v>
      </c>
      <c r="I14" s="6">
        <f t="shared" si="3"/>
        <v>3444.21</v>
      </c>
      <c r="K14" s="37">
        <v>12</v>
      </c>
      <c r="L14" s="38">
        <f>COUNTIFS([1]!Controle[Equipamento],ServiçosPrevistos[[#Headers],[Balança Analítica]],[1]!Controle[Previsto],$K14)*$E$2</f>
        <v>0</v>
      </c>
      <c r="M14" s="38">
        <f>COUNTIFS([1]!Controle[Equipamento],ServiçosPrevistos[[#Headers],[Colorímetro]],[1]!Controle[Previsto],$K14)*$E$3</f>
        <v>0</v>
      </c>
      <c r="N14" s="38">
        <f>COUNTIFS([1]!Controle[Equipamento],ServiçosPrevistos[[#Headers],[Condutivímetro]],[1]!Controle[Previsto],$K14)*$E$4</f>
        <v>311.05</v>
      </c>
      <c r="O14" s="38">
        <f>COUNTIFS([1]!Controle[Equipamento],ServiçosPrevistos[[#Headers],[Determinador de Umidade]],[1]!Controle[Previsto],$K14)*$E$5</f>
        <v>0</v>
      </c>
      <c r="P14" s="38">
        <f>COUNTIFS([1]!Controle[Equipamento],ServiçosPrevistos[[#Headers],[Espectrofotômetro]],[1]!Controle[Previsto],$K14)*$E$6</f>
        <v>0</v>
      </c>
      <c r="Q14" s="38">
        <f>COUNTIFS([1]!Controle[Equipamento],ServiçosPrevistos[[#Headers],[Fotômetro]],[1]!Controle[Previsto],$K14)*$E$7</f>
        <v>0</v>
      </c>
      <c r="R14" s="38">
        <f>COUNTIFS([1]!Controle[Equipamento],ServiçosPrevistos[[#Headers],[Medidor de Íon Seletivo]],[1]!Controle[Previsto],$K14)*$E$8</f>
        <v>0</v>
      </c>
      <c r="S14" s="38">
        <f>COUNTIFS([1]!Controle[Equipamento],ServiçosPrevistos[[#Headers],[Medidor de OD]],[1]!Controle[Previsto],$K14)*$E$9</f>
        <v>0</v>
      </c>
      <c r="T14" s="38">
        <f>COUNTIFS([1]!Controle[Equipamento],ServiçosPrevistos[[#Headers],[Multiparâmetro ]],[1]!Controle[Previsto],$K14)*$E$10</f>
        <v>0</v>
      </c>
      <c r="U14" s="38">
        <f>COUNTIFS([1]!Controle[Equipamento],ServiçosPrevistos[[#Headers],[pHmetro]],[1]!Controle[Previsto],$K14)*$E$11</f>
        <v>0</v>
      </c>
      <c r="V14" s="38">
        <f>COUNTIFS([1]!Controle[Equipamento],ServiçosPrevistos[[#Headers],[pHmetro de Processo]],[1]!Controle[Previsto],$K14)*$E$12</f>
        <v>0</v>
      </c>
      <c r="W14" s="38">
        <f>COUNTIFS([1]!Controle[Equipamento],ServiçosPrevistos[[#Headers],[Reator DQO]],[1]!Controle[Previsto],$K14)*$E$13</f>
        <v>0</v>
      </c>
      <c r="X14" s="38">
        <f>COUNTIFS('[1]Controle de Equipamentos '!$I:$I,$X$2,'[1]Controle de Equipamentos '!$W:$W,$K14)*$E$14</f>
        <v>984.06</v>
      </c>
      <c r="Y14" s="38">
        <f>SUM(ServiçosPrevistos[[#This Row],[Balança Analítica]:[Turbidímetro]])</f>
        <v>1295.1099999999999</v>
      </c>
      <c r="AA14" s="77"/>
    </row>
    <row r="15" spans="1:27" x14ac:dyDescent="0.25">
      <c r="A15" s="36" t="s">
        <v>11</v>
      </c>
      <c r="B15" s="21"/>
      <c r="C15" s="21"/>
      <c r="D15" s="21"/>
      <c r="E15" s="14"/>
      <c r="F15" s="3">
        <f>SUBTOTAL(109,Serviços[Qtd. Realizado ])</f>
        <v>266</v>
      </c>
      <c r="G15" s="35">
        <f>SUBTOTAL(109,Serviços[Valor Executado])</f>
        <v>127859.53000000001</v>
      </c>
      <c r="H15" s="3">
        <f>SUBTOTAL(109,Serviços[Qtd. a realizar ])</f>
        <v>69</v>
      </c>
      <c r="I15" s="35">
        <f>SUBTOTAL(109,Serviços[Valor a executar])</f>
        <v>33799.47</v>
      </c>
      <c r="K15" s="76" t="s">
        <v>11</v>
      </c>
      <c r="L15" s="5">
        <f>SUBTOTAL(109,ServiçosPrevistos[Balança Analítica])</f>
        <v>6460.6500000000005</v>
      </c>
      <c r="M15" s="5">
        <f>SUBTOTAL(109,ServiçosPrevistos[Colorímetro])</f>
        <v>15112.189999999999</v>
      </c>
      <c r="N15" s="5">
        <f>SUBTOTAL(109,ServiçosPrevistos[Condutivímetro])</f>
        <v>16174.6</v>
      </c>
      <c r="O15" s="5">
        <f>SUBTOTAL(109,ServiçosPrevistos[Determinador de Umidade])</f>
        <v>430.71000000000004</v>
      </c>
      <c r="P15" s="5">
        <f>SUBTOTAL(109,ServiçosPrevistos[Espectrofotômetro])</f>
        <v>37487.600000000006</v>
      </c>
      <c r="Q15" s="5">
        <f>SUBTOTAL(109,ServiçosPrevistos[Fotômetro])</f>
        <v>5790.12</v>
      </c>
      <c r="R15" s="5">
        <f>SUBTOTAL(109,ServiçosPrevistos[Medidor de Íon Seletivo])</f>
        <v>0</v>
      </c>
      <c r="S15" s="5">
        <f>SUBTOTAL(109,ServiçosPrevistos[Medidor de OD])</f>
        <v>0</v>
      </c>
      <c r="T15" s="5">
        <f>SUBTOTAL(109,ServiçosPrevistos[[Multiparâmetro ]])</f>
        <v>20108.79</v>
      </c>
      <c r="U15" s="5">
        <f>SUBTOTAL(109,ServiçosPrevistos[pHmetro])</f>
        <v>19285.099999999999</v>
      </c>
      <c r="V15" s="5">
        <f>SUBTOTAL(109,ServiçosPrevistos[pHmetro de Processo])</f>
        <v>622.1</v>
      </c>
      <c r="W15" s="5">
        <f>SUBTOTAL(109,ServiçosPrevistos[Reator DQO])</f>
        <v>3019.2</v>
      </c>
      <c r="X15" s="5">
        <f>SUBTOTAL(109,ServiçosPrevistos[Turbidímetro])</f>
        <v>17713.080000000002</v>
      </c>
      <c r="Y15" s="5"/>
    </row>
    <row r="16" spans="1:27" x14ac:dyDescent="0.25">
      <c r="K16" s="74"/>
      <c r="L16" s="75"/>
      <c r="M16" s="75"/>
      <c r="N16" s="75"/>
      <c r="O16" s="75"/>
      <c r="P16" s="75"/>
      <c r="Q16" s="75"/>
      <c r="R16" s="75"/>
      <c r="S16" s="75"/>
      <c r="T16" s="75"/>
      <c r="U16" s="75"/>
    </row>
    <row r="17" spans="1:25" x14ac:dyDescent="0.25">
      <c r="K17" s="74"/>
      <c r="L17" s="75"/>
      <c r="M17" s="75"/>
      <c r="N17" s="75"/>
      <c r="O17" s="75"/>
      <c r="P17" s="75"/>
      <c r="Q17" s="75"/>
      <c r="R17" s="75"/>
      <c r="S17" s="75"/>
      <c r="T17" s="75"/>
      <c r="U17" s="75"/>
    </row>
    <row r="18" spans="1:25" ht="15" customHeight="1" x14ac:dyDescent="0.25">
      <c r="K18" s="92" t="s">
        <v>100</v>
      </c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</row>
    <row r="19" spans="1:25" x14ac:dyDescent="0.25">
      <c r="K19" s="92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</row>
    <row r="20" spans="1:25" x14ac:dyDescent="0.25">
      <c r="A20" s="96" t="s">
        <v>27</v>
      </c>
      <c r="B20" s="96"/>
      <c r="C20" s="96"/>
      <c r="D20" s="96"/>
      <c r="E20" s="96"/>
      <c r="F20" s="96"/>
      <c r="G20" s="96"/>
      <c r="H20" s="96"/>
      <c r="I20" s="82"/>
      <c r="K20" s="39" t="s">
        <v>97</v>
      </c>
      <c r="L20" s="28" t="s">
        <v>1</v>
      </c>
      <c r="M20" s="28" t="s">
        <v>2</v>
      </c>
      <c r="N20" s="28" t="s">
        <v>3</v>
      </c>
      <c r="O20" s="28" t="s">
        <v>155</v>
      </c>
      <c r="P20" s="28" t="s">
        <v>4</v>
      </c>
      <c r="Q20" s="28" t="s">
        <v>6</v>
      </c>
      <c r="R20" s="28" t="s">
        <v>152</v>
      </c>
      <c r="S20" s="28" t="s">
        <v>153</v>
      </c>
      <c r="T20" s="28" t="s">
        <v>7</v>
      </c>
      <c r="U20" s="28" t="s">
        <v>8</v>
      </c>
      <c r="V20" s="28" t="s">
        <v>154</v>
      </c>
      <c r="W20" s="28" t="s">
        <v>9</v>
      </c>
      <c r="X20" s="28" t="s">
        <v>10</v>
      </c>
      <c r="Y20" s="81" t="s">
        <v>98</v>
      </c>
    </row>
    <row r="21" spans="1:25" x14ac:dyDescent="0.25">
      <c r="A21" s="30" t="s">
        <v>156</v>
      </c>
      <c r="B21" s="30" t="s">
        <v>159</v>
      </c>
      <c r="C21" s="30" t="s">
        <v>160</v>
      </c>
      <c r="D21" s="30" t="s">
        <v>163</v>
      </c>
      <c r="E21" s="30" t="s">
        <v>145</v>
      </c>
      <c r="F21" s="30" t="s">
        <v>24</v>
      </c>
      <c r="G21" s="30" t="s">
        <v>164</v>
      </c>
      <c r="H21" s="30" t="s">
        <v>165</v>
      </c>
      <c r="K21" s="37">
        <v>1</v>
      </c>
      <c r="L21" s="38">
        <f>COUNTIFS([1]!Controle[Equipamento],ServiçosExecutados[[#Headers],[Balança Analítica]],[1]!Controle[Executado],$K21,[1]!Controle[STATUS2],"REALIZADO")*$E$2</f>
        <v>0</v>
      </c>
      <c r="M21" s="38">
        <f>COUNTIFS([1]!Controle[Equipamento],ServiçosExecutados[[#Headers],[Colorímetro]],[1]!Controle[Executado],$K21,[1]!Controle[STATUS2],"REALIZADO")*$E$3</f>
        <v>0</v>
      </c>
      <c r="N21" s="38">
        <f>COUNTIFS([1]!Controle[Equipamento],ServiçosExecutados[[#Headers],[Condutivímetro]],[1]!Controle[Executado],$K21,[1]!Controle[STATUS2],"REALIZADO")*$E$4</f>
        <v>0</v>
      </c>
      <c r="O21" s="38">
        <f>COUNTIFS([1]!Controle[Equipamento],ServiçosExecutados[[#Headers],[Determinador de Umidade]],[1]!Controle[Executado],$K21,[1]!Controle[STATUS2],"REALIZADO")*$E$5</f>
        <v>0</v>
      </c>
      <c r="P21" s="38">
        <f>COUNTIFS([1]!Controle[Equipamento],ServiçosExecutados[[#Headers],[Espectrofotômetro]],[1]!Controle[Executado],$K21,[1]!Controle[STATUS2],"REALIZADO")*$E$6</f>
        <v>0</v>
      </c>
      <c r="Q21" s="38">
        <f>COUNTIFS([1]!Controle[Equipamento],ServiçosExecutados[[#Headers],[Fotômetro]],[1]!Controle[Executado],$K21,[1]!Controle[STATUS2],"REALIZADO")*$E$7</f>
        <v>0</v>
      </c>
      <c r="R21" s="38">
        <f>COUNTIFS([1]!Controle[Equipamento],ServiçosExecutados[[#Headers],[Medidor de Íon Seletivo]],[1]!Controle[Executado],$K21,[1]!Controle[STATUS2],"REALIZADO")*$E$8</f>
        <v>0</v>
      </c>
      <c r="S21" s="38">
        <f>COUNTIFS([1]!Controle[Equipamento],ServiçosExecutados[[#Headers],[Medidor de OD]],[1]!Controle[Executado],$K21,[1]!Controle[STATUS2],"REALIZADO")*$E$9</f>
        <v>0</v>
      </c>
      <c r="T21" s="38">
        <f>COUNTIFS([1]!Controle[Equipamento],ServiçosExecutados[[#Headers],[Multiparâmetro ]],[1]!Controle[Executado],$K21,[1]!Controle[STATUS2],"REALIZADO")*$E$10</f>
        <v>0</v>
      </c>
      <c r="U21" s="38">
        <f>COUNTIFS([1]!Controle[Equipamento],ServiçosExecutados[[#Headers],[pHmetro]],[1]!Controle[Executado],$K21,[1]!Controle[STATUS2],"REALIZADO")*$E$11</f>
        <v>0</v>
      </c>
      <c r="V21" s="80">
        <f>COUNTIFS([1]!Controle[Equipamento],ServiçosExecutados[[#Headers],[pHmetro de Processo]],[1]!Controle[Executado],$K21,[1]!Controle[STATUS2],"REALIZADO")*$E$12</f>
        <v>0</v>
      </c>
      <c r="W21" s="80">
        <f>COUNTIFS([1]!Controle[Equipamento],ServiçosExecutados[[#Headers],[Reator DQO]],[1]!Controle[Executado],$K21,[1]!Controle[STATUS2],"REALIZADO")*$E$13</f>
        <v>0</v>
      </c>
      <c r="X21" s="80">
        <f>COUNTIFS([1]!Controle[Equipamento],ServiçosExecutados[[#Headers],[Turbidímetro]],[1]!Controle[Executado],$K21,[1]!Controle[STATUS2],"REALIZADO")*$E$14</f>
        <v>0</v>
      </c>
      <c r="Y21" s="80">
        <f>SUM(ServiçosExecutados[[#This Row],[Balança Analítica]:[Turbidímetro]])</f>
        <v>0</v>
      </c>
    </row>
    <row r="22" spans="1:25" x14ac:dyDescent="0.25">
      <c r="A22" s="31" t="s">
        <v>157</v>
      </c>
      <c r="B22" s="31" t="str">
        <f>VLOOKUP(Tabela13[[#This Row],[Ref. ER]],Tabela11[[#All],[Ref. ER]:[Total]],2,0)</f>
        <v>Via Parque</v>
      </c>
      <c r="C22" s="31" t="str">
        <f>VLOOKUP(Tabela13[[#This Row],[Ref. ER]],Tabela11[[#All],[Ref. ER]:[Total]],3,0)</f>
        <v>Não emitida</v>
      </c>
      <c r="D22" s="83">
        <f>VLOOKUP(Tabela13[[#This Row],[Ref. ER]],Tabela11[[#All],[Ref. ER]:[Total]],5,0)</f>
        <v>482.51</v>
      </c>
      <c r="E22" s="83">
        <f>IFERROR(VLOOKUP(Tabela13[[#This Row],[Ref. ER]],Tabela12[],4,0),0)</f>
        <v>0</v>
      </c>
      <c r="F22">
        <f>Tabela13[[#This Row],[Serviços  ]]+Tabela13[[#This Row],[Deslocamento]]</f>
        <v>482.51</v>
      </c>
      <c r="G22" t="s">
        <v>166</v>
      </c>
      <c r="K22" s="37">
        <v>2</v>
      </c>
      <c r="L22" s="38">
        <f>COUNTIFS([1]!Controle[Equipamento],ServiçosExecutados[[#Headers],[Balança Analítica]],[1]!Controle[Executado],$K22,[1]!Controle[STATUS2],"REALIZADO")*$E$2</f>
        <v>430.71000000000004</v>
      </c>
      <c r="M22" s="38">
        <f>COUNTIFS([1]!Controle[Equipamento],ServiçosExecutados[[#Headers],[Colorímetro]],[1]!Controle[Executado],$K22,[1]!Controle[STATUS2],"REALIZADO")*$E$3</f>
        <v>0</v>
      </c>
      <c r="N22" s="38">
        <f>COUNTIFS([1]!Controle[Equipamento],ServiçosExecutados[[#Headers],[Condutivímetro]],[1]!Controle[Executado],$K22,[1]!Controle[STATUS2],"REALIZADO")*$E$4</f>
        <v>0</v>
      </c>
      <c r="O22" s="38">
        <f>COUNTIFS([1]!Controle[Equipamento],ServiçosExecutados[[#Headers],[Determinador de Umidade]],[1]!Controle[Executado],$K22,[1]!Controle[STATUS2],"REALIZADO")*$E$5</f>
        <v>0</v>
      </c>
      <c r="P22" s="38">
        <f>COUNTIFS([1]!Controle[Equipamento],ServiçosExecutados[[#Headers],[Espectrofotômetro]],[1]!Controle[Executado],$K22,[1]!Controle[STATUS2],"REALIZADO")*$E$6</f>
        <v>937.19</v>
      </c>
      <c r="Q22" s="38">
        <f>COUNTIFS([1]!Controle[Equipamento],ServiçosExecutados[[#Headers],[Fotômetro]],[1]!Controle[Executado],$K22,[1]!Controle[STATUS2],"REALIZADO")*$E$7</f>
        <v>0</v>
      </c>
      <c r="R22" s="38">
        <f>COUNTIFS([1]!Controle[Equipamento],ServiçosExecutados[[#Headers],[Medidor de Íon Seletivo]],[1]!Controle[Executado],$K22,[1]!Controle[STATUS2],"REALIZADO")*$E$8</f>
        <v>0</v>
      </c>
      <c r="S22" s="38">
        <f>COUNTIFS([1]!Controle[Equipamento],ServiçosExecutados[[#Headers],[Medidor de OD]],[1]!Controle[Executado],$K22,[1]!Controle[STATUS2],"REALIZADO")*$E$9</f>
        <v>0</v>
      </c>
      <c r="T22" s="38">
        <f>COUNTIFS([1]!Controle[Equipamento],ServiçosExecutados[[#Headers],[Multiparâmetro ]],[1]!Controle[Executado],$K22,[1]!Controle[STATUS2],"REALIZADO")*$E$10</f>
        <v>0</v>
      </c>
      <c r="U22" s="38">
        <f>COUNTIFS([1]!Controle[Equipamento],ServiçosExecutados[[#Headers],[pHmetro]],[1]!Controle[Executado],$K22,[1]!Controle[STATUS2],"REALIZADO")*$E$11</f>
        <v>622.1</v>
      </c>
      <c r="V22" s="80">
        <f>COUNTIFS([1]!Controle[Equipamento],ServiçosExecutados[[#Headers],[pHmetro de Processo]],[1]!Controle[Executado],$K22,[1]!Controle[STATUS2],"REALIZADO")*$E$12</f>
        <v>0</v>
      </c>
      <c r="W22" s="80">
        <f>COUNTIFS([1]!Controle[Equipamento],ServiçosExecutados[[#Headers],[Reator DQO]],[1]!Controle[Executado],$K22,[1]!Controle[STATUS2],"REALIZADO")*$E$13</f>
        <v>503.20000000000005</v>
      </c>
      <c r="X22" s="80">
        <f>COUNTIFS([1]!Controle[Equipamento],ServiçosExecutados[[#Headers],[Turbidímetro]],[1]!Controle[Executado],$K22,[1]!Controle[STATUS2],"REALIZADO")*$E$14</f>
        <v>492.03</v>
      </c>
      <c r="Y22" s="80">
        <f>SUM(ServiçosExecutados[[#This Row],[Balança Analítica]:[Turbidímetro]])</f>
        <v>2985.2299999999996</v>
      </c>
    </row>
    <row r="23" spans="1:25" x14ac:dyDescent="0.25">
      <c r="K23" s="37">
        <v>3</v>
      </c>
      <c r="L23" s="38">
        <f>COUNTIFS([1]!Controle[Equipamento],ServiçosExecutados[[#Headers],[Balança Analítica]],[1]!Controle[Executado],$K23,[1]!Controle[STATUS2],"REALIZADO")*$E$2</f>
        <v>0</v>
      </c>
      <c r="M23" s="38">
        <f>COUNTIFS([1]!Controle[Equipamento],ServiçosExecutados[[#Headers],[Colorímetro]],[1]!Controle[Executado],$K23,[1]!Controle[STATUS2],"REALIZADO")*$E$3</f>
        <v>0</v>
      </c>
      <c r="N23" s="38">
        <f>COUNTIFS([1]!Controle[Equipamento],ServiçosExecutados[[#Headers],[Condutivímetro]],[1]!Controle[Executado],$K23,[1]!Controle[STATUS2],"REALIZADO")*$E$4</f>
        <v>0</v>
      </c>
      <c r="O23" s="38">
        <f>COUNTIFS([1]!Controle[Equipamento],ServiçosExecutados[[#Headers],[Determinador de Umidade]],[1]!Controle[Executado],$K23,[1]!Controle[STATUS2],"REALIZADO")*$E$5</f>
        <v>0</v>
      </c>
      <c r="P23" s="38">
        <f>COUNTIFS([1]!Controle[Equipamento],ServiçosExecutados[[#Headers],[Espectrofotômetro]],[1]!Controle[Executado],$K23,[1]!Controle[STATUS2],"REALIZADO")*$E$6</f>
        <v>0</v>
      </c>
      <c r="Q23" s="38">
        <f>COUNTIFS([1]!Controle[Equipamento],ServiçosExecutados[[#Headers],[Fotômetro]],[1]!Controle[Executado],$K23,[1]!Controle[STATUS2],"REALIZADO")*$E$7</f>
        <v>482.51</v>
      </c>
      <c r="R23" s="38">
        <f>COUNTIFS([1]!Controle[Equipamento],ServiçosExecutados[[#Headers],[Medidor de Íon Seletivo]],[1]!Controle[Executado],$K23,[1]!Controle[STATUS2],"REALIZADO")*$E$8</f>
        <v>0</v>
      </c>
      <c r="S23" s="38">
        <f>COUNTIFS([1]!Controle[Equipamento],ServiçosExecutados[[#Headers],[Medidor de OD]],[1]!Controle[Executado],$K23,[1]!Controle[STATUS2],"REALIZADO")*$E$9</f>
        <v>0</v>
      </c>
      <c r="T23" s="38">
        <f>COUNTIFS([1]!Controle[Equipamento],ServiçosExecutados[[#Headers],[Multiparâmetro ]],[1]!Controle[Executado],$K23,[1]!Controle[STATUS2],"REALIZADO")*$E$10</f>
        <v>515.61</v>
      </c>
      <c r="U23" s="38">
        <f>COUNTIFS([1]!Controle[Equipamento],ServiçosExecutados[[#Headers],[pHmetro]],[1]!Controle[Executado],$K23,[1]!Controle[STATUS2],"REALIZADO")*$E$11</f>
        <v>0</v>
      </c>
      <c r="V23" s="80">
        <f>COUNTIFS([1]!Controle[Equipamento],ServiçosExecutados[[#Headers],[pHmetro de Processo]],[1]!Controle[Executado],$K23,[1]!Controle[STATUS2],"REALIZADO")*$E$12</f>
        <v>0</v>
      </c>
      <c r="W23" s="80">
        <f>COUNTIFS([1]!Controle[Equipamento],ServiçosExecutados[[#Headers],[Reator DQO]],[1]!Controle[Executado],$K23,[1]!Controle[STATUS2],"REALIZADO")*$E$13</f>
        <v>0</v>
      </c>
      <c r="X23" s="80">
        <f>COUNTIFS([1]!Controle[Equipamento],ServiçosExecutados[[#Headers],[Turbidímetro]],[1]!Controle[Executado],$K23,[1]!Controle[STATUS2],"REALIZADO")*$E$14</f>
        <v>0</v>
      </c>
      <c r="Y23" s="80">
        <f>SUM(ServiçosExecutados[[#This Row],[Balança Analítica]:[Turbidímetro]])</f>
        <v>998.12</v>
      </c>
    </row>
    <row r="24" spans="1:25" x14ac:dyDescent="0.25">
      <c r="K24" s="37">
        <v>4</v>
      </c>
      <c r="L24" s="38">
        <f>COUNTIFS([1]!Controle[Equipamento],ServiçosExecutados[[#Headers],[Balança Analítica]],[1]!Controle[Executado],$K24,[1]!Controle[STATUS2],"REALIZADO")*$E$2</f>
        <v>0</v>
      </c>
      <c r="M24" s="38">
        <f>COUNTIFS([1]!Controle[Equipamento],ServiçosExecutados[[#Headers],[Colorímetro]],[1]!Controle[Executado],$K24,[1]!Controle[STATUS2],"REALIZADO")*$E$3</f>
        <v>0</v>
      </c>
      <c r="N24" s="38">
        <f>COUNTIFS([1]!Controle[Equipamento],ServiçosExecutados[[#Headers],[Condutivímetro]],[1]!Controle[Executado],$K24,[1]!Controle[STATUS2],"REALIZADO")*$E$4</f>
        <v>0</v>
      </c>
      <c r="O24" s="38">
        <f>COUNTIFS([1]!Controle[Equipamento],ServiçosExecutados[[#Headers],[Determinador de Umidade]],[1]!Controle[Executado],$K24,[1]!Controle[STATUS2],"REALIZADO")*$E$5</f>
        <v>0</v>
      </c>
      <c r="P24" s="38">
        <f>COUNTIFS([1]!Controle[Equipamento],ServiçosExecutados[[#Headers],[Espectrofotômetro]],[1]!Controle[Executado],$K24,[1]!Controle[STATUS2],"REALIZADO")*$E$6</f>
        <v>0</v>
      </c>
      <c r="Q24" s="38">
        <f>COUNTIFS([1]!Controle[Equipamento],ServiçosExecutados[[#Headers],[Fotômetro]],[1]!Controle[Executado],$K24,[1]!Controle[STATUS2],"REALIZADO")*$E$7</f>
        <v>0</v>
      </c>
      <c r="R24" s="38">
        <f>COUNTIFS([1]!Controle[Equipamento],ServiçosExecutados[[#Headers],[Medidor de Íon Seletivo]],[1]!Controle[Executado],$K24,[1]!Controle[STATUS2],"REALIZADO")*$E$8</f>
        <v>0</v>
      </c>
      <c r="S24" s="38">
        <f>COUNTIFS([1]!Controle[Equipamento],ServiçosExecutados[[#Headers],[Medidor de OD]],[1]!Controle[Executado],$K24,[1]!Controle[STATUS2],"REALIZADO")*$E$9</f>
        <v>0</v>
      </c>
      <c r="T24" s="38">
        <f>COUNTIFS([1]!Controle[Equipamento],ServiçosExecutados[[#Headers],[Multiparâmetro ]],[1]!Controle[Executado],$K24,[1]!Controle[STATUS2],"REALIZADO")*$E$10</f>
        <v>0</v>
      </c>
      <c r="U24" s="38">
        <f>COUNTIFS([1]!Controle[Equipamento],ServiçosExecutados[[#Headers],[pHmetro]],[1]!Controle[Executado],$K24,[1]!Controle[STATUS2],"REALIZADO")*$E$11</f>
        <v>0</v>
      </c>
      <c r="V24" s="80">
        <f>COUNTIFS([1]!Controle[Equipamento],ServiçosExecutados[[#Headers],[pHmetro de Processo]],[1]!Controle[Executado],$K24,[1]!Controle[STATUS2],"REALIZADO")*$E$12</f>
        <v>0</v>
      </c>
      <c r="W24" s="80">
        <f>COUNTIFS([1]!Controle[Equipamento],ServiçosExecutados[[#Headers],[Reator DQO]],[1]!Controle[Executado],$K24,[1]!Controle[STATUS2],"REALIZADO")*$E$13</f>
        <v>0</v>
      </c>
      <c r="X24" s="80">
        <f>COUNTIFS([1]!Controle[Equipamento],ServiçosExecutados[[#Headers],[Turbidímetro]],[1]!Controle[Executado],$K24,[1]!Controle[STATUS2],"REALIZADO")*$E$14</f>
        <v>0</v>
      </c>
      <c r="Y24" s="80">
        <f>SUM(ServiçosExecutados[[#This Row],[Balança Analítica]:[Turbidímetro]])</f>
        <v>0</v>
      </c>
    </row>
    <row r="25" spans="1:25" x14ac:dyDescent="0.25">
      <c r="K25" s="37">
        <v>5</v>
      </c>
      <c r="L25" s="38">
        <f>COUNTIFS([1]!Controle[Equipamento],ServiçosExecutados[[#Headers],[Balança Analítica]],[1]!Controle[Executado],$K25,[1]!Controle[STATUS2],"REALIZADO")*$E$2</f>
        <v>0</v>
      </c>
      <c r="M25" s="38">
        <f>COUNTIFS([1]!Controle[Equipamento],ServiçosExecutados[[#Headers],[Colorímetro]],[1]!Controle[Executado],$K25,[1]!Controle[STATUS2],"REALIZADO")*$E$3</f>
        <v>0</v>
      </c>
      <c r="N25" s="38">
        <f>COUNTIFS([1]!Controle[Equipamento],ServiçosExecutados[[#Headers],[Condutivímetro]],[1]!Controle[Executado],$K25,[1]!Controle[STATUS2],"REALIZADO")*$E$4</f>
        <v>622.1</v>
      </c>
      <c r="O25" s="38">
        <f>COUNTIFS([1]!Controle[Equipamento],ServiçosExecutados[[#Headers],[Determinador de Umidade]],[1]!Controle[Executado],$K25,[1]!Controle[STATUS2],"REALIZADO")*$E$5</f>
        <v>0</v>
      </c>
      <c r="P25" s="38">
        <f>COUNTIFS([1]!Controle[Equipamento],ServiçosExecutados[[#Headers],[Espectrofotômetro]],[1]!Controle[Executado],$K25,[1]!Controle[STATUS2],"REALIZADO")*$E$6</f>
        <v>937.19</v>
      </c>
      <c r="Q25" s="38">
        <f>COUNTIFS([1]!Controle[Equipamento],ServiçosExecutados[[#Headers],[Fotômetro]],[1]!Controle[Executado],$K25,[1]!Controle[STATUS2],"REALIZADO")*$E$7</f>
        <v>0</v>
      </c>
      <c r="R25" s="38">
        <f>COUNTIFS([1]!Controle[Equipamento],ServiçosExecutados[[#Headers],[Medidor de Íon Seletivo]],[1]!Controle[Executado],$K25,[1]!Controle[STATUS2],"REALIZADO")*$E$8</f>
        <v>0</v>
      </c>
      <c r="S25" s="38">
        <f>COUNTIFS([1]!Controle[Equipamento],ServiçosExecutados[[#Headers],[Medidor de OD]],[1]!Controle[Executado],$K25,[1]!Controle[STATUS2],"REALIZADO")*$E$9</f>
        <v>0</v>
      </c>
      <c r="T25" s="38">
        <f>COUNTIFS([1]!Controle[Equipamento],ServiçosExecutados[[#Headers],[Multiparâmetro ]],[1]!Controle[Executado],$K25,[1]!Controle[STATUS2],"REALIZADO")*$E$10</f>
        <v>515.61</v>
      </c>
      <c r="U25" s="38">
        <f>COUNTIFS([1]!Controle[Equipamento],ServiçosExecutados[[#Headers],[pHmetro]],[1]!Controle[Executado],$K25,[1]!Controle[STATUS2],"REALIZADO")*$E$11</f>
        <v>1555.25</v>
      </c>
      <c r="V25" s="80">
        <f>COUNTIFS([1]!Controle[Equipamento],ServiçosExecutados[[#Headers],[pHmetro de Processo]],[1]!Controle[Executado],$K25,[1]!Controle[STATUS2],"REALIZADO")*$E$12</f>
        <v>0</v>
      </c>
      <c r="W25" s="80">
        <f>COUNTIFS([1]!Controle[Equipamento],ServiçosExecutados[[#Headers],[Reator DQO]],[1]!Controle[Executado],$K25,[1]!Controle[STATUS2],"REALIZADO")*$E$13</f>
        <v>0</v>
      </c>
      <c r="X25" s="80">
        <f>COUNTIFS([1]!Controle[Equipamento],ServiçosExecutados[[#Headers],[Turbidímetro]],[1]!Controle[Executado],$K25,[1]!Controle[STATUS2],"REALIZADO")*$E$14</f>
        <v>0</v>
      </c>
      <c r="Y25" s="80">
        <f>SUM(ServiçosExecutados[[#This Row],[Balança Analítica]:[Turbidímetro]])</f>
        <v>3630.15</v>
      </c>
    </row>
    <row r="26" spans="1:25" x14ac:dyDescent="0.25">
      <c r="K26" s="37">
        <v>6</v>
      </c>
      <c r="L26" s="38">
        <f>COUNTIFS([1]!Controle[Equipamento],ServiçosExecutados[[#Headers],[Balança Analítica]],[1]!Controle[Executado],$K26,[1]!Controle[STATUS2],"REALIZADO")*$E$2</f>
        <v>861.42000000000007</v>
      </c>
      <c r="M26" s="38">
        <f>COUNTIFS([1]!Controle[Equipamento],ServiçosExecutados[[#Headers],[Colorímetro]],[1]!Controle[Executado],$K26,[1]!Controle[STATUS2],"REALIZADO")*$E$3</f>
        <v>1042.22</v>
      </c>
      <c r="N26" s="38">
        <f>COUNTIFS([1]!Controle[Equipamento],ServiçosExecutados[[#Headers],[Condutivímetro]],[1]!Controle[Executado],$K26,[1]!Controle[STATUS2],"REALIZADO")*$E$4</f>
        <v>3421.55</v>
      </c>
      <c r="O26" s="38">
        <f>COUNTIFS([1]!Controle[Equipamento],ServiçosExecutados[[#Headers],[Determinador de Umidade]],[1]!Controle[Executado],$K26,[1]!Controle[STATUS2],"REALIZADO")*$E$5</f>
        <v>430.71000000000004</v>
      </c>
      <c r="P26" s="38">
        <f>COUNTIFS([1]!Controle[Equipamento],ServiçosExecutados[[#Headers],[Espectrofotômetro]],[1]!Controle[Executado],$K26,[1]!Controle[STATUS2],"REALIZADO")*$E$6</f>
        <v>4685.9500000000007</v>
      </c>
      <c r="Q26" s="38">
        <f>COUNTIFS([1]!Controle[Equipamento],ServiçosExecutados[[#Headers],[Fotômetro]],[1]!Controle[Executado],$K26,[1]!Controle[STATUS2],"REALIZADO")*$E$7</f>
        <v>1447.53</v>
      </c>
      <c r="R26" s="38">
        <f>COUNTIFS([1]!Controle[Equipamento],ServiçosExecutados[[#Headers],[Medidor de Íon Seletivo]],[1]!Controle[Executado],$K26,[1]!Controle[STATUS2],"REALIZADO")*$E$8</f>
        <v>0</v>
      </c>
      <c r="S26" s="38">
        <f>COUNTIFS([1]!Controle[Equipamento],ServiçosExecutados[[#Headers],[Medidor de OD]],[1]!Controle[Executado],$K26,[1]!Controle[STATUS2],"REALIZADO")*$E$9</f>
        <v>311.05</v>
      </c>
      <c r="T26" s="38">
        <f>COUNTIFS([1]!Controle[Equipamento],ServiçosExecutados[[#Headers],[Multiparâmetro ]],[1]!Controle[Executado],$K26,[1]!Controle[STATUS2],"REALIZADO")*$E$10</f>
        <v>515.61</v>
      </c>
      <c r="U26" s="38">
        <f>COUNTIFS([1]!Controle[Equipamento],ServiçosExecutados[[#Headers],[pHmetro]],[1]!Controle[Executado],$K26,[1]!Controle[STATUS2],"REALIZADO")*$E$11</f>
        <v>2799.4500000000003</v>
      </c>
      <c r="V26" s="80">
        <f>COUNTIFS([1]!Controle[Equipamento],ServiçosExecutados[[#Headers],[pHmetro de Processo]],[1]!Controle[Executado],$K26,[1]!Controle[STATUS2],"REALIZADO")*$E$12</f>
        <v>0</v>
      </c>
      <c r="W26" s="80">
        <f>COUNTIFS([1]!Controle[Equipamento],ServiçosExecutados[[#Headers],[Reator DQO]],[1]!Controle[Executado],$K26,[1]!Controle[STATUS2],"REALIZADO")*$E$13</f>
        <v>503.20000000000005</v>
      </c>
      <c r="X26" s="80">
        <f>COUNTIFS([1]!Controle[Equipamento],ServiçosExecutados[[#Headers],[Turbidímetro]],[1]!Controle[Executado],$K26,[1]!Controle[STATUS2],"REALIZADO")*$E$14</f>
        <v>1968.12</v>
      </c>
      <c r="Y26" s="80">
        <f>SUM(ServiçosExecutados[[#This Row],[Balança Analítica]:[Turbidímetro]])</f>
        <v>17986.810000000005</v>
      </c>
    </row>
    <row r="27" spans="1:25" x14ac:dyDescent="0.25">
      <c r="K27" s="37">
        <v>7</v>
      </c>
      <c r="L27" s="38">
        <f>COUNTIFS([1]!Controle[Equipamento],ServiçosExecutados[[#Headers],[Balança Analítica]],[1]!Controle[Executado],$K27,[1]!Controle[STATUS2],"REALIZADO")*$E$2</f>
        <v>0</v>
      </c>
      <c r="M27" s="38">
        <f>COUNTIFS([1]!Controle[Equipamento],ServiçosExecutados[[#Headers],[Colorímetro]],[1]!Controle[Executado],$K27,[1]!Controle[STATUS2],"REALIZADO")*$E$3</f>
        <v>2605.5500000000002</v>
      </c>
      <c r="N27" s="38">
        <f>COUNTIFS([1]!Controle[Equipamento],ServiçosExecutados[[#Headers],[Condutivímetro]],[1]!Controle[Executado],$K27,[1]!Controle[STATUS2],"REALIZADO")*$E$4</f>
        <v>622.1</v>
      </c>
      <c r="O27" s="38">
        <f>COUNTIFS([1]!Controle[Equipamento],ServiçosExecutados[[#Headers],[Determinador de Umidade]],[1]!Controle[Executado],$K27,[1]!Controle[STATUS2],"REALIZADO")*$E$5</f>
        <v>0</v>
      </c>
      <c r="P27" s="38">
        <f>COUNTIFS([1]!Controle[Equipamento],ServiçosExecutados[[#Headers],[Espectrofotômetro]],[1]!Controle[Executado],$K27,[1]!Controle[STATUS2],"REALIZADO")*$E$6</f>
        <v>7497.52</v>
      </c>
      <c r="Q27" s="38">
        <f>COUNTIFS([1]!Controle[Equipamento],ServiçosExecutados[[#Headers],[Fotômetro]],[1]!Controle[Executado],$K27,[1]!Controle[STATUS2],"REALIZADO")*$E$7</f>
        <v>2412.5500000000002</v>
      </c>
      <c r="R27" s="38">
        <f>COUNTIFS([1]!Controle[Equipamento],ServiçosExecutados[[#Headers],[Medidor de Íon Seletivo]],[1]!Controle[Executado],$K27,[1]!Controle[STATUS2],"REALIZADO")*$E$8</f>
        <v>0</v>
      </c>
      <c r="S27" s="38">
        <f>COUNTIFS([1]!Controle[Equipamento],ServiçosExecutados[[#Headers],[Medidor de OD]],[1]!Controle[Executado],$K27,[1]!Controle[STATUS2],"REALIZADO")*$E$9</f>
        <v>0</v>
      </c>
      <c r="T27" s="38">
        <f>COUNTIFS([1]!Controle[Equipamento],ServiçosExecutados[[#Headers],[Multiparâmetro ]],[1]!Controle[Executado],$K27,[1]!Controle[STATUS2],"REALIZADO")*$E$10</f>
        <v>7734.1500000000005</v>
      </c>
      <c r="U27" s="38">
        <f>COUNTIFS([1]!Controle[Equipamento],ServiçosExecutados[[#Headers],[pHmetro]],[1]!Controle[Executado],$K27,[1]!Controle[STATUS2],"REALIZADO")*$E$11</f>
        <v>1555.25</v>
      </c>
      <c r="V27" s="80">
        <f>COUNTIFS([1]!Controle[Equipamento],ServiçosExecutados[[#Headers],[pHmetro de Processo]],[1]!Controle[Executado],$K27,[1]!Controle[STATUS2],"REALIZADO")*$E$12</f>
        <v>0</v>
      </c>
      <c r="W27" s="80">
        <f>COUNTIFS([1]!Controle[Equipamento],ServiçosExecutados[[#Headers],[Reator DQO]],[1]!Controle[Executado],$K27,[1]!Controle[STATUS2],"REALIZADO")*$E$13</f>
        <v>0</v>
      </c>
      <c r="X27" s="80">
        <f>COUNTIFS([1]!Controle[Equipamento],ServiçosExecutados[[#Headers],[Turbidímetro]],[1]!Controle[Executado],$K27,[1]!Controle[STATUS2],"REALIZADO")*$E$14</f>
        <v>984.06</v>
      </c>
      <c r="Y27" s="80">
        <f>SUM(ServiçosExecutados[[#This Row],[Balança Analítica]:[Turbidímetro]])</f>
        <v>23411.180000000004</v>
      </c>
    </row>
    <row r="28" spans="1:25" x14ac:dyDescent="0.25">
      <c r="K28" s="37">
        <v>8</v>
      </c>
      <c r="L28" s="38">
        <f>COUNTIFS([1]!Controle[Equipamento],ServiçosExecutados[[#Headers],[Balança Analítica]],[1]!Controle[Executado],$K28,[1]!Controle[STATUS2],"REALIZADO")*$E$2</f>
        <v>861.42000000000007</v>
      </c>
      <c r="M28" s="38">
        <f>COUNTIFS([1]!Controle[Equipamento],ServiçosExecutados[[#Headers],[Colorímetro]],[1]!Controle[Executado],$K28,[1]!Controle[STATUS2],"REALIZADO")*$E$3</f>
        <v>2605.5500000000002</v>
      </c>
      <c r="N28" s="38">
        <f>COUNTIFS([1]!Controle[Equipamento],ServiçosExecutados[[#Headers],[Condutivímetro]],[1]!Controle[Executado],$K28,[1]!Controle[STATUS2],"REALIZADO")*$E$4</f>
        <v>2799.4500000000003</v>
      </c>
      <c r="O28" s="38">
        <f>COUNTIFS([1]!Controle[Equipamento],ServiçosExecutados[[#Headers],[Determinador de Umidade]],[1]!Controle[Executado],$K28,[1]!Controle[STATUS2],"REALIZADO")*$E$5</f>
        <v>0</v>
      </c>
      <c r="P28" s="38">
        <f>COUNTIFS([1]!Controle[Equipamento],ServiçosExecutados[[#Headers],[Espectrofotômetro]],[1]!Controle[Executado],$K28,[1]!Controle[STATUS2],"REALIZADO")*$E$6</f>
        <v>9371.9000000000015</v>
      </c>
      <c r="Q28" s="38">
        <f>COUNTIFS([1]!Controle[Equipamento],ServiçosExecutados[[#Headers],[Fotômetro]],[1]!Controle[Executado],$K28,[1]!Controle[STATUS2],"REALIZADO")*$E$7</f>
        <v>1447.53</v>
      </c>
      <c r="R28" s="38">
        <f>COUNTIFS([1]!Controle[Equipamento],ServiçosExecutados[[#Headers],[Medidor de Íon Seletivo]],[1]!Controle[Executado],$K28,[1]!Controle[STATUS2],"REALIZADO")*$E$8</f>
        <v>0</v>
      </c>
      <c r="S28" s="38">
        <f>COUNTIFS([1]!Controle[Equipamento],ServiçosExecutados[[#Headers],[Medidor de OD]],[1]!Controle[Executado],$K28,[1]!Controle[STATUS2],"REALIZADO")*$E$9</f>
        <v>0</v>
      </c>
      <c r="T28" s="38">
        <f>COUNTIFS([1]!Controle[Equipamento],ServiçosExecutados[[#Headers],[Multiparâmetro ]],[1]!Controle[Executado],$K28,[1]!Controle[STATUS2],"REALIZADO")*$E$10</f>
        <v>2578.0500000000002</v>
      </c>
      <c r="U28" s="38">
        <f>COUNTIFS([1]!Controle[Equipamento],ServiçosExecutados[[#Headers],[pHmetro]],[1]!Controle[Executado],$K28,[1]!Controle[STATUS2],"REALIZADO")*$E$11</f>
        <v>4043.65</v>
      </c>
      <c r="V28" s="80">
        <f>COUNTIFS([1]!Controle[Equipamento],ServiçosExecutados[[#Headers],[pHmetro de Processo]],[1]!Controle[Executado],$K28,[1]!Controle[STATUS2],"REALIZADO")*$E$12</f>
        <v>0</v>
      </c>
      <c r="W28" s="80">
        <f>COUNTIFS([1]!Controle[Equipamento],ServiçosExecutados[[#Headers],[Reator DQO]],[1]!Controle[Executado],$K28,[1]!Controle[STATUS2],"REALIZADO")*$E$13</f>
        <v>1509.6000000000001</v>
      </c>
      <c r="X28" s="80">
        <f>COUNTIFS([1]!Controle[Equipamento],ServiçosExecutados[[#Headers],[Turbidímetro]],[1]!Controle[Executado],$K28,[1]!Controle[STATUS2],"REALIZADO")*$E$14</f>
        <v>2952.18</v>
      </c>
      <c r="Y28" s="80">
        <f>SUM(ServiçosExecutados[[#This Row],[Balança Analítica]:[Turbidímetro]])</f>
        <v>28169.33</v>
      </c>
    </row>
    <row r="29" spans="1:25" x14ac:dyDescent="0.25">
      <c r="K29" s="37">
        <v>9</v>
      </c>
      <c r="L29" s="38">
        <f>COUNTIFS([1]!Controle[Equipamento],ServiçosExecutados[[#Headers],[Balança Analítica]],[1]!Controle[Executado],$K29,[1]!Controle[STATUS2],"REALIZADO")*$E$2</f>
        <v>3014.9700000000003</v>
      </c>
      <c r="M29" s="38">
        <f>COUNTIFS([1]!Controle[Equipamento],ServiçosExecutados[[#Headers],[Colorímetro]],[1]!Controle[Executado],$K29,[1]!Controle[STATUS2],"REALIZADO")*$E$3</f>
        <v>3647.77</v>
      </c>
      <c r="N29" s="38">
        <f>COUNTIFS([1]!Controle[Equipamento],ServiçosExecutados[[#Headers],[Condutivímetro]],[1]!Controle[Executado],$K29,[1]!Controle[STATUS2],"REALIZADO")*$E$4</f>
        <v>4665.75</v>
      </c>
      <c r="O29" s="38">
        <f>COUNTIFS([1]!Controle[Equipamento],ServiçosExecutados[[#Headers],[Determinador de Umidade]],[1]!Controle[Executado],$K29,[1]!Controle[STATUS2],"REALIZADO")*$E$5</f>
        <v>0</v>
      </c>
      <c r="P29" s="38">
        <f>COUNTIFS([1]!Controle[Equipamento],ServiçosExecutados[[#Headers],[Espectrofotômetro]],[1]!Controle[Executado],$K29,[1]!Controle[STATUS2],"REALIZADO")*$E$6</f>
        <v>2811.57</v>
      </c>
      <c r="Q29" s="38">
        <f>COUNTIFS([1]!Controle[Equipamento],ServiçosExecutados[[#Headers],[Fotômetro]],[1]!Controle[Executado],$K29,[1]!Controle[STATUS2],"REALIZADO")*$E$7</f>
        <v>0</v>
      </c>
      <c r="R29" s="38">
        <f>COUNTIFS([1]!Controle[Equipamento],ServiçosExecutados[[#Headers],[Medidor de Íon Seletivo]],[1]!Controle[Executado],$K29,[1]!Controle[STATUS2],"REALIZADO")*$E$8</f>
        <v>515.61</v>
      </c>
      <c r="S29" s="38">
        <f>COUNTIFS([1]!Controle[Equipamento],ServiçosExecutados[[#Headers],[Medidor de OD]],[1]!Controle[Executado],$K29,[1]!Controle[STATUS2],"REALIZADO")*$E$9</f>
        <v>0</v>
      </c>
      <c r="T29" s="38">
        <f>COUNTIFS([1]!Controle[Equipamento],ServiçosExecutados[[#Headers],[Multiparâmetro ]],[1]!Controle[Executado],$K29,[1]!Controle[STATUS2],"REALIZADO")*$E$10</f>
        <v>3609.27</v>
      </c>
      <c r="U29" s="38">
        <f>COUNTIFS([1]!Controle[Equipamento],ServiçosExecutados[[#Headers],[pHmetro]],[1]!Controle[Executado],$K29,[1]!Controle[STATUS2],"REALIZADO")*$E$11</f>
        <v>3732.6000000000004</v>
      </c>
      <c r="V29" s="80">
        <f>COUNTIFS([1]!Controle[Equipamento],ServiçosExecutados[[#Headers],[pHmetro de Processo]],[1]!Controle[Executado],$K29,[1]!Controle[STATUS2],"REALIZADO")*$E$12</f>
        <v>1555.25</v>
      </c>
      <c r="W29" s="80">
        <f>COUNTIFS([1]!Controle[Equipamento],ServiçosExecutados[[#Headers],[Reator DQO]],[1]!Controle[Executado],$K29,[1]!Controle[STATUS2],"REALIZADO")*$E$13</f>
        <v>1006.4000000000001</v>
      </c>
      <c r="X29" s="80">
        <f>COUNTIFS([1]!Controle[Equipamento],ServiçosExecutados[[#Headers],[Turbidímetro]],[1]!Controle[Executado],$K29,[1]!Controle[STATUS2],"REALIZADO")*$E$14</f>
        <v>5412.33</v>
      </c>
      <c r="Y29" s="80">
        <f>SUM(ServiçosExecutados[[#This Row],[Balança Analítica]:[Turbidímetro]])</f>
        <v>29971.520000000004</v>
      </c>
    </row>
    <row r="30" spans="1:25" x14ac:dyDescent="0.25">
      <c r="K30" s="37">
        <v>10</v>
      </c>
      <c r="L30" s="38">
        <f>COUNTIFS([1]!Controle[Equipamento],ServiçosExecutados[[#Headers],[Balança Analítica]],[1]!Controle[Executado],$K30,[1]!Controle[STATUS2],"REALIZADO")*$E$2</f>
        <v>0</v>
      </c>
      <c r="M30" s="38">
        <f>COUNTIFS([1]!Controle[Equipamento],ServiçosExecutados[[#Headers],[Colorímetro]],[1]!Controle[Executado],$K30,[1]!Controle[STATUS2],"REALIZADO")*$E$3</f>
        <v>1042.22</v>
      </c>
      <c r="N30" s="38">
        <f>COUNTIFS([1]!Controle[Equipamento],ServiçosExecutados[[#Headers],[Condutivímetro]],[1]!Controle[Executado],$K30,[1]!Controle[STATUS2],"REALIZADO")*$E$4</f>
        <v>622.1</v>
      </c>
      <c r="O30" s="38">
        <f>COUNTIFS([1]!Controle[Equipamento],ServiçosExecutados[[#Headers],[Determinador de Umidade]],[1]!Controle[Executado],$K30,[1]!Controle[STATUS2],"REALIZADO")*$E$5</f>
        <v>0</v>
      </c>
      <c r="P30" s="38">
        <f>COUNTIFS([1]!Controle[Equipamento],ServiçosExecutados[[#Headers],[Espectrofotômetro]],[1]!Controle[Executado],$K30,[1]!Controle[STATUS2],"REALIZADO")*$E$6</f>
        <v>3748.76</v>
      </c>
      <c r="Q30" s="38">
        <f>COUNTIFS([1]!Controle[Equipamento],ServiçosExecutados[[#Headers],[Fotômetro]],[1]!Controle[Executado],$K30,[1]!Controle[STATUS2],"REALIZADO")*$E$7</f>
        <v>0</v>
      </c>
      <c r="R30" s="38">
        <f>COUNTIFS([1]!Controle[Equipamento],ServiçosExecutados[[#Headers],[Medidor de Íon Seletivo]],[1]!Controle[Executado],$K30,[1]!Controle[STATUS2],"REALIZADO")*$E$8</f>
        <v>0</v>
      </c>
      <c r="S30" s="38">
        <f>COUNTIFS([1]!Controle[Equipamento],ServiçosExecutados[[#Headers],[Medidor de OD]],[1]!Controle[Executado],$K30,[1]!Controle[STATUS2],"REALIZADO")*$E$9</f>
        <v>0</v>
      </c>
      <c r="T30" s="38">
        <f>COUNTIFS([1]!Controle[Equipamento],ServiçosExecutados[[#Headers],[Multiparâmetro ]],[1]!Controle[Executado],$K30,[1]!Controle[STATUS2],"REALIZADO")*$E$10</f>
        <v>2062.44</v>
      </c>
      <c r="U30" s="38">
        <f>COUNTIFS([1]!Controle[Equipamento],ServiçosExecutados[[#Headers],[pHmetro]],[1]!Controle[Executado],$K30,[1]!Controle[STATUS2],"REALIZADO")*$E$11</f>
        <v>622.1</v>
      </c>
      <c r="V30" s="80">
        <f>COUNTIFS([1]!Controle[Equipamento],ServiçosExecutados[[#Headers],[pHmetro de Processo]],[1]!Controle[Executado],$K30,[1]!Controle[STATUS2],"REALIZADO")*$E$12</f>
        <v>0</v>
      </c>
      <c r="W30" s="80">
        <f>COUNTIFS([1]!Controle[Equipamento],ServiçosExecutados[[#Headers],[Reator DQO]],[1]!Controle[Executado],$K30,[1]!Controle[STATUS2],"REALIZADO")*$E$13</f>
        <v>0</v>
      </c>
      <c r="X30" s="80">
        <f>COUNTIFS([1]!Controle[Equipamento],ServiçosExecutados[[#Headers],[Turbidímetro]],[1]!Controle[Executado],$K30,[1]!Controle[STATUS2],"REALIZADO")*$E$14</f>
        <v>492.03</v>
      </c>
      <c r="Y30" s="80">
        <f>SUM(ServiçosExecutados[[#This Row],[Balança Analítica]:[Turbidímetro]])</f>
        <v>8589.6500000000015</v>
      </c>
    </row>
    <row r="31" spans="1:25" x14ac:dyDescent="0.25">
      <c r="K31" s="37">
        <v>11</v>
      </c>
      <c r="L31" s="38">
        <f>COUNTIFS([1]!Controle[Equipamento],ServiçosExecutados[[#Headers],[Balança Analítica]],[1]!Controle[Executado],$K31,[1]!Controle[STATUS2],"REALIZADO")*$E$2</f>
        <v>0</v>
      </c>
      <c r="M31" s="38">
        <f>COUNTIFS([1]!Controle[Equipamento],ServiçosExecutados[[#Headers],[Colorímetro]],[1]!Controle[Executado],$K31,[1]!Controle[STATUS2],"REALIZADO")*$E$3</f>
        <v>0</v>
      </c>
      <c r="N31" s="38">
        <f>COUNTIFS([1]!Controle[Equipamento],ServiçosExecutados[[#Headers],[Condutivímetro]],[1]!Controle[Executado],$K31,[1]!Controle[STATUS2],"REALIZADO")*$E$4</f>
        <v>622.1</v>
      </c>
      <c r="O31" s="38">
        <f>COUNTIFS([1]!Controle[Equipamento],ServiçosExecutados[[#Headers],[Determinador de Umidade]],[1]!Controle[Executado],$K31,[1]!Controle[STATUS2],"REALIZADO")*$E$5</f>
        <v>0</v>
      </c>
      <c r="P31" s="38">
        <f>COUNTIFS([1]!Controle[Equipamento],ServiçosExecutados[[#Headers],[Espectrofotômetro]],[1]!Controle[Executado],$K31,[1]!Controle[STATUS2],"REALIZADO")*$E$6</f>
        <v>1874.38</v>
      </c>
      <c r="Q31" s="38">
        <f>COUNTIFS([1]!Controle[Equipamento],ServiçosExecutados[[#Headers],[Fotômetro]],[1]!Controle[Executado],$K31,[1]!Controle[STATUS2],"REALIZADO")*$E$7</f>
        <v>482.51</v>
      </c>
      <c r="R31" s="38">
        <f>COUNTIFS([1]!Controle[Equipamento],ServiçosExecutados[[#Headers],[Medidor de Íon Seletivo]],[1]!Controle[Executado],$K31,[1]!Controle[STATUS2],"REALIZADO")*$E$8</f>
        <v>0</v>
      </c>
      <c r="S31" s="38">
        <f>COUNTIFS([1]!Controle[Equipamento],ServiçosExecutados[[#Headers],[Medidor de OD]],[1]!Controle[Executado],$K31,[1]!Controle[STATUS2],"REALIZADO")*$E$9</f>
        <v>0</v>
      </c>
      <c r="T31" s="38">
        <f>COUNTIFS([1]!Controle[Equipamento],ServiçosExecutados[[#Headers],[Multiparâmetro ]],[1]!Controle[Executado],$K31,[1]!Controle[STATUS2],"REALIZADO")*$E$10</f>
        <v>3093.66</v>
      </c>
      <c r="U31" s="38">
        <f>COUNTIFS([1]!Controle[Equipamento],ServiçosExecutados[[#Headers],[pHmetro]],[1]!Controle[Executado],$K31,[1]!Controle[STATUS2],"REALIZADO")*$E$11</f>
        <v>1866.3000000000002</v>
      </c>
      <c r="V31" s="80">
        <f>COUNTIFS([1]!Controle[Equipamento],ServiçosExecutados[[#Headers],[pHmetro de Processo]],[1]!Controle[Executado],$K31,[1]!Controle[STATUS2],"REALIZADO")*$E$12</f>
        <v>0</v>
      </c>
      <c r="W31" s="80">
        <f>COUNTIFS([1]!Controle[Equipamento],ServiçosExecutados[[#Headers],[Reator DQO]],[1]!Controle[Executado],$K31,[1]!Controle[STATUS2],"REALIZADO")*$E$13</f>
        <v>0</v>
      </c>
      <c r="X31" s="80">
        <f>COUNTIFS([1]!Controle[Equipamento],ServiçosExecutados[[#Headers],[Turbidímetro]],[1]!Controle[Executado],$K31,[1]!Controle[STATUS2],"REALIZADO")*$E$14</f>
        <v>492.03</v>
      </c>
      <c r="Y31" s="80">
        <f>SUM(ServiçosExecutados[[#This Row],[Balança Analítica]:[Turbidímetro]])</f>
        <v>8430.98</v>
      </c>
    </row>
    <row r="32" spans="1:25" x14ac:dyDescent="0.25">
      <c r="K32" s="37">
        <v>12</v>
      </c>
      <c r="L32" s="38">
        <f>COUNTIFS([1]!Controle[Equipamento],ServiçosExecutados[[#Headers],[Balança Analítica]],[1]!Controle[Executado],$K32,[1]!Controle[STATUS2],"REALIZADO")*$E$2</f>
        <v>0</v>
      </c>
      <c r="M32" s="38">
        <f>COUNTIFS([1]!Controle[Equipamento],ServiçosExecutados[[#Headers],[Colorímetro]],[1]!Controle[Executado],$K32,[1]!Controle[STATUS2],"REALIZADO")*$E$3</f>
        <v>521.11</v>
      </c>
      <c r="N32" s="38">
        <f>COUNTIFS([1]!Controle[Equipamento],ServiçosExecutados[[#Headers],[Condutivímetro]],[1]!Controle[Executado],$K32,[1]!Controle[STATUS2],"REALIZADO")*$E$4</f>
        <v>622.1</v>
      </c>
      <c r="O32" s="38">
        <f>COUNTIFS([1]!Controle[Equipamento],ServiçosExecutados[[#Headers],[Determinador de Umidade]],[1]!Controle[Executado],$K32,[1]!Controle[STATUS2],"REALIZADO")*$E$5</f>
        <v>0</v>
      </c>
      <c r="P32" s="38">
        <f>COUNTIFS([1]!Controle[Equipamento],ServiçosExecutados[[#Headers],[Espectrofotômetro]],[1]!Controle[Executado],$K32,[1]!Controle[STATUS2],"REALIZADO")*$E$6</f>
        <v>937.19</v>
      </c>
      <c r="Q32" s="38">
        <f>COUNTIFS([1]!Controle[Equipamento],ServiçosExecutados[[#Headers],[Fotômetro]],[1]!Controle[Executado],$K32,[1]!Controle[STATUS2],"REALIZADO")*$E$7</f>
        <v>0</v>
      </c>
      <c r="R32" s="38">
        <f>COUNTIFS([1]!Controle[Equipamento],ServiçosExecutados[[#Headers],[Medidor de Íon Seletivo]],[1]!Controle[Executado],$K32,[1]!Controle[STATUS2],"REALIZADO")*$E$8</f>
        <v>0</v>
      </c>
      <c r="S32" s="38">
        <f>COUNTIFS([1]!Controle[Equipamento],ServiçosExecutados[[#Headers],[Medidor de OD]],[1]!Controle[Executado],$K32,[1]!Controle[STATUS2],"REALIZADO")*$E$9</f>
        <v>0</v>
      </c>
      <c r="T32" s="38">
        <f>COUNTIFS([1]!Controle[Equipamento],ServiçosExecutados[[#Headers],[Multiparâmetro ]],[1]!Controle[Executado],$K32,[1]!Controle[STATUS2],"REALIZADO")*$E$10</f>
        <v>0</v>
      </c>
      <c r="U32" s="38">
        <f>COUNTIFS([1]!Controle[Equipamento],ServiçosExecutados[[#Headers],[pHmetro]],[1]!Controle[Executado],$K32,[1]!Controle[STATUS2],"REALIZADO")*$E$11</f>
        <v>622.1</v>
      </c>
      <c r="V32" s="80">
        <f>COUNTIFS([1]!Controle[Equipamento],ServiçosExecutados[[#Headers],[pHmetro de Processo]],[1]!Controle[Executado],$K32,[1]!Controle[STATUS2],"REALIZADO")*$E$12</f>
        <v>0</v>
      </c>
      <c r="W32" s="80">
        <f>COUNTIFS([1]!Controle[Equipamento],ServiçosExecutados[[#Headers],[Reator DQO]],[1]!Controle[Executado],$K32,[1]!Controle[STATUS2],"REALIZADO")*$E$13</f>
        <v>0</v>
      </c>
      <c r="X32" s="80">
        <f>COUNTIFS([1]!Controle[Equipamento],ServiçosExecutados[[#Headers],[Turbidímetro]],[1]!Controle[Executado],$K32,[1]!Controle[STATUS2],"REALIZADO")*$E$14</f>
        <v>984.06</v>
      </c>
      <c r="Y32" s="80">
        <f>SUM(ServiçosExecutados[[#This Row],[Balança Analítica]:[Turbidímetro]])</f>
        <v>3686.56</v>
      </c>
    </row>
    <row r="33" spans="11:25" x14ac:dyDescent="0.25">
      <c r="K33" s="76" t="s">
        <v>11</v>
      </c>
      <c r="L33" s="78">
        <f>SUBTOTAL(109,ServiçosExecutados[Balança Analítica])</f>
        <v>5168.5200000000004</v>
      </c>
      <c r="M33" s="78">
        <f>SUBTOTAL(109,ServiçosExecutados[Colorímetro])</f>
        <v>11464.42</v>
      </c>
      <c r="N33" s="78">
        <f>SUBTOTAL(109,ServiçosExecutados[Condutivímetro])</f>
        <v>13997.250000000002</v>
      </c>
      <c r="O33" s="78">
        <f>SUBTOTAL(109,ServiçosExecutados[Determinador de Umidade])</f>
        <v>430.71000000000004</v>
      </c>
      <c r="P33" s="78">
        <f>SUBTOTAL(109,ServiçosExecutados[Espectrofotômetro])</f>
        <v>32801.65</v>
      </c>
      <c r="Q33" s="78">
        <f>SUBTOTAL(109,ServiçosExecutados[Fotômetro])</f>
        <v>6272.63</v>
      </c>
      <c r="R33" s="78">
        <f>SUBTOTAL(109,ServiçosExecutados[Medidor de Íon Seletivo])</f>
        <v>515.61</v>
      </c>
      <c r="S33" s="78">
        <f>SUBTOTAL(109,ServiçosExecutados[Medidor de OD])</f>
        <v>311.05</v>
      </c>
      <c r="T33" s="78">
        <f>SUBTOTAL(109,ServiçosExecutados[[Multiparâmetro ]])</f>
        <v>20624.399999999998</v>
      </c>
      <c r="U33" s="78">
        <f>SUBTOTAL(109,ServiçosExecutados[Colorímetro])</f>
        <v>11464.42</v>
      </c>
      <c r="V33" s="78">
        <f>SUBTOTAL(109,ServiçosExecutados[Condutivímetro])</f>
        <v>13997.250000000002</v>
      </c>
      <c r="W33" s="78">
        <f>SUBTOTAL(109,ServiçosExecutados[Determinador de Umidade])</f>
        <v>430.71000000000004</v>
      </c>
      <c r="X33" s="78">
        <f>SUBTOTAL(109,ServiçosExecutados[Espectrofotômetro])</f>
        <v>32801.65</v>
      </c>
      <c r="Y33" s="79"/>
    </row>
  </sheetData>
  <mergeCells count="3">
    <mergeCell ref="K1:Y1"/>
    <mergeCell ref="K18:Y19"/>
    <mergeCell ref="A20:H20"/>
  </mergeCells>
  <phoneticPr fontId="22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2497-565C-472A-A703-C714132683AA}">
  <dimension ref="A1:M4"/>
  <sheetViews>
    <sheetView workbookViewId="0">
      <selection activeCell="C19" sqref="C19"/>
    </sheetView>
  </sheetViews>
  <sheetFormatPr defaultRowHeight="15" x14ac:dyDescent="0.25"/>
  <cols>
    <col min="1" max="1" width="25" bestFit="1" customWidth="1"/>
    <col min="2" max="2" width="22.140625" customWidth="1"/>
    <col min="3" max="3" width="24.42578125" customWidth="1"/>
    <col min="4" max="4" width="7.42578125" customWidth="1"/>
    <col min="5" max="5" width="10.5703125" bestFit="1" customWidth="1"/>
    <col min="6" max="6" width="13.5703125" customWidth="1"/>
    <col min="7" max="7" width="10" bestFit="1" customWidth="1"/>
    <col min="8" max="8" width="11.85546875" bestFit="1" customWidth="1"/>
    <col min="10" max="10" width="13.5703125" customWidth="1"/>
    <col min="11" max="11" width="9.28515625" customWidth="1"/>
  </cols>
  <sheetData>
    <row r="1" spans="1:13" x14ac:dyDescent="0.25">
      <c r="A1" s="97" t="s">
        <v>106</v>
      </c>
      <c r="B1" s="97"/>
      <c r="C1" s="97"/>
      <c r="D1" s="97"/>
      <c r="E1" s="97"/>
      <c r="F1" s="97"/>
      <c r="G1" s="97"/>
      <c r="H1" s="97"/>
      <c r="J1" s="97" t="s">
        <v>145</v>
      </c>
      <c r="K1" s="97"/>
      <c r="L1" s="97"/>
      <c r="M1" s="97"/>
    </row>
    <row r="2" spans="1:13" x14ac:dyDescent="0.25">
      <c r="A2" t="s">
        <v>0</v>
      </c>
      <c r="B2" t="s">
        <v>14</v>
      </c>
      <c r="C2" t="s">
        <v>23</v>
      </c>
      <c r="D2" t="s">
        <v>156</v>
      </c>
      <c r="E2" t="s">
        <v>159</v>
      </c>
      <c r="F2" t="s">
        <v>160</v>
      </c>
      <c r="G2" t="s">
        <v>158</v>
      </c>
      <c r="H2" t="s">
        <v>11</v>
      </c>
      <c r="J2" t="s">
        <v>159</v>
      </c>
      <c r="K2" t="s">
        <v>156</v>
      </c>
      <c r="L2" t="s">
        <v>160</v>
      </c>
      <c r="M2" t="s">
        <v>11</v>
      </c>
    </row>
    <row r="3" spans="1:13" x14ac:dyDescent="0.25">
      <c r="A3" t="s">
        <v>6</v>
      </c>
      <c r="B3" s="77">
        <f>VLOOKUP(A3,Serviços[[Equipamento]:[Valor Unit. Manutenção ]],3,0)</f>
        <v>173.1</v>
      </c>
      <c r="C3" s="77">
        <f>VLOOKUP(A3,Serviços[[Equipamento]:[Valor Unit. Manutenção ]],4,0)</f>
        <v>309.41000000000003</v>
      </c>
      <c r="D3" t="s">
        <v>157</v>
      </c>
      <c r="E3" t="s">
        <v>161</v>
      </c>
      <c r="F3" t="s">
        <v>162</v>
      </c>
      <c r="G3">
        <v>1</v>
      </c>
      <c r="H3" s="77">
        <f>(B3+C3)*G3</f>
        <v>482.51</v>
      </c>
    </row>
    <row r="4" spans="1:13" x14ac:dyDescent="0.25">
      <c r="A4" t="s">
        <v>7</v>
      </c>
      <c r="B4" s="77">
        <f>VLOOKUP(A4,Serviços[[Equipamento]:[Valor Unit. Manutenção ]],3,0)</f>
        <v>106.51</v>
      </c>
      <c r="C4" s="77">
        <f>VLOOKUP(A4,Serviços[[Equipamento]:[Valor Unit. Manutenção ]],4,0)</f>
        <v>409.1</v>
      </c>
      <c r="D4" t="s">
        <v>157</v>
      </c>
      <c r="E4" t="s">
        <v>161</v>
      </c>
      <c r="F4" t="s">
        <v>162</v>
      </c>
      <c r="G4">
        <v>1</v>
      </c>
      <c r="H4" s="77">
        <f>(B4+C4)*G4</f>
        <v>515.61</v>
      </c>
    </row>
  </sheetData>
  <mergeCells count="2">
    <mergeCell ref="A1:H1"/>
    <mergeCell ref="J1:M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2C6E-CBA2-449A-8644-415F176CB1B6}">
  <dimension ref="A1:L55"/>
  <sheetViews>
    <sheetView workbookViewId="0">
      <selection activeCell="D25" sqref="D25"/>
    </sheetView>
  </sheetViews>
  <sheetFormatPr defaultRowHeight="15" x14ac:dyDescent="0.25"/>
  <cols>
    <col min="1" max="1" width="5.5703125" customWidth="1"/>
    <col min="2" max="2" width="49.7109375" customWidth="1"/>
    <col min="3" max="3" width="12.140625" style="8" customWidth="1"/>
    <col min="4" max="4" width="10.85546875" style="8" bestFit="1" customWidth="1"/>
    <col min="5" max="5" width="10.85546875" style="8" customWidth="1"/>
    <col min="6" max="6" width="12.7109375" style="8" customWidth="1"/>
    <col min="7" max="7" width="13.28515625" style="8" bestFit="1" customWidth="1"/>
    <col min="8" max="8" width="14.28515625" style="8" bestFit="1" customWidth="1"/>
    <col min="10" max="10" width="6.85546875" customWidth="1"/>
    <col min="11" max="12" width="24.7109375" customWidth="1"/>
  </cols>
  <sheetData>
    <row r="1" spans="1:12" s="8" customFormat="1" x14ac:dyDescent="0.25">
      <c r="A1" s="40" t="s">
        <v>28</v>
      </c>
      <c r="B1" s="40" t="s">
        <v>29</v>
      </c>
      <c r="C1" s="40" t="s">
        <v>30</v>
      </c>
      <c r="D1" s="40" t="s">
        <v>94</v>
      </c>
      <c r="E1" s="40" t="s">
        <v>25</v>
      </c>
      <c r="F1" s="40" t="s">
        <v>26</v>
      </c>
      <c r="G1" s="40" t="s">
        <v>101</v>
      </c>
      <c r="H1" s="40" t="s">
        <v>102</v>
      </c>
      <c r="J1" s="41" t="s">
        <v>97</v>
      </c>
      <c r="K1" s="42" t="s">
        <v>132</v>
      </c>
      <c r="L1" s="43" t="s">
        <v>129</v>
      </c>
    </row>
    <row r="2" spans="1:12" x14ac:dyDescent="0.25">
      <c r="A2" s="3" t="s">
        <v>31</v>
      </c>
      <c r="B2" s="3" t="s">
        <v>32</v>
      </c>
      <c r="C2" s="44">
        <v>3989.94</v>
      </c>
      <c r="D2" s="7" t="str">
        <f>IFERROR(IF(VLOOKUP(B2,'[1]Controle de Equipamentos '!$M:$W,10,0)="REALIZADO","REALIZADO",""),D3)</f>
        <v>REALIZADO</v>
      </c>
      <c r="E2" s="7">
        <f>IFERROR(VLOOKUP(B2,'[1]Controle de Equipamentos '!$M:$X,12,0),E3)</f>
        <v>0</v>
      </c>
      <c r="F2" s="7">
        <f>IFERROR(VLOOKUP(B2,'[1]Controle de Equipamentos '!$M:$X,11,0),F3)</f>
        <v>9</v>
      </c>
      <c r="G2" s="44">
        <f>IF(Tabela8[[#This Row],[Status ]]="REALIZADO",Tabela8[[#This Row],[Valor]],0)</f>
        <v>3989.94</v>
      </c>
      <c r="H2" s="44">
        <f>IF(Tabela8[[#This Row],[Status ]]="REALIZADO",0,Tabela8[[#This Row],[Valor]])</f>
        <v>0</v>
      </c>
      <c r="J2" s="14">
        <v>1</v>
      </c>
      <c r="K2" s="6">
        <f t="shared" ref="K2:K13" si="0">SUMIF($E:$E,J2,$C:$C)</f>
        <v>4786.33</v>
      </c>
      <c r="L2" s="15">
        <f>SUMIFS($C:$C,$D:$D,"REALIZADO",$F:$F,J2)</f>
        <v>0</v>
      </c>
    </row>
    <row r="3" spans="1:12" x14ac:dyDescent="0.25">
      <c r="A3" s="3" t="s">
        <v>33</v>
      </c>
      <c r="B3" s="3" t="s">
        <v>34</v>
      </c>
      <c r="C3" s="44">
        <v>5442.73</v>
      </c>
      <c r="D3" s="7" t="str">
        <f>IFERROR(IF(VLOOKUP(B3,'[1]Controle de Equipamentos '!$M:$W,10,0)="REALIZADO","REALIZADO",""),D4)</f>
        <v>REALIZADO</v>
      </c>
      <c r="E3" s="7">
        <f>IFERROR(VLOOKUP(B3,'[1]Controle de Equipamentos '!$M:$X,12,0),E4)</f>
        <v>0</v>
      </c>
      <c r="F3" s="7">
        <f>IFERROR(VLOOKUP(B3,'[1]Controle de Equipamentos '!$M:$X,11,0),F4)</f>
        <v>11</v>
      </c>
      <c r="G3" s="44">
        <f>IF(Tabela8[[#This Row],[Status ]]="REALIZADO",Tabela8[[#This Row],[Valor]],0)</f>
        <v>5442.73</v>
      </c>
      <c r="H3" s="44">
        <f>IF(Tabela8[[#This Row],[Status ]]="REALIZADO",0,Tabela8[[#This Row],[Valor]])</f>
        <v>0</v>
      </c>
      <c r="J3" s="14">
        <v>2</v>
      </c>
      <c r="K3" s="6">
        <f t="shared" si="0"/>
        <v>0</v>
      </c>
      <c r="L3" s="15">
        <f t="shared" ref="L3:L13" si="1">SUMIFS($C:$C,$D:$D,"REALIZADO",$F:$F,J3)</f>
        <v>0</v>
      </c>
    </row>
    <row r="4" spans="1:12" x14ac:dyDescent="0.25">
      <c r="A4" s="3" t="s">
        <v>35</v>
      </c>
      <c r="B4" s="3" t="s">
        <v>36</v>
      </c>
      <c r="C4" s="44">
        <v>6043.64</v>
      </c>
      <c r="D4" s="7" t="str">
        <f>IFERROR(IF(VLOOKUP(B4,'[1]Controle de Equipamentos '!$M:$W,10,0)="REALIZADO","REALIZADO",""),D5)</f>
        <v>REALIZADO</v>
      </c>
      <c r="E4" s="7">
        <f>IFERROR(VLOOKUP(B4,'[1]Controle de Equipamentos '!$M:$X,12,0),E5)</f>
        <v>6</v>
      </c>
      <c r="F4" s="7">
        <f>IFERROR(VLOOKUP(B4,'[1]Controle de Equipamentos '!$M:$X,11,0),F5)</f>
        <v>9</v>
      </c>
      <c r="G4" s="44">
        <f>IF(Tabela8[[#This Row],[Status ]]="REALIZADO",Tabela8[[#This Row],[Valor]],0)</f>
        <v>6043.64</v>
      </c>
      <c r="H4" s="44">
        <f>IF(Tabela8[[#This Row],[Status ]]="REALIZADO",0,Tabela8[[#This Row],[Valor]])</f>
        <v>0</v>
      </c>
      <c r="J4" s="14">
        <v>3</v>
      </c>
      <c r="K4" s="6">
        <f t="shared" si="0"/>
        <v>7962.46</v>
      </c>
      <c r="L4" s="15">
        <f t="shared" si="1"/>
        <v>4235.3100000000004</v>
      </c>
    </row>
    <row r="5" spans="1:12" x14ac:dyDescent="0.25">
      <c r="A5" s="3" t="s">
        <v>35</v>
      </c>
      <c r="B5" s="3" t="s">
        <v>91</v>
      </c>
      <c r="C5" s="44">
        <v>4464.25</v>
      </c>
      <c r="D5" s="7" t="str">
        <f>IFERROR(IF(VLOOKUP(B5,'[1]Controle de Equipamentos '!$M:$W,10,0)="REALIZADO","REALIZADO",""),D6)</f>
        <v>REALIZADO</v>
      </c>
      <c r="E5" s="7">
        <f>IFERROR(VLOOKUP(B5,'[1]Controle de Equipamentos '!$M:$X,12,0),E6)</f>
        <v>7</v>
      </c>
      <c r="F5" s="7">
        <f>IFERROR(VLOOKUP(B5,'[1]Controle de Equipamentos '!$M:$X,11,0),F6)</f>
        <v>9</v>
      </c>
      <c r="G5" s="44">
        <f>IF(Tabela8[[#This Row],[Status ]]="REALIZADO",Tabela8[[#This Row],[Valor]],0)</f>
        <v>4464.25</v>
      </c>
      <c r="H5" s="44">
        <f>IF(Tabela8[[#This Row],[Status ]]="REALIZADO",0,Tabela8[[#This Row],[Valor]])</f>
        <v>0</v>
      </c>
      <c r="J5" s="14">
        <v>4</v>
      </c>
      <c r="K5" s="6">
        <f t="shared" si="0"/>
        <v>16898.849999999999</v>
      </c>
      <c r="L5" s="15">
        <f t="shared" si="1"/>
        <v>0</v>
      </c>
    </row>
    <row r="6" spans="1:12" x14ac:dyDescent="0.25">
      <c r="A6" s="3" t="s">
        <v>37</v>
      </c>
      <c r="B6" s="3" t="s">
        <v>38</v>
      </c>
      <c r="C6" s="44">
        <v>8794.32</v>
      </c>
      <c r="D6" s="7" t="str">
        <f>IFERROR(IF(VLOOKUP(B6,'[1]Controle de Equipamentos '!$M:$W,10,0)="REALIZADO","REALIZADO",""),D7)</f>
        <v>REALIZADO</v>
      </c>
      <c r="E6" s="7">
        <f>IFERROR(VLOOKUP(B6,'[1]Controle de Equipamentos '!$M:$X,12,0),E7)</f>
        <v>11</v>
      </c>
      <c r="F6" s="7">
        <f>IFERROR(VLOOKUP(B6,'[1]Controle de Equipamentos '!$M:$X,11,0),F7)</f>
        <v>8</v>
      </c>
      <c r="G6" s="44">
        <f>IF(Tabela8[[#This Row],[Status ]]="REALIZADO",Tabela8[[#This Row],[Valor]],0)</f>
        <v>8794.32</v>
      </c>
      <c r="H6" s="44">
        <f>IF(Tabela8[[#This Row],[Status ]]="REALIZADO",0,Tabela8[[#This Row],[Valor]])</f>
        <v>0</v>
      </c>
      <c r="J6" s="14">
        <v>5</v>
      </c>
      <c r="K6" s="6">
        <f t="shared" si="0"/>
        <v>6839.34</v>
      </c>
      <c r="L6" s="15">
        <f t="shared" si="1"/>
        <v>9788.23</v>
      </c>
    </row>
    <row r="7" spans="1:12" x14ac:dyDescent="0.25">
      <c r="A7" s="3" t="s">
        <v>37</v>
      </c>
      <c r="B7" s="3" t="s">
        <v>39</v>
      </c>
      <c r="C7" s="44"/>
      <c r="D7" s="7" t="str">
        <f>IFERROR(IF(VLOOKUP(B7,'[1]Controle de Equipamentos '!$M:$W,10,0)="REALIZADO","REALIZADO",""),D8)</f>
        <v>REALIZADO</v>
      </c>
      <c r="E7" s="7">
        <f>IFERROR(VLOOKUP(B7,'[1]Controle de Equipamentos '!$M:$X,12,0),E8)</f>
        <v>11</v>
      </c>
      <c r="F7" s="7">
        <f>IFERROR(VLOOKUP(B7,'[1]Controle de Equipamentos '!$M:$X,11,0),F8)</f>
        <v>8</v>
      </c>
      <c r="G7" s="44">
        <f>IF(Tabela8[[#This Row],[Status ]]="REALIZADO",Tabela8[[#This Row],[Valor]],0)</f>
        <v>0</v>
      </c>
      <c r="H7" s="44">
        <f>IF(Tabela8[[#This Row],[Status ]]="REALIZADO",0,Tabela8[[#This Row],[Valor]])</f>
        <v>0</v>
      </c>
      <c r="J7" s="14">
        <v>6</v>
      </c>
      <c r="K7" s="6">
        <f t="shared" si="0"/>
        <v>14439.730000000001</v>
      </c>
      <c r="L7" s="15">
        <f t="shared" si="1"/>
        <v>0</v>
      </c>
    </row>
    <row r="8" spans="1:12" x14ac:dyDescent="0.25">
      <c r="A8" s="3" t="s">
        <v>37</v>
      </c>
      <c r="B8" s="3" t="s">
        <v>40</v>
      </c>
      <c r="C8" s="44"/>
      <c r="D8" s="7" t="str">
        <f>IFERROR(IF(VLOOKUP(B8,'[1]Controle de Equipamentos '!$M:$W,10,0)="REALIZADO","REALIZADO",""),D9)</f>
        <v>REALIZADO</v>
      </c>
      <c r="E8" s="7">
        <f>IFERROR(VLOOKUP(B8,'[1]Controle de Equipamentos '!$M:$X,12,0),E9)</f>
        <v>6</v>
      </c>
      <c r="F8" s="7">
        <f>IFERROR(VLOOKUP(B8,'[1]Controle de Equipamentos '!$M:$X,11,0),F9)</f>
        <v>8</v>
      </c>
      <c r="G8" s="44">
        <f>IF(Tabela8[[#This Row],[Status ]]="REALIZADO",Tabela8[[#This Row],[Valor]],0)</f>
        <v>0</v>
      </c>
      <c r="H8" s="44">
        <f>IF(Tabela8[[#This Row],[Status ]]="REALIZADO",0,Tabela8[[#This Row],[Valor]])</f>
        <v>0</v>
      </c>
      <c r="J8" s="14">
        <v>7</v>
      </c>
      <c r="K8" s="6">
        <f t="shared" si="0"/>
        <v>8773.44</v>
      </c>
      <c r="L8" s="15">
        <f t="shared" si="1"/>
        <v>7243.2</v>
      </c>
    </row>
    <row r="9" spans="1:12" x14ac:dyDescent="0.25">
      <c r="A9" s="3" t="s">
        <v>37</v>
      </c>
      <c r="B9" s="3" t="s">
        <v>41</v>
      </c>
      <c r="C9" s="44"/>
      <c r="D9" s="7" t="str">
        <f>IFERROR(IF(VLOOKUP(B9,'[1]Controle de Equipamentos '!$M:$W,10,0)="REALIZADO","REALIZADO",""),D10)</f>
        <v>REALIZADO</v>
      </c>
      <c r="E9" s="7">
        <f>IFERROR(VLOOKUP(B9,'[1]Controle de Equipamentos '!$M:$X,12,0),E10)</f>
        <v>6</v>
      </c>
      <c r="F9" s="7">
        <f>IFERROR(VLOOKUP(B9,'[1]Controle de Equipamentos '!$M:$X,11,0),F10)</f>
        <v>8</v>
      </c>
      <c r="G9" s="44">
        <f>IF(Tabela8[[#This Row],[Status ]]="REALIZADO",Tabela8[[#This Row],[Valor]],0)</f>
        <v>0</v>
      </c>
      <c r="H9" s="44">
        <f>IF(Tabela8[[#This Row],[Status ]]="REALIZADO",0,Tabela8[[#This Row],[Valor]])</f>
        <v>0</v>
      </c>
      <c r="J9" s="14">
        <v>8</v>
      </c>
      <c r="K9" s="6">
        <f t="shared" si="0"/>
        <v>7278.7400000000007</v>
      </c>
      <c r="L9" s="15">
        <f t="shared" si="1"/>
        <v>22147.67</v>
      </c>
    </row>
    <row r="10" spans="1:12" x14ac:dyDescent="0.25">
      <c r="A10" s="3" t="s">
        <v>37</v>
      </c>
      <c r="B10" s="3" t="s">
        <v>42</v>
      </c>
      <c r="C10" s="44"/>
      <c r="D10" s="7" t="str">
        <f>IFERROR(IF(VLOOKUP(B10,'[1]Controle de Equipamentos '!$M:$W,10,0)="REALIZADO","REALIZADO",""),D11)</f>
        <v>REALIZADO</v>
      </c>
      <c r="E10" s="7">
        <f>IFERROR(VLOOKUP(B10,'[1]Controle de Equipamentos '!$M:$X,12,0),E11)</f>
        <v>8</v>
      </c>
      <c r="F10" s="7">
        <f>IFERROR(VLOOKUP(B10,'[1]Controle de Equipamentos '!$M:$X,11,0),F11)</f>
        <v>8</v>
      </c>
      <c r="G10" s="44">
        <f>IF(Tabela8[[#This Row],[Status ]]="REALIZADO",Tabela8[[#This Row],[Valor]],0)</f>
        <v>0</v>
      </c>
      <c r="H10" s="44">
        <f>IF(Tabela8[[#This Row],[Status ]]="REALIZADO",0,Tabela8[[#This Row],[Valor]])</f>
        <v>0</v>
      </c>
      <c r="J10" s="14">
        <v>9</v>
      </c>
      <c r="K10" s="6">
        <f t="shared" si="0"/>
        <v>2217.88</v>
      </c>
      <c r="L10" s="15">
        <f t="shared" si="1"/>
        <v>22924.240000000002</v>
      </c>
    </row>
    <row r="11" spans="1:12" x14ac:dyDescent="0.25">
      <c r="A11" s="3" t="s">
        <v>43</v>
      </c>
      <c r="B11" s="3" t="s">
        <v>44</v>
      </c>
      <c r="C11" s="44">
        <v>2906.19</v>
      </c>
      <c r="D11" s="7" t="str">
        <f>IFERROR(IF(VLOOKUP(B11,'[1]Controle de Equipamentos '!$M:$W,10,0)="REALIZADO","REALIZADO",""),D12)</f>
        <v>REALIZADO</v>
      </c>
      <c r="E11" s="7">
        <f>IFERROR(VLOOKUP(B11,'[1]Controle de Equipamentos '!$M:$X,12,0),E12)</f>
        <v>7</v>
      </c>
      <c r="F11" s="7">
        <f>IFERROR(VLOOKUP(B11,'[1]Controle de Equipamentos '!$M:$X,11,0),F12)</f>
        <v>9</v>
      </c>
      <c r="G11" s="44">
        <f>IF(Tabela8[[#This Row],[Status ]]="REALIZADO",Tabela8[[#This Row],[Valor]],0)</f>
        <v>2906.19</v>
      </c>
      <c r="H11" s="44">
        <f>IF(Tabela8[[#This Row],[Status ]]="REALIZADO",0,Tabela8[[#This Row],[Valor]])</f>
        <v>0</v>
      </c>
      <c r="J11" s="14">
        <v>10</v>
      </c>
      <c r="K11" s="6">
        <f t="shared" si="0"/>
        <v>5197.42</v>
      </c>
      <c r="L11" s="15">
        <f t="shared" si="1"/>
        <v>13593.51</v>
      </c>
    </row>
    <row r="12" spans="1:12" x14ac:dyDescent="0.25">
      <c r="A12" s="3" t="s">
        <v>45</v>
      </c>
      <c r="B12" s="3" t="s">
        <v>46</v>
      </c>
      <c r="C12" s="44">
        <v>8170.43</v>
      </c>
      <c r="D12" s="7" t="str">
        <f>IFERROR(IF(VLOOKUP(B12,'[1]Controle de Equipamentos '!$M:$W,10,0)="REALIZADO","REALIZADO",""),D13)</f>
        <v>REALIZADO</v>
      </c>
      <c r="E12" s="7">
        <f>IFERROR(VLOOKUP(B12,'[1]Controle de Equipamentos '!$M:$X,12,0),E13)</f>
        <v>4</v>
      </c>
      <c r="F12" s="7">
        <f>IFERROR(VLOOKUP(B12,'[1]Controle de Equipamentos '!$M:$X,11,0),F13)</f>
        <v>8</v>
      </c>
      <c r="G12" s="44">
        <f>IF(Tabela8[[#This Row],[Status ]]="REALIZADO",Tabela8[[#This Row],[Valor]],0)</f>
        <v>8170.43</v>
      </c>
      <c r="H12" s="44">
        <f>IF(Tabela8[[#This Row],[Status ]]="REALIZADO",0,Tabela8[[#This Row],[Valor]])</f>
        <v>0</v>
      </c>
      <c r="J12" s="14">
        <v>11</v>
      </c>
      <c r="K12" s="6">
        <f t="shared" si="0"/>
        <v>8794.32</v>
      </c>
      <c r="L12" s="15">
        <f t="shared" si="1"/>
        <v>10229.06</v>
      </c>
    </row>
    <row r="13" spans="1:12" x14ac:dyDescent="0.25">
      <c r="A13" s="3" t="s">
        <v>45</v>
      </c>
      <c r="B13" s="3" t="s">
        <v>47</v>
      </c>
      <c r="C13" s="44"/>
      <c r="D13" s="7" t="str">
        <f>IFERROR(IF(VLOOKUP(B13,'[1]Controle de Equipamentos '!$M:$W,10,0)="REALIZADO","REALIZADO",""),D14)</f>
        <v>REALIZADO</v>
      </c>
      <c r="E13" s="7">
        <f>IFERROR(VLOOKUP(B13,'[1]Controle de Equipamentos '!$M:$X,12,0),E14)</f>
        <v>4</v>
      </c>
      <c r="F13" s="7">
        <f>IFERROR(VLOOKUP(B13,'[1]Controle de Equipamentos '!$M:$X,11,0),F14)</f>
        <v>8</v>
      </c>
      <c r="G13" s="44">
        <f>IF(Tabela8[[#This Row],[Status ]]="REALIZADO",Tabela8[[#This Row],[Valor]],0)</f>
        <v>0</v>
      </c>
      <c r="H13" s="44">
        <f>IF(Tabela8[[#This Row],[Status ]]="REALIZADO",0,Tabela8[[#This Row],[Valor]])</f>
        <v>0</v>
      </c>
      <c r="J13" s="16">
        <v>12</v>
      </c>
      <c r="K13" s="17">
        <f t="shared" si="0"/>
        <v>0</v>
      </c>
      <c r="L13" s="18">
        <f t="shared" si="1"/>
        <v>747.6</v>
      </c>
    </row>
    <row r="14" spans="1:12" x14ac:dyDescent="0.25">
      <c r="A14" s="3" t="s">
        <v>45</v>
      </c>
      <c r="B14" s="3" t="s">
        <v>48</v>
      </c>
      <c r="C14" s="44"/>
      <c r="D14" s="7" t="str">
        <f>IFERROR(IF(VLOOKUP(B14,'[1]Controle de Equipamentos '!$M:$W,10,0)="REALIZADO","REALIZADO",""),D15)</f>
        <v>REALIZADO</v>
      </c>
      <c r="E14" s="7">
        <f>IFERROR(VLOOKUP(B14,'[1]Controle de Equipamentos '!$M:$X,12,0),E15)</f>
        <v>4</v>
      </c>
      <c r="F14" s="7">
        <f>IFERROR(VLOOKUP(B14,'[1]Controle de Equipamentos '!$M:$X,11,0),F15)</f>
        <v>8</v>
      </c>
      <c r="G14" s="44">
        <f>IF(Tabela8[[#This Row],[Status ]]="REALIZADO",Tabela8[[#This Row],[Valor]],0)</f>
        <v>0</v>
      </c>
      <c r="H14" s="44">
        <f>IF(Tabela8[[#This Row],[Status ]]="REALIZADO",0,Tabela8[[#This Row],[Valor]])</f>
        <v>0</v>
      </c>
    </row>
    <row r="15" spans="1:12" x14ac:dyDescent="0.25">
      <c r="A15" s="3" t="s">
        <v>45</v>
      </c>
      <c r="B15" s="3" t="s">
        <v>49</v>
      </c>
      <c r="C15" s="44"/>
      <c r="D15" s="7" t="str">
        <f>IFERROR(IF(VLOOKUP(B15,'[1]Controle de Equipamentos '!$M:$W,10,0)="REALIZADO","REALIZADO",""),D16)</f>
        <v>REALIZADO</v>
      </c>
      <c r="E15" s="7">
        <f>IFERROR(VLOOKUP(B15,'[1]Controle de Equipamentos '!$M:$X,12,0),E16)</f>
        <v>4</v>
      </c>
      <c r="F15" s="7">
        <f>IFERROR(VLOOKUP(B15,'[1]Controle de Equipamentos '!$M:$X,11,0),F16)</f>
        <v>8</v>
      </c>
      <c r="G15" s="44">
        <f>IF(Tabela8[[#This Row],[Status ]]="REALIZADO",Tabela8[[#This Row],[Valor]],0)</f>
        <v>0</v>
      </c>
      <c r="H15" s="44">
        <f>IF(Tabela8[[#This Row],[Status ]]="REALIZADO",0,Tabela8[[#This Row],[Valor]])</f>
        <v>0</v>
      </c>
    </row>
    <row r="16" spans="1:12" x14ac:dyDescent="0.25">
      <c r="A16" s="3" t="s">
        <v>45</v>
      </c>
      <c r="B16" s="3" t="s">
        <v>50</v>
      </c>
      <c r="C16" s="44"/>
      <c r="D16" s="7" t="str">
        <f>IFERROR(IF(VLOOKUP(B16,'[1]Controle de Equipamentos '!$M:$W,10,0)="REALIZADO","REALIZADO",""),D17)</f>
        <v>REALIZADO</v>
      </c>
      <c r="E16" s="7">
        <f>IFERROR(VLOOKUP(B16,'[1]Controle de Equipamentos '!$M:$X,12,0),E17)</f>
        <v>7</v>
      </c>
      <c r="F16" s="7">
        <f>IFERROR(VLOOKUP(B16,'[1]Controle de Equipamentos '!$M:$X,11,0),F17)</f>
        <v>9</v>
      </c>
      <c r="G16" s="44">
        <f>IF(Tabela8[[#This Row],[Status ]]="REALIZADO",Tabela8[[#This Row],[Valor]],0)</f>
        <v>0</v>
      </c>
      <c r="H16" s="44">
        <f>IF(Tabela8[[#This Row],[Status ]]="REALIZADO",0,Tabela8[[#This Row],[Valor]])</f>
        <v>0</v>
      </c>
    </row>
    <row r="17" spans="1:8" x14ac:dyDescent="0.25">
      <c r="A17" s="3" t="s">
        <v>45</v>
      </c>
      <c r="B17" s="3" t="s">
        <v>51</v>
      </c>
      <c r="C17" s="44">
        <v>3047.53</v>
      </c>
      <c r="D17" s="7" t="str">
        <f>IFERROR(IF(VLOOKUP(B17,'[1]Controle de Equipamentos '!$M:$W,10,0)="REALIZADO","REALIZADO",""),D18)</f>
        <v>REALIZADO</v>
      </c>
      <c r="E17" s="7">
        <f>IFERROR(VLOOKUP(B17,'[1]Controle de Equipamentos '!$M:$X,12,0),E18)</f>
        <v>8</v>
      </c>
      <c r="F17" s="7">
        <f>IFERROR(VLOOKUP(B17,'[1]Controle de Equipamentos '!$M:$X,11,0),F18)</f>
        <v>7</v>
      </c>
      <c r="G17" s="44">
        <f>IF(Tabela8[[#This Row],[Status ]]="REALIZADO",Tabela8[[#This Row],[Valor]],0)</f>
        <v>3047.53</v>
      </c>
      <c r="H17" s="44">
        <f>IF(Tabela8[[#This Row],[Status ]]="REALIZADO",0,Tabela8[[#This Row],[Valor]])</f>
        <v>0</v>
      </c>
    </row>
    <row r="18" spans="1:8" x14ac:dyDescent="0.25">
      <c r="A18" s="3" t="s">
        <v>45</v>
      </c>
      <c r="B18" s="3" t="s">
        <v>52</v>
      </c>
      <c r="C18" s="44">
        <v>2647.05</v>
      </c>
      <c r="D18" s="7" t="str">
        <f>IFERROR(IF(VLOOKUP(B18,'[1]Controle de Equipamentos '!$M:$W,10,0)="REALIZADO","REALIZADO",""),D19)</f>
        <v/>
      </c>
      <c r="E18" s="7">
        <f>IFERROR(VLOOKUP(B18,'[1]Controle de Equipamentos '!$M:$X,12,0),E19)</f>
        <v>4</v>
      </c>
      <c r="F18" s="7">
        <f>IFERROR(VLOOKUP(B18,'[1]Controle de Equipamentos '!$M:$X,11,0),F19)</f>
        <v>3</v>
      </c>
      <c r="G18" s="44">
        <f>IF(Tabela8[[#This Row],[Status ]]="REALIZADO",Tabela8[[#This Row],[Valor]],0)</f>
        <v>0</v>
      </c>
      <c r="H18" s="44">
        <f>IF(Tabela8[[#This Row],[Status ]]="REALIZADO",0,Tabela8[[#This Row],[Valor]])</f>
        <v>2647.05</v>
      </c>
    </row>
    <row r="19" spans="1:8" x14ac:dyDescent="0.25">
      <c r="A19" s="3" t="s">
        <v>45</v>
      </c>
      <c r="B19" s="3" t="s">
        <v>92</v>
      </c>
      <c r="C19" s="44"/>
      <c r="D19" s="7" t="str">
        <f>IFERROR(IF(VLOOKUP(B19,'[1]Controle de Equipamentos '!$M:$W,10,0)="REALIZADO","REALIZADO",""),D20)</f>
        <v/>
      </c>
      <c r="E19" s="7">
        <f>IFERROR(VLOOKUP(B19,'[1]Controle de Equipamentos '!$M:$X,12,0),E20)</f>
        <v>4</v>
      </c>
      <c r="F19" s="7">
        <f>IFERROR(VLOOKUP(B19,'[1]Controle de Equipamentos '!$M:$X,11,0),F20)</f>
        <v>3</v>
      </c>
      <c r="G19" s="44">
        <f>IF(Tabela8[[#This Row],[Status ]]="REALIZADO",Tabela8[[#This Row],[Valor]],0)</f>
        <v>0</v>
      </c>
      <c r="H19" s="44">
        <f>IF(Tabela8[[#This Row],[Status ]]="REALIZADO",0,Tabela8[[#This Row],[Valor]])</f>
        <v>0</v>
      </c>
    </row>
    <row r="20" spans="1:8" x14ac:dyDescent="0.25">
      <c r="A20" s="3" t="s">
        <v>45</v>
      </c>
      <c r="B20" s="3" t="s">
        <v>53</v>
      </c>
      <c r="C20" s="44"/>
      <c r="D20" s="7" t="str">
        <f>IFERROR(IF(VLOOKUP(B20,'[1]Controle de Equipamentos '!$M:$W,10,0)="REALIZADO","REALIZADO",""),D21)</f>
        <v/>
      </c>
      <c r="E20" s="7">
        <f>IFERROR(VLOOKUP(B20,'[1]Controle de Equipamentos '!$M:$X,12,0),E21)</f>
        <v>7</v>
      </c>
      <c r="F20" s="7">
        <f>IFERROR(VLOOKUP(B20,'[1]Controle de Equipamentos '!$M:$X,11,0),F21)</f>
        <v>3</v>
      </c>
      <c r="G20" s="44">
        <f>IF(Tabela8[[#This Row],[Status ]]="REALIZADO",Tabela8[[#This Row],[Valor]],0)</f>
        <v>0</v>
      </c>
      <c r="H20" s="44">
        <f>IF(Tabela8[[#This Row],[Status ]]="REALIZADO",0,Tabela8[[#This Row],[Valor]])</f>
        <v>0</v>
      </c>
    </row>
    <row r="21" spans="1:8" x14ac:dyDescent="0.25">
      <c r="A21" s="3" t="s">
        <v>54</v>
      </c>
      <c r="B21" s="3" t="s">
        <v>55</v>
      </c>
      <c r="C21" s="44">
        <v>3706.86</v>
      </c>
      <c r="D21" s="7" t="str">
        <f>IFERROR(IF(VLOOKUP(B21,'[1]Controle de Equipamentos '!$M:$W,10,0)="REALIZADO","REALIZADO",""),D22)</f>
        <v>REALIZADO</v>
      </c>
      <c r="E21" s="7">
        <f>IFERROR(VLOOKUP(B21,'[1]Controle de Equipamentos '!$M:$X,12,0),E22)</f>
        <v>8</v>
      </c>
      <c r="F21" s="7">
        <f>IFERROR(VLOOKUP(B21,'[1]Controle de Equipamentos '!$M:$X,11,0),F22)</f>
        <v>5</v>
      </c>
      <c r="G21" s="44">
        <f>IF(Tabela8[[#This Row],[Status ]]="REALIZADO",Tabela8[[#This Row],[Valor]],0)</f>
        <v>3706.86</v>
      </c>
      <c r="H21" s="44">
        <f>IF(Tabela8[[#This Row],[Status ]]="REALIZADO",0,Tabela8[[#This Row],[Valor]])</f>
        <v>0</v>
      </c>
    </row>
    <row r="22" spans="1:8" x14ac:dyDescent="0.25">
      <c r="A22" s="3" t="s">
        <v>54</v>
      </c>
      <c r="B22" s="3" t="s">
        <v>56</v>
      </c>
      <c r="C22" s="44"/>
      <c r="D22" s="7" t="str">
        <f>IFERROR(IF(VLOOKUP(B22,'[1]Controle de Equipamentos '!$M:$W,10,0)="REALIZADO","REALIZADO",""),D23)</f>
        <v>REALIZADO</v>
      </c>
      <c r="E22" s="7">
        <f>IFERROR(VLOOKUP(B22,'[1]Controle de Equipamentos '!$M:$X,12,0),E23)</f>
        <v>8</v>
      </c>
      <c r="F22" s="7">
        <f>IFERROR(VLOOKUP(B22,'[1]Controle de Equipamentos '!$M:$X,11,0),F23)</f>
        <v>5</v>
      </c>
      <c r="G22" s="44">
        <f>IF(Tabela8[[#This Row],[Status ]]="REALIZADO",Tabela8[[#This Row],[Valor]],0)</f>
        <v>0</v>
      </c>
      <c r="H22" s="44">
        <f>IF(Tabela8[[#This Row],[Status ]]="REALIZADO",0,Tabela8[[#This Row],[Valor]])</f>
        <v>0</v>
      </c>
    </row>
    <row r="23" spans="1:8" x14ac:dyDescent="0.25">
      <c r="A23" s="3" t="s">
        <v>54</v>
      </c>
      <c r="B23" s="3" t="s">
        <v>57</v>
      </c>
      <c r="C23" s="44"/>
      <c r="D23" s="7" t="str">
        <f>IFERROR(IF(VLOOKUP(B23,'[1]Controle de Equipamentos '!$M:$W,10,0)="REALIZADO","REALIZADO",""),D24)</f>
        <v>REALIZADO</v>
      </c>
      <c r="E23" s="7">
        <f>IFERROR(VLOOKUP(B23,'[1]Controle de Equipamentos '!$M:$X,12,0),E24)</f>
        <v>10</v>
      </c>
      <c r="F23" s="7">
        <f>IFERROR(VLOOKUP(B23,'[1]Controle de Equipamentos '!$M:$X,11,0),F24)</f>
        <v>11</v>
      </c>
      <c r="G23" s="44">
        <f>IF(Tabela8[[#This Row],[Status ]]="REALIZADO",Tabela8[[#This Row],[Valor]],0)</f>
        <v>0</v>
      </c>
      <c r="H23" s="44">
        <f>IF(Tabela8[[#This Row],[Status ]]="REALIZADO",0,Tabela8[[#This Row],[Valor]])</f>
        <v>0</v>
      </c>
    </row>
    <row r="24" spans="1:8" x14ac:dyDescent="0.25">
      <c r="A24" s="3" t="s">
        <v>58</v>
      </c>
      <c r="B24" s="3" t="s">
        <v>59</v>
      </c>
      <c r="C24" s="44">
        <v>5197.42</v>
      </c>
      <c r="D24" s="7" t="str">
        <f>IFERROR(IF(VLOOKUP(B24,'[1]Controle de Equipamentos '!$M:$W,10,0)="REALIZADO","REALIZADO",""),D25)</f>
        <v>REALIZADO</v>
      </c>
      <c r="E24" s="7">
        <f>IFERROR(VLOOKUP(B24,'[1]Controle de Equipamentos '!$M:$X,12,0),E25)</f>
        <v>10</v>
      </c>
      <c r="F24" s="7">
        <f>IFERROR(VLOOKUP(B24,'[1]Controle de Equipamentos '!$M:$X,11,0),F25)</f>
        <v>10</v>
      </c>
      <c r="G24" s="44">
        <f>IF(Tabela8[[#This Row],[Status ]]="REALIZADO",Tabela8[[#This Row],[Valor]],0)</f>
        <v>5197.42</v>
      </c>
      <c r="H24" s="44">
        <f>IF(Tabela8[[#This Row],[Status ]]="REALIZADO",0,Tabela8[[#This Row],[Valor]])</f>
        <v>0</v>
      </c>
    </row>
    <row r="25" spans="1:8" x14ac:dyDescent="0.25">
      <c r="A25" s="3" t="s">
        <v>60</v>
      </c>
      <c r="B25" s="3" t="s">
        <v>61</v>
      </c>
      <c r="C25" s="44">
        <v>6081.37</v>
      </c>
      <c r="D25" s="7" t="str">
        <f>IFERROR(IF(VLOOKUP(B25,'[1]Controle de Equipamentos '!$M:$W,10,0)="REALIZADO","REALIZADO",""),D26)</f>
        <v>REALIZADO</v>
      </c>
      <c r="E25" s="7">
        <f>IFERROR(VLOOKUP(B25,'[1]Controle de Equipamentos '!$M:$X,12,0),E26)</f>
        <v>4</v>
      </c>
      <c r="F25" s="7">
        <f>IFERROR(VLOOKUP(B25,'[1]Controle de Equipamentos '!$M:$X,11,0),F26)</f>
        <v>5</v>
      </c>
      <c r="G25" s="44">
        <f>IF(Tabela8[[#This Row],[Status ]]="REALIZADO",Tabela8[[#This Row],[Valor]],0)</f>
        <v>6081.37</v>
      </c>
      <c r="H25" s="44">
        <f>IF(Tabela8[[#This Row],[Status ]]="REALIZADO",0,Tabela8[[#This Row],[Valor]])</f>
        <v>0</v>
      </c>
    </row>
    <row r="26" spans="1:8" x14ac:dyDescent="0.25">
      <c r="A26" s="3" t="s">
        <v>62</v>
      </c>
      <c r="B26" s="3" t="s">
        <v>63</v>
      </c>
      <c r="C26" s="44">
        <v>3930.99</v>
      </c>
      <c r="D26" s="7" t="str">
        <f>IFERROR(IF(VLOOKUP(B26,'[1]Controle de Equipamentos '!$M:$W,10,0)="REALIZADO","REALIZADO",""),D27)</f>
        <v>REALIZADO</v>
      </c>
      <c r="E26" s="7">
        <f>IFERROR(VLOOKUP(B26,'[1]Controle de Equipamentos '!$M:$X,12,0),E27)</f>
        <v>6</v>
      </c>
      <c r="F26" s="7">
        <f>IFERROR(VLOOKUP(B26,'[1]Controle de Equipamentos '!$M:$X,11,0),F27)</f>
        <v>10</v>
      </c>
      <c r="G26" s="44">
        <f>IF(Tabela8[[#This Row],[Status ]]="REALIZADO",Tabela8[[#This Row],[Valor]],0)</f>
        <v>3930.99</v>
      </c>
      <c r="H26" s="44">
        <f>IF(Tabela8[[#This Row],[Status ]]="REALIZADO",0,Tabela8[[#This Row],[Valor]])</f>
        <v>0</v>
      </c>
    </row>
    <row r="27" spans="1:8" x14ac:dyDescent="0.25">
      <c r="A27" s="3" t="s">
        <v>64</v>
      </c>
      <c r="B27" s="3" t="s">
        <v>65</v>
      </c>
      <c r="C27" s="44">
        <v>4465.1000000000004</v>
      </c>
      <c r="D27" s="7" t="str">
        <f>IFERROR(IF(VLOOKUP(B27,'[1]Controle de Equipamentos '!$M:$W,10,0)="REALIZADO","REALIZADO",""),D28)</f>
        <v>REALIZADO</v>
      </c>
      <c r="E27" s="7">
        <f>IFERROR(VLOOKUP(B27,'[1]Controle de Equipamentos '!$M:$X,12,0),E28)</f>
        <v>6</v>
      </c>
      <c r="F27" s="7">
        <f>IFERROR(VLOOKUP(B27,'[1]Controle de Equipamentos '!$M:$X,11,0),F28)</f>
        <v>10</v>
      </c>
      <c r="G27" s="44">
        <f>IF(Tabela8[[#This Row],[Status ]]="REALIZADO",Tabela8[[#This Row],[Valor]],0)</f>
        <v>4465.1000000000004</v>
      </c>
      <c r="H27" s="44">
        <f>IF(Tabela8[[#This Row],[Status ]]="REALIZADO",0,Tabela8[[#This Row],[Valor]])</f>
        <v>0</v>
      </c>
    </row>
    <row r="28" spans="1:8" x14ac:dyDescent="0.25">
      <c r="A28" s="3" t="s">
        <v>66</v>
      </c>
      <c r="B28" s="3" t="s">
        <v>67</v>
      </c>
      <c r="C28" s="44">
        <v>4786.33</v>
      </c>
      <c r="D28" s="7" t="str">
        <f>IFERROR(IF(VLOOKUP(B28,'[1]Controle de Equipamentos '!$M:$W,10,0)="REALIZADO","REALIZADO",""),D29)</f>
        <v>REALIZADO</v>
      </c>
      <c r="E28" s="7">
        <f>IFERROR(VLOOKUP(B28,'[1]Controle de Equipamentos '!$M:$X,12,0),E29)</f>
        <v>1</v>
      </c>
      <c r="F28" s="7">
        <f>IFERROR(VLOOKUP(B28,'[1]Controle de Equipamentos '!$M:$X,11,0),F29)</f>
        <v>11</v>
      </c>
      <c r="G28" s="44">
        <f>IF(Tabela8[[#This Row],[Status ]]="REALIZADO",Tabela8[[#This Row],[Valor]],0)</f>
        <v>4786.33</v>
      </c>
      <c r="H28" s="44">
        <f>IF(Tabela8[[#This Row],[Status ]]="REALIZADO",0,Tabela8[[#This Row],[Valor]])</f>
        <v>0</v>
      </c>
    </row>
    <row r="29" spans="1:8" x14ac:dyDescent="0.25">
      <c r="A29" s="3" t="s">
        <v>66</v>
      </c>
      <c r="B29" s="3" t="s">
        <v>68</v>
      </c>
      <c r="C29" s="44"/>
      <c r="D29" s="7" t="str">
        <f>IFERROR(IF(VLOOKUP(B29,'[1]Controle de Equipamentos '!$M:$W,10,0)="REALIZADO","REALIZADO",""),D30)</f>
        <v>REALIZADO</v>
      </c>
      <c r="E29" s="7">
        <f>IFERROR(VLOOKUP(B29,'[1]Controle de Equipamentos '!$M:$X,12,0),E30)</f>
        <v>1</v>
      </c>
      <c r="F29" s="7">
        <f>IFERROR(VLOOKUP(B29,'[1]Controle de Equipamentos '!$M:$X,11,0),F30)</f>
        <v>11</v>
      </c>
      <c r="G29" s="44">
        <f>IF(Tabela8[[#This Row],[Status ]]="REALIZADO",Tabela8[[#This Row],[Valor]],0)</f>
        <v>0</v>
      </c>
      <c r="H29" s="44">
        <f>IF(Tabela8[[#This Row],[Status ]]="REALIZADO",0,Tabela8[[#This Row],[Valor]])</f>
        <v>0</v>
      </c>
    </row>
    <row r="30" spans="1:8" x14ac:dyDescent="0.25">
      <c r="A30" s="3" t="s">
        <v>66</v>
      </c>
      <c r="B30" s="3" t="s">
        <v>69</v>
      </c>
      <c r="C30" s="44"/>
      <c r="D30" s="7" t="str">
        <f>IFERROR(IF(VLOOKUP(B30,'[1]Controle de Equipamentos '!$M:$W,10,0)="REALIZADO","REALIZADO",""),D31)</f>
        <v>REALIZADO</v>
      </c>
      <c r="E30" s="7">
        <f>IFERROR(VLOOKUP(B30,'[1]Controle de Equipamentos '!$M:$X,12,0),E31)</f>
        <v>9</v>
      </c>
      <c r="F30" s="7">
        <f>IFERROR(VLOOKUP(B30,'[1]Controle de Equipamentos '!$M:$X,11,0),F31)</f>
        <v>7</v>
      </c>
      <c r="G30" s="44">
        <f>IF(Tabela8[[#This Row],[Status ]]="REALIZADO",Tabela8[[#This Row],[Valor]],0)</f>
        <v>0</v>
      </c>
      <c r="H30" s="44">
        <f>IF(Tabela8[[#This Row],[Status ]]="REALIZADO",0,Tabela8[[#This Row],[Valor]])</f>
        <v>0</v>
      </c>
    </row>
    <row r="31" spans="1:8" x14ac:dyDescent="0.25">
      <c r="A31" s="3" t="s">
        <v>70</v>
      </c>
      <c r="B31" s="3" t="s">
        <v>71</v>
      </c>
      <c r="C31" s="44">
        <v>4235.3100000000004</v>
      </c>
      <c r="D31" s="7" t="str">
        <f>IFERROR(IF(VLOOKUP(B31,'[1]Controle de Equipamentos '!$M:$W,10,0)="REALIZADO","REALIZADO",""),D32)</f>
        <v>REALIZADO</v>
      </c>
      <c r="E31" s="7">
        <f>IFERROR(VLOOKUP(B31,'[1]Controle de Equipamentos '!$M:$X,12,0),E32)</f>
        <v>0</v>
      </c>
      <c r="F31" s="7">
        <f>IFERROR(VLOOKUP(B31,'[1]Controle de Equipamentos '!$M:$X,11,0),F32)</f>
        <v>3</v>
      </c>
      <c r="G31" s="44">
        <f>IF(Tabela8[[#This Row],[Status ]]="REALIZADO",Tabela8[[#This Row],[Valor]],0)</f>
        <v>4235.3100000000004</v>
      </c>
      <c r="H31" s="44">
        <f>IF(Tabela8[[#This Row],[Status ]]="REALIZADO",0,Tabela8[[#This Row],[Valor]])</f>
        <v>0</v>
      </c>
    </row>
    <row r="32" spans="1:8" x14ac:dyDescent="0.25">
      <c r="A32" s="3" t="s">
        <v>70</v>
      </c>
      <c r="B32" s="3" t="s">
        <v>72</v>
      </c>
      <c r="C32" s="44"/>
      <c r="D32" s="7" t="str">
        <f>IFERROR(IF(VLOOKUP(B32,'[1]Controle de Equipamentos '!$M:$W,10,0)="REALIZADO","REALIZADO",""),D33)</f>
        <v/>
      </c>
      <c r="E32" s="7">
        <f>IFERROR(VLOOKUP(B32,'[1]Controle de Equipamentos '!$M:$X,12,0),E33)</f>
        <v>6</v>
      </c>
      <c r="F32" s="7">
        <f>IFERROR(VLOOKUP(B32,'[1]Controle de Equipamentos '!$M:$X,11,0),F33)</f>
        <v>3</v>
      </c>
      <c r="G32" s="44">
        <f>IF(Tabela8[[#This Row],[Status ]]="REALIZADO",Tabela8[[#This Row],[Valor]],0)</f>
        <v>0</v>
      </c>
      <c r="H32" s="44">
        <f>IF(Tabela8[[#This Row],[Status ]]="REALIZADO",0,Tabela8[[#This Row],[Valor]])</f>
        <v>0</v>
      </c>
    </row>
    <row r="33" spans="1:8" x14ac:dyDescent="0.25">
      <c r="A33" s="3" t="s">
        <v>70</v>
      </c>
      <c r="B33" s="3" t="s">
        <v>73</v>
      </c>
      <c r="C33" s="44"/>
      <c r="D33" s="7" t="str">
        <f>IFERROR(IF(VLOOKUP(B33,'[1]Controle de Equipamentos '!$M:$W,10,0)="REALIZADO","REALIZADO",""),D34)</f>
        <v/>
      </c>
      <c r="E33" s="7">
        <f>IFERROR(VLOOKUP(B33,'[1]Controle de Equipamentos '!$M:$X,12,0),E34)</f>
        <v>9</v>
      </c>
      <c r="F33" s="7">
        <f>IFERROR(VLOOKUP(B33,'[1]Controle de Equipamentos '!$M:$X,11,0),F34)</f>
        <v>3</v>
      </c>
      <c r="G33" s="44">
        <f>IF(Tabela8[[#This Row],[Status ]]="REALIZADO",Tabela8[[#This Row],[Valor]],0)</f>
        <v>0</v>
      </c>
      <c r="H33" s="44">
        <f>IF(Tabela8[[#This Row],[Status ]]="REALIZADO",0,Tabela8[[#This Row],[Valor]])</f>
        <v>0</v>
      </c>
    </row>
    <row r="34" spans="1:8" x14ac:dyDescent="0.25">
      <c r="A34" s="3" t="s">
        <v>70</v>
      </c>
      <c r="B34" s="3" t="s">
        <v>74</v>
      </c>
      <c r="C34" s="44"/>
      <c r="D34" s="7" t="str">
        <f>IFERROR(IF(VLOOKUP(B34,'[1]Controle de Equipamentos '!$M:$W,10,0)="REALIZADO","REALIZADO",""),D35)</f>
        <v/>
      </c>
      <c r="E34" s="7">
        <f>IFERROR(VLOOKUP(B34,'[1]Controle de Equipamentos '!$M:$X,12,0),E35)</f>
        <v>5</v>
      </c>
      <c r="F34" s="7">
        <f>IFERROR(VLOOKUP(B34,'[1]Controle de Equipamentos '!$M:$X,11,0),F35)</f>
        <v>3</v>
      </c>
      <c r="G34" s="44">
        <f>IF(Tabela8[[#This Row],[Status ]]="REALIZADO",Tabela8[[#This Row],[Valor]],0)</f>
        <v>0</v>
      </c>
      <c r="H34" s="44">
        <f>IF(Tabela8[[#This Row],[Status ]]="REALIZADO",0,Tabela8[[#This Row],[Valor]])</f>
        <v>0</v>
      </c>
    </row>
    <row r="35" spans="1:8" x14ac:dyDescent="0.25">
      <c r="A35" s="3" t="s">
        <v>75</v>
      </c>
      <c r="B35" s="3" t="s">
        <v>76</v>
      </c>
      <c r="C35" s="44">
        <v>5182.92</v>
      </c>
      <c r="D35" s="7" t="str">
        <f>IFERROR(IF(VLOOKUP(B35,'[1]Controle de Equipamentos '!$M:$W,10,0)="REALIZADO","REALIZADO",""),D36)</f>
        <v>REALIZADO</v>
      </c>
      <c r="E35" s="7">
        <f>IFERROR(VLOOKUP(B35,'[1]Controle de Equipamentos '!$M:$X,12,0),E36)</f>
        <v>5</v>
      </c>
      <c r="F35" s="7">
        <f>IFERROR(VLOOKUP(B35,'[1]Controle de Equipamentos '!$M:$X,11,0),F36)</f>
        <v>8</v>
      </c>
      <c r="G35" s="44">
        <f>IF(Tabela8[[#This Row],[Status ]]="REALIZADO",Tabela8[[#This Row],[Valor]],0)</f>
        <v>5182.92</v>
      </c>
      <c r="H35" s="44">
        <f>IF(Tabela8[[#This Row],[Status ]]="REALIZADO",0,Tabela8[[#This Row],[Valor]])</f>
        <v>0</v>
      </c>
    </row>
    <row r="36" spans="1:8" x14ac:dyDescent="0.25">
      <c r="A36" s="3" t="s">
        <v>75</v>
      </c>
      <c r="B36" s="3" t="s">
        <v>77</v>
      </c>
      <c r="C36" s="44"/>
      <c r="D36" s="7" t="str">
        <f>IFERROR(IF(VLOOKUP(B36,'[1]Controle de Equipamentos '!$M:$W,10,0)="REALIZADO","REALIZADO",""),D37)</f>
        <v>REALIZADO</v>
      </c>
      <c r="E36" s="7">
        <f>IFERROR(VLOOKUP(B36,'[1]Controle de Equipamentos '!$M:$X,12,0),E37)</f>
        <v>5</v>
      </c>
      <c r="F36" s="7">
        <f>IFERROR(VLOOKUP(B36,'[1]Controle de Equipamentos '!$M:$X,11,0),F37)</f>
        <v>8</v>
      </c>
      <c r="G36" s="44">
        <f>IF(Tabela8[[#This Row],[Status ]]="REALIZADO",Tabela8[[#This Row],[Valor]],0)</f>
        <v>0</v>
      </c>
      <c r="H36" s="44">
        <f>IF(Tabela8[[#This Row],[Status ]]="REALIZADO",0,Tabela8[[#This Row],[Valor]])</f>
        <v>0</v>
      </c>
    </row>
    <row r="37" spans="1:8" x14ac:dyDescent="0.25">
      <c r="A37" s="3" t="s">
        <v>75</v>
      </c>
      <c r="B37" s="3" t="s">
        <v>78</v>
      </c>
      <c r="C37" s="44"/>
      <c r="D37" s="7" t="str">
        <f>IFERROR(IF(VLOOKUP(B37,'[1]Controle de Equipamentos '!$M:$W,10,0)="REALIZADO","REALIZADO",""),D38)</f>
        <v>REALIZADO</v>
      </c>
      <c r="E37" s="7">
        <f>IFERROR(VLOOKUP(B37,'[1]Controle de Equipamentos '!$M:$X,12,0),E38)</f>
        <v>8</v>
      </c>
      <c r="F37" s="7">
        <f>IFERROR(VLOOKUP(B37,'[1]Controle de Equipamentos '!$M:$X,11,0),F38)</f>
        <v>8</v>
      </c>
      <c r="G37" s="44">
        <f>IF(Tabela8[[#This Row],[Status ]]="REALIZADO",Tabela8[[#This Row],[Valor]],0)</f>
        <v>0</v>
      </c>
      <c r="H37" s="44">
        <f>IF(Tabela8[[#This Row],[Status ]]="REALIZADO",0,Tabela8[[#This Row],[Valor]])</f>
        <v>0</v>
      </c>
    </row>
    <row r="38" spans="1:8" x14ac:dyDescent="0.25">
      <c r="A38" s="3" t="s">
        <v>75</v>
      </c>
      <c r="B38" s="3" t="s">
        <v>79</v>
      </c>
      <c r="C38" s="44">
        <v>5520.22</v>
      </c>
      <c r="D38" s="7" t="str">
        <f>IFERROR(IF(VLOOKUP(B38,'[1]Controle de Equipamentos '!$M:$W,10,0)="REALIZADO","REALIZADO",""),D39)</f>
        <v>REALIZADO</v>
      </c>
      <c r="E38" s="7">
        <f>IFERROR(VLOOKUP(B38,'[1]Controle de Equipamentos '!$M:$X,12,0),E39)</f>
        <v>3</v>
      </c>
      <c r="F38" s="7">
        <f>IFERROR(VLOOKUP(B38,'[1]Controle de Equipamentos '!$M:$X,11,0),F39)</f>
        <v>9</v>
      </c>
      <c r="G38" s="44">
        <f>IF(Tabela8[[#This Row],[Status ]]="REALIZADO",Tabela8[[#This Row],[Valor]],0)</f>
        <v>5520.22</v>
      </c>
      <c r="H38" s="44">
        <f>IF(Tabela8[[#This Row],[Status ]]="REALIZADO",0,Tabela8[[#This Row],[Valor]])</f>
        <v>0</v>
      </c>
    </row>
    <row r="39" spans="1:8" x14ac:dyDescent="0.25">
      <c r="A39" s="3" t="s">
        <v>80</v>
      </c>
      <c r="B39" s="3" t="s">
        <v>81</v>
      </c>
      <c r="C39" s="44">
        <v>2444.52</v>
      </c>
      <c r="D39" s="7" t="str">
        <f>IFERROR(IF(VLOOKUP(B39,'[1]Controle de Equipamentos '!$M:$W,10,0)="REALIZADO","REALIZADO",""),D40)</f>
        <v>REALIZADO</v>
      </c>
      <c r="E39" s="7">
        <f>IFERROR(VLOOKUP(B39,'[1]Controle de Equipamentos '!$M:$X,12,0),E40)</f>
        <v>0</v>
      </c>
      <c r="F39" s="7">
        <f>IFERROR(VLOOKUP(B39,'[1]Controle de Equipamentos '!$M:$X,11,0),F40)</f>
        <v>7</v>
      </c>
      <c r="G39" s="44">
        <f>IF(Tabela8[[#This Row],[Status ]]="REALIZADO",Tabela8[[#This Row],[Valor]],0)</f>
        <v>2444.52</v>
      </c>
      <c r="H39" s="44">
        <f>IF(Tabela8[[#This Row],[Status ]]="REALIZADO",0,Tabela8[[#This Row],[Valor]])</f>
        <v>0</v>
      </c>
    </row>
    <row r="40" spans="1:8" x14ac:dyDescent="0.25">
      <c r="A40" s="3" t="s">
        <v>82</v>
      </c>
      <c r="B40" s="3" t="s">
        <v>83</v>
      </c>
      <c r="C40" s="44">
        <v>2442.2399999999998</v>
      </c>
      <c r="D40" s="7" t="str">
        <f>IFERROR(IF(VLOOKUP(B40,'[1]Controle de Equipamentos '!$M:$W,10,0)="REALIZADO","REALIZADO",""),D41)</f>
        <v/>
      </c>
      <c r="E40" s="7">
        <f>IFERROR(VLOOKUP(B40,'[1]Controle de Equipamentos '!$M:$X,12,0),E41)</f>
        <v>3</v>
      </c>
      <c r="F40" s="7">
        <f>IFERROR(VLOOKUP(B40,'[1]Controle de Equipamentos '!$M:$X,11,0),F41)</f>
        <v>4</v>
      </c>
      <c r="G40" s="44">
        <f>IF(Tabela8[[#This Row],[Status ]]="REALIZADO",Tabela8[[#This Row],[Valor]],0)</f>
        <v>0</v>
      </c>
      <c r="H40" s="44">
        <f>IF(Tabela8[[#This Row],[Status ]]="REALIZADO",0,Tabela8[[#This Row],[Valor]])</f>
        <v>2442.2399999999998</v>
      </c>
    </row>
    <row r="41" spans="1:8" x14ac:dyDescent="0.25">
      <c r="A41" s="3" t="s">
        <v>82</v>
      </c>
      <c r="B41" s="3" t="s">
        <v>84</v>
      </c>
      <c r="C41" s="44">
        <v>1108.94</v>
      </c>
      <c r="D41" s="7" t="str">
        <f>IFERROR(IF(VLOOKUP(B41,'[1]Controle de Equipamentos '!$M:$W,10,0)="REALIZADO","REALIZADO",""),D42)</f>
        <v/>
      </c>
      <c r="E41" s="7">
        <f>IFERROR(VLOOKUP(B41,'[1]Controle de Equipamentos '!$M:$X,12,0),E42)</f>
        <v>9</v>
      </c>
      <c r="F41" s="7">
        <f>IFERROR(VLOOKUP(B41,'[1]Controle de Equipamentos '!$M:$X,11,0),F42)</f>
        <v>4</v>
      </c>
      <c r="G41" s="44">
        <f>IF(Tabela8[[#This Row],[Status ]]="REALIZADO",Tabela8[[#This Row],[Valor]],0)</f>
        <v>0</v>
      </c>
      <c r="H41" s="44">
        <f>IF(Tabela8[[#This Row],[Status ]]="REALIZADO",0,Tabela8[[#This Row],[Valor]])</f>
        <v>1108.94</v>
      </c>
    </row>
    <row r="42" spans="1:8" x14ac:dyDescent="0.25">
      <c r="A42" s="3" t="s">
        <v>82</v>
      </c>
      <c r="B42" s="3" t="s">
        <v>85</v>
      </c>
      <c r="C42" s="44">
        <v>1108.94</v>
      </c>
      <c r="D42" s="7" t="str">
        <f>IFERROR(IF(VLOOKUP(B42,'[1]Controle de Equipamentos '!$M:$W,10,0)="REALIZADO","REALIZADO",""),D43)</f>
        <v>REALIZADO</v>
      </c>
      <c r="E42" s="7">
        <f>IFERROR(VLOOKUP(B42,'[1]Controle de Equipamentos '!$M:$X,12,0),E43)</f>
        <v>9</v>
      </c>
      <c r="F42" s="7">
        <f>IFERROR(VLOOKUP(B42,'[1]Controle de Equipamentos '!$M:$X,11,0),F43)</f>
        <v>7</v>
      </c>
      <c r="G42" s="44">
        <f>IF(Tabela8[[#This Row],[Status ]]="REALIZADO",Tabela8[[#This Row],[Valor]],0)</f>
        <v>1108.94</v>
      </c>
      <c r="H42" s="44">
        <f>IF(Tabela8[[#This Row],[Status ]]="REALIZADO",0,Tabela8[[#This Row],[Valor]])</f>
        <v>0</v>
      </c>
    </row>
    <row r="43" spans="1:8" x14ac:dyDescent="0.25">
      <c r="A43" s="3" t="s">
        <v>82</v>
      </c>
      <c r="B43" s="3" t="s">
        <v>84</v>
      </c>
      <c r="C43" s="44"/>
      <c r="D43" s="7" t="str">
        <f>IFERROR(IF(VLOOKUP(B43,'[1]Controle de Equipamentos '!$M:$W,10,0)="REALIZADO","REALIZADO",""),D44)</f>
        <v/>
      </c>
      <c r="E43" s="7">
        <f>IFERROR(VLOOKUP(B43,'[1]Controle de Equipamentos '!$M:$X,12,0),E44)</f>
        <v>9</v>
      </c>
      <c r="F43" s="7">
        <f>IFERROR(VLOOKUP(B43,'[1]Controle de Equipamentos '!$M:$X,11,0),F44)</f>
        <v>4</v>
      </c>
      <c r="G43" s="44">
        <f>IF(Tabela8[[#This Row],[Status ]]="REALIZADO",Tabela8[[#This Row],[Valor]],0)</f>
        <v>0</v>
      </c>
      <c r="H43" s="44">
        <f>IF(Tabela8[[#This Row],[Status ]]="REALIZADO",0,Tabela8[[#This Row],[Valor]])</f>
        <v>0</v>
      </c>
    </row>
    <row r="44" spans="1:8" x14ac:dyDescent="0.25">
      <c r="A44" s="3" t="s">
        <v>82</v>
      </c>
      <c r="B44" s="3" t="s">
        <v>93</v>
      </c>
      <c r="C44" s="44">
        <v>350.75</v>
      </c>
      <c r="D44" s="7" t="str">
        <f>IFERROR(IF(VLOOKUP(B44,'[1]Controle de Equipamentos '!$M:$W,10,0)="REALIZADO","REALIZADO",""),D45)</f>
        <v/>
      </c>
      <c r="E44" s="7">
        <f>IFERROR(VLOOKUP(B44,'[1]Controle de Equipamentos '!$M:$X,12,0),E45)</f>
        <v>7</v>
      </c>
      <c r="F44" s="7">
        <f>IFERROR(VLOOKUP(B44,'[1]Controle de Equipamentos '!$M:$X,11,0),F45)</f>
        <v>5</v>
      </c>
      <c r="G44" s="44">
        <f>IF(Tabela8[[#This Row],[Status ]]="REALIZADO",Tabela8[[#This Row],[Valor]],0)</f>
        <v>0</v>
      </c>
      <c r="H44" s="44">
        <f>IF(Tabela8[[#This Row],[Status ]]="REALIZADO",0,Tabela8[[#This Row],[Valor]])</f>
        <v>350.75</v>
      </c>
    </row>
    <row r="45" spans="1:8" x14ac:dyDescent="0.25">
      <c r="A45" s="3" t="s">
        <v>82</v>
      </c>
      <c r="B45" s="3" t="s">
        <v>93</v>
      </c>
      <c r="C45" s="44">
        <v>350.75</v>
      </c>
      <c r="D45" s="7"/>
      <c r="E45" s="7">
        <f>IFERROR(VLOOKUP(B45,'[1]Controle de Equipamentos '!$M:$X,12,0),E46)</f>
        <v>7</v>
      </c>
      <c r="F45" s="7">
        <f>IFERROR(VLOOKUP(B45,'[1]Controle de Equipamentos '!$M:$X,11,0),F46)</f>
        <v>5</v>
      </c>
      <c r="G45" s="44">
        <f>IF(Tabela8[[#This Row],[Status ]]="REALIZADO",Tabela8[[#This Row],[Valor]],0)</f>
        <v>0</v>
      </c>
      <c r="H45" s="44">
        <f>IF(Tabela8[[#This Row],[Status ]]="REALIZADO",0,Tabela8[[#This Row],[Valor]])</f>
        <v>350.75</v>
      </c>
    </row>
    <row r="46" spans="1:8" x14ac:dyDescent="0.25">
      <c r="A46" s="3" t="s">
        <v>82</v>
      </c>
      <c r="B46" s="3" t="s">
        <v>93</v>
      </c>
      <c r="C46" s="44">
        <v>350.75</v>
      </c>
      <c r="D46" s="7"/>
      <c r="E46" s="7">
        <f>IFERROR(VLOOKUP(B46,'[1]Controle de Equipamentos '!$M:$X,12,0),E47)</f>
        <v>7</v>
      </c>
      <c r="F46" s="7">
        <f>IFERROR(VLOOKUP(B46,'[1]Controle de Equipamentos '!$M:$X,11,0),F47)</f>
        <v>5</v>
      </c>
      <c r="G46" s="44">
        <f>IF(Tabela8[[#This Row],[Status ]]="REALIZADO",Tabela8[[#This Row],[Valor]],0)</f>
        <v>0</v>
      </c>
      <c r="H46" s="44">
        <f>IF(Tabela8[[#This Row],[Status ]]="REALIZADO",0,Tabela8[[#This Row],[Valor]])</f>
        <v>350.75</v>
      </c>
    </row>
    <row r="47" spans="1:8" x14ac:dyDescent="0.25">
      <c r="A47" s="3" t="s">
        <v>82</v>
      </c>
      <c r="B47" s="3" t="s">
        <v>93</v>
      </c>
      <c r="C47" s="44">
        <v>350.75</v>
      </c>
      <c r="D47" s="7"/>
      <c r="E47" s="7">
        <f>IFERROR(VLOOKUP(B47,'[1]Controle de Equipamentos '!$M:$X,12,0),E48)</f>
        <v>7</v>
      </c>
      <c r="F47" s="7">
        <f>IFERROR(VLOOKUP(B47,'[1]Controle de Equipamentos '!$M:$X,11,0),F48)</f>
        <v>5</v>
      </c>
      <c r="G47" s="44">
        <f>IF(Tabela8[[#This Row],[Status ]]="REALIZADO",Tabela8[[#This Row],[Valor]],0)</f>
        <v>0</v>
      </c>
      <c r="H47" s="44">
        <f>IF(Tabela8[[#This Row],[Status ]]="REALIZADO",0,Tabela8[[#This Row],[Valor]])</f>
        <v>350.75</v>
      </c>
    </row>
    <row r="48" spans="1:8" x14ac:dyDescent="0.25">
      <c r="A48" s="3" t="s">
        <v>82</v>
      </c>
      <c r="B48" s="3" t="s">
        <v>86</v>
      </c>
      <c r="C48" s="44">
        <v>524.35</v>
      </c>
      <c r="D48" s="7" t="str">
        <f>IFERROR(IF(VLOOKUP(B44,'[1]Controle de Equipamentos '!$M:$W,10,0)="REALIZADO","REALIZADO",""),D45)</f>
        <v/>
      </c>
      <c r="E48" s="7">
        <f>IFERROR(VLOOKUP(B48,'[1]Controle de Equipamentos '!$M:$X,12,0),E49)</f>
        <v>8</v>
      </c>
      <c r="F48" s="7">
        <f>IFERROR(VLOOKUP(B48,'[1]Controle de Equipamentos '!$M:$X,11,0),F49)</f>
        <v>6</v>
      </c>
      <c r="G48" s="44">
        <f>IF(Tabela8[[#This Row],[Status ]]="REALIZADO",Tabela8[[#This Row],[Valor]],0)</f>
        <v>0</v>
      </c>
      <c r="H48" s="44">
        <f>IF(Tabela8[[#This Row],[Status ]]="REALIZADO",0,Tabela8[[#This Row],[Valor]])</f>
        <v>524.35</v>
      </c>
    </row>
    <row r="49" spans="1:8" x14ac:dyDescent="0.25">
      <c r="A49" s="3" t="s">
        <v>82</v>
      </c>
      <c r="B49" s="3" t="s">
        <v>87</v>
      </c>
      <c r="C49" s="44">
        <v>373.8</v>
      </c>
      <c r="D49" s="7" t="str">
        <f>IFERROR(IF(VLOOKUP(B45,'[1]Controle de Equipamentos '!$M:$W,10,0)="REALIZADO","REALIZADO",""),D46)</f>
        <v/>
      </c>
      <c r="E49" s="7">
        <f>IFERROR(VLOOKUP(B49,'[1]Controle de Equipamentos '!$M:$X,12,0),E50)</f>
        <v>0</v>
      </c>
      <c r="F49" s="7">
        <f>IFERROR(VLOOKUP(B49,'[1]Controle de Equipamentos '!$M:$X,11,0),F50)</f>
        <v>12</v>
      </c>
      <c r="G49" s="44">
        <f>IF(Tabela8[[#This Row],[Status ]]="REALIZADO",Tabela8[[#This Row],[Valor]],0)</f>
        <v>0</v>
      </c>
      <c r="H49" s="44">
        <f>IF(Tabela8[[#This Row],[Status ]]="REALIZADO",0,Tabela8[[#This Row],[Valor]])</f>
        <v>373.8</v>
      </c>
    </row>
    <row r="50" spans="1:8" x14ac:dyDescent="0.25">
      <c r="A50" s="3" t="s">
        <v>82</v>
      </c>
      <c r="B50" s="3" t="s">
        <v>88</v>
      </c>
      <c r="C50" s="44">
        <v>631.77</v>
      </c>
      <c r="D50" s="7" t="str">
        <f>IFERROR(IF(VLOOKUP(B46,'[1]Controle de Equipamentos '!$M:$W,10,0)="REALIZADO","REALIZADO",""),D47)</f>
        <v/>
      </c>
      <c r="E50" s="7">
        <f>IFERROR(VLOOKUP(B50,'[1]Controle de Equipamentos '!$M:$X,12,0),E51)</f>
        <v>5</v>
      </c>
      <c r="F50" s="7">
        <f>IFERROR(VLOOKUP(B50,'[1]Controle de Equipamentos '!$M:$X,11,0),F51)</f>
        <v>6</v>
      </c>
      <c r="G50" s="44">
        <f>IF(Tabela8[[#This Row],[Status ]]="REALIZADO",Tabela8[[#This Row],[Valor]],0)</f>
        <v>0</v>
      </c>
      <c r="H50" s="44">
        <f>IF(Tabela8[[#This Row],[Status ]]="REALIZADO",0,Tabela8[[#This Row],[Valor]])</f>
        <v>631.77</v>
      </c>
    </row>
    <row r="51" spans="1:8" x14ac:dyDescent="0.25">
      <c r="A51" s="3" t="s">
        <v>82</v>
      </c>
      <c r="B51" s="3" t="s">
        <v>89</v>
      </c>
      <c r="C51" s="44">
        <v>382.44</v>
      </c>
      <c r="D51" s="7" t="str">
        <f>IFERROR(IF(VLOOKUP(B47,'[1]Controle de Equipamentos '!$M:$W,10,0)="REALIZADO","REALIZADO",""),D48)</f>
        <v/>
      </c>
      <c r="E51" s="7">
        <f>IFERROR(VLOOKUP(B51,'[1]Controle de Equipamentos '!$M:$X,12,0),E52)</f>
        <v>5</v>
      </c>
      <c r="F51" s="7">
        <f>IFERROR(VLOOKUP(B51,'[1]Controle de Equipamentos '!$M:$X,11,0),F52)</f>
        <v>6</v>
      </c>
      <c r="G51" s="44">
        <f>IF(Tabela8[[#This Row],[Status ]]="REALIZADO",Tabela8[[#This Row],[Valor]],0)</f>
        <v>0</v>
      </c>
      <c r="H51" s="44">
        <f>IF(Tabela8[[#This Row],[Status ]]="REALIZADO",0,Tabela8[[#This Row],[Valor]])</f>
        <v>382.44</v>
      </c>
    </row>
    <row r="52" spans="1:8" x14ac:dyDescent="0.25">
      <c r="A52" s="3" t="s">
        <v>82</v>
      </c>
      <c r="B52" s="3" t="s">
        <v>87</v>
      </c>
      <c r="C52" s="44">
        <v>373.8</v>
      </c>
      <c r="D52" s="7" t="str">
        <f>IFERROR(IF(VLOOKUP(B48,'[1]Controle de Equipamentos '!$M:$W,10,0)="REALIZADO","REALIZADO",""),D49)</f>
        <v>REALIZADO</v>
      </c>
      <c r="E52" s="7">
        <f>IFERROR(VLOOKUP(B52,'[1]Controle de Equipamentos '!$M:$X,12,0),E53)</f>
        <v>0</v>
      </c>
      <c r="F52" s="7">
        <f>IFERROR(VLOOKUP(B52,'[1]Controle de Equipamentos '!$M:$X,11,0),F53)</f>
        <v>12</v>
      </c>
      <c r="G52" s="44">
        <f>IF(Tabela8[[#This Row],[Status ]]="REALIZADO",Tabela8[[#This Row],[Valor]],0)</f>
        <v>373.8</v>
      </c>
      <c r="H52" s="44">
        <f>IF(Tabela8[[#This Row],[Status ]]="REALIZADO",0,Tabela8[[#This Row],[Valor]])</f>
        <v>0</v>
      </c>
    </row>
    <row r="53" spans="1:8" x14ac:dyDescent="0.25">
      <c r="A53" s="3" t="s">
        <v>82</v>
      </c>
      <c r="B53" s="3" t="s">
        <v>90</v>
      </c>
      <c r="C53" s="44">
        <v>642.21</v>
      </c>
      <c r="D53" s="7" t="str">
        <f>IFERROR(IF(VLOOKUP(B49,'[1]Controle de Equipamentos '!$M:$W,10,0)="REALIZADO","REALIZADO",""),D50)</f>
        <v>REALIZADO</v>
      </c>
      <c r="E53" s="7">
        <f>IFERROR(VLOOKUP(B53,'[1]Controle de Equipamentos '!$M:$X,12,0),E54)</f>
        <v>5</v>
      </c>
      <c r="F53" s="7">
        <f>IFERROR(VLOOKUP(B53,'[1]Controle de Equipamentos '!$M:$X,11,0),F54)</f>
        <v>7</v>
      </c>
      <c r="G53" s="44">
        <f>IF(Tabela8[[#This Row],[Status ]]="REALIZADO",Tabela8[[#This Row],[Valor]],0)</f>
        <v>642.21</v>
      </c>
      <c r="H53" s="44">
        <f>IF(Tabela8[[#This Row],[Status ]]="REALIZADO",0,Tabela8[[#This Row],[Valor]])</f>
        <v>0</v>
      </c>
    </row>
    <row r="54" spans="1:8" x14ac:dyDescent="0.25">
      <c r="A54" s="3" t="s">
        <v>82</v>
      </c>
      <c r="B54" s="3" t="s">
        <v>87</v>
      </c>
      <c r="C54" s="44">
        <v>373.8</v>
      </c>
      <c r="D54" s="7" t="str">
        <f>IFERROR(IF(VLOOKUP(B50,'[1]Controle de Equipamentos '!$M:$W,10,0)="REALIZADO","REALIZADO",""),D51)</f>
        <v>REALIZADO</v>
      </c>
      <c r="E54" s="7">
        <f>IFERROR(VLOOKUP(B54,'[1]Controle de Equipamentos '!$M:$X,12,0),E55)</f>
        <v>0</v>
      </c>
      <c r="F54" s="7">
        <f>IFERROR(VLOOKUP(B54,'[1]Controle de Equipamentos '!$M:$X,11,0),F55)</f>
        <v>12</v>
      </c>
      <c r="G54" s="44">
        <f>IF(Tabela8[[#This Row],[Status ]]="REALIZADO",Tabela8[[#This Row],[Valor]],0)</f>
        <v>373.8</v>
      </c>
      <c r="H54" s="44">
        <f>IF(Tabela8[[#This Row],[Status ]]="REALIZADO",0,Tabela8[[#This Row],[Valor]])</f>
        <v>0</v>
      </c>
    </row>
    <row r="55" spans="1:8" x14ac:dyDescent="0.25">
      <c r="A55" s="36" t="s">
        <v>11</v>
      </c>
      <c r="B55" s="21"/>
      <c r="C55" s="45"/>
      <c r="D55" s="45"/>
      <c r="E55" s="45"/>
      <c r="F55" s="46"/>
      <c r="G55" s="47">
        <f>SUBTOTAL(109,Tabela8[Realizado])</f>
        <v>90908.820000000022</v>
      </c>
      <c r="H55" s="47">
        <f>SUBTOTAL(109,Tabela8[A realizar])</f>
        <v>9513.59</v>
      </c>
    </row>
  </sheetData>
  <conditionalFormatting sqref="B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62AB-5E3A-4A1A-8FA1-D380526E3120}">
  <dimension ref="A1:M44"/>
  <sheetViews>
    <sheetView topLeftCell="A18" workbookViewId="0">
      <selection activeCell="J43" sqref="J43"/>
    </sheetView>
  </sheetViews>
  <sheetFormatPr defaultRowHeight="15" x14ac:dyDescent="0.25"/>
  <cols>
    <col min="1" max="1" width="18" style="29" bestFit="1" customWidth="1"/>
    <col min="2" max="2" width="4.28515625" bestFit="1" customWidth="1"/>
    <col min="3" max="3" width="22.28515625" bestFit="1" customWidth="1"/>
    <col min="4" max="4" width="20.28515625" bestFit="1" customWidth="1"/>
    <col min="5" max="5" width="14.28515625" bestFit="1" customWidth="1"/>
    <col min="6" max="6" width="4.28515625" bestFit="1" customWidth="1"/>
    <col min="7" max="7" width="3" bestFit="1" customWidth="1"/>
    <col min="8" max="8" width="22.28515625" bestFit="1" customWidth="1"/>
    <col min="9" max="9" width="4.5703125" bestFit="1" customWidth="1"/>
    <col min="10" max="10" width="20.28515625" bestFit="1" customWidth="1"/>
    <col min="11" max="11" width="4.5703125" bestFit="1" customWidth="1"/>
    <col min="12" max="12" width="14.28515625" bestFit="1" customWidth="1"/>
    <col min="13" max="13" width="13.28515625" bestFit="1" customWidth="1"/>
  </cols>
  <sheetData>
    <row r="1" spans="1:13" ht="15.75" thickBot="1" x14ac:dyDescent="0.3">
      <c r="A1" s="100" t="s">
        <v>0</v>
      </c>
      <c r="B1" s="110">
        <v>2021</v>
      </c>
      <c r="C1" s="111"/>
      <c r="D1" s="111"/>
      <c r="E1" s="112"/>
      <c r="F1" s="110">
        <v>2022</v>
      </c>
      <c r="G1" s="111"/>
      <c r="H1" s="111"/>
      <c r="I1" s="111"/>
      <c r="J1" s="111"/>
      <c r="K1" s="111"/>
      <c r="L1" s="111"/>
      <c r="M1" s="112"/>
    </row>
    <row r="2" spans="1:13" s="8" customFormat="1" ht="15.75" thickBot="1" x14ac:dyDescent="0.3">
      <c r="A2" s="101"/>
      <c r="B2" s="60" t="s">
        <v>12</v>
      </c>
      <c r="C2" s="61" t="s">
        <v>13</v>
      </c>
      <c r="D2" s="61" t="s">
        <v>14</v>
      </c>
      <c r="E2" s="62" t="s">
        <v>11</v>
      </c>
      <c r="F2" s="60" t="s">
        <v>12</v>
      </c>
      <c r="G2" s="61" t="s">
        <v>15</v>
      </c>
      <c r="H2" s="61" t="s">
        <v>13</v>
      </c>
      <c r="I2" s="61" t="s">
        <v>15</v>
      </c>
      <c r="J2" s="61" t="s">
        <v>14</v>
      </c>
      <c r="K2" s="61" t="s">
        <v>15</v>
      </c>
      <c r="L2" s="61" t="s">
        <v>11</v>
      </c>
      <c r="M2" s="62" t="s">
        <v>15</v>
      </c>
    </row>
    <row r="3" spans="1:13" x14ac:dyDescent="0.25">
      <c r="A3" s="63" t="s">
        <v>1</v>
      </c>
      <c r="B3" s="55">
        <v>11</v>
      </c>
      <c r="C3" s="56">
        <v>165.75299999999999</v>
      </c>
      <c r="D3" s="56">
        <v>245.34000000000003</v>
      </c>
      <c r="E3" s="57">
        <v>4522.0230000000001</v>
      </c>
      <c r="F3" s="55">
        <v>18</v>
      </c>
      <c r="G3" s="58">
        <f>F3-B3</f>
        <v>7</v>
      </c>
      <c r="H3" s="56">
        <v>198.90359999999998</v>
      </c>
      <c r="I3" s="59">
        <f>(H3/C3)-1</f>
        <v>0.19999999999999996</v>
      </c>
      <c r="J3" s="56">
        <v>294.40800000000002</v>
      </c>
      <c r="K3" s="59">
        <f>(J3/D3)-1</f>
        <v>0.19999999999999996</v>
      </c>
      <c r="L3" s="56">
        <f>(H3+J3)*F3</f>
        <v>8879.6088</v>
      </c>
      <c r="M3" s="57">
        <f>L3-E3</f>
        <v>4357.5857999999998</v>
      </c>
    </row>
    <row r="4" spans="1:13" x14ac:dyDescent="0.25">
      <c r="A4" s="63" t="s">
        <v>2</v>
      </c>
      <c r="B4" s="50">
        <v>38</v>
      </c>
      <c r="C4" s="6">
        <v>178.434</v>
      </c>
      <c r="D4" s="6">
        <v>318.94200000000001</v>
      </c>
      <c r="E4" s="23">
        <v>18900.288</v>
      </c>
      <c r="F4" s="50">
        <v>35</v>
      </c>
      <c r="G4" s="3">
        <f t="shared" ref="G4:G12" si="0">F4-B4</f>
        <v>-3</v>
      </c>
      <c r="H4" s="6">
        <v>214.1208</v>
      </c>
      <c r="I4" s="48">
        <f t="shared" ref="I4:I12" si="1">(H4/C4)-1</f>
        <v>0.19999999999999996</v>
      </c>
      <c r="J4" s="6">
        <v>382.73039999999997</v>
      </c>
      <c r="K4" s="48">
        <f t="shared" ref="K4:K12" si="2">(J4/D4)-1</f>
        <v>0.19999999999999996</v>
      </c>
      <c r="L4" s="6">
        <f t="shared" ref="L4:L12" si="3">(H4+J4)*F4</f>
        <v>20889.791999999998</v>
      </c>
      <c r="M4" s="23">
        <f t="shared" ref="M4:M13" si="4">L4-E4</f>
        <v>1989.5039999999972</v>
      </c>
    </row>
    <row r="5" spans="1:13" x14ac:dyDescent="0.25">
      <c r="A5" s="63" t="s">
        <v>3</v>
      </c>
      <c r="B5" s="50">
        <v>51</v>
      </c>
      <c r="C5" s="6">
        <v>101.655</v>
      </c>
      <c r="D5" s="6">
        <v>195.22799999999998</v>
      </c>
      <c r="E5" s="23">
        <v>15141.032999999999</v>
      </c>
      <c r="F5" s="50">
        <v>54</v>
      </c>
      <c r="G5" s="3">
        <f t="shared" si="0"/>
        <v>3</v>
      </c>
      <c r="H5" s="6">
        <v>121.98599999999999</v>
      </c>
      <c r="I5" s="48">
        <f t="shared" si="1"/>
        <v>0.19999999999999996</v>
      </c>
      <c r="J5" s="6">
        <v>234.27359999999996</v>
      </c>
      <c r="K5" s="48">
        <f t="shared" si="2"/>
        <v>0.19999999999999996</v>
      </c>
      <c r="L5" s="6">
        <f t="shared" si="3"/>
        <v>19238.018399999997</v>
      </c>
      <c r="M5" s="23">
        <f t="shared" si="4"/>
        <v>4096.9853999999978</v>
      </c>
    </row>
    <row r="6" spans="1:13" x14ac:dyDescent="0.25">
      <c r="A6" s="63" t="s">
        <v>4</v>
      </c>
      <c r="B6" s="50">
        <v>44</v>
      </c>
      <c r="C6" s="6">
        <v>420.44400000000002</v>
      </c>
      <c r="D6" s="6">
        <v>385.26299999999998</v>
      </c>
      <c r="E6" s="23">
        <v>35451.108</v>
      </c>
      <c r="F6" s="50">
        <v>45</v>
      </c>
      <c r="G6" s="3">
        <f t="shared" si="0"/>
        <v>1</v>
      </c>
      <c r="H6" s="6">
        <v>560.59</v>
      </c>
      <c r="I6" s="48">
        <f t="shared" si="1"/>
        <v>0.3333285764572691</v>
      </c>
      <c r="J6" s="6">
        <v>512.92999999999995</v>
      </c>
      <c r="K6" s="48">
        <f t="shared" si="2"/>
        <v>0.33137622870610461</v>
      </c>
      <c r="L6" s="6">
        <f t="shared" si="3"/>
        <v>48308.4</v>
      </c>
      <c r="M6" s="23">
        <f t="shared" si="4"/>
        <v>12857.292000000001</v>
      </c>
    </row>
    <row r="7" spans="1:13" x14ac:dyDescent="0.25">
      <c r="A7" s="63" t="s">
        <v>5</v>
      </c>
      <c r="B7" s="50">
        <v>1</v>
      </c>
      <c r="C7" s="6">
        <v>116.496</v>
      </c>
      <c r="D7" s="6">
        <v>286.11900000000003</v>
      </c>
      <c r="E7" s="23">
        <v>402.61500000000001</v>
      </c>
      <c r="F7" s="50">
        <v>0</v>
      </c>
      <c r="G7" s="3"/>
      <c r="H7" s="6"/>
      <c r="I7" s="48"/>
      <c r="J7" s="6"/>
      <c r="K7" s="48"/>
      <c r="L7" s="6">
        <f t="shared" si="3"/>
        <v>0</v>
      </c>
      <c r="M7" s="23">
        <f t="shared" si="4"/>
        <v>-402.61500000000001</v>
      </c>
    </row>
    <row r="8" spans="1:13" x14ac:dyDescent="0.25">
      <c r="A8" s="63" t="s">
        <v>6</v>
      </c>
      <c r="B8" s="50"/>
      <c r="C8" s="6"/>
      <c r="D8" s="6"/>
      <c r="E8" s="23"/>
      <c r="F8" s="50">
        <v>4</v>
      </c>
      <c r="G8" s="3">
        <f t="shared" si="0"/>
        <v>4</v>
      </c>
      <c r="H8" s="6">
        <v>198.26</v>
      </c>
      <c r="I8" s="48"/>
      <c r="J8" s="6">
        <v>354.38</v>
      </c>
      <c r="K8" s="48"/>
      <c r="L8" s="6">
        <f t="shared" si="3"/>
        <v>2210.56</v>
      </c>
      <c r="M8" s="23">
        <f t="shared" si="4"/>
        <v>2210.56</v>
      </c>
    </row>
    <row r="9" spans="1:13" x14ac:dyDescent="0.25">
      <c r="A9" s="63" t="s">
        <v>7</v>
      </c>
      <c r="B9" s="50">
        <v>32</v>
      </c>
      <c r="C9" s="6">
        <v>101.655</v>
      </c>
      <c r="D9" s="6">
        <v>390.45599999999996</v>
      </c>
      <c r="E9" s="23">
        <v>15747.552</v>
      </c>
      <c r="F9" s="50">
        <v>36</v>
      </c>
      <c r="G9" s="3">
        <f t="shared" si="0"/>
        <v>4</v>
      </c>
      <c r="H9" s="6">
        <v>121.98599999999999</v>
      </c>
      <c r="I9" s="48">
        <f t="shared" si="1"/>
        <v>0.19999999999999996</v>
      </c>
      <c r="J9" s="6">
        <v>468.54719999999992</v>
      </c>
      <c r="K9" s="48">
        <f t="shared" si="2"/>
        <v>0.19999999999999996</v>
      </c>
      <c r="L9" s="6">
        <f t="shared" si="3"/>
        <v>21259.195199999995</v>
      </c>
      <c r="M9" s="23">
        <f t="shared" si="4"/>
        <v>5511.643199999995</v>
      </c>
    </row>
    <row r="10" spans="1:13" x14ac:dyDescent="0.25">
      <c r="A10" s="63" t="s">
        <v>8</v>
      </c>
      <c r="B10" s="50">
        <v>61</v>
      </c>
      <c r="C10" s="6">
        <v>101.655</v>
      </c>
      <c r="D10" s="6">
        <v>195.22799999999998</v>
      </c>
      <c r="E10" s="23">
        <v>18109.862999999998</v>
      </c>
      <c r="F10" s="50">
        <v>72</v>
      </c>
      <c r="G10" s="3">
        <f t="shared" si="0"/>
        <v>11</v>
      </c>
      <c r="H10" s="6">
        <v>121.98599999999999</v>
      </c>
      <c r="I10" s="48">
        <f t="shared" si="1"/>
        <v>0.19999999999999996</v>
      </c>
      <c r="J10" s="6">
        <v>234.27359999999996</v>
      </c>
      <c r="K10" s="48">
        <f t="shared" si="2"/>
        <v>0.19999999999999996</v>
      </c>
      <c r="L10" s="6">
        <f t="shared" si="3"/>
        <v>25650.691199999997</v>
      </c>
      <c r="M10" s="23">
        <f t="shared" si="4"/>
        <v>7540.8281999999999</v>
      </c>
    </row>
    <row r="11" spans="1:13" x14ac:dyDescent="0.25">
      <c r="A11" s="63" t="s">
        <v>9</v>
      </c>
      <c r="B11" s="50">
        <v>7</v>
      </c>
      <c r="C11" s="6">
        <v>198.60299999999998</v>
      </c>
      <c r="D11" s="6">
        <v>217.29599999999999</v>
      </c>
      <c r="E11" s="23">
        <v>2911.2930000000001</v>
      </c>
      <c r="F11" s="50">
        <v>7</v>
      </c>
      <c r="G11" s="3">
        <f t="shared" si="0"/>
        <v>0</v>
      </c>
      <c r="H11" s="6">
        <v>238.32359999999997</v>
      </c>
      <c r="I11" s="48">
        <f t="shared" si="1"/>
        <v>0.19999999999999996</v>
      </c>
      <c r="J11" s="6">
        <v>338.01</v>
      </c>
      <c r="K11" s="48">
        <f t="shared" si="2"/>
        <v>0.55552794345040857</v>
      </c>
      <c r="L11" s="6">
        <f t="shared" si="3"/>
        <v>4034.3351999999995</v>
      </c>
      <c r="M11" s="23">
        <f t="shared" si="4"/>
        <v>1123.0421999999994</v>
      </c>
    </row>
    <row r="12" spans="1:13" x14ac:dyDescent="0.25">
      <c r="A12" s="63" t="s">
        <v>10</v>
      </c>
      <c r="B12" s="50">
        <v>25</v>
      </c>
      <c r="C12" s="6">
        <v>237.20400000000001</v>
      </c>
      <c r="D12" s="6">
        <v>232.416</v>
      </c>
      <c r="E12" s="23">
        <v>11740.5</v>
      </c>
      <c r="F12" s="50">
        <v>27</v>
      </c>
      <c r="G12" s="3">
        <f t="shared" si="0"/>
        <v>2</v>
      </c>
      <c r="H12" s="6">
        <v>284.64479999999998</v>
      </c>
      <c r="I12" s="48">
        <f t="shared" si="1"/>
        <v>0.19999999999999996</v>
      </c>
      <c r="J12" s="6">
        <v>278.89920000000001</v>
      </c>
      <c r="K12" s="48">
        <f t="shared" si="2"/>
        <v>0.19999999999999996</v>
      </c>
      <c r="L12" s="6">
        <f t="shared" si="3"/>
        <v>15215.688</v>
      </c>
      <c r="M12" s="23">
        <f t="shared" si="4"/>
        <v>3475.1880000000001</v>
      </c>
    </row>
    <row r="13" spans="1:13" ht="15.75" thickBot="1" x14ac:dyDescent="0.3">
      <c r="A13" s="64" t="s">
        <v>11</v>
      </c>
      <c r="B13" s="51">
        <v>270</v>
      </c>
      <c r="C13" s="102"/>
      <c r="D13" s="102"/>
      <c r="E13" s="54">
        <v>122926.27499999999</v>
      </c>
      <c r="F13" s="51">
        <v>298</v>
      </c>
      <c r="G13" s="52">
        <f>SUM(G3:G12)</f>
        <v>29</v>
      </c>
      <c r="H13" s="103"/>
      <c r="I13" s="103"/>
      <c r="J13" s="103"/>
      <c r="K13" s="103"/>
      <c r="L13" s="53">
        <f>SUM(L3:L12)</f>
        <v>165686.28879999998</v>
      </c>
      <c r="M13" s="54">
        <f t="shared" si="4"/>
        <v>42760.013799999986</v>
      </c>
    </row>
    <row r="14" spans="1:13" ht="15.75" thickBot="1" x14ac:dyDescent="0.3">
      <c r="B14" s="122" t="s">
        <v>16</v>
      </c>
      <c r="C14" s="123"/>
      <c r="D14" s="124"/>
      <c r="E14" s="119">
        <f>E13/B13</f>
        <v>455.28249999999997</v>
      </c>
      <c r="F14" s="104" t="s">
        <v>16</v>
      </c>
      <c r="G14" s="105"/>
      <c r="H14" s="105"/>
      <c r="I14" s="105"/>
      <c r="J14" s="105"/>
      <c r="K14" s="106"/>
      <c r="L14" s="113">
        <f>L13/F13</f>
        <v>555.99425771812071</v>
      </c>
      <c r="M14" s="114"/>
    </row>
    <row r="15" spans="1:13" ht="15.75" thickBot="1" x14ac:dyDescent="0.3">
      <c r="B15" s="125"/>
      <c r="C15" s="126"/>
      <c r="D15" s="127"/>
      <c r="E15" s="120"/>
      <c r="F15" s="104" t="s">
        <v>17</v>
      </c>
      <c r="G15" s="105"/>
      <c r="H15" s="105"/>
      <c r="I15" s="105"/>
      <c r="J15" s="105"/>
      <c r="K15" s="106"/>
      <c r="L15" s="115">
        <f>1-(E14/L14)</f>
        <v>0.18113812565521104</v>
      </c>
      <c r="M15" s="116"/>
    </row>
    <row r="16" spans="1:13" ht="15.75" thickBot="1" x14ac:dyDescent="0.3">
      <c r="B16" s="128"/>
      <c r="C16" s="129"/>
      <c r="D16" s="130"/>
      <c r="E16" s="121"/>
      <c r="F16" s="107" t="s">
        <v>18</v>
      </c>
      <c r="G16" s="108"/>
      <c r="H16" s="108"/>
      <c r="I16" s="108"/>
      <c r="J16" s="108"/>
      <c r="K16" s="109"/>
      <c r="L16" s="117">
        <f>(L13/E13)-1</f>
        <v>0.34785088704591427</v>
      </c>
      <c r="M16" s="118"/>
    </row>
    <row r="19" spans="1:5" ht="15.75" thickBot="1" x14ac:dyDescent="0.3"/>
    <row r="20" spans="1:5" x14ac:dyDescent="0.25">
      <c r="A20" s="98" t="s">
        <v>0</v>
      </c>
      <c r="B20" s="99" t="s">
        <v>19</v>
      </c>
      <c r="C20" s="99"/>
      <c r="D20" s="99"/>
      <c r="E20" s="99"/>
    </row>
    <row r="21" spans="1:5" x14ac:dyDescent="0.25">
      <c r="A21" s="98"/>
      <c r="B21" s="49" t="s">
        <v>12</v>
      </c>
      <c r="C21" s="49" t="s">
        <v>13</v>
      </c>
      <c r="D21" s="49" t="s">
        <v>14</v>
      </c>
      <c r="E21" s="49" t="s">
        <v>11</v>
      </c>
    </row>
    <row r="22" spans="1:5" x14ac:dyDescent="0.25">
      <c r="A22" s="33" t="s">
        <v>1</v>
      </c>
      <c r="B22" s="7">
        <v>19</v>
      </c>
      <c r="C22" s="44">
        <v>173.66</v>
      </c>
      <c r="D22" s="44">
        <v>257.05</v>
      </c>
      <c r="E22" s="44">
        <v>8183.4900000000007</v>
      </c>
    </row>
    <row r="23" spans="1:5" x14ac:dyDescent="0.25">
      <c r="A23" s="33" t="s">
        <v>2</v>
      </c>
      <c r="B23" s="7">
        <v>37</v>
      </c>
      <c r="C23" s="44">
        <v>186.95</v>
      </c>
      <c r="D23" s="44">
        <v>334.16</v>
      </c>
      <c r="E23" s="44">
        <v>19281.07</v>
      </c>
    </row>
    <row r="24" spans="1:5" x14ac:dyDescent="0.25">
      <c r="A24" s="33" t="s">
        <v>3</v>
      </c>
      <c r="B24" s="7">
        <v>55</v>
      </c>
      <c r="C24" s="44">
        <v>106.51</v>
      </c>
      <c r="D24" s="44">
        <v>204.54</v>
      </c>
      <c r="E24" s="44">
        <v>17107.75</v>
      </c>
    </row>
    <row r="25" spans="1:5" x14ac:dyDescent="0.25">
      <c r="A25" s="33" t="s">
        <v>4</v>
      </c>
      <c r="B25" s="7">
        <v>46</v>
      </c>
      <c r="C25" s="44">
        <v>489.35</v>
      </c>
      <c r="D25" s="44">
        <v>447.84</v>
      </c>
      <c r="E25" s="44">
        <v>43110.740000000005</v>
      </c>
    </row>
    <row r="26" spans="1:5" x14ac:dyDescent="0.25">
      <c r="A26" s="33" t="s">
        <v>6</v>
      </c>
      <c r="B26" s="7">
        <v>4</v>
      </c>
      <c r="C26" s="44">
        <v>173.1</v>
      </c>
      <c r="D26" s="44">
        <v>309.41000000000003</v>
      </c>
      <c r="E26" s="44">
        <v>1930.04</v>
      </c>
    </row>
    <row r="27" spans="1:5" x14ac:dyDescent="0.25">
      <c r="A27" s="33" t="s">
        <v>7</v>
      </c>
      <c r="B27" s="7">
        <v>41</v>
      </c>
      <c r="C27" s="44">
        <v>106.51</v>
      </c>
      <c r="D27" s="44">
        <v>409.1</v>
      </c>
      <c r="E27" s="44">
        <v>21140.010000000002</v>
      </c>
    </row>
    <row r="28" spans="1:5" x14ac:dyDescent="0.25">
      <c r="A28" s="33" t="s">
        <v>8</v>
      </c>
      <c r="B28" s="7">
        <v>78</v>
      </c>
      <c r="C28" s="44">
        <v>106.51</v>
      </c>
      <c r="D28" s="44">
        <v>204.54</v>
      </c>
      <c r="E28" s="44">
        <v>24261.9</v>
      </c>
    </row>
    <row r="29" spans="1:5" x14ac:dyDescent="0.25">
      <c r="A29" s="33" t="s">
        <v>9</v>
      </c>
      <c r="B29" s="7">
        <v>7</v>
      </c>
      <c r="C29" s="44">
        <v>208.08</v>
      </c>
      <c r="D29" s="44">
        <v>295.12</v>
      </c>
      <c r="E29" s="44">
        <v>3522.4000000000005</v>
      </c>
    </row>
    <row r="30" spans="1:5" x14ac:dyDescent="0.25">
      <c r="A30" s="33" t="s">
        <v>10</v>
      </c>
      <c r="B30" s="7">
        <v>27</v>
      </c>
      <c r="C30" s="44">
        <v>248.52</v>
      </c>
      <c r="D30" s="44">
        <v>243.51</v>
      </c>
      <c r="E30" s="44">
        <v>13284.81</v>
      </c>
    </row>
    <row r="31" spans="1:5" x14ac:dyDescent="0.25">
      <c r="A31" s="98" t="s">
        <v>11</v>
      </c>
      <c r="B31" s="98"/>
      <c r="C31" s="98"/>
      <c r="D31" s="98"/>
      <c r="E31" s="6">
        <f>SUM(E22:E30)</f>
        <v>151822.21</v>
      </c>
    </row>
    <row r="33" spans="1:5" x14ac:dyDescent="0.25">
      <c r="A33" s="98" t="s">
        <v>0</v>
      </c>
      <c r="B33" s="99" t="s">
        <v>20</v>
      </c>
      <c r="C33" s="99"/>
      <c r="D33" s="99"/>
      <c r="E33" s="99"/>
    </row>
    <row r="34" spans="1:5" x14ac:dyDescent="0.25">
      <c r="A34" s="98"/>
      <c r="B34" s="49" t="s">
        <v>12</v>
      </c>
      <c r="C34" s="49" t="s">
        <v>13</v>
      </c>
      <c r="D34" s="49" t="s">
        <v>14</v>
      </c>
      <c r="E34" s="49" t="s">
        <v>11</v>
      </c>
    </row>
    <row r="35" spans="1:5" x14ac:dyDescent="0.25">
      <c r="A35" s="33" t="s">
        <v>1</v>
      </c>
      <c r="B35" s="7">
        <v>18</v>
      </c>
      <c r="C35" s="44">
        <v>173.66</v>
      </c>
      <c r="D35" s="44">
        <v>257.05</v>
      </c>
      <c r="E35" s="44">
        <v>7752.7800000000007</v>
      </c>
    </row>
    <row r="36" spans="1:5" x14ac:dyDescent="0.25">
      <c r="A36" s="33" t="s">
        <v>2</v>
      </c>
      <c r="B36" s="7">
        <v>35</v>
      </c>
      <c r="C36" s="44">
        <v>186.95</v>
      </c>
      <c r="D36" s="44">
        <v>334.16</v>
      </c>
      <c r="E36" s="44">
        <v>18238.850000000002</v>
      </c>
    </row>
    <row r="37" spans="1:5" x14ac:dyDescent="0.25">
      <c r="A37" s="33" t="s">
        <v>3</v>
      </c>
      <c r="B37" s="7">
        <v>53</v>
      </c>
      <c r="C37" s="44">
        <v>106.51</v>
      </c>
      <c r="D37" s="44">
        <v>204.54</v>
      </c>
      <c r="E37" s="44">
        <v>16485.650000000001</v>
      </c>
    </row>
    <row r="38" spans="1:5" x14ac:dyDescent="0.25">
      <c r="A38" s="33" t="s">
        <v>4</v>
      </c>
      <c r="B38" s="7">
        <v>45</v>
      </c>
      <c r="C38" s="44">
        <v>489.35</v>
      </c>
      <c r="D38" s="44">
        <v>447.84</v>
      </c>
      <c r="E38" s="44">
        <v>42173.55</v>
      </c>
    </row>
    <row r="39" spans="1:5" x14ac:dyDescent="0.25">
      <c r="A39" s="33" t="s">
        <v>6</v>
      </c>
      <c r="B39" s="7">
        <v>4</v>
      </c>
      <c r="C39" s="44">
        <v>173.1</v>
      </c>
      <c r="D39" s="44">
        <v>309.41000000000003</v>
      </c>
      <c r="E39" s="44">
        <v>1930.04</v>
      </c>
    </row>
    <row r="40" spans="1:5" x14ac:dyDescent="0.25">
      <c r="A40" s="33" t="s">
        <v>7</v>
      </c>
      <c r="B40" s="7">
        <v>36</v>
      </c>
      <c r="C40" s="44">
        <v>106.51</v>
      </c>
      <c r="D40" s="44">
        <v>409.1</v>
      </c>
      <c r="E40" s="44">
        <v>18561.96</v>
      </c>
    </row>
    <row r="41" spans="1:5" x14ac:dyDescent="0.25">
      <c r="A41" s="33" t="s">
        <v>8</v>
      </c>
      <c r="B41" s="7">
        <v>72</v>
      </c>
      <c r="C41" s="44">
        <v>106.51</v>
      </c>
      <c r="D41" s="44">
        <v>204.54</v>
      </c>
      <c r="E41" s="44">
        <v>22395.600000000002</v>
      </c>
    </row>
    <row r="42" spans="1:5" x14ac:dyDescent="0.25">
      <c r="A42" s="33" t="s">
        <v>9</v>
      </c>
      <c r="B42" s="7">
        <v>7</v>
      </c>
      <c r="C42" s="44">
        <v>208.08</v>
      </c>
      <c r="D42" s="44">
        <v>295.12</v>
      </c>
      <c r="E42" s="44">
        <v>3522.4000000000005</v>
      </c>
    </row>
    <row r="43" spans="1:5" x14ac:dyDescent="0.25">
      <c r="A43" s="33" t="s">
        <v>10</v>
      </c>
      <c r="B43" s="7">
        <v>27</v>
      </c>
      <c r="C43" s="44">
        <v>248.52</v>
      </c>
      <c r="D43" s="44">
        <v>243.51</v>
      </c>
      <c r="E43" s="44">
        <v>13284.81</v>
      </c>
    </row>
    <row r="44" spans="1:5" x14ac:dyDescent="0.25">
      <c r="A44" s="98" t="s">
        <v>11</v>
      </c>
      <c r="B44" s="98"/>
      <c r="C44" s="98"/>
      <c r="D44" s="98"/>
      <c r="E44" s="6">
        <f>SUM(E35:E43)</f>
        <v>144345.64000000001</v>
      </c>
    </row>
  </sheetData>
  <mergeCells count="19">
    <mergeCell ref="A1:A2"/>
    <mergeCell ref="C13:D13"/>
    <mergeCell ref="H13:K13"/>
    <mergeCell ref="F15:K15"/>
    <mergeCell ref="F16:K16"/>
    <mergeCell ref="B1:E1"/>
    <mergeCell ref="F1:M1"/>
    <mergeCell ref="L14:M14"/>
    <mergeCell ref="L15:M15"/>
    <mergeCell ref="L16:M16"/>
    <mergeCell ref="E14:E16"/>
    <mergeCell ref="B14:D16"/>
    <mergeCell ref="F14:K14"/>
    <mergeCell ref="A33:A34"/>
    <mergeCell ref="B33:E33"/>
    <mergeCell ref="A44:D44"/>
    <mergeCell ref="A20:A21"/>
    <mergeCell ref="B20:E20"/>
    <mergeCell ref="A31:D3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08A4FE289DDB47A284DCC0DD1C2F93" ma:contentTypeVersion="15" ma:contentTypeDescription="Crie um novo documento." ma:contentTypeScope="" ma:versionID="5be811cd2c93a17c2771666d476d76e9">
  <xsd:schema xmlns:xsd="http://www.w3.org/2001/XMLSchema" xmlns:xs="http://www.w3.org/2001/XMLSchema" xmlns:p="http://schemas.microsoft.com/office/2006/metadata/properties" xmlns:ns2="837073cc-20db-46a8-945e-7f6083e39f05" xmlns:ns3="a552b7a5-8e3a-430d-8c3b-979486a88382" targetNamespace="http://schemas.microsoft.com/office/2006/metadata/properties" ma:root="true" ma:fieldsID="49cd881f01c6222acd01228f6079e6b0" ns2:_="" ns3:_="">
    <xsd:import namespace="837073cc-20db-46a8-945e-7f6083e39f05"/>
    <xsd:import namespace="a552b7a5-8e3a-430d-8c3b-979486a883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073cc-20db-46a8-945e-7f6083e39f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e9aca8f-8bc8-4f2f-b0bf-cebdb1f5e3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52b7a5-8e3a-430d-8c3b-979486a8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820267-0120-46d6-9df1-ab7ee1de6423}" ma:internalName="TaxCatchAll" ma:showField="CatchAllData" ma:web="a552b7a5-8e3a-430d-8c3b-979486a883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52b7a5-8e3a-430d-8c3b-979486a88382" xsi:nil="true"/>
    <lcf76f155ced4ddcb4097134ff3c332f xmlns="837073cc-20db-46a8-945e-7f6083e39f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28CF44-4279-4376-9A20-5A8840D4FC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649A3B-9ED2-4196-A5B0-6739E86DFF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7073cc-20db-46a8-945e-7f6083e39f05"/>
    <ds:schemaRef ds:uri="a552b7a5-8e3a-430d-8c3b-979486a8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EB8E7F-3068-406D-B92E-C71ADD8635C6}">
  <ds:schemaRefs>
    <ds:schemaRef ds:uri="http://schemas.microsoft.com/office/2006/metadata/properties"/>
    <ds:schemaRef ds:uri="http://schemas.microsoft.com/office/infopath/2007/PartnerControls"/>
    <ds:schemaRef ds:uri="a552b7a5-8e3a-430d-8c3b-979486a88382"/>
    <ds:schemaRef ds:uri="837073cc-20db-46a8-945e-7f6083e39f0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DASHBOARD</vt:lpstr>
      <vt:lpstr>Tabelas dinâmicas</vt:lpstr>
      <vt:lpstr>Indicadores</vt:lpstr>
      <vt:lpstr>Extrato - serviço</vt:lpstr>
      <vt:lpstr>Extrato - Pedidos Spot</vt:lpstr>
      <vt:lpstr>Extrato - deslocamento </vt:lpstr>
      <vt:lpstr>Condições Negociadas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ERNB10 - Vendas 01</dc:creator>
  <cp:lastModifiedBy>Daniel Oliveira - ER Analitica</cp:lastModifiedBy>
  <dcterms:created xsi:type="dcterms:W3CDTF">2022-08-25T14:58:45Z</dcterms:created>
  <dcterms:modified xsi:type="dcterms:W3CDTF">2023-04-20T18:31:30Z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0x010100082EEB0C6D83CB4ABAEB488C050756FA</vt:lpwstr>
  </property>
</Properties>
</file>