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914B346-6845-4513-9E79-E97B61A9BF8C}" xr6:coauthVersionLast="47" xr6:coauthVersionMax="47" xr10:uidLastSave="{00000000-0000-0000-0000-000000000000}"/>
  <bookViews>
    <workbookView xWindow="-120" yWindow="-120" windowWidth="29040" windowHeight="15720" tabRatio="495" activeTab="5" xr2:uid="{C6228A2D-E9B1-48A1-A6F5-F3513FAF3326}"/>
  </bookViews>
  <sheets>
    <sheet name="01 12 2023" sheetId="2" state="hidden" r:id="rId1"/>
    <sheet name="10 01 2024" sheetId="1" state="hidden" r:id="rId2"/>
    <sheet name="26 01 2024" sheetId="3" state="hidden" r:id="rId3"/>
    <sheet name="19 02 2024" sheetId="4" state="hidden" r:id="rId4"/>
    <sheet name="Contrapartidas" sheetId="5" state="hidden" r:id="rId5"/>
    <sheet name="Cronograma Matriz" sheetId="9" r:id="rId6"/>
    <sheet name="Lançamentos de Pagamentos" sheetId="10" r:id="rId7"/>
    <sheet name="Cronograma Contrapartidas" sheetId="7" state="hidden" r:id="rId8"/>
  </sheets>
  <definedNames>
    <definedName name="_xlnm._FilterDatabase" localSheetId="5" hidden="1">'Cronograma Matriz'!$B$1:$O$40</definedName>
    <definedName name="_xlnm._FilterDatabase" localSheetId="6" hidden="1">'Lançamentos de Pagamentos'!$A$1:$H$113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9" l="1"/>
  <c r="N52" i="9"/>
  <c r="N53" i="9"/>
  <c r="L54" i="9"/>
  <c r="L52" i="9"/>
  <c r="L53" i="9"/>
  <c r="N25" i="9"/>
  <c r="I35" i="10"/>
  <c r="I34" i="10"/>
  <c r="F35" i="10"/>
  <c r="G32" i="10"/>
  <c r="M16" i="9" l="1"/>
  <c r="M8" i="10"/>
  <c r="M9" i="10" s="1"/>
  <c r="F21" i="10"/>
  <c r="L28" i="5"/>
  <c r="L27" i="5"/>
  <c r="L26" i="5"/>
  <c r="L25" i="5"/>
  <c r="L18" i="5"/>
  <c r="L17" i="5"/>
  <c r="L16" i="5"/>
  <c r="G16" i="5"/>
  <c r="C15" i="5"/>
  <c r="C14" i="5" l="1"/>
  <c r="C13" i="5"/>
  <c r="C12" i="5"/>
  <c r="C4" i="5" s="1"/>
  <c r="C7" i="5" s="1"/>
  <c r="J32" i="5"/>
  <c r="I23" i="5"/>
  <c r="H23" i="5"/>
  <c r="X6" i="7"/>
  <c r="Y6" i="7" s="1"/>
  <c r="H3" i="7"/>
  <c r="F3" i="7"/>
  <c r="K3" i="7" s="1"/>
  <c r="I22" i="7"/>
  <c r="I3" i="7" s="1"/>
  <c r="E22" i="7"/>
  <c r="E3" i="7" s="1"/>
  <c r="X8" i="7"/>
  <c r="Y8" i="7" s="1"/>
  <c r="X10" i="7"/>
  <c r="Y10" i="7" s="1"/>
  <c r="X12" i="7"/>
  <c r="Y12" i="7" s="1"/>
  <c r="X14" i="7"/>
  <c r="Y14" i="7" s="1"/>
  <c r="X16" i="7"/>
  <c r="Y16" i="7" s="1"/>
  <c r="X18" i="7"/>
  <c r="Y18" i="7" s="1"/>
  <c r="X20" i="7"/>
  <c r="Y20" i="7" s="1"/>
  <c r="X22" i="7"/>
  <c r="Y22" i="7" s="1"/>
  <c r="X24" i="7"/>
  <c r="Y24" i="7" s="1"/>
  <c r="X25" i="7"/>
  <c r="Y25" i="7" s="1"/>
  <c r="X26" i="7"/>
  <c r="Y26" i="7" s="1"/>
  <c r="X27" i="7"/>
  <c r="Y27" i="7" s="1"/>
  <c r="X28" i="7"/>
  <c r="Y28" i="7" s="1"/>
  <c r="X29" i="7"/>
  <c r="Y29" i="7" s="1"/>
  <c r="X30" i="7"/>
  <c r="Y30" i="7" s="1"/>
  <c r="X31" i="7"/>
  <c r="Y31" i="7" s="1"/>
  <c r="X32" i="7"/>
  <c r="Y32" i="7" s="1"/>
  <c r="X33" i="7"/>
  <c r="Y33" i="7" s="1"/>
  <c r="X34" i="7"/>
  <c r="Y34" i="7" s="1"/>
  <c r="X35" i="7"/>
  <c r="Y35" i="7" s="1"/>
  <c r="X36" i="7"/>
  <c r="Y36" i="7" s="1"/>
  <c r="X37" i="7"/>
  <c r="Y37" i="7" s="1"/>
  <c r="X38" i="7"/>
  <c r="Y38" i="7" s="1"/>
  <c r="X39" i="7"/>
  <c r="Y39" i="7" s="1"/>
  <c r="X40" i="7"/>
  <c r="Y40" i="7" s="1"/>
  <c r="X41" i="7"/>
  <c r="Y41" i="7" s="1"/>
  <c r="X42" i="7"/>
  <c r="Y42" i="7" s="1"/>
  <c r="X43" i="7"/>
  <c r="Y43" i="7" s="1"/>
  <c r="X44" i="7"/>
  <c r="Y44" i="7" s="1"/>
  <c r="X45" i="7"/>
  <c r="Y45" i="7" s="1"/>
  <c r="X46" i="7"/>
  <c r="Y46" i="7" s="1"/>
  <c r="X47" i="7"/>
  <c r="Y47" i="7" s="1"/>
  <c r="X4" i="7"/>
  <c r="Y4" i="7" s="1"/>
  <c r="C6" i="5" l="1"/>
  <c r="S3" i="7"/>
  <c r="X3" i="7"/>
  <c r="Y3" i="7" s="1"/>
  <c r="Q3" i="7"/>
  <c r="O3" i="7"/>
  <c r="R3" i="7"/>
  <c r="W3" i="7"/>
  <c r="N3" i="7"/>
  <c r="V3" i="7"/>
  <c r="M3" i="7"/>
  <c r="U3" i="7"/>
  <c r="L3" i="7"/>
  <c r="T3" i="7"/>
  <c r="P3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25" i="7" l="1"/>
  <c r="A26" i="7" s="1"/>
  <c r="A27" i="7" s="1"/>
  <c r="A28" i="7" s="1"/>
  <c r="A29" i="7" s="1"/>
  <c r="A30" i="7" s="1"/>
  <c r="A31" i="7" s="1"/>
  <c r="A32" i="7" s="1"/>
  <c r="A33" i="7" s="1"/>
  <c r="A34" i="7" s="1"/>
  <c r="N12" i="5"/>
  <c r="N11" i="5"/>
  <c r="N6" i="5" s="1"/>
  <c r="N8" i="5" s="1"/>
  <c r="K15" i="5"/>
  <c r="K10" i="5"/>
  <c r="K9" i="5"/>
  <c r="G6" i="5"/>
  <c r="C10" i="4"/>
  <c r="C9" i="4"/>
  <c r="C8" i="4"/>
  <c r="G6" i="4"/>
  <c r="N9" i="4"/>
  <c r="K9" i="4"/>
  <c r="K8" i="4"/>
  <c r="K7" i="4"/>
  <c r="C18" i="3"/>
  <c r="G18" i="3"/>
  <c r="G22" i="3" s="1"/>
  <c r="N19" i="3"/>
  <c r="K19" i="3"/>
  <c r="K18" i="3"/>
  <c r="K17" i="3"/>
  <c r="K6" i="4" l="1"/>
  <c r="K6" i="5"/>
  <c r="N15" i="1"/>
  <c r="N22" i="1"/>
  <c r="N18" i="1"/>
  <c r="N14" i="1" s="1"/>
  <c r="C16" i="2"/>
  <c r="C14" i="2" s="1"/>
  <c r="D16" i="2"/>
  <c r="D14" i="2" s="1"/>
  <c r="E16" i="2"/>
  <c r="E14" i="2" s="1"/>
  <c r="F16" i="2"/>
  <c r="F14" i="2" s="1"/>
  <c r="G16" i="2"/>
  <c r="G14" i="2" s="1"/>
  <c r="H16" i="2"/>
  <c r="H14" i="2" s="1"/>
  <c r="I16" i="2"/>
  <c r="I14" i="2" s="1"/>
  <c r="J16" i="2"/>
  <c r="J14" i="2" s="1"/>
  <c r="K16" i="2"/>
  <c r="K14" i="2" s="1"/>
  <c r="L16" i="2"/>
  <c r="L14" i="2" s="1"/>
  <c r="M16" i="2"/>
  <c r="M14" i="2" s="1"/>
  <c r="N16" i="2"/>
  <c r="N14" i="2" s="1"/>
  <c r="O16" i="2"/>
  <c r="O14" i="2" s="1"/>
  <c r="P16" i="2"/>
  <c r="P14" i="2" s="1"/>
  <c r="Q16" i="2"/>
  <c r="Q14" i="2" s="1"/>
  <c r="R16" i="2"/>
  <c r="R14" i="2" s="1"/>
  <c r="S16" i="2"/>
  <c r="S14" i="2" s="1"/>
  <c r="T16" i="2"/>
  <c r="T14" i="2" s="1"/>
  <c r="U16" i="2"/>
  <c r="U14" i="2" s="1"/>
  <c r="V16" i="2"/>
  <c r="V14" i="2" s="1"/>
  <c r="K21" i="1"/>
  <c r="K22" i="1"/>
  <c r="K20" i="1"/>
  <c r="K15" i="1"/>
  <c r="E27" i="1"/>
  <c r="E26" i="1"/>
  <c r="E25" i="1"/>
  <c r="E24" i="1"/>
  <c r="D18" i="1"/>
  <c r="D14" i="1" s="1"/>
  <c r="C18" i="1"/>
  <c r="C14" i="1" s="1"/>
  <c r="V18" i="1"/>
  <c r="V14" i="1" s="1"/>
  <c r="U18" i="1"/>
  <c r="U14" i="1" s="1"/>
  <c r="T18" i="1"/>
  <c r="T14" i="1" s="1"/>
  <c r="S18" i="1"/>
  <c r="S14" i="1" s="1"/>
  <c r="R18" i="1"/>
  <c r="R14" i="1" s="1"/>
  <c r="Q18" i="1"/>
  <c r="Q14" i="1" s="1"/>
  <c r="P18" i="1"/>
  <c r="P14" i="1" s="1"/>
  <c r="O18" i="1"/>
  <c r="O14" i="1" s="1"/>
  <c r="M18" i="1"/>
  <c r="M14" i="1" s="1"/>
  <c r="L18" i="1"/>
  <c r="L14" i="1" s="1"/>
  <c r="J18" i="1"/>
  <c r="J14" i="1" s="1"/>
  <c r="I18" i="1"/>
  <c r="I14" i="1" s="1"/>
  <c r="H18" i="1"/>
  <c r="H14" i="1" s="1"/>
  <c r="G18" i="1"/>
  <c r="G14" i="1" s="1"/>
  <c r="F18" i="1"/>
  <c r="F14" i="1" s="1"/>
  <c r="K18" i="1" l="1"/>
  <c r="K14" i="1" s="1"/>
  <c r="E18" i="1"/>
  <c r="E14" i="1" s="1"/>
  <c r="G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tc={6130FD00-8A46-4BC8-83E8-AFB48131B59C}</author>
  </authors>
  <commentList>
    <comment ref="U13" authorId="0" shapeId="0" xr:uid="{6130FD00-8A46-4BC8-83E8-AFB48131B5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Potencial construtivo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tc={27C375C8-CA76-47CD-9C74-EA71EC1739BC}</author>
  </authors>
  <commentList>
    <comment ref="U13" authorId="0" shapeId="0" xr:uid="{27C375C8-CA76-47CD-9C74-EA71EC173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Potencial construtivo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tc={27C375C8-CA76-47CE-9C74-EA71EC1739BC}</author>
  </authors>
  <commentList>
    <comment ref="C12" authorId="0" shapeId="0" xr:uid="{9B312C06-B524-4F93-AD89-525D8F6BAB15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D12" authorId="0" shapeId="0" xr:uid="{330CDC65-C568-46ED-A986-38E46610E424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E12" authorId="0" shapeId="0" xr:uid="{3D210F77-A1B7-4053-90FA-BE2BCA07B31E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F12" authorId="0" shapeId="0" xr:uid="{615352E7-F4E4-410A-BF10-ADA17091FCB4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Pontos de ônibus</t>
        </r>
      </text>
    </comment>
    <comment ref="G12" authorId="0" shapeId="0" xr:uid="{B7FA4A0F-21F5-4BEB-A474-D91A5E0E8FDA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</t>
        </r>
      </text>
    </comment>
    <comment ref="H12" authorId="0" shapeId="0" xr:uid="{931BF012-0449-4A1B-BB77-12917603A84C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I12" authorId="0" shapeId="0" xr:uid="{65927CEF-68E5-4E10-9888-F899A736AC92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J12" authorId="0" shapeId="0" xr:uid="{8FAB35B3-175E-40BF-B633-3234723A5614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K12" authorId="0" shapeId="0" xr:uid="{57D43B33-3384-4F03-B3D3-ABBC5AD8B2EF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Depósito em Pecunio</t>
        </r>
      </text>
    </comment>
    <comment ref="L12" authorId="0" shapeId="0" xr:uid="{F6F2AAED-90CD-4285-BA0E-1AD03175B87C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</t>
        </r>
      </text>
    </comment>
    <comment ref="M12" authorId="0" shapeId="0" xr:uid="{6F32F970-338D-4516-B9CD-6273C414B5B6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Semáforos</t>
        </r>
      </text>
    </comment>
    <comment ref="N12" authorId="0" shapeId="0" xr:uid="{1A19AB9C-62A3-48D6-88B3-E5A45BE5CDE9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Semáforo</t>
        </r>
      </text>
    </comment>
    <comment ref="V14" authorId="1" shapeId="0" xr:uid="{ABE64B8A-A3BD-4ABA-BF8A-1543C649B8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Potencial construtivo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tc={5C86389F-55F6-42C9-80A5-81674C832284}</author>
  </authors>
  <commentList>
    <comment ref="C2" authorId="0" shapeId="0" xr:uid="{49B81092-221F-4508-A894-6CCC90B367B2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D2" authorId="0" shapeId="0" xr:uid="{4D67B805-4191-4872-9681-E02944DB8CC1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E2" authorId="0" shapeId="0" xr:uid="{739B2B9F-2EE7-47B8-8851-27374DD51EE5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</t>
        </r>
      </text>
    </comment>
    <comment ref="F2" authorId="0" shapeId="0" xr:uid="{7147B966-7AAF-4D48-ABAF-0DCA443C094F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Pontos de ônibus</t>
        </r>
      </text>
    </comment>
    <comment ref="G2" authorId="0" shapeId="0" xr:uid="{CB91DF85-AFE5-45B5-9F61-B260E95F34CD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</t>
        </r>
      </text>
    </comment>
    <comment ref="H2" authorId="0" shapeId="0" xr:uid="{E544C797-B559-4DA5-AD53-5F29F5A97A86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I2" authorId="0" shapeId="0" xr:uid="{CB0BA1C4-CB69-47BF-973F-AAC6273DB088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J2" authorId="0" shapeId="0" xr:uid="{CF0A6BB4-C752-4142-B445-46189F8D14AE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K2" authorId="0" shapeId="0" xr:uid="{9E4D720E-57DC-4534-851C-B58B5AE12617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Depósito em Pecunio</t>
        </r>
      </text>
    </comment>
    <comment ref="L2" authorId="0" shapeId="0" xr:uid="{83AC9966-7467-4724-ADD4-1A667F43FB1E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</t>
        </r>
      </text>
    </comment>
    <comment ref="M2" authorId="0" shapeId="0" xr:uid="{A5D1AD02-3041-499B-AF6D-06C2ACD36734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Semáforos</t>
        </r>
      </text>
    </comment>
    <comment ref="N2" authorId="0" shapeId="0" xr:uid="{F8690CB9-B62B-4E2F-804E-198E72A97A78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Semáforo</t>
        </r>
      </text>
    </comment>
    <comment ref="V4" authorId="1" shapeId="0" xr:uid="{5C86389F-55F6-42C9-80A5-81674C8322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Potencial construtivo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tc={F69170B0-921B-4AAF-9FF8-66103ADA4946}</author>
    <author>tc={46BBC679-B9D9-43A4-9AF2-E72ECF937F76}</author>
    <author>tc={1EEA09E9-B771-4023-BE38-1B10A4144C1D}</author>
    <author>tc={3D622ED7-30F2-4739-B1A8-558D66389B83}</author>
    <author>tc={B66C0693-28AB-4DB7-B61D-0FC95580898B}</author>
  </authors>
  <commentList>
    <comment ref="C2" authorId="0" shapeId="0" xr:uid="{E33A44C0-CE55-43B3-B858-95C4630B98D0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
Verificar Iluminação Eletrocheski - Contrapartida
Iluminação De infra não incidente??</t>
        </r>
      </text>
    </comment>
    <comment ref="D2" authorId="0" shapeId="0" xr:uid="{85DF3D3E-52FE-4F6F-ACB0-A09B9ED4A611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
Verificando Avaliação Prefeirura</t>
        </r>
      </text>
    </comment>
    <comment ref="E2" authorId="0" shapeId="0" xr:uid="{4ADDA44E-EFE1-4522-B8D8-26FCE4B2B8D0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Abertura de Rua (Completa)
Verificando Avaliação Prefeirura</t>
        </r>
      </text>
    </comment>
    <comment ref="F2" authorId="0" shapeId="0" xr:uid="{03E39EC7-5F66-44C8-BD1A-9354B2946F1B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Pontos de ônibus</t>
        </r>
      </text>
    </comment>
    <comment ref="G2" authorId="0" shapeId="0" xr:uid="{CA90305B-3438-458E-9973-CF903190D970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 +Corte e ÁRvore</t>
        </r>
      </text>
    </comment>
    <comment ref="H2" authorId="0" shapeId="0" xr:uid="{B03B0AD8-2021-4062-BB9E-6A22873FDC1D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I2" authorId="0" shapeId="0" xr:uid="{CE451975-1317-41C1-9BD0-FB20495CCE02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J2" authorId="0" shapeId="0" xr:uid="{65003C9E-F870-4F6D-A099-496B23A5C4EE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Depósito em Pecunio</t>
        </r>
      </text>
    </comment>
    <comment ref="K2" authorId="0" shapeId="0" xr:uid="{E135A5C6-F3DD-4B47-A761-E4DF3177F82D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Depósito em Pecunio</t>
        </r>
      </text>
    </comment>
    <comment ref="L2" authorId="0" shapeId="0" xr:uid="{9407C8D6-0E6E-4CBC-A3CC-E8ABFF962B18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Reforma de Escola;
Reforma de Posto de Saúde;
Abertura de Rua (Completo)</t>
        </r>
      </text>
    </comment>
    <comment ref="M2" authorId="0" shapeId="0" xr:uid="{74BAE8D4-AFE2-4FD2-A105-9AF4A18387CE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Semáforos</t>
        </r>
      </text>
    </comment>
    <comment ref="N2" authorId="0" shapeId="0" xr:uid="{8ABCC1A1-C7B4-4BAE-A5D5-36EC4BAE0D14}">
      <text>
        <r>
          <rPr>
            <b/>
            <sz val="10"/>
            <color indexed="81"/>
            <rFont val="Segoe UI"/>
            <family val="2"/>
          </rPr>
          <t>Usuario:</t>
        </r>
        <r>
          <rPr>
            <sz val="10"/>
            <color indexed="81"/>
            <rFont val="Segoe UI"/>
            <family val="2"/>
          </rPr>
          <t xml:space="preserve">
Ponto de ônibus;
Semáforo</t>
        </r>
      </text>
    </comment>
    <comment ref="U4" authorId="1" shapeId="0" xr:uid="{F69170B0-921B-4AAF-9FF8-66103ADA49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Potencial construtivo</t>
      </text>
    </comment>
    <comment ref="K15" authorId="2" shapeId="0" xr:uid="{46BBC679-B9D9-43A4-9AF2-E72ECF937F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Luana providenciará. Aguardar Boleto.
Responder:
    Luana: Verificando se será pago como 6 notebooks DELL para prefeitura.</t>
      </text>
    </comment>
    <comment ref="L16" authorId="3" shapeId="0" xr:uid="{1EEA09E9-B771-4023-BE38-1B10A4144C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rua</t>
      </text>
    </comment>
    <comment ref="L17" authorId="4" shapeId="0" xr:uid="{3D622ED7-30F2-4739-B1A8-558D66389B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rua</t>
      </text>
    </comment>
    <comment ref="L18" authorId="5" shapeId="0" xr:uid="{B66C0693-28AB-4DB7-B61D-0FC955808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rua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tc={81FD1ABA-4A14-45F5-AF41-EF28A2786D77}</author>
    <author>USUARIO-VR119</author>
  </authors>
  <commentList>
    <comment ref="F1" authorId="0" shapeId="0" xr:uid="{81FD1ABA-4A14-45F5-AF41-EF28A2786D7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Peguei as datas do site da Valor Real
</t>
      </text>
    </comment>
    <comment ref="L1" authorId="1" shapeId="0" xr:uid="{923B8965-410B-44DE-9825-EA9D59B9EBDF}">
      <text>
        <r>
          <rPr>
            <b/>
            <sz val="9"/>
            <color rgb="FF000000"/>
            <rFont val="Segoe UI"/>
            <family val="2"/>
            <charset val="1"/>
          </rPr>
          <t>ORÇAMENTO = VIABILIDADE.</t>
        </r>
      </text>
    </comment>
  </commentList>
</comments>
</file>

<file path=xl/sharedStrings.xml><?xml version="1.0" encoding="utf-8"?>
<sst xmlns="http://schemas.openxmlformats.org/spreadsheetml/2006/main" count="550" uniqueCount="153">
  <si>
    <t>Residencial Porto Fino</t>
  </si>
  <si>
    <t>Residencial Lagoa Park Residence</t>
  </si>
  <si>
    <t>Residencial Solar das Andorinhas</t>
  </si>
  <si>
    <t>Residencial Honolulu</t>
  </si>
  <si>
    <t>Residencial New Jersey</t>
  </si>
  <si>
    <t>Residencial Federico Felini</t>
  </si>
  <si>
    <t>Residencial Parque Dal Negro</t>
  </si>
  <si>
    <t>Residencial Plaza de Espanha</t>
  </si>
  <si>
    <t>Residencial Boulevard Felice I</t>
  </si>
  <si>
    <t>Residencial Boulevard Felice II</t>
  </si>
  <si>
    <t>Residencial Boulevard Felice III</t>
  </si>
  <si>
    <t>Residencial Plaza Valencia</t>
  </si>
  <si>
    <t>Residencial Plaza Mayorca</t>
  </si>
  <si>
    <t>Residencial San Francesco</t>
  </si>
  <si>
    <t>Residencial Serene</t>
  </si>
  <si>
    <t>Residencial Santa Chiara</t>
  </si>
  <si>
    <t>Fontana Maggiore</t>
  </si>
  <si>
    <t>Fontana Di Trevi</t>
  </si>
  <si>
    <t>Residencial New South</t>
  </si>
  <si>
    <t>Residencial Frate Leone</t>
  </si>
  <si>
    <t>New Garden</t>
  </si>
  <si>
    <t>Morada Lúmina</t>
  </si>
  <si>
    <t>Morada Florata</t>
  </si>
  <si>
    <t>Morada Ventura</t>
  </si>
  <si>
    <t>Burda 2</t>
  </si>
  <si>
    <t>Burda 3</t>
  </si>
  <si>
    <t>Bettega</t>
  </si>
  <si>
    <t>Dom Rodrigo</t>
  </si>
  <si>
    <t>CONTRAPARTIDA/POTENCIAL</t>
  </si>
  <si>
    <t>Realizado</t>
  </si>
  <si>
    <t>Não Possui Contrapartida - VALIDAR e dar OK</t>
  </si>
  <si>
    <t>Total</t>
  </si>
  <si>
    <t>Diferença</t>
  </si>
  <si>
    <t>Valores Reavaliado R00 Jan/2024</t>
  </si>
  <si>
    <t>Término Previsto</t>
  </si>
  <si>
    <t>S/ Contrapartida</t>
  </si>
  <si>
    <t>Valores Projetado R01 Jan/2024</t>
  </si>
  <si>
    <t>Realizado (Real) até presente data</t>
  </si>
  <si>
    <t>*Daqui para frente não temos definições concretas ainda -&gt;</t>
  </si>
  <si>
    <t>Valores Projetado</t>
  </si>
  <si>
    <t>Atingimento</t>
  </si>
  <si>
    <t>Gasto (Real) até presente data</t>
  </si>
  <si>
    <t>Valor Real</t>
  </si>
  <si>
    <t>1.1</t>
  </si>
  <si>
    <t>1.2</t>
  </si>
  <si>
    <t>1.3</t>
  </si>
  <si>
    <t>Terraplanagem</t>
  </si>
  <si>
    <t>Serviços Preliminares</t>
  </si>
  <si>
    <t>Drenagem</t>
  </si>
  <si>
    <t>Status</t>
  </si>
  <si>
    <t>Elemento</t>
  </si>
  <si>
    <t>Etapa</t>
  </si>
  <si>
    <t>Obra</t>
  </si>
  <si>
    <t>Solar das Andorinhas</t>
  </si>
  <si>
    <t>Data Início</t>
  </si>
  <si>
    <t>Data fim</t>
  </si>
  <si>
    <t>% Concluída</t>
  </si>
  <si>
    <t>Serviço</t>
  </si>
  <si>
    <t>Valor Real Contrato</t>
  </si>
  <si>
    <t>Valor Projetado Financeiro</t>
  </si>
  <si>
    <t>Empresa Contratada/Contrato</t>
  </si>
  <si>
    <t>Execução</t>
  </si>
  <si>
    <t>Base/Subbase</t>
  </si>
  <si>
    <t>Revestimento</t>
  </si>
  <si>
    <t>Meio fio e Sarjeta</t>
  </si>
  <si>
    <t>Serviços de Urbanização</t>
  </si>
  <si>
    <t>Sinalização de Trânsito</t>
  </si>
  <si>
    <t>Ensaios Tecnológicos</t>
  </si>
  <si>
    <t>Iluminação Não Incidente</t>
  </si>
  <si>
    <t>Kokot Construções</t>
  </si>
  <si>
    <t>Valor Medido</t>
  </si>
  <si>
    <t>% Medido</t>
  </si>
  <si>
    <t>Contratação Urgente</t>
  </si>
  <si>
    <t>Eletrocheski (Em processos VR)</t>
  </si>
  <si>
    <t>Honolulu</t>
  </si>
  <si>
    <t>New Jersey</t>
  </si>
  <si>
    <t>Parc Dal Negro</t>
  </si>
  <si>
    <t>Plaza de Espanha</t>
  </si>
  <si>
    <t>Boulevard Felice I</t>
  </si>
  <si>
    <t>Boulevard Felice II</t>
  </si>
  <si>
    <t>Boulevard Felice III</t>
  </si>
  <si>
    <t>Plaza Valência</t>
  </si>
  <si>
    <t>Plaza Mayorca</t>
  </si>
  <si>
    <t>San Francesco</t>
  </si>
  <si>
    <t>Serene</t>
  </si>
  <si>
    <t>1.4</t>
  </si>
  <si>
    <t>1.5</t>
  </si>
  <si>
    <t>1.6</t>
  </si>
  <si>
    <t>1.7</t>
  </si>
  <si>
    <t>1.8</t>
  </si>
  <si>
    <t>1.9</t>
  </si>
  <si>
    <t>1.10</t>
  </si>
  <si>
    <t>Contrapartida</t>
  </si>
  <si>
    <t>Em andamento</t>
  </si>
  <si>
    <t>Planejamento físico-financeiro de execução (Cronograma físico-financeiro)</t>
  </si>
  <si>
    <t>Dif</t>
  </si>
  <si>
    <t>Concluído</t>
  </si>
  <si>
    <t>PROJETO</t>
  </si>
  <si>
    <t>STATUS</t>
  </si>
  <si>
    <t>Data de Entrega da Obra (Prevista)</t>
  </si>
  <si>
    <t>% Executada</t>
  </si>
  <si>
    <t>Feito, verificar O.C e valor 
(R$6.500,00 - Corte) + mudas</t>
  </si>
  <si>
    <t>Atividade executada, verificar pagamento. (Solicitação 56383).</t>
  </si>
  <si>
    <t>Solicitação feita (Solicitação 56408) , verificar andamento</t>
  </si>
  <si>
    <t>TIPO</t>
  </si>
  <si>
    <t>Pavimentação</t>
  </si>
  <si>
    <t>Elétrica Externa</t>
  </si>
  <si>
    <t>Pontos de Ônibus</t>
  </si>
  <si>
    <t>Reforma Escola</t>
  </si>
  <si>
    <t>Depósito em Pecúnio</t>
  </si>
  <si>
    <t>Corte de Árvore</t>
  </si>
  <si>
    <t>Doação (Mudas)</t>
  </si>
  <si>
    <t>Doação (Semáforos)</t>
  </si>
  <si>
    <t>Limite para Contratação</t>
  </si>
  <si>
    <t xml:space="preserve">Residencial Serene </t>
  </si>
  <si>
    <t>Aguardando Definição</t>
  </si>
  <si>
    <t>R$ Gasto Real</t>
  </si>
  <si>
    <t>CONTRAPARTIDA</t>
  </si>
  <si>
    <t>PRÉ OBRA</t>
  </si>
  <si>
    <t>Tapume</t>
  </si>
  <si>
    <t>COMENTÁRIOS</t>
  </si>
  <si>
    <t>CÓD</t>
  </si>
  <si>
    <t>Tipo</t>
  </si>
  <si>
    <t>Data Real Desembolso</t>
  </si>
  <si>
    <t>Dt. Início Previsto</t>
  </si>
  <si>
    <t>Dt. Início Real</t>
  </si>
  <si>
    <t>Dt. Término Previsto</t>
  </si>
  <si>
    <t>Dt. Término Realizado</t>
  </si>
  <si>
    <t>Data de Início de Obra (Prevista)</t>
  </si>
  <si>
    <t>Limpeza de Terreno</t>
  </si>
  <si>
    <t>Data Prev. Desembolso</t>
  </si>
  <si>
    <t>Valor Prev.</t>
  </si>
  <si>
    <t>Topografia</t>
  </si>
  <si>
    <t>Compensação (Notebooks)</t>
  </si>
  <si>
    <t>Aguardando Projetos</t>
  </si>
  <si>
    <t>Morada Lumína</t>
  </si>
  <si>
    <t xml:space="preserve">Morada Florata </t>
  </si>
  <si>
    <t>Locação de Container</t>
  </si>
  <si>
    <t>ESPANHa</t>
  </si>
  <si>
    <t xml:space="preserve">MAYORCA </t>
  </si>
  <si>
    <t xml:space="preserve">VALENCIA </t>
  </si>
  <si>
    <t>Finalizado</t>
  </si>
  <si>
    <t>Programação de Montagem a depender do tempo só</t>
  </si>
  <si>
    <t>Prazo expirado do Paisagismo/Meio Ambiente. Novo prazo de 10 dias solicitado.</t>
  </si>
  <si>
    <t>Aguardando Parecer Prefeitura</t>
  </si>
  <si>
    <t>Orçamentação</t>
  </si>
  <si>
    <t>Bettega (Luna e Duna)</t>
  </si>
  <si>
    <t>Aguardando Carta de Aprovação</t>
  </si>
  <si>
    <t>VIABILIDADE</t>
  </si>
  <si>
    <t>% Concluído</t>
  </si>
  <si>
    <t>"Saldo"</t>
  </si>
  <si>
    <t>GASTO (Orçado Pos Obra)</t>
  </si>
  <si>
    <t>Orçamento Pós 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</si>
</sst>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;\(#,##0.00\)"/>
    <numFmt numFmtId="165" formatCode="[$-416]mmm\-yy;@"/>
    <numFmt numFmtId="166" formatCode="[$-F800]dddd\,\ mmmm\ dd\,\ yyyy"/>
    <numFmt numFmtId="167" formatCode="&quot;R$&quot;\ #,##0.00"/>
    <numFmt numFmtId="168" formatCode="mmmm/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0"/>
      <name val="Fjalla One"/>
    </font>
    <font>
      <i/>
      <sz val="9"/>
      <color theme="1"/>
      <name val="Calibri"/>
      <family val="2"/>
      <scheme val="minor"/>
    </font>
    <font>
      <sz val="10"/>
      <color indexed="81"/>
      <name val="Segoe UI"/>
      <family val="2"/>
    </font>
    <font>
      <b/>
      <i/>
      <sz val="8"/>
      <color theme="0"/>
      <name val="Calibri"/>
      <family val="2"/>
      <scheme val="minor"/>
    </font>
    <font>
      <b/>
      <sz val="10"/>
      <color indexed="81"/>
      <name val="Segoe UI"/>
      <family val="2"/>
    </font>
    <font>
      <i/>
      <sz val="9"/>
      <color theme="0"/>
      <name val="Fjalla One"/>
    </font>
    <font>
      <i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i/>
      <sz val="8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i/>
      <sz val="10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b/>
      <sz val="9"/>
      <color rgb="FF000000"/>
      <name val="Segoe U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30">
    <border>
      <left/>
      <right/>
      <top/>
      <bottom/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6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/>
      <diagonal/>
    </border>
    <border>
      <left style="hair">
        <color theme="2" tint="-9.9948118533890809E-2"/>
      </left>
      <right style="thick">
        <color theme="0"/>
      </right>
      <top/>
      <bottom/>
      <diagonal/>
    </border>
    <border>
      <left style="hair">
        <color theme="2" tint="-9.9948118533890809E-2"/>
      </left>
      <right style="thick">
        <color theme="0"/>
      </right>
      <top/>
      <bottom style="hair">
        <color theme="2" tint="-9.9948118533890809E-2"/>
      </bottom>
      <diagonal/>
    </border>
    <border>
      <left style="thin">
        <color theme="6" tint="-0.249977111117893"/>
      </left>
      <right style="thin">
        <color theme="2" tint="-0.249977111117893"/>
      </right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2" tint="-0.24997711111789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 style="thin">
        <color theme="2" tint="-0.24997711111789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0" fontId="24" fillId="0" borderId="0"/>
    <xf numFmtId="44" fontId="1" fillId="0" borderId="0" applyFont="0" applyFill="0" applyBorder="0" applyAlignment="0" applyProtection="0"/>
  </cellStyleXfs>
  <cellXfs count="149">
    <xf numFmtId="0" fontId="0" fillId="0" borderId="0" xfId="0"/>
    <xf numFmtId="164" fontId="3" fillId="0" borderId="2" xfId="0" applyNumberFormat="1" applyFont="1" applyBorder="1" applyAlignment="1">
      <alignment horizontal="right" vertical="center" indent="1"/>
    </xf>
    <xf numFmtId="164" fontId="4" fillId="0" borderId="3" xfId="1" applyNumberFormat="1" applyFont="1" applyBorder="1"/>
    <xf numFmtId="0" fontId="2" fillId="0" borderId="0" xfId="0" applyFont="1"/>
    <xf numFmtId="0" fontId="5" fillId="0" borderId="0" xfId="0" applyFont="1"/>
    <xf numFmtId="14" fontId="4" fillId="0" borderId="3" xfId="2" applyNumberFormat="1" applyFont="1" applyBorder="1" applyAlignment="1">
      <alignment horizontal="center"/>
    </xf>
    <xf numFmtId="14" fontId="4" fillId="0" borderId="4" xfId="2" applyNumberFormat="1" applyFont="1" applyBorder="1" applyAlignment="1">
      <alignment horizontal="center"/>
    </xf>
    <xf numFmtId="14" fontId="4" fillId="0" borderId="0" xfId="2" applyNumberFormat="1" applyFont="1" applyBorder="1" applyAlignment="1">
      <alignment horizontal="center"/>
    </xf>
    <xf numFmtId="14" fontId="4" fillId="2" borderId="3" xfId="2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0" fontId="6" fillId="3" borderId="1" xfId="0" applyFont="1" applyFill="1" applyBorder="1" applyAlignment="1">
      <alignment horizontal="center" vertical="center" wrapText="1" shrinkToFit="1"/>
    </xf>
    <xf numFmtId="164" fontId="3" fillId="0" borderId="2" xfId="0" applyNumberFormat="1" applyFont="1" applyBorder="1" applyAlignment="1">
      <alignment horizontal="left" vertical="center" indent="1"/>
    </xf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horizontal="center"/>
    </xf>
    <xf numFmtId="44" fontId="0" fillId="0" borderId="0" xfId="3" applyFont="1"/>
    <xf numFmtId="44" fontId="0" fillId="0" borderId="0" xfId="0" applyNumberFormat="1"/>
    <xf numFmtId="164" fontId="3" fillId="4" borderId="2" xfId="0" applyNumberFormat="1" applyFont="1" applyFill="1" applyBorder="1" applyAlignment="1">
      <alignment horizontal="right" vertical="center" indent="1"/>
    </xf>
    <xf numFmtId="0" fontId="3" fillId="5" borderId="0" xfId="0" applyFont="1" applyFill="1" applyAlignment="1">
      <alignment horizontal="center"/>
    </xf>
    <xf numFmtId="164" fontId="4" fillId="4" borderId="3" xfId="1" applyNumberFormat="1" applyFont="1" applyFill="1" applyBorder="1"/>
    <xf numFmtId="164" fontId="3" fillId="0" borderId="2" xfId="0" applyNumberFormat="1" applyFont="1" applyBorder="1" applyAlignment="1">
      <alignment horizontal="right" vertical="center"/>
    </xf>
    <xf numFmtId="0" fontId="7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right" vertical="center" indent="1"/>
    </xf>
    <xf numFmtId="14" fontId="9" fillId="7" borderId="3" xfId="2" applyNumberFormat="1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right" vertical="center" indent="1"/>
    </xf>
    <xf numFmtId="164" fontId="4" fillId="9" borderId="3" xfId="1" applyNumberFormat="1" applyFont="1" applyFill="1" applyBorder="1"/>
    <xf numFmtId="0" fontId="11" fillId="3" borderId="1" xfId="0" applyFont="1" applyFill="1" applyBorder="1" applyAlignment="1">
      <alignment horizontal="center" vertical="center" wrapText="1" shrinkToFit="1"/>
    </xf>
    <xf numFmtId="0" fontId="12" fillId="0" borderId="0" xfId="0" applyFont="1"/>
    <xf numFmtId="0" fontId="0" fillId="10" borderId="0" xfId="0" applyFill="1"/>
    <xf numFmtId="0" fontId="6" fillId="10" borderId="1" xfId="0" applyFont="1" applyFill="1" applyBorder="1" applyAlignment="1">
      <alignment horizontal="center" vertical="center" wrapText="1" shrinkToFit="1"/>
    </xf>
    <xf numFmtId="4" fontId="3" fillId="10" borderId="0" xfId="0" applyNumberFormat="1" applyFont="1" applyFill="1"/>
    <xf numFmtId="164" fontId="3" fillId="10" borderId="2" xfId="0" applyNumberFormat="1" applyFont="1" applyFill="1" applyBorder="1" applyAlignment="1">
      <alignment horizontal="right" vertical="center" indent="1"/>
    </xf>
    <xf numFmtId="164" fontId="9" fillId="10" borderId="3" xfId="1" applyNumberFormat="1" applyFont="1" applyFill="1" applyBorder="1" applyAlignment="1">
      <alignment horizontal="center" vertical="center"/>
    </xf>
    <xf numFmtId="164" fontId="4" fillId="10" borderId="3" xfId="1" applyNumberFormat="1" applyFont="1" applyFill="1" applyBorder="1"/>
    <xf numFmtId="164" fontId="4" fillId="0" borderId="3" xfId="1" applyNumberFormat="1" applyFont="1" applyFill="1" applyBorder="1"/>
    <xf numFmtId="164" fontId="13" fillId="0" borderId="3" xfId="1" applyNumberFormat="1" applyFont="1" applyFill="1" applyBorder="1"/>
    <xf numFmtId="164" fontId="14" fillId="0" borderId="3" xfId="1" applyNumberFormat="1" applyFont="1" applyFill="1" applyBorder="1"/>
    <xf numFmtId="9" fontId="9" fillId="7" borderId="3" xfId="2" applyFont="1" applyFill="1" applyBorder="1" applyAlignment="1">
      <alignment horizontal="center" vertical="center"/>
    </xf>
    <xf numFmtId="165" fontId="4" fillId="0" borderId="3" xfId="2" applyNumberFormat="1" applyFont="1" applyBorder="1" applyAlignment="1">
      <alignment horizontal="center"/>
    </xf>
    <xf numFmtId="165" fontId="4" fillId="0" borderId="4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0" applyNumberFormat="1" applyAlignment="1">
      <alignment horizontal="center"/>
    </xf>
    <xf numFmtId="9" fontId="4" fillId="0" borderId="9" xfId="2" applyFont="1" applyFill="1" applyBorder="1" applyAlignment="1" applyProtection="1">
      <alignment horizontal="center" vertical="center"/>
      <protection locked="0"/>
    </xf>
    <xf numFmtId="9" fontId="4" fillId="0" borderId="10" xfId="2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 indent="1"/>
    </xf>
    <xf numFmtId="0" fontId="3" fillId="8" borderId="8" xfId="0" applyFont="1" applyFill="1" applyBorder="1" applyAlignment="1">
      <alignment horizontal="center" vertical="center"/>
    </xf>
    <xf numFmtId="17" fontId="18" fillId="11" borderId="5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7" fontId="3" fillId="0" borderId="0" xfId="0" applyNumberFormat="1" applyFont="1" applyAlignment="1">
      <alignment horizontal="left" vertical="center" wrapText="1" indent="1"/>
    </xf>
    <xf numFmtId="9" fontId="3" fillId="0" borderId="0" xfId="2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167" fontId="20" fillId="0" borderId="0" xfId="0" applyNumberFormat="1" applyFont="1" applyAlignment="1">
      <alignment horizontal="left" vertical="center" wrapText="1" indent="1"/>
    </xf>
    <xf numFmtId="9" fontId="20" fillId="0" borderId="0" xfId="2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/>
    </xf>
    <xf numFmtId="9" fontId="21" fillId="0" borderId="9" xfId="2" applyFont="1" applyFill="1" applyBorder="1" applyAlignment="1" applyProtection="1">
      <alignment horizontal="center" vertical="center"/>
      <protection locked="0"/>
    </xf>
    <xf numFmtId="9" fontId="21" fillId="0" borderId="10" xfId="2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166" fontId="20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20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/>
    </xf>
    <xf numFmtId="10" fontId="21" fillId="0" borderId="17" xfId="2" applyNumberFormat="1" applyFont="1" applyFill="1" applyBorder="1" applyAlignment="1" applyProtection="1">
      <alignment horizontal="center" vertical="center"/>
      <protection locked="0"/>
    </xf>
    <xf numFmtId="9" fontId="4" fillId="8" borderId="20" xfId="2" applyFont="1" applyFill="1" applyBorder="1" applyAlignment="1" applyProtection="1">
      <alignment horizontal="center" vertical="center"/>
      <protection locked="0"/>
    </xf>
    <xf numFmtId="9" fontId="4" fillId="8" borderId="21" xfId="2" applyFont="1" applyFill="1" applyBorder="1" applyAlignment="1" applyProtection="1">
      <alignment horizontal="center" vertical="center"/>
      <protection locked="0"/>
    </xf>
    <xf numFmtId="9" fontId="4" fillId="12" borderId="25" xfId="2" applyFont="1" applyFill="1" applyBorder="1" applyAlignment="1" applyProtection="1">
      <alignment horizontal="center" vertical="center"/>
      <protection locked="0"/>
    </xf>
    <xf numFmtId="9" fontId="4" fillId="12" borderId="26" xfId="2" applyFont="1" applyFill="1" applyBorder="1" applyAlignment="1" applyProtection="1">
      <alignment horizontal="center" vertical="center"/>
      <protection locked="0"/>
    </xf>
    <xf numFmtId="164" fontId="23" fillId="6" borderId="3" xfId="1" applyNumberFormat="1" applyFont="1" applyFill="1" applyBorder="1"/>
    <xf numFmtId="10" fontId="9" fillId="7" borderId="3" xfId="2" applyNumberFormat="1" applyFont="1" applyFill="1" applyBorder="1" applyAlignment="1">
      <alignment horizontal="center" vertical="center"/>
    </xf>
    <xf numFmtId="164" fontId="0" fillId="0" borderId="0" xfId="0" applyNumberFormat="1"/>
    <xf numFmtId="164" fontId="14" fillId="4" borderId="3" xfId="1" applyNumberFormat="1" applyFont="1" applyFill="1" applyBorder="1"/>
    <xf numFmtId="0" fontId="0" fillId="0" borderId="28" xfId="0" applyBorder="1"/>
    <xf numFmtId="14" fontId="0" fillId="0" borderId="28" xfId="0" applyNumberFormat="1" applyBorder="1" applyAlignment="1">
      <alignment horizontal="center"/>
    </xf>
    <xf numFmtId="43" fontId="0" fillId="0" borderId="28" xfId="1" applyFont="1" applyBorder="1" applyAlignment="1">
      <alignment horizontal="center"/>
    </xf>
    <xf numFmtId="0" fontId="0" fillId="0" borderId="28" xfId="0" applyBorder="1" applyAlignment="1">
      <alignment horizontal="center"/>
    </xf>
    <xf numFmtId="43" fontId="0" fillId="0" borderId="0" xfId="0" applyNumberFormat="1"/>
    <xf numFmtId="43" fontId="0" fillId="0" borderId="28" xfId="1" applyFont="1" applyBorder="1"/>
    <xf numFmtId="43" fontId="0" fillId="0" borderId="0" xfId="1" applyFont="1" applyAlignment="1">
      <alignment horizontal="center"/>
    </xf>
    <xf numFmtId="0" fontId="15" fillId="4" borderId="28" xfId="0" applyFont="1" applyFill="1" applyBorder="1" applyAlignment="1">
      <alignment horizontal="center"/>
    </xf>
    <xf numFmtId="0" fontId="15" fillId="4" borderId="28" xfId="0" applyFont="1" applyFill="1" applyBorder="1"/>
    <xf numFmtId="43" fontId="15" fillId="4" borderId="28" xfId="1" applyFont="1" applyFill="1" applyBorder="1" applyAlignment="1">
      <alignment horizontal="center"/>
    </xf>
    <xf numFmtId="0" fontId="25" fillId="14" borderId="29" xfId="5" applyFont="1" applyFill="1" applyBorder="1" applyAlignment="1">
      <alignment horizontal="center" vertical="center"/>
    </xf>
    <xf numFmtId="0" fontId="25" fillId="14" borderId="29" xfId="5" applyFont="1" applyFill="1" applyBorder="1" applyAlignment="1">
      <alignment horizontal="center" vertical="center" wrapText="1"/>
    </xf>
    <xf numFmtId="14" fontId="25" fillId="14" borderId="29" xfId="5" applyNumberFormat="1" applyFont="1" applyFill="1" applyBorder="1" applyAlignment="1">
      <alignment horizontal="center" vertical="center" wrapText="1"/>
    </xf>
    <xf numFmtId="168" fontId="25" fillId="14" borderId="29" xfId="5" applyNumberFormat="1" applyFont="1" applyFill="1" applyBorder="1" applyAlignment="1">
      <alignment horizontal="center" vertical="center" wrapText="1"/>
    </xf>
    <xf numFmtId="0" fontId="25" fillId="13" borderId="29" xfId="5" applyFont="1" applyFill="1" applyBorder="1" applyAlignment="1">
      <alignment horizontal="center" vertical="center"/>
    </xf>
    <xf numFmtId="0" fontId="22" fillId="0" borderId="0" xfId="4" applyAlignment="1">
      <alignment vertical="center"/>
    </xf>
    <xf numFmtId="0" fontId="25" fillId="0" borderId="29" xfId="5" applyFont="1" applyBorder="1" applyAlignment="1">
      <alignment horizontal="center" vertical="center" wrapText="1"/>
    </xf>
    <xf numFmtId="14" fontId="25" fillId="0" borderId="29" xfId="5" applyNumberFormat="1" applyFont="1" applyBorder="1" applyAlignment="1">
      <alignment horizontal="center" vertical="center" wrapText="1"/>
    </xf>
    <xf numFmtId="14" fontId="26" fillId="0" borderId="29" xfId="5" applyNumberFormat="1" applyFont="1" applyBorder="1" applyAlignment="1">
      <alignment horizontal="center" vertical="center" wrapText="1"/>
    </xf>
    <xf numFmtId="168" fontId="27" fillId="0" borderId="29" xfId="4" applyNumberFormat="1" applyFont="1" applyBorder="1" applyAlignment="1">
      <alignment horizontal="center" vertical="center"/>
    </xf>
    <xf numFmtId="44" fontId="26" fillId="0" borderId="29" xfId="6" applyFont="1" applyBorder="1" applyAlignment="1">
      <alignment horizontal="center" vertical="center" wrapText="1"/>
    </xf>
    <xf numFmtId="10" fontId="26" fillId="0" borderId="29" xfId="5" applyNumberFormat="1" applyFont="1" applyBorder="1" applyAlignment="1">
      <alignment horizontal="center" vertical="center" wrapText="1"/>
    </xf>
    <xf numFmtId="14" fontId="29" fillId="0" borderId="29" xfId="5" applyNumberFormat="1" applyFont="1" applyBorder="1" applyAlignment="1">
      <alignment horizontal="center" vertical="center"/>
    </xf>
    <xf numFmtId="44" fontId="26" fillId="0" borderId="29" xfId="6" applyFont="1" applyFill="1" applyBorder="1" applyAlignment="1">
      <alignment horizontal="center" vertical="center" wrapText="1"/>
    </xf>
    <xf numFmtId="44" fontId="22" fillId="0" borderId="0" xfId="4" applyNumberFormat="1" applyAlignment="1">
      <alignment vertical="center"/>
    </xf>
    <xf numFmtId="0" fontId="25" fillId="6" borderId="29" xfId="5" applyFont="1" applyFill="1" applyBorder="1" applyAlignment="1">
      <alignment horizontal="center" vertical="center" wrapText="1"/>
    </xf>
    <xf numFmtId="14" fontId="25" fillId="6" borderId="29" xfId="5" applyNumberFormat="1" applyFont="1" applyFill="1" applyBorder="1" applyAlignment="1">
      <alignment horizontal="center" vertical="center" wrapText="1"/>
    </xf>
    <xf numFmtId="14" fontId="29" fillId="6" borderId="29" xfId="5" applyNumberFormat="1" applyFont="1" applyFill="1" applyBorder="1" applyAlignment="1">
      <alignment horizontal="center" vertical="center"/>
    </xf>
    <xf numFmtId="168" fontId="27" fillId="6" borderId="29" xfId="4" applyNumberFormat="1" applyFont="1" applyFill="1" applyBorder="1" applyAlignment="1">
      <alignment horizontal="center" vertical="center"/>
    </xf>
    <xf numFmtId="44" fontId="26" fillId="6" borderId="29" xfId="6" applyFont="1" applyFill="1" applyBorder="1" applyAlignment="1">
      <alignment horizontal="center" vertical="center" wrapText="1"/>
    </xf>
    <xf numFmtId="10" fontId="26" fillId="6" borderId="29" xfId="5" applyNumberFormat="1" applyFont="1" applyFill="1" applyBorder="1" applyAlignment="1">
      <alignment horizontal="center" vertical="center" wrapText="1"/>
    </xf>
    <xf numFmtId="44" fontId="31" fillId="6" borderId="29" xfId="6" applyFont="1" applyFill="1" applyBorder="1" applyAlignment="1">
      <alignment horizontal="center" vertical="center" wrapText="1"/>
    </xf>
    <xf numFmtId="14" fontId="31" fillId="0" borderId="29" xfId="5" applyNumberFormat="1" applyFont="1" applyBorder="1" applyAlignment="1">
      <alignment horizontal="center" vertical="center" wrapText="1"/>
    </xf>
    <xf numFmtId="14" fontId="28" fillId="0" borderId="29" xfId="5" applyNumberFormat="1" applyFont="1" applyBorder="1" applyAlignment="1">
      <alignment horizontal="center" vertical="center"/>
    </xf>
    <xf numFmtId="0" fontId="25" fillId="0" borderId="29" xfId="5" applyFont="1" applyBorder="1" applyAlignment="1">
      <alignment horizontal="center" vertical="center"/>
    </xf>
    <xf numFmtId="0" fontId="30" fillId="0" borderId="29" xfId="5" applyFont="1" applyBorder="1" applyAlignment="1">
      <alignment horizontal="center" vertical="center" wrapText="1"/>
    </xf>
    <xf numFmtId="14" fontId="22" fillId="0" borderId="0" xfId="4" applyNumberFormat="1" applyAlignment="1">
      <alignment vertical="center"/>
    </xf>
    <xf numFmtId="168" fontId="22" fillId="0" borderId="0" xfId="4" applyNumberFormat="1" applyAlignment="1">
      <alignment vertical="center"/>
    </xf>
    <xf numFmtId="0" fontId="0" fillId="6" borderId="28" xfId="0" applyFill="1" applyBorder="1" applyAlignment="1">
      <alignment horizontal="center"/>
    </xf>
    <xf numFmtId="0" fontId="0" fillId="6" borderId="28" xfId="0" applyFill="1" applyBorder="1"/>
    <xf numFmtId="14" fontId="0" fillId="6" borderId="28" xfId="0" applyNumberFormat="1" applyFill="1" applyBorder="1" applyAlignment="1">
      <alignment horizontal="center"/>
    </xf>
    <xf numFmtId="43" fontId="0" fillId="6" borderId="28" xfId="1" applyFont="1" applyFill="1" applyBorder="1"/>
    <xf numFmtId="0" fontId="0" fillId="4" borderId="28" xfId="0" applyFill="1" applyBorder="1" applyAlignment="1">
      <alignment horizontal="center"/>
    </xf>
    <xf numFmtId="0" fontId="0" fillId="4" borderId="28" xfId="0" applyFill="1" applyBorder="1"/>
    <xf numFmtId="14" fontId="0" fillId="4" borderId="28" xfId="0" applyNumberFormat="1" applyFill="1" applyBorder="1" applyAlignment="1">
      <alignment horizontal="center"/>
    </xf>
    <xf numFmtId="43" fontId="0" fillId="4" borderId="28" xfId="1" applyFont="1" applyFill="1" applyBorder="1"/>
    <xf numFmtId="10" fontId="0" fillId="0" borderId="0" xfId="2" applyNumberFormat="1" applyFont="1"/>
    <xf numFmtId="0" fontId="0" fillId="4" borderId="0" xfId="0" applyFill="1" applyAlignment="1">
      <alignment horizontal="center"/>
    </xf>
    <xf numFmtId="9" fontId="3" fillId="0" borderId="19" xfId="2" applyFont="1" applyBorder="1" applyAlignment="1">
      <alignment horizontal="center" vertical="center" wrapText="1"/>
    </xf>
    <xf numFmtId="9" fontId="3" fillId="0" borderId="24" xfId="2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7" fontId="3" fillId="0" borderId="18" xfId="0" applyNumberFormat="1" applyFont="1" applyBorder="1" applyAlignment="1">
      <alignment horizontal="center" vertical="center" wrapText="1"/>
    </xf>
    <xf numFmtId="167" fontId="3" fillId="0" borderId="23" xfId="0" applyNumberFormat="1" applyFont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 wrapText="1"/>
    </xf>
    <xf numFmtId="166" fontId="3" fillId="0" borderId="24" xfId="0" applyNumberFormat="1" applyFont="1" applyBorder="1" applyAlignment="1">
      <alignment horizontal="center" vertical="center" wrapText="1"/>
    </xf>
    <xf numFmtId="9" fontId="17" fillId="3" borderId="11" xfId="2" applyFont="1" applyFill="1" applyBorder="1" applyAlignment="1">
      <alignment horizontal="center" vertical="center" wrapText="1"/>
    </xf>
    <xf numFmtId="9" fontId="17" fillId="3" borderId="12" xfId="2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 shrinkToFit="1"/>
    </xf>
    <xf numFmtId="0" fontId="16" fillId="3" borderId="1" xfId="0" applyFont="1" applyFill="1" applyBorder="1" applyAlignment="1">
      <alignment horizontal="center" vertical="center" wrapText="1" shrinkToFit="1"/>
    </xf>
    <xf numFmtId="9" fontId="17" fillId="3" borderId="6" xfId="2" applyFont="1" applyFill="1" applyBorder="1" applyAlignment="1">
      <alignment horizontal="center" vertical="center"/>
    </xf>
    <xf numFmtId="9" fontId="17" fillId="3" borderId="7" xfId="2" applyFont="1" applyFill="1" applyBorder="1" applyAlignment="1">
      <alignment horizontal="center" vertical="center"/>
    </xf>
    <xf numFmtId="166" fontId="16" fillId="3" borderId="13" xfId="0" applyNumberFormat="1" applyFont="1" applyFill="1" applyBorder="1" applyAlignment="1">
      <alignment horizontal="center" vertical="center" wrapText="1" shrinkToFit="1"/>
    </xf>
    <xf numFmtId="166" fontId="16" fillId="3" borderId="1" xfId="0" applyNumberFormat="1" applyFont="1" applyFill="1" applyBorder="1" applyAlignment="1">
      <alignment horizontal="center" vertical="center" wrapText="1" shrinkToFit="1"/>
    </xf>
    <xf numFmtId="9" fontId="16" fillId="3" borderId="14" xfId="2" applyFont="1" applyFill="1" applyBorder="1" applyAlignment="1">
      <alignment horizontal="center" vertical="center" wrapText="1" shrinkToFit="1"/>
    </xf>
    <xf numFmtId="9" fontId="16" fillId="3" borderId="15" xfId="2" applyFont="1" applyFill="1" applyBorder="1" applyAlignment="1">
      <alignment horizontal="center" vertical="center" wrapText="1" shrinkToFi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44" fontId="22" fillId="0" borderId="0" xfId="3" applyFont="1" applyAlignment="1">
      <alignment vertical="center"/>
    </xf>
    <xf numFmtId="0" fontId="22" fillId="0" borderId="0" xfId="4" applyAlignment="1">
      <alignment horizontal="center" vertical="center"/>
    </xf>
    <xf numFmtId="44" fontId="22" fillId="0" borderId="0" xfId="4" applyNumberFormat="1" applyAlignment="1">
      <alignment horizontal="center" vertical="center"/>
    </xf>
    <xf numFmtId="9" fontId="22" fillId="0" borderId="0" xfId="4" applyNumberFormat="1" applyAlignment="1">
      <alignment vertical="center"/>
    </xf>
    <xf numFmtId="168" fontId="22" fillId="5" borderId="0" xfId="4" applyNumberFormat="1" applyFill="1" applyAlignment="1">
      <alignment horizontal="center" vertical="center"/>
    </xf>
  </cellXfs>
  <cellStyles count="7">
    <cellStyle name="Moeda" xfId="3" builtinId="4"/>
    <cellStyle name="Moeda 2" xfId="6" xr:uid="{01C3B1CD-FE67-4883-85C8-5F606D32FDBB}"/>
    <cellStyle name="Normal" xfId="0" builtinId="0"/>
    <cellStyle name="Normal 2" xfId="4" xr:uid="{809F9764-0D58-4935-8280-3BC33164DF04}"/>
    <cellStyle name="Normal_Planilha1" xfId="5" xr:uid="{5DDD83F4-3CFF-4B0B-B5C1-D0F432E0DDFF}"/>
    <cellStyle name="Porcentagem" xfId="2" builtinId="5"/>
    <cellStyle name="Vírgula" xfId="1" builtinId="3"/>
  </cellStyles>
  <dxfs count="15">
    <dxf>
      <font>
        <color theme="3"/>
      </font>
      <fill>
        <patternFill>
          <bgColor theme="3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8" tint="-0.499984740745262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</dxf>
    <dxf>
      <font>
        <b/>
        <i val="0"/>
        <color theme="0"/>
      </font>
    </dxf>
    <dxf>
      <font>
        <color theme="3"/>
      </font>
      <fill>
        <patternFill>
          <bgColor theme="3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8" tint="-0.499984740745262"/>
      </font>
      <fill>
        <patternFill>
          <bgColor theme="8" tint="-0.499984740745262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</dxf>
    <dxf>
      <font>
        <b/>
        <i val="0"/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1" defaultTableStyle="TableStyleMedium2" defaultPivotStyle="PivotStyleLight16">
    <tableStyle name="Invisible" pivot="0" table="0" count="0" xr9:uid="{93E2C429-014F-4768-AD83-01357C2B725A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Oliveira" id="{18FEF380-1468-47B5-B4DE-51EA81165708}" userId="S::lucas.oliveira@nvrempreendimentos.com.br::043f6b78-272b-4813-a6f8-6f09bb437739" providerId="AD"/>
  <person displayName="Priscilla Borges" id="{E107C581-ADE0-4AD1-8F50-D5754ABD843C}" userId="S::priscilla.borges@nvrempreendimentos.com.br::eed8b97b-98dc-4273-9127-68d7aebaa826" providerId="AD"/>
  <person displayName="Stefan Kapronezai" id="{4EA3D756-2167-41A8-AB6E-21374825A993}" userId="S::stefan.kapronezai@nvrempreendimentos.com.br::b28ff640-7cd6-4218-a10c-4a1798a3b45b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3" dT="2023-09-11T18:37:25.56" personId="{E107C581-ADE0-4AD1-8F50-D5754ABD843C}" id="{6130FD00-8A46-4BC8-83E8-AFB48131B59C}">
    <text>Potencial construtivo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3" dT="2023-09-11T18:37:25.56" personId="{E107C581-ADE0-4AD1-8F50-D5754ABD843C}" id="{27C375C8-CA76-47CD-9C74-EA71EC1739BC}">
    <text>Potencial construtivo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V14" dT="2023-09-11T18:37:25.56" personId="{E107C581-ADE0-4AD1-8F50-D5754ABD843C}" id="{27C375C8-CA76-47CE-9C74-EA71EC1739BC}">
    <text>Potencial construtivo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V4" dT="2023-09-11T18:37:25.56" personId="{E107C581-ADE0-4AD1-8F50-D5754ABD843C}" id="{5C86389F-55F6-42C9-80A5-81674C832284}">
    <text>Potencial construtivo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U4" dT="2023-09-11T18:37:25.56" personId="{E107C581-ADE0-4AD1-8F50-D5754ABD843C}" id="{F69170B0-921B-4AAF-9FF8-66103ADA4946}">
    <text>Potencial construtivo</text>
  </threadedComment>
  <threadedComment ref="K15" dT="2024-03-25T12:12:30.80" personId="{18FEF380-1468-47B5-B4DE-51EA81165708}" id="{46BBC679-B9D9-43A4-9AF2-E72ECF937F76}">
    <text>Luana providenciará. Aguardar Boleto.</text>
  </threadedComment>
  <threadedComment ref="K15" dT="2024-06-12T15:50:30.99" personId="{18FEF380-1468-47B5-B4DE-51EA81165708}" id="{98258267-07D7-4246-89A8-093DF6944FCD}" parentId="{46BBC679-B9D9-43A4-9AF2-E72ECF937F76}">
    <text>Luana: Verificando se será pago como 6 notebooks DELL para prefeitura.</text>
  </threadedComment>
  <threadedComment ref="L16" dT="2024-07-11T17:43:04.89" personId="{E107C581-ADE0-4AD1-8F50-D5754ABD843C}" id="{1EEA09E9-B771-4023-BE38-1B10A4144C1D}">
    <text>rua</text>
  </threadedComment>
  <threadedComment ref="L17" dT="2024-07-11T17:43:04.89" personId="{E107C581-ADE0-4AD1-8F50-D5754ABD843C}" id="{3D622ED7-30F2-4739-B1A8-558D66389B83}">
    <text>rua</text>
  </threadedComment>
  <threadedComment ref="L18" dT="2024-07-11T17:43:04.89" personId="{E107C581-ADE0-4AD1-8F50-D5754ABD843C}" id="{B66C0693-28AB-4DB7-B61D-0FC95580898B}">
    <text>rua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4-07-15T15:56:42.47" personId="{4EA3D756-2167-41A8-AB6E-21374825A993}" id="{81FD1ABA-4A14-45F5-AF41-EF28A2786D77}">
    <text xml:space="preserve">Peguei as datas do site da Valor Real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28002-7706-496C-A118-CD1438ADA29A}">
  <dimension ref="A1:V58"/>
  <sheetViews>
    <sheetView showGridLines="0" workbookViewId="0">
      <selection activeCell="G18" sqref="G18:G19"/>
    </sheetView>
  </sheetViews>
  <sheetFormatPr defaultColWidth="8.85546875" defaultRowHeight="15" x14ac:dyDescent="0.25"/>
  <cols>
    <col min="1" max="1" width="8.7109375" customWidth="1"/>
    <col min="2" max="2" width="18.42578125" customWidth="1"/>
    <col min="3" max="10" width="11.140625" bestFit="1" customWidth="1"/>
    <col min="11" max="11" width="10.28515625" bestFit="1" customWidth="1"/>
    <col min="12" max="12" width="12.42578125" bestFit="1" customWidth="1"/>
    <col min="13" max="20" width="11.140625" bestFit="1" customWidth="1"/>
    <col min="21" max="21" width="12.42578125" bestFit="1" customWidth="1"/>
    <col min="22" max="22" width="11.140625" bestFit="1" customWidth="1"/>
  </cols>
  <sheetData>
    <row r="1" spans="1:22" x14ac:dyDescent="0.25">
      <c r="A1" s="4" t="s">
        <v>30</v>
      </c>
    </row>
    <row r="2" spans="1:22" x14ac:dyDescent="0.25">
      <c r="B2" s="3" t="s">
        <v>0</v>
      </c>
    </row>
    <row r="3" spans="1:22" x14ac:dyDescent="0.25">
      <c r="B3" s="3" t="s">
        <v>1</v>
      </c>
    </row>
    <row r="4" spans="1:22" x14ac:dyDescent="0.25">
      <c r="B4" s="3" t="s">
        <v>5</v>
      </c>
    </row>
    <row r="5" spans="1:22" x14ac:dyDescent="0.25">
      <c r="B5" s="3" t="s">
        <v>15</v>
      </c>
    </row>
    <row r="6" spans="1:22" x14ac:dyDescent="0.25">
      <c r="B6" s="3" t="s">
        <v>19</v>
      </c>
    </row>
    <row r="7" spans="1:22" x14ac:dyDescent="0.25">
      <c r="B7" s="3" t="s">
        <v>21</v>
      </c>
    </row>
    <row r="8" spans="1:22" x14ac:dyDescent="0.25">
      <c r="B8" s="3" t="s">
        <v>22</v>
      </c>
    </row>
    <row r="9" spans="1:22" x14ac:dyDescent="0.25">
      <c r="B9" s="3" t="s">
        <v>23</v>
      </c>
    </row>
    <row r="12" spans="1:22" ht="36" x14ac:dyDescent="0.25">
      <c r="C12" s="10" t="s">
        <v>2</v>
      </c>
      <c r="D12" s="10" t="s">
        <v>3</v>
      </c>
      <c r="E12" s="10" t="s">
        <v>4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16</v>
      </c>
      <c r="P12" s="10" t="s">
        <v>17</v>
      </c>
      <c r="Q12" s="10" t="s">
        <v>18</v>
      </c>
      <c r="R12" s="10" t="s">
        <v>20</v>
      </c>
      <c r="S12" s="10" t="s">
        <v>24</v>
      </c>
      <c r="T12" s="10" t="s">
        <v>25</v>
      </c>
      <c r="U12" s="10" t="s">
        <v>26</v>
      </c>
      <c r="V12" s="10" t="s">
        <v>27</v>
      </c>
    </row>
    <row r="13" spans="1:22" x14ac:dyDescent="0.25">
      <c r="A13" s="11" t="s">
        <v>28</v>
      </c>
      <c r="B13" s="1"/>
      <c r="C13" s="1">
        <v>-460000</v>
      </c>
      <c r="D13" s="1">
        <v>-129411.76</v>
      </c>
      <c r="E13" s="1">
        <v>-123529</v>
      </c>
      <c r="F13" s="1">
        <v>-150000</v>
      </c>
      <c r="G13" s="1">
        <v>-905000</v>
      </c>
      <c r="H13" s="1">
        <v>-234968.65479530705</v>
      </c>
      <c r="I13" s="1">
        <v>-239837.11605596766</v>
      </c>
      <c r="J13" s="1">
        <v>-275194.2291487254</v>
      </c>
      <c r="K13" s="1">
        <v>-56639.94</v>
      </c>
      <c r="L13" s="1">
        <v>-1432200</v>
      </c>
      <c r="M13" s="1">
        <v>-658840.52</v>
      </c>
      <c r="N13" s="1">
        <v>-285511.5</v>
      </c>
      <c r="O13" s="1">
        <v>-248000</v>
      </c>
      <c r="P13" s="1">
        <v>-186000</v>
      </c>
      <c r="Q13" s="1">
        <v>-375282.73</v>
      </c>
      <c r="R13" s="1">
        <v>-590487.1</v>
      </c>
      <c r="S13" s="1">
        <v>-873030.55499999993</v>
      </c>
      <c r="T13" s="1">
        <v>-873030.55499999993</v>
      </c>
      <c r="U13" s="1">
        <v>-1089142.32</v>
      </c>
      <c r="V13" s="1">
        <v>-698940</v>
      </c>
    </row>
    <row r="14" spans="1:22" s="12" customFormat="1" ht="12" x14ac:dyDescent="0.2">
      <c r="B14" s="14" t="s">
        <v>32</v>
      </c>
      <c r="C14" s="13">
        <f t="shared" ref="C14:V14" si="0">+C16-C13</f>
        <v>1.0000000009313226E-2</v>
      </c>
      <c r="D14" s="13">
        <f t="shared" si="0"/>
        <v>0</v>
      </c>
      <c r="E14" s="13">
        <f t="shared" si="0"/>
        <v>9.9999999947613105E-3</v>
      </c>
      <c r="F14" s="13">
        <f t="shared" si="0"/>
        <v>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3">
        <f t="shared" si="0"/>
        <v>0</v>
      </c>
      <c r="Q14" s="13">
        <f t="shared" si="0"/>
        <v>0</v>
      </c>
      <c r="R14" s="13">
        <f t="shared" si="0"/>
        <v>0</v>
      </c>
      <c r="S14" s="13">
        <f t="shared" si="0"/>
        <v>0</v>
      </c>
      <c r="T14" s="13">
        <f t="shared" si="0"/>
        <v>-5.0000001210719347E-3</v>
      </c>
      <c r="U14" s="13">
        <f t="shared" si="0"/>
        <v>0</v>
      </c>
      <c r="V14" s="13">
        <f t="shared" si="0"/>
        <v>0</v>
      </c>
    </row>
    <row r="15" spans="1:22" s="12" customFormat="1" ht="12" x14ac:dyDescent="0.2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25">
      <c r="B16" s="8" t="s">
        <v>31</v>
      </c>
      <c r="C16" s="9">
        <f t="shared" ref="C16:V16" si="1">+SUBTOTAL(9,C17:C57)</f>
        <v>-459999.99</v>
      </c>
      <c r="D16" s="9">
        <f t="shared" si="1"/>
        <v>-129411.76</v>
      </c>
      <c r="E16" s="9">
        <f t="shared" si="1"/>
        <v>-123528.99</v>
      </c>
      <c r="F16" s="9">
        <f t="shared" si="1"/>
        <v>-150000</v>
      </c>
      <c r="G16" s="9">
        <f t="shared" si="1"/>
        <v>-905000</v>
      </c>
      <c r="H16" s="9">
        <f t="shared" si="1"/>
        <v>-234968.65479530705</v>
      </c>
      <c r="I16" s="9">
        <f t="shared" si="1"/>
        <v>-239837.11605596766</v>
      </c>
      <c r="J16" s="9">
        <f t="shared" si="1"/>
        <v>-275194.2291487254</v>
      </c>
      <c r="K16" s="9">
        <f t="shared" si="1"/>
        <v>-56639.94</v>
      </c>
      <c r="L16" s="9">
        <f t="shared" si="1"/>
        <v>-1432200</v>
      </c>
      <c r="M16" s="9">
        <f t="shared" si="1"/>
        <v>-658840.52</v>
      </c>
      <c r="N16" s="9">
        <f t="shared" si="1"/>
        <v>-285511.5</v>
      </c>
      <c r="O16" s="9">
        <f t="shared" si="1"/>
        <v>-248000</v>
      </c>
      <c r="P16" s="9">
        <f t="shared" si="1"/>
        <v>-186000</v>
      </c>
      <c r="Q16" s="9">
        <f t="shared" si="1"/>
        <v>-375282.73</v>
      </c>
      <c r="R16" s="9">
        <f t="shared" si="1"/>
        <v>-590487.1</v>
      </c>
      <c r="S16" s="9">
        <f t="shared" si="1"/>
        <v>-873030.55499999993</v>
      </c>
      <c r="T16" s="9">
        <f t="shared" si="1"/>
        <v>-873030.56</v>
      </c>
      <c r="U16" s="9">
        <f t="shared" si="1"/>
        <v>-1089142.32</v>
      </c>
      <c r="V16" s="9">
        <f t="shared" si="1"/>
        <v>-698940</v>
      </c>
    </row>
    <row r="17" spans="2:22" x14ac:dyDescent="0.25">
      <c r="B17" s="5" t="s">
        <v>29</v>
      </c>
      <c r="C17" s="2">
        <v>0</v>
      </c>
      <c r="D17" s="2">
        <v>0</v>
      </c>
      <c r="E17" s="2">
        <v>0</v>
      </c>
      <c r="F17" s="2">
        <v>-43500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-8340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2:22" x14ac:dyDescent="0.25">
      <c r="B18" s="5">
        <v>45300</v>
      </c>
      <c r="C18" s="2">
        <v>-153333.32999999999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5">
      <c r="B19" s="5">
        <v>45331</v>
      </c>
      <c r="C19" s="2">
        <v>-153333.32999999999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5">
      <c r="B20" s="6">
        <v>45360</v>
      </c>
      <c r="C20" s="2">
        <v>-153333.32999999999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5">
      <c r="B21" s="7">
        <v>45427</v>
      </c>
      <c r="C21" s="2"/>
      <c r="D21" s="2"/>
      <c r="E21" s="2"/>
      <c r="F21" s="2">
        <v>-26625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5">
      <c r="B22" s="5">
        <v>45458</v>
      </c>
      <c r="C22" s="2"/>
      <c r="D22" s="2"/>
      <c r="E22" s="2"/>
      <c r="F22" s="2">
        <v>-26625</v>
      </c>
      <c r="G22" s="2">
        <v>-226250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5">
      <c r="B23" s="5">
        <v>45487</v>
      </c>
      <c r="C23" s="2"/>
      <c r="D23" s="2"/>
      <c r="E23" s="2">
        <v>-41176.33</v>
      </c>
      <c r="F23" s="2">
        <v>-26625</v>
      </c>
      <c r="G23" s="2">
        <v>-226250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5">
      <c r="B24" s="5">
        <v>45519</v>
      </c>
      <c r="C24" s="2"/>
      <c r="D24" s="2"/>
      <c r="E24" s="2">
        <v>-41176.33</v>
      </c>
      <c r="F24" s="2">
        <v>-26625</v>
      </c>
      <c r="G24" s="2">
        <v>-226250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5">
      <c r="B25" s="7">
        <v>45546</v>
      </c>
      <c r="C25" s="2"/>
      <c r="D25" s="2">
        <v>-32352.94</v>
      </c>
      <c r="E25" s="2">
        <v>-41176.33</v>
      </c>
      <c r="F25" s="2"/>
      <c r="G25" s="2">
        <v>-226250</v>
      </c>
      <c r="H25" s="2"/>
      <c r="I25" s="2"/>
      <c r="J25" s="2"/>
      <c r="K25" s="2">
        <v>-14159.985000000001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5">
      <c r="B26" s="6">
        <v>45576</v>
      </c>
      <c r="C26" s="2"/>
      <c r="D26" s="2">
        <v>-32352.94</v>
      </c>
      <c r="E26" s="2"/>
      <c r="F26" s="2"/>
      <c r="G26" s="2"/>
      <c r="H26" s="2"/>
      <c r="I26" s="2"/>
      <c r="J26" s="2"/>
      <c r="K26" s="2">
        <v>-14159.985000000001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5">
      <c r="B27" s="5">
        <v>45605</v>
      </c>
      <c r="C27" s="2"/>
      <c r="D27" s="2">
        <v>-32352.94</v>
      </c>
      <c r="E27" s="2"/>
      <c r="F27" s="2"/>
      <c r="G27" s="2"/>
      <c r="H27" s="2"/>
      <c r="I27" s="2"/>
      <c r="J27" s="2"/>
      <c r="K27" s="2">
        <v>-14159.985000000001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5">
      <c r="B28" s="5">
        <v>45635</v>
      </c>
      <c r="C28" s="2"/>
      <c r="D28" s="2">
        <v>-32352.94</v>
      </c>
      <c r="E28" s="2"/>
      <c r="F28" s="2"/>
      <c r="G28" s="2"/>
      <c r="H28" s="2">
        <v>-58742.163698826764</v>
      </c>
      <c r="I28" s="2">
        <v>-59959.279013991916</v>
      </c>
      <c r="J28" s="2"/>
      <c r="K28" s="2">
        <v>-14159.985000000001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5">
      <c r="B29" s="5">
        <v>45672</v>
      </c>
      <c r="C29" s="2"/>
      <c r="D29" s="2"/>
      <c r="E29" s="2"/>
      <c r="F29" s="2"/>
      <c r="G29" s="2"/>
      <c r="H29" s="2">
        <v>-58742.163698826764</v>
      </c>
      <c r="I29" s="2">
        <v>-59959.279013991916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5">
      <c r="B30" s="6">
        <v>45703</v>
      </c>
      <c r="C30" s="2"/>
      <c r="D30" s="2"/>
      <c r="E30" s="2"/>
      <c r="F30" s="2"/>
      <c r="G30" s="2"/>
      <c r="H30" s="2">
        <v>-58742.163698826764</v>
      </c>
      <c r="I30" s="2">
        <v>-59959.279013991916</v>
      </c>
      <c r="J30" s="2"/>
      <c r="K30" s="2"/>
      <c r="L30" s="2"/>
      <c r="M30" s="2"/>
      <c r="N30" s="2">
        <v>-71377.875</v>
      </c>
      <c r="O30" s="2"/>
      <c r="P30" s="2"/>
      <c r="Q30" s="2"/>
      <c r="R30" s="2"/>
      <c r="S30" s="2"/>
      <c r="T30" s="2"/>
      <c r="U30" s="2"/>
      <c r="V30" s="2"/>
    </row>
    <row r="31" spans="2:22" x14ac:dyDescent="0.25">
      <c r="B31" s="5">
        <v>45731</v>
      </c>
      <c r="C31" s="2"/>
      <c r="D31" s="2"/>
      <c r="E31" s="2"/>
      <c r="F31" s="2"/>
      <c r="G31" s="2"/>
      <c r="H31" s="2">
        <v>-58742.163698826764</v>
      </c>
      <c r="I31" s="2">
        <v>-59959.279013991916</v>
      </c>
      <c r="J31" s="2"/>
      <c r="K31" s="2"/>
      <c r="L31" s="2"/>
      <c r="M31" s="2"/>
      <c r="N31" s="2">
        <v>-71377.875</v>
      </c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7">
        <v>45762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-71377.875</v>
      </c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5">
        <v>45792</v>
      </c>
      <c r="C33" s="2"/>
      <c r="D33" s="2"/>
      <c r="E33" s="2"/>
      <c r="F33" s="2"/>
      <c r="G33" s="2"/>
      <c r="H33" s="2"/>
      <c r="I33" s="2"/>
      <c r="J33" s="2"/>
      <c r="K33" s="2"/>
      <c r="L33" s="2">
        <v>-355965</v>
      </c>
      <c r="M33" s="2"/>
      <c r="N33" s="2">
        <v>-71377.875</v>
      </c>
      <c r="O33" s="2"/>
      <c r="P33" s="2"/>
      <c r="Q33" s="2"/>
      <c r="R33" s="2"/>
      <c r="S33" s="2"/>
      <c r="T33" s="2"/>
      <c r="U33" s="2"/>
      <c r="V33" s="2"/>
    </row>
    <row r="34" spans="2:22" x14ac:dyDescent="0.25">
      <c r="B34" s="5">
        <v>45823</v>
      </c>
      <c r="C34" s="2"/>
      <c r="D34" s="2"/>
      <c r="E34" s="2"/>
      <c r="F34" s="2"/>
      <c r="G34" s="2"/>
      <c r="H34" s="2"/>
      <c r="I34" s="2"/>
      <c r="J34" s="2"/>
      <c r="K34" s="2"/>
      <c r="L34" s="2">
        <v>-355965</v>
      </c>
      <c r="M34" s="2">
        <v>-164710.13</v>
      </c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5">
      <c r="B35" s="7">
        <v>45853</v>
      </c>
      <c r="C35" s="2"/>
      <c r="D35" s="2"/>
      <c r="E35" s="2"/>
      <c r="F35" s="2"/>
      <c r="G35" s="2"/>
      <c r="H35" s="2"/>
      <c r="I35" s="2"/>
      <c r="J35" s="2"/>
      <c r="K35" s="2"/>
      <c r="L35" s="2">
        <v>-355965</v>
      </c>
      <c r="M35" s="2">
        <v>-164710.13</v>
      </c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5">
      <c r="B36" s="5">
        <v>45884</v>
      </c>
      <c r="C36" s="2"/>
      <c r="D36" s="2"/>
      <c r="E36" s="2"/>
      <c r="F36" s="2"/>
      <c r="G36" s="2"/>
      <c r="H36" s="2"/>
      <c r="I36" s="2"/>
      <c r="J36" s="2"/>
      <c r="K36" s="2"/>
      <c r="L36" s="2">
        <v>-355965</v>
      </c>
      <c r="M36" s="2">
        <v>-164710.13</v>
      </c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5">
      <c r="B37" s="6">
        <v>45915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-164710.13</v>
      </c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5">
      <c r="B38" s="7">
        <v>46037</v>
      </c>
      <c r="C38" s="2"/>
      <c r="D38" s="2"/>
      <c r="E38" s="2"/>
      <c r="F38" s="2"/>
      <c r="G38" s="2"/>
      <c r="H38" s="2"/>
      <c r="I38" s="2"/>
      <c r="J38" s="2">
        <v>-68798.557287181349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5">
      <c r="B39" s="5">
        <v>46068</v>
      </c>
      <c r="C39" s="2"/>
      <c r="D39" s="2"/>
      <c r="E39" s="2"/>
      <c r="F39" s="2"/>
      <c r="G39" s="2"/>
      <c r="H39" s="2"/>
      <c r="I39" s="2"/>
      <c r="J39" s="2">
        <v>-68798.557287181349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5">
      <c r="B40" s="5">
        <v>46096</v>
      </c>
      <c r="C40" s="2"/>
      <c r="D40" s="2"/>
      <c r="E40" s="2"/>
      <c r="F40" s="2"/>
      <c r="G40" s="2"/>
      <c r="H40" s="2"/>
      <c r="I40" s="2"/>
      <c r="J40" s="2">
        <v>-68798.557287181349</v>
      </c>
      <c r="K40" s="2"/>
      <c r="L40" s="2"/>
      <c r="M40" s="2"/>
      <c r="N40" s="2"/>
      <c r="O40" s="2">
        <v>-62000</v>
      </c>
      <c r="P40" s="2">
        <v>-46500</v>
      </c>
      <c r="Q40" s="2"/>
      <c r="R40" s="2"/>
      <c r="S40" s="2"/>
      <c r="T40" s="2"/>
      <c r="U40" s="2"/>
      <c r="V40" s="2"/>
    </row>
    <row r="41" spans="2:22" x14ac:dyDescent="0.25">
      <c r="B41" s="7">
        <v>46127</v>
      </c>
      <c r="C41" s="2"/>
      <c r="D41" s="2"/>
      <c r="E41" s="2"/>
      <c r="F41" s="2"/>
      <c r="G41" s="2"/>
      <c r="H41" s="2"/>
      <c r="I41" s="2"/>
      <c r="J41" s="2">
        <v>-68798.557287181349</v>
      </c>
      <c r="K41" s="2"/>
      <c r="L41" s="2"/>
      <c r="M41" s="2"/>
      <c r="N41" s="2"/>
      <c r="O41" s="2">
        <v>-62000</v>
      </c>
      <c r="P41" s="2">
        <v>-46500</v>
      </c>
      <c r="Q41" s="2"/>
      <c r="R41" s="2"/>
      <c r="S41" s="2"/>
      <c r="T41" s="2"/>
      <c r="U41" s="2"/>
      <c r="V41" s="2"/>
    </row>
    <row r="42" spans="2:22" x14ac:dyDescent="0.25">
      <c r="B42" s="5">
        <v>46157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-62000</v>
      </c>
      <c r="P42" s="2">
        <v>-46500</v>
      </c>
      <c r="Q42" s="2"/>
      <c r="R42" s="2"/>
      <c r="S42" s="2"/>
      <c r="T42" s="2"/>
      <c r="U42" s="2"/>
      <c r="V42" s="2"/>
    </row>
    <row r="43" spans="2:22" x14ac:dyDescent="0.25">
      <c r="B43" s="7">
        <v>46188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-62000</v>
      </c>
      <c r="P43" s="2">
        <v>-46500</v>
      </c>
      <c r="Q43" s="2"/>
      <c r="R43" s="2"/>
      <c r="S43" s="2"/>
      <c r="T43" s="2"/>
      <c r="U43" s="2"/>
      <c r="V43" s="2"/>
    </row>
    <row r="44" spans="2:22" x14ac:dyDescent="0.25">
      <c r="B44" s="5">
        <v>46461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-93820.682499999995</v>
      </c>
      <c r="R44" s="2"/>
      <c r="S44" s="2"/>
      <c r="T44" s="2"/>
      <c r="U44" s="2"/>
      <c r="V44" s="2"/>
    </row>
    <row r="45" spans="2:22" x14ac:dyDescent="0.25">
      <c r="B45" s="5">
        <v>46492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-93820.682499999995</v>
      </c>
      <c r="R45" s="2"/>
      <c r="S45" s="2"/>
      <c r="T45" s="2"/>
      <c r="U45" s="2"/>
      <c r="V45" s="2"/>
    </row>
    <row r="46" spans="2:22" x14ac:dyDescent="0.25">
      <c r="B46" s="5">
        <v>46522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-93820.682499999995</v>
      </c>
      <c r="R46" s="2"/>
      <c r="S46" s="2"/>
      <c r="T46" s="2"/>
      <c r="U46" s="2"/>
      <c r="V46" s="2"/>
    </row>
    <row r="47" spans="2:22" x14ac:dyDescent="0.25">
      <c r="B47" s="7">
        <v>46553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-93820.682499999995</v>
      </c>
      <c r="R47" s="2"/>
      <c r="S47" s="2"/>
      <c r="T47" s="2"/>
      <c r="U47" s="2"/>
      <c r="V47" s="2"/>
    </row>
    <row r="48" spans="2:22" x14ac:dyDescent="0.25">
      <c r="B48" s="5">
        <v>46553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-147621.77499999999</v>
      </c>
      <c r="S48" s="2"/>
      <c r="T48" s="2"/>
      <c r="U48" s="2">
        <v>-272285.58</v>
      </c>
      <c r="V48" s="2"/>
    </row>
    <row r="49" spans="2:22" x14ac:dyDescent="0.25">
      <c r="B49" s="5">
        <v>46583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-147621.77499999999</v>
      </c>
      <c r="S49" s="2"/>
      <c r="T49" s="2"/>
      <c r="U49" s="2">
        <v>-272285.58</v>
      </c>
      <c r="V49" s="2">
        <v>-174735</v>
      </c>
    </row>
    <row r="50" spans="2:22" x14ac:dyDescent="0.25">
      <c r="B50" s="5">
        <v>46614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>
        <v>-147621.77499999999</v>
      </c>
      <c r="S50" s="2"/>
      <c r="T50" s="2"/>
      <c r="U50" s="2">
        <v>-272285.58</v>
      </c>
      <c r="V50" s="2">
        <v>-174735</v>
      </c>
    </row>
    <row r="51" spans="2:22" x14ac:dyDescent="0.25">
      <c r="B51" s="5">
        <v>46645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-147621.77499999999</v>
      </c>
      <c r="S51" s="2">
        <v>-218257.63874999998</v>
      </c>
      <c r="T51" s="2"/>
      <c r="U51" s="2">
        <v>-272285.58</v>
      </c>
      <c r="V51" s="2">
        <v>-174735</v>
      </c>
    </row>
    <row r="52" spans="2:22" x14ac:dyDescent="0.25">
      <c r="B52" s="5">
        <v>46675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-218257.63874999998</v>
      </c>
      <c r="T52" s="2"/>
      <c r="U52" s="2"/>
      <c r="V52" s="2">
        <v>-174735</v>
      </c>
    </row>
    <row r="53" spans="2:22" x14ac:dyDescent="0.25">
      <c r="B53" s="7">
        <v>46706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-218257.63874999998</v>
      </c>
      <c r="T53" s="2"/>
      <c r="U53" s="2"/>
      <c r="V53" s="2"/>
    </row>
    <row r="54" spans="2:22" x14ac:dyDescent="0.25">
      <c r="B54" s="5">
        <v>46736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-218257.63874999998</v>
      </c>
      <c r="T54" s="2">
        <v>-218257.64</v>
      </c>
      <c r="U54" s="2"/>
      <c r="V54" s="2"/>
    </row>
    <row r="55" spans="2:22" x14ac:dyDescent="0.25">
      <c r="B55" s="5">
        <v>46767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v>-218257.64</v>
      </c>
      <c r="U55" s="2"/>
      <c r="V55" s="2"/>
    </row>
    <row r="56" spans="2:22" x14ac:dyDescent="0.25">
      <c r="B56" s="5">
        <v>46798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v>-218257.64</v>
      </c>
      <c r="U56" s="2"/>
      <c r="V56" s="2"/>
    </row>
    <row r="57" spans="2:22" x14ac:dyDescent="0.25">
      <c r="B57" s="5">
        <v>46827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v>-218257.64</v>
      </c>
      <c r="U57" s="2"/>
      <c r="V57" s="2"/>
    </row>
    <row r="58" spans="2:22" x14ac:dyDescent="0.25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</sheetData>
  <conditionalFormatting sqref="A13">
    <cfRule type="expression" dxfId="14" priority="2">
      <formula>A13=""</formula>
    </cfRule>
  </conditionalFormatting>
  <conditionalFormatting sqref="C13:V13">
    <cfRule type="expression" dxfId="13" priority="1">
      <formula>C13=""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09B4-0084-45EC-B768-4C986266491C}">
  <dimension ref="A1:V61"/>
  <sheetViews>
    <sheetView showGridLines="0" workbookViewId="0">
      <selection activeCell="G18" sqref="G18:G19"/>
    </sheetView>
  </sheetViews>
  <sheetFormatPr defaultColWidth="8.85546875" defaultRowHeight="15" x14ac:dyDescent="0.25"/>
  <cols>
    <col min="1" max="1" width="8.7109375" customWidth="1"/>
    <col min="2" max="2" width="31.140625" bestFit="1" customWidth="1"/>
    <col min="3" max="3" width="11.140625" bestFit="1" customWidth="1"/>
    <col min="4" max="5" width="14.28515625" bestFit="1" customWidth="1"/>
    <col min="6" max="10" width="11.140625" bestFit="1" customWidth="1"/>
    <col min="11" max="11" width="10.42578125" customWidth="1"/>
    <col min="12" max="12" width="12.42578125" bestFit="1" customWidth="1"/>
    <col min="13" max="20" width="11.140625" bestFit="1" customWidth="1"/>
    <col min="21" max="21" width="12.42578125" bestFit="1" customWidth="1"/>
    <col min="22" max="22" width="11.140625" bestFit="1" customWidth="1"/>
  </cols>
  <sheetData>
    <row r="1" spans="1:22" x14ac:dyDescent="0.25">
      <c r="A1" s="4" t="s">
        <v>30</v>
      </c>
    </row>
    <row r="2" spans="1:22" x14ac:dyDescent="0.25">
      <c r="B2" s="3" t="s">
        <v>0</v>
      </c>
      <c r="C2" s="121" t="s">
        <v>35</v>
      </c>
      <c r="D2" s="121"/>
    </row>
    <row r="3" spans="1:22" x14ac:dyDescent="0.25">
      <c r="B3" s="3" t="s">
        <v>1</v>
      </c>
      <c r="C3" s="121" t="s">
        <v>35</v>
      </c>
      <c r="D3" s="121"/>
    </row>
    <row r="4" spans="1:22" x14ac:dyDescent="0.25">
      <c r="B4" s="3" t="s">
        <v>5</v>
      </c>
    </row>
    <row r="5" spans="1:22" x14ac:dyDescent="0.25">
      <c r="B5" s="3" t="s">
        <v>15</v>
      </c>
      <c r="K5" s="15"/>
    </row>
    <row r="6" spans="1:22" x14ac:dyDescent="0.25">
      <c r="B6" s="3" t="s">
        <v>19</v>
      </c>
      <c r="K6" s="16"/>
    </row>
    <row r="7" spans="1:22" x14ac:dyDescent="0.25">
      <c r="B7" s="3" t="s">
        <v>21</v>
      </c>
    </row>
    <row r="8" spans="1:22" x14ac:dyDescent="0.25">
      <c r="B8" s="3" t="s">
        <v>22</v>
      </c>
    </row>
    <row r="9" spans="1:22" x14ac:dyDescent="0.25">
      <c r="B9" s="3" t="s">
        <v>23</v>
      </c>
    </row>
    <row r="11" spans="1:22" x14ac:dyDescent="0.25">
      <c r="D11" s="15"/>
      <c r="E11" s="15"/>
    </row>
    <row r="12" spans="1:22" ht="36" x14ac:dyDescent="0.25">
      <c r="C12" s="10" t="s">
        <v>2</v>
      </c>
      <c r="D12" s="10" t="s">
        <v>3</v>
      </c>
      <c r="E12" s="10" t="s">
        <v>4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16</v>
      </c>
      <c r="P12" s="10" t="s">
        <v>17</v>
      </c>
      <c r="Q12" s="10" t="s">
        <v>18</v>
      </c>
      <c r="R12" s="10" t="s">
        <v>20</v>
      </c>
      <c r="S12" s="10" t="s">
        <v>24</v>
      </c>
      <c r="T12" s="10" t="s">
        <v>25</v>
      </c>
      <c r="U12" s="10" t="s">
        <v>26</v>
      </c>
      <c r="V12" s="10" t="s">
        <v>27</v>
      </c>
    </row>
    <row r="13" spans="1:22" x14ac:dyDescent="0.25">
      <c r="B13" s="20" t="s">
        <v>28</v>
      </c>
      <c r="C13" s="1">
        <v>-460000</v>
      </c>
      <c r="D13" s="1">
        <v>-129411.76</v>
      </c>
      <c r="E13" s="1">
        <v>-123529</v>
      </c>
      <c r="F13" s="1">
        <v>-150000</v>
      </c>
      <c r="G13" s="1">
        <v>-905000</v>
      </c>
      <c r="H13" s="1">
        <v>-234968.65479530705</v>
      </c>
      <c r="I13" s="1">
        <v>-239837.11605596766</v>
      </c>
      <c r="J13" s="1">
        <v>-275194.2291487254</v>
      </c>
      <c r="K13" s="1">
        <v>-56639.94</v>
      </c>
      <c r="L13" s="1">
        <v>-1432200</v>
      </c>
      <c r="M13" s="1">
        <v>-658840.52</v>
      </c>
      <c r="N13" s="1">
        <v>-285511.5</v>
      </c>
      <c r="O13" s="1">
        <v>-248000</v>
      </c>
      <c r="P13" s="1">
        <v>-186000</v>
      </c>
      <c r="Q13" s="1">
        <v>-375282.73</v>
      </c>
      <c r="R13" s="1">
        <v>-590487.1</v>
      </c>
      <c r="S13" s="1">
        <v>-873030.55499999993</v>
      </c>
      <c r="T13" s="1">
        <v>-873030.55499999993</v>
      </c>
      <c r="U13" s="1">
        <v>-1089142.32</v>
      </c>
      <c r="V13" s="1">
        <v>-698940</v>
      </c>
    </row>
    <row r="14" spans="1:22" s="12" customFormat="1" ht="12" x14ac:dyDescent="0.2">
      <c r="B14" s="14" t="s">
        <v>32</v>
      </c>
      <c r="C14" s="13">
        <f>+C18-C13</f>
        <v>1.0000000009313226E-2</v>
      </c>
      <c r="D14" s="13">
        <f t="shared" ref="D14:V14" si="0">+D18-D13</f>
        <v>-120588.24</v>
      </c>
      <c r="E14" s="13">
        <f t="shared" si="0"/>
        <v>-76471</v>
      </c>
      <c r="F14" s="13">
        <f t="shared" si="0"/>
        <v>106500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>+K18-K13</f>
        <v>-151.65200000000186</v>
      </c>
      <c r="L14" s="13">
        <f t="shared" si="0"/>
        <v>0</v>
      </c>
      <c r="M14" s="13">
        <f t="shared" si="0"/>
        <v>0</v>
      </c>
      <c r="N14" s="13">
        <f t="shared" si="0"/>
        <v>55511.5</v>
      </c>
      <c r="O14" s="13">
        <f t="shared" si="0"/>
        <v>0</v>
      </c>
      <c r="P14" s="13">
        <f t="shared" si="0"/>
        <v>0</v>
      </c>
      <c r="Q14" s="13">
        <f t="shared" si="0"/>
        <v>0</v>
      </c>
      <c r="R14" s="13">
        <f t="shared" si="0"/>
        <v>0</v>
      </c>
      <c r="S14" s="13">
        <f t="shared" si="0"/>
        <v>0</v>
      </c>
      <c r="T14" s="13">
        <f t="shared" si="0"/>
        <v>-5.0000001210719347E-3</v>
      </c>
      <c r="U14" s="13">
        <f t="shared" si="0"/>
        <v>0</v>
      </c>
      <c r="V14" s="13">
        <f t="shared" si="0"/>
        <v>0</v>
      </c>
    </row>
    <row r="15" spans="1:22" s="12" customFormat="1" ht="12" x14ac:dyDescent="0.2">
      <c r="B15" s="18" t="s">
        <v>33</v>
      </c>
      <c r="C15" s="17">
        <v>460000</v>
      </c>
      <c r="D15" s="17">
        <v>250000</v>
      </c>
      <c r="E15" s="17">
        <v>200000</v>
      </c>
      <c r="F15" s="17">
        <v>0</v>
      </c>
      <c r="G15" s="17"/>
      <c r="H15" s="17"/>
      <c r="I15" s="17"/>
      <c r="J15" s="17"/>
      <c r="K15" s="17">
        <f>29000+(13.55*2051.04)</f>
        <v>56791.592000000004</v>
      </c>
      <c r="L15" s="17"/>
      <c r="M15" s="17"/>
      <c r="N15" s="17">
        <f>230000</f>
        <v>230000</v>
      </c>
      <c r="O15" s="17"/>
      <c r="P15" s="17"/>
      <c r="Q15" s="17"/>
      <c r="R15" s="17"/>
      <c r="S15" s="17"/>
      <c r="T15" s="17"/>
      <c r="U15" s="17"/>
      <c r="V15" s="17"/>
    </row>
    <row r="16" spans="1:22" s="12" customFormat="1" ht="12" x14ac:dyDescent="0.2">
      <c r="B16" s="21" t="s">
        <v>34</v>
      </c>
      <c r="C16" s="22">
        <v>45444</v>
      </c>
      <c r="D16" s="22">
        <v>45658</v>
      </c>
      <c r="E16" s="22">
        <v>45597</v>
      </c>
      <c r="F16" s="22">
        <v>45658</v>
      </c>
      <c r="G16" s="22">
        <v>45717</v>
      </c>
      <c r="H16" s="22">
        <v>46143</v>
      </c>
      <c r="I16" s="22">
        <v>46143</v>
      </c>
      <c r="J16" s="22">
        <v>46143</v>
      </c>
      <c r="K16" s="22">
        <v>45870</v>
      </c>
      <c r="L16" s="22">
        <v>46143</v>
      </c>
      <c r="M16" s="22"/>
      <c r="N16" s="22">
        <v>45992</v>
      </c>
      <c r="O16" s="22"/>
      <c r="P16" s="22"/>
      <c r="Q16" s="22"/>
      <c r="R16" s="22"/>
      <c r="S16" s="22"/>
      <c r="T16" s="22"/>
      <c r="U16" s="22"/>
      <c r="V16" s="22"/>
    </row>
    <row r="17" spans="2:22" s="12" customFormat="1" ht="12" x14ac:dyDescent="0.2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x14ac:dyDescent="0.25">
      <c r="B18" s="8" t="s">
        <v>31</v>
      </c>
      <c r="C18" s="9">
        <f t="shared" ref="C18:V18" si="1">+SUBTOTAL(9,C19:C60)</f>
        <v>-459999.99</v>
      </c>
      <c r="D18" s="9">
        <f t="shared" si="1"/>
        <v>-250000</v>
      </c>
      <c r="E18" s="9">
        <f t="shared" si="1"/>
        <v>-200000</v>
      </c>
      <c r="F18" s="9">
        <f t="shared" si="1"/>
        <v>-43500</v>
      </c>
      <c r="G18" s="9">
        <f t="shared" si="1"/>
        <v>-905000</v>
      </c>
      <c r="H18" s="9">
        <f t="shared" si="1"/>
        <v>-234968.65479530705</v>
      </c>
      <c r="I18" s="9">
        <f t="shared" si="1"/>
        <v>-239837.11605596766</v>
      </c>
      <c r="J18" s="9">
        <f t="shared" si="1"/>
        <v>-275194.2291487254</v>
      </c>
      <c r="K18" s="9">
        <f t="shared" si="1"/>
        <v>-56791.592000000004</v>
      </c>
      <c r="L18" s="9">
        <f t="shared" si="1"/>
        <v>-1432200</v>
      </c>
      <c r="M18" s="9">
        <f t="shared" si="1"/>
        <v>-658840.52</v>
      </c>
      <c r="N18" s="9">
        <f t="shared" si="1"/>
        <v>-230000</v>
      </c>
      <c r="O18" s="9">
        <f t="shared" si="1"/>
        <v>-248000</v>
      </c>
      <c r="P18" s="9">
        <f t="shared" si="1"/>
        <v>-186000</v>
      </c>
      <c r="Q18" s="9">
        <f t="shared" si="1"/>
        <v>-375282.73</v>
      </c>
      <c r="R18" s="9">
        <f t="shared" si="1"/>
        <v>-590487.1</v>
      </c>
      <c r="S18" s="9">
        <f t="shared" si="1"/>
        <v>-873030.55499999993</v>
      </c>
      <c r="T18" s="9">
        <f t="shared" si="1"/>
        <v>-873030.56</v>
      </c>
      <c r="U18" s="9">
        <f t="shared" si="1"/>
        <v>-1089142.32</v>
      </c>
      <c r="V18" s="9">
        <f t="shared" si="1"/>
        <v>-698940</v>
      </c>
    </row>
    <row r="19" spans="2:22" x14ac:dyDescent="0.25">
      <c r="B19" s="5" t="s">
        <v>29</v>
      </c>
      <c r="C19" s="2">
        <v>0</v>
      </c>
      <c r="D19" s="2">
        <v>0</v>
      </c>
      <c r="E19" s="2">
        <v>0</v>
      </c>
      <c r="F19" s="2">
        <v>-43500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-8340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2:22" x14ac:dyDescent="0.25">
      <c r="B20" s="5">
        <v>45300</v>
      </c>
      <c r="C20" s="19">
        <v>-153333.32999999999</v>
      </c>
      <c r="D20" s="2"/>
      <c r="E20" s="2"/>
      <c r="F20" s="2"/>
      <c r="G20" s="2"/>
      <c r="H20" s="2"/>
      <c r="I20" s="2"/>
      <c r="J20" s="2"/>
      <c r="K20" s="19">
        <f>-29000/2</f>
        <v>-14500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5">
      <c r="B21" s="5">
        <v>45331</v>
      </c>
      <c r="C21" s="19">
        <v>-153333.32999999999</v>
      </c>
      <c r="D21" s="2"/>
      <c r="E21" s="2"/>
      <c r="F21" s="2"/>
      <c r="G21" s="2"/>
      <c r="H21" s="2"/>
      <c r="I21" s="2"/>
      <c r="J21" s="2"/>
      <c r="K21" s="19">
        <f>-29000/2</f>
        <v>-14500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5">
      <c r="B22" s="6">
        <v>45360</v>
      </c>
      <c r="C22" s="19">
        <v>-153333.32999999999</v>
      </c>
      <c r="D22" s="2"/>
      <c r="E22" s="2"/>
      <c r="F22" s="2"/>
      <c r="G22" s="2"/>
      <c r="H22" s="2"/>
      <c r="I22" s="2"/>
      <c r="J22" s="2"/>
      <c r="K22" s="19">
        <f>-(13.55*2051.04)</f>
        <v>-27791.592000000001</v>
      </c>
      <c r="L22" s="2"/>
      <c r="M22" s="2"/>
      <c r="N22" s="19">
        <f>-115000</f>
        <v>-115000</v>
      </c>
      <c r="O22" s="2"/>
      <c r="P22" s="2"/>
      <c r="Q22" s="2"/>
      <c r="R22" s="2"/>
      <c r="S22" s="2"/>
      <c r="T22" s="2"/>
      <c r="U22" s="2"/>
      <c r="V22" s="2"/>
    </row>
    <row r="23" spans="2:22" x14ac:dyDescent="0.25">
      <c r="B23" s="6">
        <v>45391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9">
        <v>-115000</v>
      </c>
      <c r="O23" s="2"/>
      <c r="P23" s="2"/>
      <c r="Q23" s="2"/>
      <c r="R23" s="2"/>
      <c r="S23" s="2"/>
      <c r="T23" s="2"/>
      <c r="U23" s="2"/>
      <c r="V23" s="2"/>
    </row>
    <row r="24" spans="2:22" x14ac:dyDescent="0.25">
      <c r="B24" s="6">
        <v>45427</v>
      </c>
      <c r="C24" s="2"/>
      <c r="D24" s="19">
        <v>-62500</v>
      </c>
      <c r="E24" s="19">
        <f>-$E$15/4</f>
        <v>-50000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5">
      <c r="B25" s="6">
        <v>45458</v>
      </c>
      <c r="C25" s="2"/>
      <c r="D25" s="19">
        <v>-62500</v>
      </c>
      <c r="E25" s="19">
        <f t="shared" ref="E25:E27" si="2">-$E$15/4</f>
        <v>-50000</v>
      </c>
      <c r="F25" s="2"/>
      <c r="G25" s="2">
        <v>-226250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5">
      <c r="B26" s="6">
        <v>45487</v>
      </c>
      <c r="C26" s="2"/>
      <c r="D26" s="19">
        <v>-62500</v>
      </c>
      <c r="E26" s="19">
        <f t="shared" si="2"/>
        <v>-50000</v>
      </c>
      <c r="F26" s="2"/>
      <c r="G26" s="2">
        <v>-226250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5">
      <c r="B27" s="6">
        <v>45519</v>
      </c>
      <c r="C27" s="2"/>
      <c r="D27" s="19">
        <v>-62500</v>
      </c>
      <c r="E27" s="19">
        <f t="shared" si="2"/>
        <v>-50000</v>
      </c>
      <c r="F27" s="2"/>
      <c r="G27" s="2">
        <v>-226250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5">
      <c r="B28" s="6">
        <v>45546</v>
      </c>
      <c r="C28" s="2"/>
      <c r="D28" s="2"/>
      <c r="E28" s="2"/>
      <c r="F28" s="2"/>
      <c r="G28" s="2">
        <v>-226250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5">
      <c r="B29" s="6">
        <v>45576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5">
      <c r="B30" s="6">
        <v>45605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5">
      <c r="B31" s="6">
        <v>45635</v>
      </c>
      <c r="C31" s="2"/>
      <c r="D31" s="2"/>
      <c r="E31" s="2"/>
      <c r="F31" s="2"/>
      <c r="G31" s="2"/>
      <c r="H31" s="2">
        <v>-58742.163698826764</v>
      </c>
      <c r="I31" s="2">
        <v>-59959.279013991916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6">
        <v>45672</v>
      </c>
      <c r="C32" s="2"/>
      <c r="D32" s="2"/>
      <c r="E32" s="2"/>
      <c r="F32" s="2"/>
      <c r="G32" s="2"/>
      <c r="H32" s="2">
        <v>-58742.163698826764</v>
      </c>
      <c r="I32" s="2">
        <v>-59959.279013991916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6">
        <v>45703</v>
      </c>
      <c r="C33" s="2"/>
      <c r="D33" s="2"/>
      <c r="E33" s="2"/>
      <c r="F33" s="2"/>
      <c r="G33" s="2"/>
      <c r="H33" s="2">
        <v>-58742.163698826764</v>
      </c>
      <c r="I33" s="2">
        <v>-59959.279013991916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5">
      <c r="B34" s="6">
        <v>45731</v>
      </c>
      <c r="C34" s="2"/>
      <c r="D34" s="2"/>
      <c r="E34" s="2"/>
      <c r="F34" s="2"/>
      <c r="G34" s="2"/>
      <c r="H34" s="2">
        <v>-58742.163698826764</v>
      </c>
      <c r="I34" s="2">
        <v>-59959.279013991916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5">
      <c r="B35" s="6">
        <v>45762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5">
      <c r="B36" s="6">
        <v>45792</v>
      </c>
      <c r="C36" s="2"/>
      <c r="D36" s="2"/>
      <c r="E36" s="2"/>
      <c r="F36" s="2"/>
      <c r="G36" s="2"/>
      <c r="H36" s="2"/>
      <c r="I36" s="2"/>
      <c r="J36" s="2"/>
      <c r="K36" s="2"/>
      <c r="L36" s="2">
        <v>-355965</v>
      </c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5">
      <c r="B37" s="6">
        <v>45823</v>
      </c>
      <c r="C37" s="2"/>
      <c r="D37" s="2"/>
      <c r="E37" s="2"/>
      <c r="F37" s="2"/>
      <c r="G37" s="2"/>
      <c r="H37" s="2"/>
      <c r="I37" s="2"/>
      <c r="J37" s="2"/>
      <c r="K37" s="2"/>
      <c r="L37" s="2">
        <v>-355965</v>
      </c>
      <c r="M37" s="2">
        <v>-164710.13</v>
      </c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5">
      <c r="B38" s="6">
        <v>45853</v>
      </c>
      <c r="C38" s="2"/>
      <c r="D38" s="2"/>
      <c r="E38" s="2"/>
      <c r="F38" s="2"/>
      <c r="G38" s="2"/>
      <c r="H38" s="2"/>
      <c r="I38" s="2"/>
      <c r="J38" s="2"/>
      <c r="K38" s="2"/>
      <c r="L38" s="2">
        <v>-355965</v>
      </c>
      <c r="M38" s="2">
        <v>-164710.13</v>
      </c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5">
      <c r="B39" s="6">
        <v>45884</v>
      </c>
      <c r="C39" s="2"/>
      <c r="D39" s="2"/>
      <c r="E39" s="2"/>
      <c r="F39" s="2"/>
      <c r="G39" s="2"/>
      <c r="H39" s="2"/>
      <c r="I39" s="2"/>
      <c r="J39" s="2"/>
      <c r="K39" s="2"/>
      <c r="L39" s="2">
        <v>-355965</v>
      </c>
      <c r="M39" s="2">
        <v>-164710.13</v>
      </c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5">
      <c r="B40" s="6">
        <v>45915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-164710.13</v>
      </c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5">
      <c r="B41" s="6">
        <v>46037</v>
      </c>
      <c r="C41" s="2"/>
      <c r="D41" s="2"/>
      <c r="E41" s="2"/>
      <c r="F41" s="2"/>
      <c r="G41" s="2"/>
      <c r="H41" s="2"/>
      <c r="I41" s="2"/>
      <c r="J41" s="2">
        <v>-68798.557287181349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5">
      <c r="B42" s="6">
        <v>46068</v>
      </c>
      <c r="C42" s="2"/>
      <c r="D42" s="2"/>
      <c r="E42" s="2"/>
      <c r="F42" s="2"/>
      <c r="G42" s="2"/>
      <c r="H42" s="2"/>
      <c r="I42" s="2"/>
      <c r="J42" s="2">
        <v>-68798.557287181349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5">
      <c r="B43" s="6">
        <v>46096</v>
      </c>
      <c r="C43" s="2"/>
      <c r="D43" s="2"/>
      <c r="E43" s="2"/>
      <c r="F43" s="2"/>
      <c r="G43" s="2"/>
      <c r="H43" s="2"/>
      <c r="I43" s="2"/>
      <c r="J43" s="2">
        <v>-68798.557287181349</v>
      </c>
      <c r="K43" s="2"/>
      <c r="L43" s="2"/>
      <c r="M43" s="2"/>
      <c r="N43" s="2"/>
      <c r="O43" s="2">
        <v>-62000</v>
      </c>
      <c r="P43" s="2">
        <v>-46500</v>
      </c>
      <c r="Q43" s="2"/>
      <c r="R43" s="2"/>
      <c r="S43" s="2"/>
      <c r="T43" s="2"/>
      <c r="U43" s="2"/>
      <c r="V43" s="2"/>
    </row>
    <row r="44" spans="2:22" x14ac:dyDescent="0.25">
      <c r="B44" s="6">
        <v>46127</v>
      </c>
      <c r="C44" s="2"/>
      <c r="D44" s="2"/>
      <c r="E44" s="2"/>
      <c r="F44" s="2"/>
      <c r="G44" s="2"/>
      <c r="H44" s="2"/>
      <c r="I44" s="2"/>
      <c r="J44" s="2">
        <v>-68798.557287181349</v>
      </c>
      <c r="K44" s="2"/>
      <c r="L44" s="2"/>
      <c r="M44" s="2"/>
      <c r="N44" s="2"/>
      <c r="O44" s="2">
        <v>-62000</v>
      </c>
      <c r="P44" s="2">
        <v>-46500</v>
      </c>
      <c r="Q44" s="2"/>
      <c r="R44" s="2"/>
      <c r="S44" s="2"/>
      <c r="T44" s="2"/>
      <c r="U44" s="2"/>
      <c r="V44" s="2"/>
    </row>
    <row r="45" spans="2:22" x14ac:dyDescent="0.25">
      <c r="B45" s="6">
        <v>46157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-62000</v>
      </c>
      <c r="P45" s="2">
        <v>-46500</v>
      </c>
      <c r="Q45" s="2"/>
      <c r="R45" s="2"/>
      <c r="S45" s="2"/>
      <c r="T45" s="2"/>
      <c r="U45" s="2"/>
      <c r="V45" s="2"/>
    </row>
    <row r="46" spans="2:22" x14ac:dyDescent="0.25">
      <c r="B46" s="6">
        <v>46188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-62000</v>
      </c>
      <c r="P46" s="2">
        <v>-46500</v>
      </c>
      <c r="Q46" s="2"/>
      <c r="R46" s="2"/>
      <c r="S46" s="2"/>
      <c r="T46" s="2"/>
      <c r="U46" s="2"/>
      <c r="V46" s="2"/>
    </row>
    <row r="47" spans="2:22" x14ac:dyDescent="0.25">
      <c r="B47" s="6">
        <v>46461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-93820.682499999995</v>
      </c>
      <c r="R47" s="2"/>
      <c r="S47" s="2"/>
      <c r="T47" s="2"/>
      <c r="U47" s="2"/>
      <c r="V47" s="2"/>
    </row>
    <row r="48" spans="2:22" x14ac:dyDescent="0.25">
      <c r="B48" s="6">
        <v>46492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-93820.682499999995</v>
      </c>
      <c r="R48" s="2"/>
      <c r="S48" s="2"/>
      <c r="T48" s="2"/>
      <c r="U48" s="2"/>
      <c r="V48" s="2"/>
    </row>
    <row r="49" spans="2:22" x14ac:dyDescent="0.25">
      <c r="B49" s="6">
        <v>46522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-93820.682499999995</v>
      </c>
      <c r="R49" s="2"/>
      <c r="S49" s="2"/>
      <c r="T49" s="2"/>
      <c r="U49" s="2"/>
      <c r="V49" s="2"/>
    </row>
    <row r="50" spans="2:22" x14ac:dyDescent="0.25">
      <c r="B50" s="6">
        <v>46553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-93820.682499999995</v>
      </c>
      <c r="R50" s="2"/>
      <c r="S50" s="2"/>
      <c r="T50" s="2"/>
      <c r="U50" s="2"/>
      <c r="V50" s="2"/>
    </row>
    <row r="51" spans="2:22" x14ac:dyDescent="0.25">
      <c r="B51" s="6">
        <v>46553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-147621.77499999999</v>
      </c>
      <c r="S51" s="2"/>
      <c r="T51" s="2"/>
      <c r="U51" s="2">
        <v>-272285.58</v>
      </c>
      <c r="V51" s="2"/>
    </row>
    <row r="52" spans="2:22" x14ac:dyDescent="0.25">
      <c r="B52" s="6">
        <v>46583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-147621.77499999999</v>
      </c>
      <c r="S52" s="2"/>
      <c r="T52" s="2"/>
      <c r="U52" s="2">
        <v>-272285.58</v>
      </c>
      <c r="V52" s="2">
        <v>-174735</v>
      </c>
    </row>
    <row r="53" spans="2:22" x14ac:dyDescent="0.25">
      <c r="B53" s="6">
        <v>46614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-147621.77499999999</v>
      </c>
      <c r="S53" s="2"/>
      <c r="T53" s="2"/>
      <c r="U53" s="2">
        <v>-272285.58</v>
      </c>
      <c r="V53" s="2">
        <v>-174735</v>
      </c>
    </row>
    <row r="54" spans="2:22" x14ac:dyDescent="0.25">
      <c r="B54" s="6">
        <v>46645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>
        <v>-147621.77499999999</v>
      </c>
      <c r="S54" s="2">
        <v>-218257.63874999998</v>
      </c>
      <c r="T54" s="2"/>
      <c r="U54" s="2">
        <v>-272285.58</v>
      </c>
      <c r="V54" s="2">
        <v>-174735</v>
      </c>
    </row>
    <row r="55" spans="2:22" x14ac:dyDescent="0.25">
      <c r="B55" s="6">
        <v>46675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-218257.63874999998</v>
      </c>
      <c r="T55" s="2"/>
      <c r="U55" s="2"/>
      <c r="V55" s="2">
        <v>-174735</v>
      </c>
    </row>
    <row r="56" spans="2:22" x14ac:dyDescent="0.25">
      <c r="B56" s="6">
        <v>46706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>
        <v>-218257.63874999998</v>
      </c>
      <c r="T56" s="2"/>
      <c r="U56" s="2"/>
      <c r="V56" s="2"/>
    </row>
    <row r="57" spans="2:22" x14ac:dyDescent="0.25">
      <c r="B57" s="6">
        <v>46736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>
        <v>-218257.63874999998</v>
      </c>
      <c r="T57" s="2">
        <v>-218257.64</v>
      </c>
      <c r="U57" s="2"/>
      <c r="V57" s="2"/>
    </row>
    <row r="58" spans="2:22" x14ac:dyDescent="0.25">
      <c r="B58" s="6">
        <v>46767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-218257.64</v>
      </c>
      <c r="U58" s="2"/>
      <c r="V58" s="2"/>
    </row>
    <row r="59" spans="2:22" x14ac:dyDescent="0.25">
      <c r="B59" s="5">
        <v>46798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-218257.64</v>
      </c>
      <c r="U59" s="2"/>
      <c r="V59" s="2"/>
    </row>
    <row r="60" spans="2:22" x14ac:dyDescent="0.25">
      <c r="B60" s="5">
        <v>46827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-218257.64</v>
      </c>
      <c r="U60" s="2"/>
      <c r="V60" s="2"/>
    </row>
    <row r="61" spans="2:22" x14ac:dyDescent="0.25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</sheetData>
  <sortState xmlns:xlrd2="http://schemas.microsoft.com/office/spreadsheetml/2017/richdata2" ref="B20:V60">
    <sortCondition ref="B20:B60"/>
  </sortState>
  <mergeCells count="2">
    <mergeCell ref="C2:D2"/>
    <mergeCell ref="C3:D3"/>
  </mergeCells>
  <conditionalFormatting sqref="B13:V13">
    <cfRule type="expression" dxfId="12" priority="4">
      <formula>B13=""</formula>
    </cfRule>
  </conditionalFormatting>
  <conditionalFormatting sqref="C15:V16">
    <cfRule type="expression" dxfId="11" priority="1">
      <formula>C15=""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6A49-6179-472F-A64A-2F6D9440063A}">
  <dimension ref="A1:W58"/>
  <sheetViews>
    <sheetView showGridLines="0" workbookViewId="0">
      <selection activeCell="G18" sqref="G18:G19"/>
    </sheetView>
  </sheetViews>
  <sheetFormatPr defaultColWidth="8.85546875" defaultRowHeight="15" x14ac:dyDescent="0.25"/>
  <cols>
    <col min="1" max="1" width="8.7109375" customWidth="1"/>
    <col min="2" max="2" width="31.140625" bestFit="1" customWidth="1"/>
    <col min="3" max="3" width="11.140625" bestFit="1" customWidth="1"/>
    <col min="4" max="5" width="14.28515625" bestFit="1" customWidth="1"/>
    <col min="6" max="10" width="11.140625" bestFit="1" customWidth="1"/>
    <col min="11" max="11" width="10.42578125" customWidth="1"/>
    <col min="12" max="12" width="12.42578125" bestFit="1" customWidth="1"/>
    <col min="13" max="14" width="11.140625" bestFit="1" customWidth="1"/>
    <col min="15" max="15" width="0.42578125" style="29" customWidth="1"/>
    <col min="16" max="21" width="11.140625" bestFit="1" customWidth="1"/>
    <col min="22" max="22" width="12.42578125" bestFit="1" customWidth="1"/>
    <col min="23" max="23" width="11.140625" bestFit="1" customWidth="1"/>
  </cols>
  <sheetData>
    <row r="1" spans="1:23" x14ac:dyDescent="0.25">
      <c r="A1" s="4"/>
    </row>
    <row r="2" spans="1:23" x14ac:dyDescent="0.25">
      <c r="B2" s="3" t="s">
        <v>0</v>
      </c>
      <c r="C2" s="121" t="s">
        <v>35</v>
      </c>
      <c r="D2" s="121"/>
    </row>
    <row r="3" spans="1:23" x14ac:dyDescent="0.25">
      <c r="B3" s="3" t="s">
        <v>1</v>
      </c>
      <c r="C3" s="121" t="s">
        <v>35</v>
      </c>
      <c r="D3" s="121"/>
    </row>
    <row r="4" spans="1:23" x14ac:dyDescent="0.25">
      <c r="B4" s="3" t="s">
        <v>5</v>
      </c>
      <c r="C4" s="121" t="s">
        <v>35</v>
      </c>
      <c r="D4" s="121"/>
    </row>
    <row r="5" spans="1:23" x14ac:dyDescent="0.25">
      <c r="B5" s="3" t="s">
        <v>15</v>
      </c>
      <c r="C5" s="121" t="s">
        <v>35</v>
      </c>
      <c r="D5" s="121"/>
      <c r="K5" s="15"/>
    </row>
    <row r="6" spans="1:23" x14ac:dyDescent="0.25">
      <c r="B6" s="3" t="s">
        <v>19</v>
      </c>
      <c r="C6" s="121" t="s">
        <v>35</v>
      </c>
      <c r="D6" s="121"/>
      <c r="K6" s="16"/>
    </row>
    <row r="7" spans="1:23" x14ac:dyDescent="0.25">
      <c r="B7" s="3" t="s">
        <v>21</v>
      </c>
      <c r="C7" s="121" t="s">
        <v>35</v>
      </c>
      <c r="D7" s="121"/>
    </row>
    <row r="8" spans="1:23" x14ac:dyDescent="0.25">
      <c r="B8" s="3" t="s">
        <v>22</v>
      </c>
      <c r="C8" s="121" t="s">
        <v>35</v>
      </c>
      <c r="D8" s="121"/>
    </row>
    <row r="9" spans="1:23" x14ac:dyDescent="0.25">
      <c r="B9" s="3" t="s">
        <v>23</v>
      </c>
      <c r="C9" s="121" t="s">
        <v>35</v>
      </c>
      <c r="D9" s="121"/>
    </row>
    <row r="11" spans="1:23" x14ac:dyDescent="0.25">
      <c r="D11" s="15"/>
      <c r="E11" s="15"/>
      <c r="P11" s="28" t="s">
        <v>38</v>
      </c>
    </row>
    <row r="12" spans="1:23" ht="36" x14ac:dyDescent="0.25">
      <c r="C12" s="10" t="s">
        <v>2</v>
      </c>
      <c r="D12" s="10" t="s">
        <v>3</v>
      </c>
      <c r="E12" s="10" t="s">
        <v>4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30"/>
      <c r="P12" s="27" t="s">
        <v>16</v>
      </c>
      <c r="Q12" s="27" t="s">
        <v>17</v>
      </c>
      <c r="R12" s="27" t="s">
        <v>18</v>
      </c>
      <c r="S12" s="27" t="s">
        <v>20</v>
      </c>
      <c r="T12" s="27" t="s">
        <v>24</v>
      </c>
      <c r="U12" s="27" t="s">
        <v>25</v>
      </c>
      <c r="V12" s="27" t="s">
        <v>26</v>
      </c>
      <c r="W12" s="27" t="s">
        <v>27</v>
      </c>
    </row>
    <row r="13" spans="1:23" s="12" customFormat="1" ht="3.75" customHeight="1" x14ac:dyDescent="0.2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13"/>
      <c r="R13" s="13"/>
      <c r="S13" s="13"/>
      <c r="T13" s="13"/>
      <c r="U13" s="13"/>
      <c r="V13" s="13"/>
      <c r="W13" s="13"/>
    </row>
    <row r="14" spans="1:23" x14ac:dyDescent="0.25">
      <c r="B14" s="18" t="s">
        <v>36</v>
      </c>
      <c r="C14" s="25">
        <v>-500000</v>
      </c>
      <c r="D14" s="25">
        <v>-250000</v>
      </c>
      <c r="E14" s="25">
        <v>-200000</v>
      </c>
      <c r="F14" s="25">
        <v>-43500</v>
      </c>
      <c r="G14" s="25">
        <v>-905000</v>
      </c>
      <c r="H14" s="25">
        <v>-234968.65479530705</v>
      </c>
      <c r="I14" s="25">
        <v>-239837.11605596766</v>
      </c>
      <c r="J14" s="25">
        <v>-275194.2291487254</v>
      </c>
      <c r="K14" s="25">
        <v>-56791.59</v>
      </c>
      <c r="L14" s="25">
        <v>-1432200</v>
      </c>
      <c r="M14" s="25">
        <v>-300000</v>
      </c>
      <c r="N14" s="25">
        <v>-230000</v>
      </c>
      <c r="O14" s="32"/>
      <c r="P14" s="25">
        <v>-280000</v>
      </c>
      <c r="Q14" s="25">
        <v>-186000</v>
      </c>
      <c r="R14" s="25">
        <v>-375282.73</v>
      </c>
      <c r="S14" s="25">
        <v>-590487.1</v>
      </c>
      <c r="T14" s="25">
        <v>-873030.55499999993</v>
      </c>
      <c r="U14" s="25">
        <v>-873030.55499999993</v>
      </c>
      <c r="V14" s="25">
        <v>-1089142.32</v>
      </c>
      <c r="W14" s="25">
        <v>-698940</v>
      </c>
    </row>
    <row r="15" spans="1:23" s="12" customFormat="1" ht="3.75" customHeight="1" x14ac:dyDescent="0.2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31"/>
      <c r="P15" s="13"/>
      <c r="Q15" s="13"/>
      <c r="R15" s="13"/>
      <c r="S15" s="13"/>
      <c r="T15" s="13"/>
      <c r="U15" s="13"/>
      <c r="V15" s="13"/>
      <c r="W15" s="13"/>
    </row>
    <row r="16" spans="1:23" x14ac:dyDescent="0.25">
      <c r="B16" s="23" t="s">
        <v>37</v>
      </c>
      <c r="C16" s="24">
        <v>0</v>
      </c>
      <c r="D16" s="24">
        <v>0</v>
      </c>
      <c r="E16" s="24">
        <v>0</v>
      </c>
      <c r="F16" s="24">
        <v>-43500</v>
      </c>
      <c r="G16" s="24">
        <v>-43500</v>
      </c>
      <c r="H16" s="24">
        <v>0</v>
      </c>
      <c r="I16" s="24">
        <v>0</v>
      </c>
      <c r="J16" s="24">
        <v>0</v>
      </c>
      <c r="K16" s="24">
        <v>-14500</v>
      </c>
      <c r="L16" s="24">
        <v>-8340</v>
      </c>
      <c r="M16" s="24">
        <v>0</v>
      </c>
      <c r="N16" s="24">
        <v>0</v>
      </c>
      <c r="O16" s="33"/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</row>
    <row r="17" spans="2:23" x14ac:dyDescent="0.25">
      <c r="B17" s="5">
        <v>45300</v>
      </c>
      <c r="C17" s="2"/>
      <c r="D17" s="2"/>
      <c r="E17" s="2"/>
      <c r="F17" s="2"/>
      <c r="G17" s="19">
        <v>-43500</v>
      </c>
      <c r="H17" s="2"/>
      <c r="I17" s="2"/>
      <c r="J17" s="2"/>
      <c r="K17" s="19">
        <f>-29000/2</f>
        <v>-14500</v>
      </c>
      <c r="L17" s="2"/>
      <c r="M17" s="2"/>
      <c r="N17" s="2"/>
      <c r="O17" s="34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5">
        <v>45331</v>
      </c>
      <c r="C18" s="19">
        <f>-500000/3</f>
        <v>-166666.66666666666</v>
      </c>
      <c r="D18" s="2"/>
      <c r="E18" s="2"/>
      <c r="F18" s="2"/>
      <c r="G18" s="19">
        <f>G16</f>
        <v>-43500</v>
      </c>
      <c r="H18" s="2"/>
      <c r="I18" s="2"/>
      <c r="J18" s="2"/>
      <c r="K18" s="19">
        <f>-29000/2</f>
        <v>-14500</v>
      </c>
      <c r="L18" s="2"/>
      <c r="M18" s="2"/>
      <c r="N18" s="2"/>
      <c r="O18" s="34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6">
        <v>45360</v>
      </c>
      <c r="C19" s="19">
        <v>-166666.66666666666</v>
      </c>
      <c r="D19" s="2"/>
      <c r="E19" s="2"/>
      <c r="F19" s="2"/>
      <c r="G19" s="2"/>
      <c r="H19" s="2"/>
      <c r="I19" s="2"/>
      <c r="J19" s="2"/>
      <c r="K19" s="19">
        <f>-(13.55*2051.04)</f>
        <v>-27791.592000000001</v>
      </c>
      <c r="L19" s="2"/>
      <c r="M19" s="19">
        <v>-150000</v>
      </c>
      <c r="N19" s="19">
        <f>-115000</f>
        <v>-115000</v>
      </c>
      <c r="O19" s="34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6">
        <v>45391</v>
      </c>
      <c r="C20" s="19">
        <v>-166666.66666666666</v>
      </c>
      <c r="D20" s="2"/>
      <c r="E20" s="2"/>
      <c r="F20" s="2"/>
      <c r="G20" s="2"/>
      <c r="H20" s="2"/>
      <c r="I20" s="2"/>
      <c r="J20" s="2"/>
      <c r="K20" s="2"/>
      <c r="L20" s="2"/>
      <c r="M20" s="19">
        <v>-150000</v>
      </c>
      <c r="N20" s="19">
        <v>-115000</v>
      </c>
      <c r="O20" s="34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B21" s="6">
        <v>45427</v>
      </c>
      <c r="C21" s="2"/>
      <c r="D21" s="19">
        <v>-62500</v>
      </c>
      <c r="E21" s="19">
        <v>-50000</v>
      </c>
      <c r="F21" s="2"/>
      <c r="G21" s="2"/>
      <c r="H21" s="2"/>
      <c r="I21" s="2"/>
      <c r="J21" s="2"/>
      <c r="K21" s="2"/>
      <c r="L21" s="2"/>
      <c r="M21" s="2"/>
      <c r="N21" s="2"/>
      <c r="O21" s="34"/>
      <c r="P21" s="2"/>
      <c r="Q21" s="2"/>
      <c r="R21" s="2"/>
      <c r="S21" s="2"/>
      <c r="T21" s="2"/>
      <c r="U21" s="2"/>
      <c r="V21" s="2"/>
      <c r="W21" s="2"/>
    </row>
    <row r="22" spans="2:23" x14ac:dyDescent="0.25">
      <c r="B22" s="6">
        <v>45458</v>
      </c>
      <c r="C22" s="2"/>
      <c r="D22" s="19">
        <v>-62500</v>
      </c>
      <c r="E22" s="19">
        <v>-50000</v>
      </c>
      <c r="F22" s="2"/>
      <c r="G22" s="19">
        <f>-226250-G18-G17</f>
        <v>-139250</v>
      </c>
      <c r="H22" s="2"/>
      <c r="I22" s="2"/>
      <c r="J22" s="2"/>
      <c r="K22" s="2"/>
      <c r="L22" s="2"/>
      <c r="M22" s="2"/>
      <c r="N22" s="2"/>
      <c r="O22" s="34"/>
      <c r="P22" s="2"/>
      <c r="Q22" s="2"/>
      <c r="R22" s="2"/>
      <c r="S22" s="2"/>
      <c r="T22" s="2"/>
      <c r="U22" s="2"/>
      <c r="V22" s="2"/>
      <c r="W22" s="2"/>
    </row>
    <row r="23" spans="2:23" x14ac:dyDescent="0.25">
      <c r="B23" s="6">
        <v>45487</v>
      </c>
      <c r="C23" s="2"/>
      <c r="D23" s="19">
        <v>-62500</v>
      </c>
      <c r="E23" s="19">
        <v>-50000</v>
      </c>
      <c r="F23" s="2"/>
      <c r="G23" s="19">
        <v>-226250</v>
      </c>
      <c r="H23" s="2"/>
      <c r="I23" s="2"/>
      <c r="J23" s="2"/>
      <c r="K23" s="2"/>
      <c r="L23" s="2"/>
      <c r="M23" s="2"/>
      <c r="N23" s="2"/>
      <c r="O23" s="34"/>
      <c r="P23" s="2"/>
      <c r="Q23" s="2"/>
      <c r="R23" s="2"/>
      <c r="S23" s="2"/>
      <c r="T23" s="2"/>
      <c r="U23" s="2"/>
      <c r="V23" s="2"/>
      <c r="W23" s="2"/>
    </row>
    <row r="24" spans="2:23" x14ac:dyDescent="0.25">
      <c r="B24" s="6">
        <v>45519</v>
      </c>
      <c r="C24" s="2"/>
      <c r="D24" s="19">
        <v>-62500</v>
      </c>
      <c r="E24" s="19">
        <v>-50000</v>
      </c>
      <c r="F24" s="2"/>
      <c r="G24" s="19">
        <v>-226250</v>
      </c>
      <c r="H24" s="2"/>
      <c r="I24" s="2"/>
      <c r="J24" s="2"/>
      <c r="K24" s="2"/>
      <c r="L24" s="2"/>
      <c r="M24" s="2"/>
      <c r="N24" s="2"/>
      <c r="O24" s="34"/>
      <c r="P24" s="2"/>
      <c r="Q24" s="2"/>
      <c r="R24" s="2"/>
      <c r="S24" s="2"/>
      <c r="T24" s="2"/>
      <c r="U24" s="2"/>
      <c r="V24" s="2"/>
      <c r="W24" s="2"/>
    </row>
    <row r="25" spans="2:23" x14ac:dyDescent="0.25">
      <c r="B25" s="6">
        <v>45546</v>
      </c>
      <c r="C25" s="2"/>
      <c r="D25" s="2"/>
      <c r="E25" s="2"/>
      <c r="F25" s="2"/>
      <c r="G25" s="19">
        <v>-226250</v>
      </c>
      <c r="H25" s="2"/>
      <c r="I25" s="2"/>
      <c r="J25" s="2"/>
      <c r="K25" s="2"/>
      <c r="L25" s="2"/>
      <c r="M25" s="2"/>
      <c r="N25" s="2"/>
      <c r="O25" s="34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6">
        <v>45576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4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B27" s="6">
        <v>45605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4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B28" s="6">
        <v>45635</v>
      </c>
      <c r="C28" s="2"/>
      <c r="D28" s="2"/>
      <c r="E28" s="2"/>
      <c r="F28" s="2"/>
      <c r="G28" s="2"/>
      <c r="H28" s="26">
        <v>-58742.163698826764</v>
      </c>
      <c r="I28" s="26">
        <v>-59959.279013991916</v>
      </c>
      <c r="J28" s="2"/>
      <c r="K28" s="2"/>
      <c r="L28" s="2"/>
      <c r="M28" s="2"/>
      <c r="N28" s="2"/>
      <c r="O28" s="34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6">
        <v>45672</v>
      </c>
      <c r="C29" s="2"/>
      <c r="D29" s="2"/>
      <c r="E29" s="2"/>
      <c r="F29" s="2"/>
      <c r="G29" s="2"/>
      <c r="H29" s="26">
        <v>-58742.163698826764</v>
      </c>
      <c r="I29" s="26">
        <v>-59959.279013991916</v>
      </c>
      <c r="J29" s="2"/>
      <c r="K29" s="2"/>
      <c r="L29" s="2"/>
      <c r="M29" s="2"/>
      <c r="N29" s="2"/>
      <c r="O29" s="34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6">
        <v>45703</v>
      </c>
      <c r="C30" s="2"/>
      <c r="D30" s="2"/>
      <c r="E30" s="2"/>
      <c r="F30" s="2"/>
      <c r="G30" s="2"/>
      <c r="H30" s="26">
        <v>-58742.163698826764</v>
      </c>
      <c r="I30" s="26">
        <v>-59959.279013991916</v>
      </c>
      <c r="J30" s="2"/>
      <c r="K30" s="2"/>
      <c r="L30" s="2"/>
      <c r="M30" s="2"/>
      <c r="N30" s="2"/>
      <c r="O30" s="34"/>
      <c r="P30" s="2"/>
      <c r="Q30" s="2"/>
      <c r="R30" s="2"/>
      <c r="S30" s="2"/>
      <c r="T30" s="2"/>
      <c r="U30" s="2"/>
      <c r="V30" s="2"/>
      <c r="W30" s="2"/>
    </row>
    <row r="31" spans="2:23" x14ac:dyDescent="0.25">
      <c r="B31" s="6">
        <v>45731</v>
      </c>
      <c r="C31" s="2"/>
      <c r="D31" s="2"/>
      <c r="E31" s="2"/>
      <c r="F31" s="2"/>
      <c r="G31" s="2"/>
      <c r="H31" s="26">
        <v>-58742.163698826764</v>
      </c>
      <c r="I31" s="26">
        <v>-59959.279013991916</v>
      </c>
      <c r="J31" s="2"/>
      <c r="K31" s="2"/>
      <c r="L31" s="2"/>
      <c r="M31" s="2"/>
      <c r="N31" s="2"/>
      <c r="O31" s="34"/>
      <c r="P31" s="2"/>
      <c r="Q31" s="2"/>
      <c r="R31" s="2"/>
      <c r="S31" s="2"/>
      <c r="T31" s="2"/>
      <c r="U31" s="2"/>
      <c r="V31" s="2"/>
      <c r="W31" s="2"/>
    </row>
    <row r="32" spans="2:23" x14ac:dyDescent="0.25">
      <c r="B32" s="6">
        <v>45762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4"/>
      <c r="P32" s="2"/>
      <c r="Q32" s="2"/>
      <c r="R32" s="2"/>
      <c r="S32" s="2"/>
      <c r="T32" s="2"/>
      <c r="U32" s="2"/>
      <c r="V32" s="2"/>
      <c r="W32" s="2"/>
    </row>
    <row r="33" spans="2:23" x14ac:dyDescent="0.25">
      <c r="B33" s="6">
        <v>45792</v>
      </c>
      <c r="C33" s="2"/>
      <c r="D33" s="2"/>
      <c r="E33" s="2"/>
      <c r="F33" s="2"/>
      <c r="G33" s="2"/>
      <c r="H33" s="2"/>
      <c r="I33" s="2"/>
      <c r="J33" s="2"/>
      <c r="K33" s="2"/>
      <c r="L33" s="19">
        <v>-355965</v>
      </c>
      <c r="M33" s="2"/>
      <c r="N33" s="2"/>
      <c r="O33" s="34"/>
      <c r="P33" s="2"/>
      <c r="Q33" s="2"/>
      <c r="R33" s="2"/>
      <c r="S33" s="2"/>
      <c r="T33" s="2"/>
      <c r="U33" s="2"/>
      <c r="V33" s="2"/>
      <c r="W33" s="2"/>
    </row>
    <row r="34" spans="2:23" x14ac:dyDescent="0.25">
      <c r="B34" s="6">
        <v>45823</v>
      </c>
      <c r="C34" s="2"/>
      <c r="D34" s="2"/>
      <c r="E34" s="2"/>
      <c r="F34" s="2"/>
      <c r="G34" s="2"/>
      <c r="H34" s="2"/>
      <c r="I34" s="2"/>
      <c r="J34" s="2"/>
      <c r="K34" s="2"/>
      <c r="L34" s="19">
        <v>-355965</v>
      </c>
      <c r="M34" s="2"/>
      <c r="N34" s="2"/>
      <c r="O34" s="34"/>
      <c r="P34" s="2"/>
      <c r="Q34" s="2"/>
      <c r="R34" s="2"/>
      <c r="S34" s="2"/>
      <c r="T34" s="2"/>
      <c r="U34" s="2"/>
      <c r="V34" s="2"/>
      <c r="W34" s="2"/>
    </row>
    <row r="35" spans="2:23" x14ac:dyDescent="0.25">
      <c r="B35" s="6">
        <v>45853</v>
      </c>
      <c r="C35" s="2"/>
      <c r="D35" s="2"/>
      <c r="E35" s="2"/>
      <c r="F35" s="2"/>
      <c r="G35" s="2"/>
      <c r="H35" s="2"/>
      <c r="I35" s="2"/>
      <c r="J35" s="2"/>
      <c r="K35" s="2"/>
      <c r="L35" s="19">
        <v>-355965</v>
      </c>
      <c r="M35" s="2"/>
      <c r="N35" s="2"/>
      <c r="O35" s="34"/>
      <c r="P35" s="2"/>
      <c r="Q35" s="2"/>
      <c r="R35" s="2"/>
      <c r="S35" s="2"/>
      <c r="T35" s="2"/>
      <c r="U35" s="2"/>
      <c r="V35" s="2"/>
      <c r="W35" s="2"/>
    </row>
    <row r="36" spans="2:23" x14ac:dyDescent="0.25">
      <c r="B36" s="6">
        <v>45884</v>
      </c>
      <c r="C36" s="2"/>
      <c r="D36" s="2"/>
      <c r="E36" s="2"/>
      <c r="F36" s="2"/>
      <c r="G36" s="2"/>
      <c r="H36" s="2"/>
      <c r="I36" s="2"/>
      <c r="J36" s="2"/>
      <c r="K36" s="2"/>
      <c r="L36" s="19">
        <v>-355965</v>
      </c>
      <c r="M36" s="2"/>
      <c r="N36" s="2"/>
      <c r="O36" s="34"/>
      <c r="P36" s="2"/>
      <c r="Q36" s="2"/>
      <c r="R36" s="2"/>
      <c r="S36" s="2"/>
      <c r="T36" s="2"/>
      <c r="U36" s="2"/>
      <c r="V36" s="2"/>
      <c r="W36" s="2"/>
    </row>
    <row r="37" spans="2:23" x14ac:dyDescent="0.25">
      <c r="B37" s="6">
        <v>45915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4"/>
      <c r="P37" s="2"/>
      <c r="Q37" s="2"/>
      <c r="R37" s="2"/>
      <c r="S37" s="2"/>
      <c r="T37" s="2"/>
      <c r="U37" s="2"/>
      <c r="V37" s="2"/>
      <c r="W37" s="2"/>
    </row>
    <row r="38" spans="2:23" x14ac:dyDescent="0.25">
      <c r="B38" s="6">
        <v>46037</v>
      </c>
      <c r="C38" s="2"/>
      <c r="D38" s="2"/>
      <c r="E38" s="2"/>
      <c r="F38" s="2"/>
      <c r="G38" s="2"/>
      <c r="H38" s="2"/>
      <c r="I38" s="2"/>
      <c r="J38" s="26">
        <v>-68798.557287181349</v>
      </c>
      <c r="K38" s="2"/>
      <c r="L38" s="2"/>
      <c r="M38" s="2"/>
      <c r="N38" s="2"/>
      <c r="O38" s="34"/>
      <c r="P38" s="2"/>
      <c r="Q38" s="2"/>
      <c r="R38" s="2"/>
      <c r="S38" s="2"/>
      <c r="T38" s="2"/>
      <c r="U38" s="2"/>
      <c r="V38" s="2"/>
      <c r="W38" s="2"/>
    </row>
    <row r="39" spans="2:23" x14ac:dyDescent="0.25">
      <c r="B39" s="6">
        <v>46068</v>
      </c>
      <c r="C39" s="2"/>
      <c r="D39" s="2"/>
      <c r="E39" s="2"/>
      <c r="F39" s="2"/>
      <c r="G39" s="2"/>
      <c r="H39" s="2"/>
      <c r="I39" s="2"/>
      <c r="J39" s="26">
        <v>-68798.557287181349</v>
      </c>
      <c r="K39" s="2"/>
      <c r="L39" s="2"/>
      <c r="M39" s="2"/>
      <c r="N39" s="2"/>
      <c r="O39" s="34"/>
      <c r="P39" s="2"/>
      <c r="Q39" s="2"/>
      <c r="R39" s="2"/>
      <c r="S39" s="2"/>
      <c r="T39" s="2"/>
      <c r="U39" s="2"/>
      <c r="V39" s="2"/>
      <c r="W39" s="2"/>
    </row>
    <row r="40" spans="2:23" x14ac:dyDescent="0.25">
      <c r="B40" s="6">
        <v>46096</v>
      </c>
      <c r="C40" s="2"/>
      <c r="D40" s="2"/>
      <c r="E40" s="2"/>
      <c r="F40" s="2"/>
      <c r="G40" s="2"/>
      <c r="H40" s="2"/>
      <c r="I40" s="2"/>
      <c r="J40" s="26">
        <v>-68798.557287181349</v>
      </c>
      <c r="K40" s="2"/>
      <c r="L40" s="2"/>
      <c r="M40" s="2"/>
      <c r="N40" s="2"/>
      <c r="O40" s="34"/>
      <c r="P40" s="2">
        <v>-62000</v>
      </c>
      <c r="Q40" s="2">
        <v>-46500</v>
      </c>
      <c r="R40" s="2"/>
      <c r="S40" s="2"/>
      <c r="T40" s="2"/>
      <c r="U40" s="2"/>
      <c r="V40" s="2"/>
      <c r="W40" s="2"/>
    </row>
    <row r="41" spans="2:23" x14ac:dyDescent="0.25">
      <c r="B41" s="6">
        <v>46127</v>
      </c>
      <c r="C41" s="2"/>
      <c r="D41" s="2"/>
      <c r="E41" s="2"/>
      <c r="F41" s="2"/>
      <c r="G41" s="2"/>
      <c r="H41" s="2"/>
      <c r="I41" s="2"/>
      <c r="J41" s="26">
        <v>-68798.557287181349</v>
      </c>
      <c r="K41" s="2"/>
      <c r="L41" s="2"/>
      <c r="M41" s="2"/>
      <c r="N41" s="2"/>
      <c r="O41" s="34"/>
      <c r="P41" s="2">
        <v>-62000</v>
      </c>
      <c r="Q41" s="2">
        <v>-46500</v>
      </c>
      <c r="R41" s="2"/>
      <c r="S41" s="2"/>
      <c r="T41" s="2"/>
      <c r="U41" s="2"/>
      <c r="V41" s="2"/>
      <c r="W41" s="2"/>
    </row>
    <row r="42" spans="2:23" x14ac:dyDescent="0.25">
      <c r="B42" s="6">
        <v>46157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4"/>
      <c r="P42" s="2">
        <v>-62000</v>
      </c>
      <c r="Q42" s="2">
        <v>-46500</v>
      </c>
      <c r="R42" s="2"/>
      <c r="S42" s="2"/>
      <c r="T42" s="2"/>
      <c r="U42" s="2"/>
      <c r="V42" s="2"/>
      <c r="W42" s="2"/>
    </row>
    <row r="43" spans="2:23" x14ac:dyDescent="0.25">
      <c r="B43" s="6">
        <v>46188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2">
        <v>-62000</v>
      </c>
      <c r="Q43" s="2">
        <v>-46500</v>
      </c>
      <c r="R43" s="2"/>
      <c r="S43" s="2"/>
      <c r="T43" s="2"/>
      <c r="U43" s="2"/>
      <c r="V43" s="2"/>
      <c r="W43" s="2"/>
    </row>
    <row r="44" spans="2:23" x14ac:dyDescent="0.25">
      <c r="B44" s="6">
        <v>46461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4"/>
      <c r="P44" s="2"/>
      <c r="Q44" s="2"/>
      <c r="R44" s="2">
        <v>-93820.682499999995</v>
      </c>
      <c r="S44" s="2"/>
      <c r="T44" s="2"/>
      <c r="U44" s="2"/>
      <c r="V44" s="2"/>
      <c r="W44" s="2"/>
    </row>
    <row r="45" spans="2:23" x14ac:dyDescent="0.25">
      <c r="B45" s="6">
        <v>46492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4"/>
      <c r="P45" s="2"/>
      <c r="Q45" s="2"/>
      <c r="R45" s="2">
        <v>-93820.682499999995</v>
      </c>
      <c r="S45" s="2"/>
      <c r="T45" s="2"/>
      <c r="U45" s="2"/>
      <c r="V45" s="2"/>
      <c r="W45" s="2"/>
    </row>
    <row r="46" spans="2:23" x14ac:dyDescent="0.25">
      <c r="B46" s="6">
        <v>46522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4"/>
      <c r="P46" s="2"/>
      <c r="Q46" s="2"/>
      <c r="R46" s="2">
        <v>-93820.682499999995</v>
      </c>
      <c r="S46" s="2"/>
      <c r="T46" s="2"/>
      <c r="U46" s="2"/>
      <c r="V46" s="2"/>
      <c r="W46" s="2"/>
    </row>
    <row r="47" spans="2:23" x14ac:dyDescent="0.25">
      <c r="B47" s="6">
        <v>46553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4"/>
      <c r="P47" s="2"/>
      <c r="Q47" s="2"/>
      <c r="R47" s="2">
        <v>-93820.682499999995</v>
      </c>
      <c r="S47" s="2"/>
      <c r="T47" s="2"/>
      <c r="U47" s="2"/>
      <c r="V47" s="2"/>
      <c r="W47" s="2"/>
    </row>
    <row r="48" spans="2:23" x14ac:dyDescent="0.25">
      <c r="B48" s="6">
        <v>46553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4"/>
      <c r="P48" s="2"/>
      <c r="Q48" s="2"/>
      <c r="R48" s="2"/>
      <c r="S48" s="2">
        <v>-147621.77499999999</v>
      </c>
      <c r="T48" s="2"/>
      <c r="U48" s="2"/>
      <c r="V48" s="2">
        <v>-272285.58</v>
      </c>
      <c r="W48" s="2"/>
    </row>
    <row r="49" spans="2:23" x14ac:dyDescent="0.25">
      <c r="B49" s="6">
        <v>46583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2"/>
      <c r="Q49" s="2"/>
      <c r="R49" s="2"/>
      <c r="S49" s="2">
        <v>-147621.77499999999</v>
      </c>
      <c r="T49" s="2"/>
      <c r="U49" s="2"/>
      <c r="V49" s="2">
        <v>-272285.58</v>
      </c>
      <c r="W49" s="2">
        <v>-174735</v>
      </c>
    </row>
    <row r="50" spans="2:23" x14ac:dyDescent="0.25">
      <c r="B50" s="6">
        <v>46614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4"/>
      <c r="P50" s="2"/>
      <c r="Q50" s="2"/>
      <c r="R50" s="2"/>
      <c r="S50" s="2">
        <v>-147621.77499999999</v>
      </c>
      <c r="T50" s="2"/>
      <c r="U50" s="2"/>
      <c r="V50" s="2">
        <v>-272285.58</v>
      </c>
      <c r="W50" s="2">
        <v>-174735</v>
      </c>
    </row>
    <row r="51" spans="2:23" x14ac:dyDescent="0.25">
      <c r="B51" s="6">
        <v>46645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4"/>
      <c r="P51" s="2"/>
      <c r="Q51" s="2"/>
      <c r="R51" s="2"/>
      <c r="S51" s="2">
        <v>-147621.77499999999</v>
      </c>
      <c r="T51" s="2">
        <v>-218257.63874999998</v>
      </c>
      <c r="U51" s="2"/>
      <c r="V51" s="2">
        <v>-272285.58</v>
      </c>
      <c r="W51" s="2">
        <v>-174735</v>
      </c>
    </row>
    <row r="52" spans="2:23" x14ac:dyDescent="0.25">
      <c r="B52" s="6">
        <v>46675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4"/>
      <c r="P52" s="2"/>
      <c r="Q52" s="2"/>
      <c r="R52" s="2"/>
      <c r="S52" s="2"/>
      <c r="T52" s="2">
        <v>-218257.63874999998</v>
      </c>
      <c r="U52" s="2"/>
      <c r="V52" s="2"/>
      <c r="W52" s="2">
        <v>-174735</v>
      </c>
    </row>
    <row r="53" spans="2:23" x14ac:dyDescent="0.25">
      <c r="B53" s="6">
        <v>46706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4"/>
      <c r="P53" s="2"/>
      <c r="Q53" s="2"/>
      <c r="R53" s="2"/>
      <c r="S53" s="2"/>
      <c r="T53" s="2">
        <v>-218257.63874999998</v>
      </c>
      <c r="U53" s="2"/>
      <c r="V53" s="2"/>
      <c r="W53" s="2"/>
    </row>
    <row r="54" spans="2:23" x14ac:dyDescent="0.25">
      <c r="B54" s="6">
        <v>46736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4"/>
      <c r="P54" s="2"/>
      <c r="Q54" s="2"/>
      <c r="R54" s="2"/>
      <c r="S54" s="2"/>
      <c r="T54" s="2">
        <v>-218257.63874999998</v>
      </c>
      <c r="U54" s="2">
        <v>-218257.64</v>
      </c>
      <c r="V54" s="2"/>
      <c r="W54" s="2"/>
    </row>
    <row r="55" spans="2:23" x14ac:dyDescent="0.25">
      <c r="B55" s="6">
        <v>46767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4"/>
      <c r="P55" s="2"/>
      <c r="Q55" s="2"/>
      <c r="R55" s="2"/>
      <c r="S55" s="2"/>
      <c r="T55" s="2"/>
      <c r="U55" s="2">
        <v>-218257.64</v>
      </c>
      <c r="V55" s="2"/>
      <c r="W55" s="2"/>
    </row>
    <row r="56" spans="2:23" x14ac:dyDescent="0.25">
      <c r="B56" s="5">
        <v>46798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4"/>
      <c r="P56" s="2"/>
      <c r="Q56" s="2"/>
      <c r="R56" s="2"/>
      <c r="S56" s="2"/>
      <c r="T56" s="2"/>
      <c r="U56" s="2">
        <v>-218257.64</v>
      </c>
      <c r="V56" s="2"/>
      <c r="W56" s="2"/>
    </row>
    <row r="57" spans="2:23" x14ac:dyDescent="0.25">
      <c r="B57" s="5">
        <v>46827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4"/>
      <c r="P57" s="2"/>
      <c r="Q57" s="2"/>
      <c r="R57" s="2"/>
      <c r="S57" s="2"/>
      <c r="T57" s="2"/>
      <c r="U57" s="2">
        <v>-218257.64</v>
      </c>
      <c r="V57" s="2"/>
      <c r="W57" s="2"/>
    </row>
    <row r="58" spans="2:23" x14ac:dyDescent="0.25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4"/>
      <c r="P58" s="2"/>
      <c r="Q58" s="2"/>
      <c r="R58" s="2"/>
      <c r="S58" s="2"/>
      <c r="T58" s="2"/>
      <c r="U58" s="2"/>
      <c r="V58" s="2"/>
      <c r="W58" s="2"/>
    </row>
  </sheetData>
  <mergeCells count="8">
    <mergeCell ref="C8:D8"/>
    <mergeCell ref="C9:D9"/>
    <mergeCell ref="C2:D2"/>
    <mergeCell ref="C3:D3"/>
    <mergeCell ref="C4:D4"/>
    <mergeCell ref="C5:D5"/>
    <mergeCell ref="C6:D6"/>
    <mergeCell ref="C7:D7"/>
  </mergeCells>
  <conditionalFormatting sqref="C14:W14">
    <cfRule type="expression" dxfId="10" priority="2">
      <formula>C14=""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97F2-3F1E-46CD-9E62-D2BC13743040}">
  <dimension ref="A1:W48"/>
  <sheetViews>
    <sheetView showGridLines="0" workbookViewId="0">
      <selection activeCell="G18" sqref="G18:G19"/>
    </sheetView>
  </sheetViews>
  <sheetFormatPr defaultColWidth="8.85546875" defaultRowHeight="15" x14ac:dyDescent="0.25"/>
  <cols>
    <col min="1" max="1" width="8.7109375" customWidth="1"/>
    <col min="2" max="2" width="31.140625" bestFit="1" customWidth="1"/>
    <col min="3" max="3" width="11.140625" bestFit="1" customWidth="1"/>
    <col min="4" max="5" width="14.28515625" bestFit="1" customWidth="1"/>
    <col min="6" max="10" width="11.140625" bestFit="1" customWidth="1"/>
    <col min="11" max="11" width="10.42578125" customWidth="1"/>
    <col min="12" max="12" width="12.42578125" bestFit="1" customWidth="1"/>
    <col min="13" max="14" width="11.140625" bestFit="1" customWidth="1"/>
    <col min="15" max="15" width="0.42578125" style="29" customWidth="1"/>
    <col min="16" max="21" width="11.140625" bestFit="1" customWidth="1"/>
    <col min="22" max="22" width="12.42578125" bestFit="1" customWidth="1"/>
    <col min="23" max="23" width="11.140625" bestFit="1" customWidth="1"/>
  </cols>
  <sheetData>
    <row r="1" spans="1:23" x14ac:dyDescent="0.25">
      <c r="A1" s="4"/>
    </row>
    <row r="2" spans="1:23" ht="36" x14ac:dyDescent="0.25">
      <c r="C2" s="10" t="s">
        <v>2</v>
      </c>
      <c r="D2" s="10" t="s">
        <v>3</v>
      </c>
      <c r="E2" s="10" t="s">
        <v>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30"/>
      <c r="P2" s="27" t="s">
        <v>16</v>
      </c>
      <c r="Q2" s="27" t="s">
        <v>17</v>
      </c>
      <c r="R2" s="27" t="s">
        <v>18</v>
      </c>
      <c r="S2" s="27" t="s">
        <v>20</v>
      </c>
      <c r="T2" s="27" t="s">
        <v>24</v>
      </c>
      <c r="U2" s="27" t="s">
        <v>25</v>
      </c>
      <c r="V2" s="27" t="s">
        <v>26</v>
      </c>
      <c r="W2" s="27" t="s">
        <v>27</v>
      </c>
    </row>
    <row r="3" spans="1:23" s="12" customFormat="1" ht="3.75" customHeight="1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31"/>
      <c r="P3" s="13"/>
      <c r="Q3" s="13"/>
      <c r="R3" s="13"/>
      <c r="S3" s="13"/>
      <c r="T3" s="13"/>
      <c r="U3" s="13"/>
      <c r="V3" s="13"/>
      <c r="W3" s="13"/>
    </row>
    <row r="4" spans="1:23" x14ac:dyDescent="0.25">
      <c r="B4" s="18" t="s">
        <v>39</v>
      </c>
      <c r="C4" s="25">
        <v>-477000</v>
      </c>
      <c r="D4" s="25">
        <v>-250000</v>
      </c>
      <c r="E4" s="25">
        <v>-200000</v>
      </c>
      <c r="F4" s="25">
        <v>-43500</v>
      </c>
      <c r="G4" s="25">
        <v>-905000</v>
      </c>
      <c r="H4" s="25">
        <v>-234968.65479530705</v>
      </c>
      <c r="I4" s="25">
        <v>-239837.11605596766</v>
      </c>
      <c r="J4" s="25">
        <v>-275194.2291487254</v>
      </c>
      <c r="K4" s="25">
        <v>-56791.59</v>
      </c>
      <c r="L4" s="25">
        <v>-1432200</v>
      </c>
      <c r="M4" s="25">
        <v>-300000</v>
      </c>
      <c r="N4" s="25">
        <v>-230000</v>
      </c>
      <c r="O4" s="32"/>
      <c r="P4" s="25">
        <v>-280000</v>
      </c>
      <c r="Q4" s="25">
        <v>-186000</v>
      </c>
      <c r="R4" s="25">
        <v>-375282.73</v>
      </c>
      <c r="S4" s="25">
        <v>-590487.1</v>
      </c>
      <c r="T4" s="25">
        <v>-873030.55499999993</v>
      </c>
      <c r="U4" s="25">
        <v>-873030.55499999993</v>
      </c>
      <c r="V4" s="25">
        <v>-1089142.32</v>
      </c>
      <c r="W4" s="25">
        <v>-698940</v>
      </c>
    </row>
    <row r="5" spans="1:23" s="12" customFormat="1" ht="3.75" customHeight="1" x14ac:dyDescent="0.2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1"/>
      <c r="P5" s="13"/>
      <c r="Q5" s="13"/>
      <c r="R5" s="13"/>
      <c r="S5" s="13"/>
      <c r="T5" s="13"/>
      <c r="U5" s="13"/>
      <c r="V5" s="13"/>
      <c r="W5" s="13"/>
    </row>
    <row r="6" spans="1:23" x14ac:dyDescent="0.25">
      <c r="B6" s="23" t="s">
        <v>37</v>
      </c>
      <c r="C6" s="24">
        <v>0</v>
      </c>
      <c r="D6" s="24">
        <v>0</v>
      </c>
      <c r="E6" s="24">
        <v>0</v>
      </c>
      <c r="F6" s="24">
        <v>-43500</v>
      </c>
      <c r="G6" s="24">
        <f>G7+G8</f>
        <v>-87000</v>
      </c>
      <c r="H6" s="24">
        <v>0</v>
      </c>
      <c r="I6" s="24">
        <v>0</v>
      </c>
      <c r="J6" s="24">
        <v>0</v>
      </c>
      <c r="K6" s="24">
        <f>K7+K8</f>
        <v>-29000</v>
      </c>
      <c r="L6" s="24">
        <v>-8340</v>
      </c>
      <c r="M6" s="24">
        <v>0</v>
      </c>
      <c r="N6" s="24">
        <v>0</v>
      </c>
      <c r="O6" s="33"/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</row>
    <row r="7" spans="1:23" x14ac:dyDescent="0.25">
      <c r="B7" s="5">
        <v>45300</v>
      </c>
      <c r="C7" s="35"/>
      <c r="D7" s="35"/>
      <c r="E7" s="35"/>
      <c r="F7" s="35"/>
      <c r="G7" s="36">
        <v>-43500</v>
      </c>
      <c r="H7" s="35"/>
      <c r="I7" s="35"/>
      <c r="J7" s="35"/>
      <c r="K7" s="36">
        <f>-29000/2</f>
        <v>-14500</v>
      </c>
      <c r="L7" s="35"/>
      <c r="M7" s="35"/>
      <c r="N7" s="35"/>
      <c r="O7" s="34"/>
      <c r="P7" s="2"/>
      <c r="Q7" s="2"/>
      <c r="R7" s="2"/>
      <c r="S7" s="2"/>
      <c r="T7" s="2"/>
      <c r="U7" s="2"/>
      <c r="V7" s="2"/>
      <c r="W7" s="2"/>
    </row>
    <row r="8" spans="1:23" x14ac:dyDescent="0.25">
      <c r="B8" s="5">
        <v>45331</v>
      </c>
      <c r="C8" s="35">
        <f>C4/3</f>
        <v>-159000</v>
      </c>
      <c r="D8" s="35"/>
      <c r="E8" s="35"/>
      <c r="F8" s="35"/>
      <c r="G8" s="36">
        <v>-43500</v>
      </c>
      <c r="H8" s="35"/>
      <c r="I8" s="35"/>
      <c r="J8" s="35"/>
      <c r="K8" s="36">
        <f>-29000/2</f>
        <v>-14500</v>
      </c>
      <c r="L8" s="35"/>
      <c r="M8" s="35"/>
      <c r="N8" s="35"/>
      <c r="O8" s="34"/>
      <c r="P8" s="2"/>
      <c r="Q8" s="2"/>
      <c r="R8" s="2"/>
      <c r="S8" s="2"/>
      <c r="T8" s="2"/>
      <c r="U8" s="2"/>
      <c r="V8" s="2"/>
      <c r="W8" s="2"/>
    </row>
    <row r="9" spans="1:23" x14ac:dyDescent="0.25">
      <c r="B9" s="6">
        <v>45360</v>
      </c>
      <c r="C9" s="35">
        <f>C4/3</f>
        <v>-159000</v>
      </c>
      <c r="D9" s="35"/>
      <c r="E9" s="35"/>
      <c r="F9" s="35"/>
      <c r="G9" s="35"/>
      <c r="H9" s="35"/>
      <c r="I9" s="35"/>
      <c r="J9" s="35"/>
      <c r="K9" s="35">
        <f>-(13.55*2051.04)</f>
        <v>-27791.592000000001</v>
      </c>
      <c r="L9" s="35"/>
      <c r="M9" s="35">
        <v>-150000</v>
      </c>
      <c r="N9" s="35">
        <f>-115000</f>
        <v>-115000</v>
      </c>
      <c r="O9" s="34"/>
      <c r="P9" s="2"/>
      <c r="Q9" s="2"/>
      <c r="R9" s="2"/>
      <c r="S9" s="2"/>
      <c r="T9" s="2"/>
      <c r="U9" s="2"/>
      <c r="V9" s="2"/>
      <c r="W9" s="2"/>
    </row>
    <row r="10" spans="1:23" x14ac:dyDescent="0.25">
      <c r="B10" s="6">
        <v>45391</v>
      </c>
      <c r="C10" s="35">
        <f>C4/3</f>
        <v>-159000</v>
      </c>
      <c r="D10" s="35"/>
      <c r="E10" s="35"/>
      <c r="F10" s="35"/>
      <c r="G10" s="35"/>
      <c r="H10" s="35"/>
      <c r="I10" s="35"/>
      <c r="J10" s="35"/>
      <c r="K10" s="35"/>
      <c r="L10" s="35"/>
      <c r="M10" s="35">
        <v>-150000</v>
      </c>
      <c r="N10" s="35">
        <v>-115000</v>
      </c>
      <c r="O10" s="34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B11" s="6">
        <v>45427</v>
      </c>
      <c r="C11" s="35"/>
      <c r="D11" s="35">
        <v>-62500</v>
      </c>
      <c r="E11" s="35">
        <v>-50000</v>
      </c>
      <c r="F11" s="35"/>
      <c r="G11" s="35"/>
      <c r="H11" s="35"/>
      <c r="I11" s="35"/>
      <c r="J11" s="35"/>
      <c r="K11" s="35"/>
      <c r="L11" s="35"/>
      <c r="M11" s="35"/>
      <c r="N11" s="35"/>
      <c r="O11" s="34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s="6">
        <v>45458</v>
      </c>
      <c r="C12" s="35"/>
      <c r="D12" s="35">
        <v>-62500</v>
      </c>
      <c r="E12" s="35">
        <v>-50000</v>
      </c>
      <c r="F12" s="35"/>
      <c r="G12" s="35">
        <f>-226250-G8-G7</f>
        <v>-139250</v>
      </c>
      <c r="H12" s="35"/>
      <c r="I12" s="35"/>
      <c r="J12" s="35"/>
      <c r="K12" s="35"/>
      <c r="L12" s="35"/>
      <c r="M12" s="35"/>
      <c r="N12" s="35"/>
      <c r="O12" s="34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s="6">
        <v>45487</v>
      </c>
      <c r="C13" s="35"/>
      <c r="D13" s="35">
        <v>-62500</v>
      </c>
      <c r="E13" s="35">
        <v>-50000</v>
      </c>
      <c r="F13" s="35"/>
      <c r="G13" s="35">
        <v>-226250</v>
      </c>
      <c r="H13" s="35"/>
      <c r="I13" s="35"/>
      <c r="J13" s="35"/>
      <c r="K13" s="35"/>
      <c r="L13" s="35"/>
      <c r="M13" s="35"/>
      <c r="N13" s="35"/>
      <c r="O13" s="34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B14" s="6">
        <v>45519</v>
      </c>
      <c r="C14" s="35"/>
      <c r="D14" s="35">
        <v>-62500</v>
      </c>
      <c r="E14" s="35">
        <v>-50000</v>
      </c>
      <c r="F14" s="35"/>
      <c r="G14" s="35">
        <v>-226250</v>
      </c>
      <c r="H14" s="35"/>
      <c r="I14" s="35"/>
      <c r="J14" s="35"/>
      <c r="K14" s="35"/>
      <c r="L14" s="35"/>
      <c r="M14" s="35"/>
      <c r="N14" s="35"/>
      <c r="O14" s="34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B15" s="6">
        <v>45546</v>
      </c>
      <c r="C15" s="35"/>
      <c r="D15" s="35"/>
      <c r="E15" s="35"/>
      <c r="F15" s="35"/>
      <c r="G15" s="35">
        <v>-226250</v>
      </c>
      <c r="H15" s="35"/>
      <c r="I15" s="35"/>
      <c r="J15" s="35"/>
      <c r="K15" s="35"/>
      <c r="L15" s="35"/>
      <c r="M15" s="35"/>
      <c r="N15" s="35"/>
      <c r="O15" s="34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B16" s="6">
        <v>45576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4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6">
        <v>45605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4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6">
        <v>45635</v>
      </c>
      <c r="C18" s="35"/>
      <c r="D18" s="35"/>
      <c r="E18" s="35"/>
      <c r="F18" s="35"/>
      <c r="G18" s="35"/>
      <c r="H18" s="35">
        <v>-58742.163698826764</v>
      </c>
      <c r="I18" s="35">
        <v>-59959.279013991916</v>
      </c>
      <c r="J18" s="35"/>
      <c r="K18" s="35"/>
      <c r="L18" s="35"/>
      <c r="M18" s="35"/>
      <c r="N18" s="35"/>
      <c r="O18" s="34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6">
        <v>45672</v>
      </c>
      <c r="C19" s="35"/>
      <c r="D19" s="35"/>
      <c r="E19" s="35"/>
      <c r="F19" s="35"/>
      <c r="G19" s="35"/>
      <c r="H19" s="35">
        <v>-58742.163698826764</v>
      </c>
      <c r="I19" s="35">
        <v>-59959.279013991916</v>
      </c>
      <c r="J19" s="35"/>
      <c r="K19" s="35"/>
      <c r="L19" s="35"/>
      <c r="M19" s="35"/>
      <c r="N19" s="35"/>
      <c r="O19" s="34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6">
        <v>45703</v>
      </c>
      <c r="C20" s="35"/>
      <c r="D20" s="35"/>
      <c r="E20" s="35"/>
      <c r="F20" s="35"/>
      <c r="G20" s="35"/>
      <c r="H20" s="35">
        <v>-58742.163698826764</v>
      </c>
      <c r="I20" s="35">
        <v>-59959.279013991916</v>
      </c>
      <c r="J20" s="35"/>
      <c r="K20" s="35"/>
      <c r="L20" s="35"/>
      <c r="M20" s="35"/>
      <c r="N20" s="35"/>
      <c r="O20" s="34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B21" s="6">
        <v>45731</v>
      </c>
      <c r="C21" s="35"/>
      <c r="D21" s="35"/>
      <c r="E21" s="35"/>
      <c r="F21" s="35"/>
      <c r="G21" s="35"/>
      <c r="H21" s="35">
        <v>-58742.163698826764</v>
      </c>
      <c r="I21" s="35">
        <v>-59959.279013991916</v>
      </c>
      <c r="J21" s="35"/>
      <c r="K21" s="35"/>
      <c r="L21" s="35"/>
      <c r="M21" s="35"/>
      <c r="N21" s="35"/>
      <c r="O21" s="34"/>
      <c r="P21" s="2"/>
      <c r="Q21" s="2"/>
      <c r="R21" s="2"/>
      <c r="S21" s="2"/>
      <c r="T21" s="2"/>
      <c r="U21" s="2"/>
      <c r="V21" s="2"/>
      <c r="W21" s="2"/>
    </row>
    <row r="22" spans="2:23" x14ac:dyDescent="0.25">
      <c r="B22" s="6">
        <v>45762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4"/>
      <c r="P22" s="2"/>
      <c r="Q22" s="2"/>
      <c r="R22" s="2"/>
      <c r="S22" s="2"/>
      <c r="T22" s="2"/>
      <c r="U22" s="2"/>
      <c r="V22" s="2"/>
      <c r="W22" s="2"/>
    </row>
    <row r="23" spans="2:23" x14ac:dyDescent="0.25">
      <c r="B23" s="6">
        <v>45792</v>
      </c>
      <c r="C23" s="35"/>
      <c r="D23" s="35"/>
      <c r="E23" s="35"/>
      <c r="F23" s="35"/>
      <c r="G23" s="35"/>
      <c r="H23" s="35"/>
      <c r="I23" s="35"/>
      <c r="J23" s="35"/>
      <c r="K23" s="35"/>
      <c r="L23" s="35">
        <v>-355965</v>
      </c>
      <c r="M23" s="35"/>
      <c r="N23" s="35"/>
      <c r="O23" s="34"/>
      <c r="P23" s="2"/>
      <c r="Q23" s="2"/>
      <c r="R23" s="2"/>
      <c r="S23" s="2"/>
      <c r="T23" s="2"/>
      <c r="U23" s="2"/>
      <c r="V23" s="2"/>
      <c r="W23" s="2"/>
    </row>
    <row r="24" spans="2:23" x14ac:dyDescent="0.25">
      <c r="B24" s="6">
        <v>45823</v>
      </c>
      <c r="C24" s="35"/>
      <c r="D24" s="35"/>
      <c r="E24" s="35"/>
      <c r="F24" s="35"/>
      <c r="G24" s="35"/>
      <c r="H24" s="35"/>
      <c r="I24" s="35"/>
      <c r="J24" s="35"/>
      <c r="K24" s="35"/>
      <c r="L24" s="35">
        <v>-355965</v>
      </c>
      <c r="M24" s="35"/>
      <c r="N24" s="35"/>
      <c r="O24" s="34"/>
      <c r="P24" s="2"/>
      <c r="Q24" s="2"/>
      <c r="R24" s="2"/>
      <c r="S24" s="2"/>
      <c r="T24" s="2"/>
      <c r="U24" s="2"/>
      <c r="V24" s="2"/>
      <c r="W24" s="2"/>
    </row>
    <row r="25" spans="2:23" x14ac:dyDescent="0.25">
      <c r="B25" s="6">
        <v>45853</v>
      </c>
      <c r="C25" s="35"/>
      <c r="D25" s="35"/>
      <c r="E25" s="35"/>
      <c r="F25" s="35"/>
      <c r="G25" s="35"/>
      <c r="H25" s="35"/>
      <c r="I25" s="35"/>
      <c r="J25" s="35"/>
      <c r="K25" s="35"/>
      <c r="L25" s="35">
        <v>-355965</v>
      </c>
      <c r="M25" s="35"/>
      <c r="N25" s="35"/>
      <c r="O25" s="34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6">
        <v>45884</v>
      </c>
      <c r="C26" s="35"/>
      <c r="D26" s="35"/>
      <c r="E26" s="35"/>
      <c r="F26" s="35"/>
      <c r="G26" s="35"/>
      <c r="H26" s="35"/>
      <c r="I26" s="35"/>
      <c r="J26" s="35"/>
      <c r="K26" s="35"/>
      <c r="L26" s="35">
        <v>-355965</v>
      </c>
      <c r="M26" s="35"/>
      <c r="N26" s="35"/>
      <c r="O26" s="34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B27" s="6">
        <v>45915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4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B28" s="6">
        <v>46037</v>
      </c>
      <c r="C28" s="35"/>
      <c r="D28" s="35"/>
      <c r="E28" s="35"/>
      <c r="F28" s="35"/>
      <c r="G28" s="35"/>
      <c r="H28" s="35"/>
      <c r="I28" s="35"/>
      <c r="J28" s="35">
        <v>-68798.557287181349</v>
      </c>
      <c r="K28" s="35"/>
      <c r="L28" s="35"/>
      <c r="M28" s="35"/>
      <c r="N28" s="35"/>
      <c r="O28" s="34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6">
        <v>46068</v>
      </c>
      <c r="C29" s="35"/>
      <c r="D29" s="35"/>
      <c r="E29" s="35"/>
      <c r="F29" s="35"/>
      <c r="G29" s="35"/>
      <c r="H29" s="35"/>
      <c r="I29" s="35"/>
      <c r="J29" s="35">
        <v>-68798.557287181349</v>
      </c>
      <c r="K29" s="35"/>
      <c r="L29" s="35"/>
      <c r="M29" s="35"/>
      <c r="N29" s="35"/>
      <c r="O29" s="34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6">
        <v>46096</v>
      </c>
      <c r="C30" s="35"/>
      <c r="D30" s="35"/>
      <c r="E30" s="35"/>
      <c r="F30" s="35"/>
      <c r="G30" s="35"/>
      <c r="H30" s="35"/>
      <c r="I30" s="35"/>
      <c r="J30" s="35">
        <v>-68798.557287181349</v>
      </c>
      <c r="K30" s="35"/>
      <c r="L30" s="35"/>
      <c r="M30" s="35"/>
      <c r="N30" s="35"/>
      <c r="O30" s="34"/>
      <c r="P30" s="2">
        <v>-62000</v>
      </c>
      <c r="Q30" s="2">
        <v>-46500</v>
      </c>
      <c r="R30" s="2"/>
      <c r="S30" s="2"/>
      <c r="T30" s="2"/>
      <c r="U30" s="2"/>
      <c r="V30" s="2"/>
      <c r="W30" s="2"/>
    </row>
    <row r="31" spans="2:23" x14ac:dyDescent="0.25">
      <c r="B31" s="6">
        <v>46127</v>
      </c>
      <c r="C31" s="35"/>
      <c r="D31" s="35"/>
      <c r="E31" s="35"/>
      <c r="F31" s="35"/>
      <c r="G31" s="35"/>
      <c r="H31" s="35"/>
      <c r="I31" s="35"/>
      <c r="J31" s="35">
        <v>-68798.557287181349</v>
      </c>
      <c r="K31" s="35"/>
      <c r="L31" s="35"/>
      <c r="M31" s="35"/>
      <c r="N31" s="35"/>
      <c r="O31" s="34"/>
      <c r="P31" s="2">
        <v>-62000</v>
      </c>
      <c r="Q31" s="2">
        <v>-46500</v>
      </c>
      <c r="R31" s="2"/>
      <c r="S31" s="2"/>
      <c r="T31" s="2"/>
      <c r="U31" s="2"/>
      <c r="V31" s="2"/>
      <c r="W31" s="2"/>
    </row>
    <row r="32" spans="2:23" x14ac:dyDescent="0.25">
      <c r="B32" s="6">
        <v>46157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4"/>
      <c r="P32" s="2">
        <v>-62000</v>
      </c>
      <c r="Q32" s="2">
        <v>-46500</v>
      </c>
      <c r="R32" s="2"/>
      <c r="S32" s="2"/>
      <c r="T32" s="2"/>
      <c r="U32" s="2"/>
      <c r="V32" s="2"/>
      <c r="W32" s="2"/>
    </row>
    <row r="33" spans="2:23" x14ac:dyDescent="0.25">
      <c r="B33" s="6">
        <v>46188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4"/>
      <c r="P33" s="2">
        <v>-62000</v>
      </c>
      <c r="Q33" s="2">
        <v>-46500</v>
      </c>
      <c r="R33" s="2"/>
      <c r="S33" s="2"/>
      <c r="T33" s="2"/>
      <c r="U33" s="2"/>
      <c r="V33" s="2"/>
      <c r="W33" s="2"/>
    </row>
    <row r="34" spans="2:23" x14ac:dyDescent="0.25">
      <c r="B34" s="6">
        <v>46461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4"/>
      <c r="P34" s="2"/>
      <c r="Q34" s="2"/>
      <c r="R34" s="2">
        <v>-93820.682499999995</v>
      </c>
      <c r="S34" s="2"/>
      <c r="T34" s="2"/>
      <c r="U34" s="2"/>
      <c r="V34" s="2"/>
      <c r="W34" s="2"/>
    </row>
    <row r="35" spans="2:23" x14ac:dyDescent="0.25">
      <c r="B35" s="6">
        <v>46492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4"/>
      <c r="P35" s="2"/>
      <c r="Q35" s="2"/>
      <c r="R35" s="2">
        <v>-93820.682499999995</v>
      </c>
      <c r="S35" s="2"/>
      <c r="T35" s="2"/>
      <c r="U35" s="2"/>
      <c r="V35" s="2"/>
      <c r="W35" s="2"/>
    </row>
    <row r="36" spans="2:23" x14ac:dyDescent="0.25">
      <c r="B36" s="6">
        <v>46522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4"/>
      <c r="P36" s="2"/>
      <c r="Q36" s="2"/>
      <c r="R36" s="2">
        <v>-93820.682499999995</v>
      </c>
      <c r="S36" s="2"/>
      <c r="T36" s="2"/>
      <c r="U36" s="2"/>
      <c r="V36" s="2"/>
      <c r="W36" s="2"/>
    </row>
    <row r="37" spans="2:23" x14ac:dyDescent="0.25">
      <c r="B37" s="6">
        <v>46553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4"/>
      <c r="P37" s="2"/>
      <c r="Q37" s="2"/>
      <c r="R37" s="2">
        <v>-93820.682499999995</v>
      </c>
      <c r="S37" s="2"/>
      <c r="T37" s="2"/>
      <c r="U37" s="2"/>
      <c r="V37" s="2"/>
      <c r="W37" s="2"/>
    </row>
    <row r="38" spans="2:23" x14ac:dyDescent="0.25">
      <c r="B38" s="6">
        <v>46553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4"/>
      <c r="P38" s="2"/>
      <c r="Q38" s="2"/>
      <c r="R38" s="2"/>
      <c r="S38" s="2">
        <v>-147621.77499999999</v>
      </c>
      <c r="T38" s="2"/>
      <c r="U38" s="2"/>
      <c r="V38" s="2">
        <v>-272285.58</v>
      </c>
      <c r="W38" s="2"/>
    </row>
    <row r="39" spans="2:23" x14ac:dyDescent="0.25">
      <c r="B39" s="6">
        <v>46583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4"/>
      <c r="P39" s="2"/>
      <c r="Q39" s="2"/>
      <c r="R39" s="2"/>
      <c r="S39" s="2">
        <v>-147621.77499999999</v>
      </c>
      <c r="T39" s="2"/>
      <c r="U39" s="2"/>
      <c r="V39" s="2">
        <v>-272285.58</v>
      </c>
      <c r="W39" s="2">
        <v>-174735</v>
      </c>
    </row>
    <row r="40" spans="2:23" x14ac:dyDescent="0.25">
      <c r="B40" s="6">
        <v>46614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4"/>
      <c r="P40" s="2"/>
      <c r="Q40" s="2"/>
      <c r="R40" s="2"/>
      <c r="S40" s="2">
        <v>-147621.77499999999</v>
      </c>
      <c r="T40" s="2"/>
      <c r="U40" s="2"/>
      <c r="V40" s="2">
        <v>-272285.58</v>
      </c>
      <c r="W40" s="2">
        <v>-174735</v>
      </c>
    </row>
    <row r="41" spans="2:23" x14ac:dyDescent="0.25">
      <c r="B41" s="6">
        <v>46645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4"/>
      <c r="P41" s="2"/>
      <c r="Q41" s="2"/>
      <c r="R41" s="2"/>
      <c r="S41" s="2">
        <v>-147621.77499999999</v>
      </c>
      <c r="T41" s="2">
        <v>-218257.63874999998</v>
      </c>
      <c r="U41" s="2"/>
      <c r="V41" s="2">
        <v>-272285.58</v>
      </c>
      <c r="W41" s="2">
        <v>-174735</v>
      </c>
    </row>
    <row r="42" spans="2:23" x14ac:dyDescent="0.25">
      <c r="B42" s="6">
        <v>46675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4"/>
      <c r="P42" s="2"/>
      <c r="Q42" s="2"/>
      <c r="R42" s="2"/>
      <c r="S42" s="2"/>
      <c r="T42" s="2">
        <v>-218257.63874999998</v>
      </c>
      <c r="U42" s="2"/>
      <c r="V42" s="2"/>
      <c r="W42" s="2">
        <v>-174735</v>
      </c>
    </row>
    <row r="43" spans="2:23" x14ac:dyDescent="0.25">
      <c r="B43" s="6">
        <v>46706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2"/>
      <c r="Q43" s="2"/>
      <c r="R43" s="2"/>
      <c r="S43" s="2"/>
      <c r="T43" s="2">
        <v>-218257.63874999998</v>
      </c>
      <c r="U43" s="2"/>
      <c r="V43" s="2"/>
      <c r="W43" s="2"/>
    </row>
    <row r="44" spans="2:23" x14ac:dyDescent="0.25">
      <c r="B44" s="6">
        <v>46736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4"/>
      <c r="P44" s="2"/>
      <c r="Q44" s="2"/>
      <c r="R44" s="2"/>
      <c r="S44" s="2"/>
      <c r="T44" s="2">
        <v>-218257.63874999998</v>
      </c>
      <c r="U44" s="2">
        <v>-218257.64</v>
      </c>
      <c r="V44" s="2"/>
      <c r="W44" s="2"/>
    </row>
    <row r="45" spans="2:23" x14ac:dyDescent="0.25">
      <c r="B45" s="6">
        <v>46767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4"/>
      <c r="P45" s="2"/>
      <c r="Q45" s="2"/>
      <c r="R45" s="2"/>
      <c r="S45" s="2"/>
      <c r="T45" s="2"/>
      <c r="U45" s="2">
        <v>-218257.64</v>
      </c>
      <c r="V45" s="2"/>
      <c r="W45" s="2"/>
    </row>
    <row r="46" spans="2:23" x14ac:dyDescent="0.25">
      <c r="B46" s="5">
        <v>46798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4"/>
      <c r="P46" s="2"/>
      <c r="Q46" s="2"/>
      <c r="R46" s="2"/>
      <c r="S46" s="2"/>
      <c r="T46" s="2"/>
      <c r="U46" s="2">
        <v>-218257.64</v>
      </c>
      <c r="V46" s="2"/>
      <c r="W46" s="2"/>
    </row>
    <row r="47" spans="2:23" x14ac:dyDescent="0.25">
      <c r="B47" s="5">
        <v>46827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4"/>
      <c r="P47" s="2"/>
      <c r="Q47" s="2"/>
      <c r="R47" s="2"/>
      <c r="S47" s="2"/>
      <c r="T47" s="2"/>
      <c r="U47" s="2">
        <v>-218257.64</v>
      </c>
      <c r="V47" s="2"/>
      <c r="W47" s="2"/>
    </row>
    <row r="48" spans="2:23" x14ac:dyDescent="0.25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4"/>
      <c r="P48" s="2"/>
      <c r="Q48" s="2"/>
      <c r="R48" s="2"/>
      <c r="S48" s="2"/>
      <c r="T48" s="2"/>
      <c r="U48" s="2"/>
      <c r="V48" s="2"/>
      <c r="W48" s="2"/>
    </row>
  </sheetData>
  <conditionalFormatting sqref="C4:W4">
    <cfRule type="expression" dxfId="9" priority="1">
      <formula>C4=""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A399-A988-4D44-928A-0A96C3885858}">
  <dimension ref="A1:V50"/>
  <sheetViews>
    <sheetView showGridLines="0" topLeftCell="C1" zoomScale="115" zoomScaleNormal="115" workbookViewId="0">
      <selection activeCell="Q4" sqref="Q4"/>
    </sheetView>
  </sheetViews>
  <sheetFormatPr defaultColWidth="8.85546875" defaultRowHeight="15" x14ac:dyDescent="0.25"/>
  <cols>
    <col min="1" max="1" width="8.7109375" customWidth="1"/>
    <col min="2" max="2" width="24.140625" bestFit="1" customWidth="1"/>
    <col min="3" max="3" width="11.140625" bestFit="1" customWidth="1"/>
    <col min="4" max="5" width="14.28515625" bestFit="1" customWidth="1"/>
    <col min="6" max="10" width="11.140625" bestFit="1" customWidth="1"/>
    <col min="11" max="11" width="10.42578125" customWidth="1"/>
    <col min="12" max="12" width="13.28515625" bestFit="1" customWidth="1"/>
    <col min="13" max="20" width="11.140625" bestFit="1" customWidth="1"/>
    <col min="21" max="21" width="12.42578125" bestFit="1" customWidth="1"/>
    <col min="22" max="22" width="11.140625" bestFit="1" customWidth="1"/>
  </cols>
  <sheetData>
    <row r="1" spans="1:22" x14ac:dyDescent="0.25">
      <c r="A1" s="4"/>
      <c r="L1" s="72"/>
    </row>
    <row r="2" spans="1:22" ht="36" x14ac:dyDescent="0.25">
      <c r="C2" s="10" t="s">
        <v>2</v>
      </c>
      <c r="D2" s="10" t="s">
        <v>3</v>
      </c>
      <c r="E2" s="10" t="s">
        <v>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27" t="s">
        <v>16</v>
      </c>
      <c r="P2" s="27" t="s">
        <v>17</v>
      </c>
      <c r="Q2" s="27" t="s">
        <v>18</v>
      </c>
      <c r="R2" s="27" t="s">
        <v>20</v>
      </c>
      <c r="S2" s="27" t="s">
        <v>24</v>
      </c>
      <c r="T2" s="27" t="s">
        <v>25</v>
      </c>
      <c r="U2" s="27" t="s">
        <v>26</v>
      </c>
      <c r="V2" s="27" t="s">
        <v>27</v>
      </c>
    </row>
    <row r="3" spans="1:22" s="12" customFormat="1" ht="3.75" customHeight="1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B4" s="18" t="s">
        <v>39</v>
      </c>
      <c r="C4" s="25">
        <f>SUM(C9:C49)</f>
        <v>-549239.23</v>
      </c>
      <c r="D4" s="25">
        <v>-250000</v>
      </c>
      <c r="E4" s="25">
        <v>-200000</v>
      </c>
      <c r="F4" s="25">
        <v>-43500</v>
      </c>
      <c r="G4" s="25">
        <v>-905000</v>
      </c>
      <c r="H4" s="25">
        <v>-234968.65479530705</v>
      </c>
      <c r="I4" s="25">
        <v>-239837.11605596766</v>
      </c>
      <c r="J4" s="25">
        <v>-275194.21999999997</v>
      </c>
      <c r="K4" s="25">
        <v>-56791.59</v>
      </c>
      <c r="L4" s="25">
        <v>-1432200</v>
      </c>
      <c r="M4" s="25">
        <v>-300000</v>
      </c>
      <c r="N4" s="25">
        <v>-230000</v>
      </c>
      <c r="O4" s="25">
        <v>-280000</v>
      </c>
      <c r="P4" s="25">
        <v>-186000</v>
      </c>
      <c r="Q4" s="25">
        <v>-375282.73</v>
      </c>
      <c r="R4" s="25">
        <v>-590487.1</v>
      </c>
      <c r="S4" s="25">
        <v>-873030.55499999993</v>
      </c>
      <c r="T4" s="25">
        <v>-873030.55499999993</v>
      </c>
      <c r="U4" s="25">
        <v>-1089142.32</v>
      </c>
      <c r="V4" s="25">
        <v>-698940</v>
      </c>
    </row>
    <row r="5" spans="1:22" s="12" customFormat="1" ht="3.75" customHeight="1" x14ac:dyDescent="0.2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x14ac:dyDescent="0.25">
      <c r="B6" s="23" t="s">
        <v>41</v>
      </c>
      <c r="C6" s="24">
        <f>C4*C7</f>
        <v>-306491.92</v>
      </c>
      <c r="D6" s="24">
        <v>0</v>
      </c>
      <c r="E6" s="24">
        <v>0</v>
      </c>
      <c r="F6" s="24">
        <v>-43500</v>
      </c>
      <c r="G6" s="24">
        <f>G9+G10</f>
        <v>-87000</v>
      </c>
      <c r="H6" s="24">
        <v>0</v>
      </c>
      <c r="I6" s="24">
        <v>0</v>
      </c>
      <c r="J6" s="24">
        <v>0</v>
      </c>
      <c r="K6" s="24">
        <f>K9+K10</f>
        <v>-29000</v>
      </c>
      <c r="L6" s="24">
        <v>-8340</v>
      </c>
      <c r="M6" s="24">
        <v>0</v>
      </c>
      <c r="N6" s="24">
        <f>SUM(N10:N12)</f>
        <v>-160000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</row>
    <row r="7" spans="1:22" x14ac:dyDescent="0.25">
      <c r="B7" s="23" t="s">
        <v>40</v>
      </c>
      <c r="C7" s="71">
        <f>(C13+C12)/C4</f>
        <v>0.55802991348596853</v>
      </c>
      <c r="D7" s="38"/>
      <c r="E7" s="38"/>
      <c r="F7" s="38">
        <v>1</v>
      </c>
      <c r="G7" s="38"/>
      <c r="H7" s="38"/>
      <c r="I7" s="38"/>
      <c r="J7" s="38"/>
      <c r="K7" s="38"/>
      <c r="L7" s="38"/>
      <c r="M7" s="38"/>
      <c r="N7" s="38">
        <v>1</v>
      </c>
      <c r="O7" s="38"/>
      <c r="P7" s="38"/>
      <c r="Q7" s="38"/>
      <c r="R7" s="38"/>
      <c r="S7" s="38"/>
      <c r="T7" s="38"/>
      <c r="U7" s="38"/>
      <c r="V7" s="38"/>
    </row>
    <row r="8" spans="1:22" x14ac:dyDescent="0.25">
      <c r="B8" s="23" t="s">
        <v>95</v>
      </c>
      <c r="C8" s="24"/>
      <c r="D8" s="24"/>
      <c r="E8" s="24"/>
      <c r="F8" s="38"/>
      <c r="G8" s="24"/>
      <c r="H8" s="24"/>
      <c r="I8" s="24"/>
      <c r="J8" s="24"/>
      <c r="K8" s="24"/>
      <c r="L8" s="24"/>
      <c r="M8" s="24"/>
      <c r="N8" s="24">
        <f>N6-N4</f>
        <v>70000</v>
      </c>
      <c r="O8" s="24"/>
      <c r="P8" s="24"/>
      <c r="Q8" s="24"/>
      <c r="R8" s="24"/>
      <c r="S8" s="24"/>
      <c r="T8" s="24"/>
      <c r="U8" s="24"/>
      <c r="V8" s="24"/>
    </row>
    <row r="9" spans="1:22" x14ac:dyDescent="0.25">
      <c r="B9" s="39">
        <v>45292</v>
      </c>
      <c r="C9" s="35"/>
      <c r="D9" s="35"/>
      <c r="E9" s="35"/>
      <c r="F9" s="35"/>
      <c r="G9" s="36">
        <v>-43500</v>
      </c>
      <c r="H9" s="35"/>
      <c r="I9" s="35"/>
      <c r="J9" s="35"/>
      <c r="K9" s="36">
        <f>-29000/2</f>
        <v>-14500</v>
      </c>
      <c r="L9" s="35"/>
      <c r="M9" s="35"/>
      <c r="N9" s="35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9">
        <v>45331</v>
      </c>
      <c r="C10" s="35"/>
      <c r="D10" s="35"/>
      <c r="E10" s="35"/>
      <c r="F10" s="35"/>
      <c r="G10" s="36">
        <v>-43500</v>
      </c>
      <c r="H10" s="35"/>
      <c r="I10" s="35"/>
      <c r="J10" s="35"/>
      <c r="K10" s="36">
        <f>-29000/2</f>
        <v>-14500</v>
      </c>
      <c r="L10" s="35"/>
      <c r="M10" s="35"/>
      <c r="N10" s="36">
        <v>-14500</v>
      </c>
      <c r="O10" s="2"/>
      <c r="P10" s="2"/>
      <c r="Q10" s="2"/>
      <c r="R10" s="2"/>
      <c r="S10" s="2"/>
      <c r="T10" s="2"/>
      <c r="U10" s="2"/>
      <c r="V10" s="2"/>
    </row>
    <row r="11" spans="1:22" x14ac:dyDescent="0.25">
      <c r="B11" s="40">
        <v>45360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>
        <f>-14500-131000*0.4</f>
        <v>-66900</v>
      </c>
      <c r="O11" s="2"/>
      <c r="P11" s="2"/>
      <c r="Q11" s="2"/>
      <c r="R11" s="2"/>
      <c r="S11" s="2"/>
      <c r="T11" s="2"/>
      <c r="U11" s="2"/>
      <c r="V11" s="2"/>
    </row>
    <row r="12" spans="1:22" x14ac:dyDescent="0.25">
      <c r="B12" s="40">
        <v>45391</v>
      </c>
      <c r="C12" s="36">
        <f>-66710.99-7412.33-30000</f>
        <v>-104123.32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>
        <f>-131000*0.6</f>
        <v>-78600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B13" s="40">
        <v>45427</v>
      </c>
      <c r="C13" s="36">
        <f>-154681.74-17186.86-22500-8000</f>
        <v>-202368.59999999998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B14" s="40">
        <v>45458</v>
      </c>
      <c r="C14" s="35">
        <f>-120157.27-13350.81-45000-3400</f>
        <v>-181908.08000000002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40">
        <v>45487</v>
      </c>
      <c r="C15" s="35">
        <f>-59839.23-1000</f>
        <v>-60839.23</v>
      </c>
      <c r="D15" s="35"/>
      <c r="E15" s="35"/>
      <c r="F15" s="35"/>
      <c r="G15" s="35"/>
      <c r="H15" s="35"/>
      <c r="I15" s="35"/>
      <c r="J15" s="35"/>
      <c r="K15" s="35">
        <f>-(13.55*2051.04)</f>
        <v>-27791.592000000001</v>
      </c>
      <c r="L15" s="35"/>
      <c r="M15" s="35"/>
      <c r="N15" s="35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40">
        <v>45519</v>
      </c>
      <c r="C16" s="35"/>
      <c r="D16" s="35"/>
      <c r="E16" s="35"/>
      <c r="F16" s="35"/>
      <c r="G16" s="35">
        <f>-226250-G9-G10</f>
        <v>-139250</v>
      </c>
      <c r="H16" s="35"/>
      <c r="I16" s="35"/>
      <c r="J16" s="35"/>
      <c r="K16" s="35"/>
      <c r="L16" s="35">
        <f>-710000/3</f>
        <v>-236666.66666666666</v>
      </c>
      <c r="M16" s="35"/>
      <c r="N16" s="35"/>
      <c r="O16" s="2"/>
      <c r="P16" s="2"/>
      <c r="Q16" s="2"/>
      <c r="R16" s="2"/>
      <c r="S16" s="2"/>
      <c r="T16" s="2"/>
      <c r="U16" s="2"/>
      <c r="V16" s="2"/>
    </row>
    <row r="17" spans="2:22" x14ac:dyDescent="0.25">
      <c r="B17" s="40">
        <v>45546</v>
      </c>
      <c r="C17" s="35"/>
      <c r="D17" s="35"/>
      <c r="E17" s="70">
        <v>-50000</v>
      </c>
      <c r="F17" s="35"/>
      <c r="G17" s="35">
        <v>-226250</v>
      </c>
      <c r="H17" s="35"/>
      <c r="I17" s="35"/>
      <c r="J17" s="35"/>
      <c r="K17" s="35"/>
      <c r="L17" s="35">
        <f t="shared" ref="L17:L18" si="0">-710000/3</f>
        <v>-236666.66666666666</v>
      </c>
      <c r="M17" s="35"/>
      <c r="N17" s="35"/>
      <c r="O17" s="2"/>
      <c r="P17" s="2"/>
      <c r="Q17" s="2"/>
      <c r="R17" s="2"/>
      <c r="S17" s="2"/>
      <c r="T17" s="2"/>
      <c r="U17" s="2"/>
      <c r="V17" s="2"/>
    </row>
    <row r="18" spans="2:22" x14ac:dyDescent="0.25">
      <c r="B18" s="40">
        <v>45576</v>
      </c>
      <c r="C18" s="35"/>
      <c r="D18" s="35"/>
      <c r="E18" s="70">
        <v>-50000</v>
      </c>
      <c r="F18" s="35"/>
      <c r="G18" s="35">
        <v>-226250</v>
      </c>
      <c r="H18" s="35"/>
      <c r="I18" s="35"/>
      <c r="J18" s="35"/>
      <c r="K18" s="35"/>
      <c r="L18" s="35">
        <f t="shared" si="0"/>
        <v>-236666.66666666666</v>
      </c>
      <c r="M18" s="35"/>
      <c r="N18" s="35"/>
      <c r="O18" s="2"/>
      <c r="P18" s="2"/>
      <c r="Q18" s="2"/>
      <c r="R18" s="2"/>
      <c r="S18" s="2"/>
      <c r="T18" s="2"/>
      <c r="U18" s="2"/>
      <c r="V18" s="2"/>
    </row>
    <row r="19" spans="2:22" x14ac:dyDescent="0.25">
      <c r="B19" s="40">
        <v>45605</v>
      </c>
      <c r="C19" s="35"/>
      <c r="D19" s="70">
        <v>-62500</v>
      </c>
      <c r="E19" s="70">
        <v>-50000</v>
      </c>
      <c r="F19" s="35"/>
      <c r="G19" s="35">
        <v>-226250</v>
      </c>
      <c r="H19" s="35"/>
      <c r="I19" s="35"/>
      <c r="J19" s="35"/>
      <c r="K19" s="35"/>
      <c r="L19" s="35"/>
      <c r="M19" s="35"/>
      <c r="N19" s="35"/>
      <c r="O19" s="2"/>
      <c r="P19" s="2"/>
      <c r="Q19" s="2"/>
      <c r="R19" s="2"/>
      <c r="S19" s="2"/>
      <c r="T19" s="2"/>
      <c r="U19" s="2"/>
      <c r="V19" s="2"/>
    </row>
    <row r="20" spans="2:22" x14ac:dyDescent="0.25">
      <c r="B20" s="40">
        <v>45635</v>
      </c>
      <c r="C20" s="35"/>
      <c r="D20" s="70">
        <v>-62500</v>
      </c>
      <c r="E20" s="70">
        <v>-50000</v>
      </c>
      <c r="F20" s="35"/>
      <c r="G20" s="35"/>
      <c r="H20" s="37"/>
      <c r="I20" s="37"/>
      <c r="J20" s="37"/>
      <c r="K20" s="35"/>
      <c r="L20" s="35"/>
      <c r="M20" s="35"/>
      <c r="N20" s="35"/>
      <c r="O20" s="2"/>
      <c r="P20" s="2"/>
      <c r="Q20" s="2"/>
      <c r="R20" s="2"/>
      <c r="S20" s="2"/>
      <c r="T20" s="2"/>
      <c r="U20" s="2"/>
      <c r="V20" s="2"/>
    </row>
    <row r="21" spans="2:22" x14ac:dyDescent="0.25">
      <c r="B21" s="40">
        <v>45672</v>
      </c>
      <c r="C21" s="35"/>
      <c r="D21" s="70">
        <v>-62500</v>
      </c>
      <c r="E21" s="70"/>
      <c r="F21" s="35"/>
      <c r="G21" s="35"/>
      <c r="H21" s="37"/>
      <c r="I21" s="37"/>
      <c r="J21" s="37"/>
      <c r="K21" s="35"/>
      <c r="L21" s="35"/>
      <c r="M21" s="35"/>
      <c r="N21" s="35"/>
      <c r="O21" s="2"/>
      <c r="P21" s="2"/>
      <c r="Q21" s="2"/>
      <c r="R21" s="2"/>
      <c r="S21" s="2"/>
      <c r="T21" s="2"/>
      <c r="U21" s="2"/>
      <c r="V21" s="2"/>
    </row>
    <row r="22" spans="2:22" x14ac:dyDescent="0.25">
      <c r="B22" s="40">
        <v>45703</v>
      </c>
      <c r="C22" s="35"/>
      <c r="D22" s="70">
        <v>-62500</v>
      </c>
      <c r="E22" s="70"/>
      <c r="F22" s="35"/>
      <c r="G22" s="35"/>
      <c r="H22" s="37"/>
      <c r="I22" s="37"/>
      <c r="J22" s="37"/>
      <c r="K22" s="35"/>
      <c r="L22" s="35"/>
      <c r="M22" s="35"/>
      <c r="N22" s="35"/>
      <c r="O22" s="2"/>
      <c r="P22" s="2"/>
      <c r="Q22" s="2"/>
      <c r="R22" s="2"/>
      <c r="S22" s="2"/>
      <c r="T22" s="2"/>
      <c r="U22" s="2"/>
      <c r="V22" s="2"/>
    </row>
    <row r="23" spans="2:22" x14ac:dyDescent="0.25">
      <c r="B23" s="40">
        <v>45731</v>
      </c>
      <c r="C23" s="35"/>
      <c r="D23" s="35"/>
      <c r="E23" s="35"/>
      <c r="F23" s="35"/>
      <c r="G23" s="35"/>
      <c r="H23" s="73">
        <f>H4</f>
        <v>-234968.65479530705</v>
      </c>
      <c r="I23" s="73">
        <f>I4</f>
        <v>-239837.11605596766</v>
      </c>
      <c r="J23" s="73"/>
      <c r="K23" s="35"/>
      <c r="L23" s="35"/>
      <c r="M23" s="35"/>
      <c r="N23" s="35"/>
      <c r="O23" s="2"/>
      <c r="P23" s="2"/>
      <c r="Q23" s="2"/>
      <c r="R23" s="2"/>
      <c r="S23" s="2"/>
      <c r="T23" s="2"/>
      <c r="U23" s="2"/>
      <c r="V23" s="2"/>
    </row>
    <row r="24" spans="2:22" x14ac:dyDescent="0.25">
      <c r="B24" s="40">
        <v>45762</v>
      </c>
      <c r="C24" s="35"/>
      <c r="D24" s="35"/>
      <c r="E24" s="35"/>
      <c r="F24" s="35"/>
      <c r="G24" s="35"/>
      <c r="H24" s="73"/>
      <c r="I24" s="73"/>
      <c r="J24" s="73"/>
      <c r="K24" s="35"/>
      <c r="L24" s="35"/>
      <c r="M24" s="35"/>
      <c r="N24" s="35"/>
      <c r="O24" s="2"/>
      <c r="P24" s="2"/>
      <c r="Q24" s="2"/>
      <c r="R24" s="2"/>
      <c r="S24" s="2"/>
      <c r="T24" s="2"/>
      <c r="U24" s="2"/>
      <c r="V24" s="2"/>
    </row>
    <row r="25" spans="2:22" x14ac:dyDescent="0.25">
      <c r="B25" s="40">
        <v>45792</v>
      </c>
      <c r="C25" s="35"/>
      <c r="D25" s="35"/>
      <c r="E25" s="35"/>
      <c r="F25" s="35"/>
      <c r="G25" s="35"/>
      <c r="H25" s="73"/>
      <c r="I25" s="73"/>
      <c r="J25" s="73"/>
      <c r="K25" s="35"/>
      <c r="L25" s="35">
        <f>-713860/4</f>
        <v>-178465</v>
      </c>
      <c r="M25" s="35"/>
      <c r="N25" s="35"/>
      <c r="O25" s="2"/>
      <c r="P25" s="2"/>
      <c r="Q25" s="2"/>
      <c r="R25" s="2"/>
      <c r="S25" s="2"/>
      <c r="T25" s="2"/>
      <c r="U25" s="2"/>
      <c r="V25" s="2"/>
    </row>
    <row r="26" spans="2:22" x14ac:dyDescent="0.25">
      <c r="B26" s="40">
        <v>45823</v>
      </c>
      <c r="C26" s="35"/>
      <c r="D26" s="35"/>
      <c r="E26" s="35"/>
      <c r="F26" s="35"/>
      <c r="G26" s="35"/>
      <c r="H26" s="73"/>
      <c r="I26" s="73"/>
      <c r="J26" s="73"/>
      <c r="K26" s="35"/>
      <c r="L26" s="35">
        <f t="shared" ref="L26:L28" si="1">-713860/4</f>
        <v>-178465</v>
      </c>
      <c r="M26" s="35"/>
      <c r="N26" s="35"/>
      <c r="O26" s="2"/>
      <c r="P26" s="2"/>
      <c r="Q26" s="2"/>
      <c r="R26" s="2"/>
      <c r="S26" s="2"/>
      <c r="T26" s="2"/>
      <c r="U26" s="2"/>
      <c r="V26" s="2"/>
    </row>
    <row r="27" spans="2:22" x14ac:dyDescent="0.25">
      <c r="B27" s="40">
        <v>45853</v>
      </c>
      <c r="C27" s="35"/>
      <c r="D27" s="35"/>
      <c r="E27" s="35"/>
      <c r="F27" s="35"/>
      <c r="G27" s="35"/>
      <c r="H27" s="73"/>
      <c r="I27" s="73"/>
      <c r="J27" s="73"/>
      <c r="K27" s="35"/>
      <c r="L27" s="35">
        <f t="shared" si="1"/>
        <v>-178465</v>
      </c>
      <c r="M27" s="35"/>
      <c r="N27" s="35"/>
      <c r="O27" s="2"/>
      <c r="P27" s="2"/>
      <c r="Q27" s="2"/>
      <c r="R27" s="2"/>
      <c r="S27" s="2"/>
      <c r="T27" s="2"/>
      <c r="U27" s="2"/>
      <c r="V27" s="2"/>
    </row>
    <row r="28" spans="2:22" x14ac:dyDescent="0.25">
      <c r="B28" s="40">
        <v>45884</v>
      </c>
      <c r="C28" s="35"/>
      <c r="D28" s="35"/>
      <c r="E28" s="35"/>
      <c r="F28" s="35"/>
      <c r="G28" s="35"/>
      <c r="H28" s="73"/>
      <c r="I28" s="73"/>
      <c r="J28" s="73"/>
      <c r="K28" s="35"/>
      <c r="L28" s="35">
        <f t="shared" si="1"/>
        <v>-178465</v>
      </c>
      <c r="M28" s="35"/>
      <c r="N28" s="35"/>
      <c r="O28" s="2"/>
      <c r="P28" s="2"/>
      <c r="Q28" s="2"/>
      <c r="R28" s="2"/>
      <c r="S28" s="2"/>
      <c r="T28" s="2"/>
      <c r="U28" s="2"/>
      <c r="V28" s="2"/>
    </row>
    <row r="29" spans="2:22" x14ac:dyDescent="0.25">
      <c r="B29" s="40">
        <v>45915</v>
      </c>
      <c r="C29" s="35"/>
      <c r="D29" s="35"/>
      <c r="E29" s="35"/>
      <c r="F29" s="35"/>
      <c r="G29" s="35"/>
      <c r="H29" s="73"/>
      <c r="I29" s="73"/>
      <c r="J29" s="73"/>
      <c r="K29" s="35"/>
      <c r="L29" s="35"/>
      <c r="M29" s="35"/>
      <c r="N29" s="35"/>
      <c r="O29" s="2"/>
      <c r="P29" s="2"/>
      <c r="Q29" s="2"/>
      <c r="R29" s="2"/>
      <c r="S29" s="2"/>
      <c r="T29" s="2"/>
      <c r="U29" s="2"/>
      <c r="V29" s="2"/>
    </row>
    <row r="30" spans="2:22" x14ac:dyDescent="0.25">
      <c r="B30" s="40">
        <v>46037</v>
      </c>
      <c r="C30" s="35"/>
      <c r="D30" s="35"/>
      <c r="E30" s="35"/>
      <c r="F30" s="35"/>
      <c r="G30" s="35"/>
      <c r="H30" s="73"/>
      <c r="I30" s="73"/>
      <c r="J30" s="73"/>
      <c r="K30" s="35"/>
      <c r="L30" s="35"/>
      <c r="M30" s="35">
        <v>-150000</v>
      </c>
      <c r="N30" s="35"/>
      <c r="O30" s="2"/>
      <c r="P30" s="2"/>
      <c r="Q30" s="2"/>
      <c r="R30" s="2"/>
      <c r="S30" s="2"/>
      <c r="T30" s="2"/>
      <c r="U30" s="2"/>
      <c r="V30" s="2"/>
    </row>
    <row r="31" spans="2:22" x14ac:dyDescent="0.25">
      <c r="B31" s="40">
        <v>46068</v>
      </c>
      <c r="C31" s="35"/>
      <c r="D31" s="35"/>
      <c r="E31" s="35"/>
      <c r="F31" s="35"/>
      <c r="G31" s="35"/>
      <c r="H31" s="73"/>
      <c r="I31" s="73"/>
      <c r="J31" s="73"/>
      <c r="K31" s="35"/>
      <c r="L31" s="35"/>
      <c r="M31" s="35">
        <v>-150000</v>
      </c>
      <c r="N31" s="35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40">
        <v>46096</v>
      </c>
      <c r="C32" s="35"/>
      <c r="D32" s="35"/>
      <c r="E32" s="35"/>
      <c r="F32" s="35"/>
      <c r="G32" s="35"/>
      <c r="H32" s="73"/>
      <c r="I32" s="73"/>
      <c r="J32" s="73">
        <f>J4</f>
        <v>-275194.21999999997</v>
      </c>
      <c r="K32" s="35"/>
      <c r="L32" s="35"/>
      <c r="M32" s="35"/>
      <c r="N32" s="35"/>
      <c r="O32" s="2">
        <v>-62000</v>
      </c>
      <c r="P32" s="2">
        <v>-46500</v>
      </c>
      <c r="Q32" s="2"/>
      <c r="R32" s="2"/>
      <c r="S32" s="2"/>
      <c r="T32" s="2"/>
      <c r="U32" s="2"/>
      <c r="V32" s="2"/>
    </row>
    <row r="33" spans="2:22" x14ac:dyDescent="0.25">
      <c r="B33" s="40">
        <v>46127</v>
      </c>
      <c r="C33" s="35"/>
      <c r="D33" s="35"/>
      <c r="E33" s="35"/>
      <c r="F33" s="35"/>
      <c r="G33" s="35"/>
      <c r="H33" s="73"/>
      <c r="I33" s="73"/>
      <c r="J33" s="73"/>
      <c r="K33" s="35"/>
      <c r="L33" s="35"/>
      <c r="M33" s="35"/>
      <c r="N33" s="35"/>
      <c r="O33" s="2">
        <v>-62000</v>
      </c>
      <c r="P33" s="2">
        <v>-46500</v>
      </c>
      <c r="Q33" s="2"/>
      <c r="R33" s="2"/>
      <c r="S33" s="2"/>
      <c r="T33" s="2"/>
      <c r="U33" s="2"/>
      <c r="V33" s="2"/>
    </row>
    <row r="34" spans="2:22" x14ac:dyDescent="0.25">
      <c r="B34" s="40">
        <v>46157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">
        <v>-62000</v>
      </c>
      <c r="P34" s="2">
        <v>-46500</v>
      </c>
      <c r="Q34" s="2"/>
      <c r="R34" s="2"/>
      <c r="S34" s="2"/>
      <c r="T34" s="2"/>
      <c r="U34" s="2"/>
      <c r="V34" s="2"/>
    </row>
    <row r="35" spans="2:22" x14ac:dyDescent="0.25">
      <c r="B35" s="40">
        <v>46188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">
        <v>-62000</v>
      </c>
      <c r="P35" s="2">
        <v>-46500</v>
      </c>
      <c r="Q35" s="2"/>
      <c r="R35" s="2"/>
      <c r="S35" s="2"/>
      <c r="T35" s="2"/>
      <c r="U35" s="2"/>
      <c r="V35" s="2"/>
    </row>
    <row r="36" spans="2:22" x14ac:dyDescent="0.25">
      <c r="B36" s="40">
        <v>46461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"/>
      <c r="P36" s="2"/>
      <c r="Q36" s="2">
        <v>-93820.682499999995</v>
      </c>
      <c r="R36" s="2"/>
      <c r="S36" s="2"/>
      <c r="T36" s="2"/>
      <c r="U36" s="2"/>
      <c r="V36" s="2"/>
    </row>
    <row r="37" spans="2:22" x14ac:dyDescent="0.25">
      <c r="B37" s="40">
        <v>46492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"/>
      <c r="P37" s="2"/>
      <c r="Q37" s="2">
        <v>-93820.682499999995</v>
      </c>
      <c r="R37" s="2"/>
      <c r="S37" s="2"/>
      <c r="T37" s="2"/>
      <c r="U37" s="2"/>
      <c r="V37" s="2"/>
    </row>
    <row r="38" spans="2:22" x14ac:dyDescent="0.25">
      <c r="B38" s="40">
        <v>46522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>
        <v>-93820.682499999995</v>
      </c>
      <c r="R38" s="2"/>
      <c r="S38" s="2"/>
      <c r="T38" s="2"/>
      <c r="U38" s="2"/>
      <c r="V38" s="2"/>
    </row>
    <row r="39" spans="2:22" x14ac:dyDescent="0.25">
      <c r="B39" s="40">
        <v>46553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-93820.682499999995</v>
      </c>
      <c r="R39" s="2"/>
      <c r="S39" s="2"/>
      <c r="T39" s="2"/>
      <c r="U39" s="2"/>
      <c r="V39" s="2"/>
    </row>
    <row r="40" spans="2:22" x14ac:dyDescent="0.25">
      <c r="B40" s="40">
        <v>46553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>
        <v>-147621.77499999999</v>
      </c>
      <c r="S40" s="2"/>
      <c r="T40" s="2"/>
      <c r="U40" s="2">
        <v>-272285.58</v>
      </c>
      <c r="V40" s="2"/>
    </row>
    <row r="41" spans="2:22" x14ac:dyDescent="0.25">
      <c r="B41" s="40">
        <v>46583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v>-147621.77499999999</v>
      </c>
      <c r="S41" s="2"/>
      <c r="T41" s="2"/>
      <c r="U41" s="2">
        <v>-272285.58</v>
      </c>
      <c r="V41" s="2">
        <v>-174735</v>
      </c>
    </row>
    <row r="42" spans="2:22" x14ac:dyDescent="0.25">
      <c r="B42" s="40">
        <v>46614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-147621.77499999999</v>
      </c>
      <c r="S42" s="2"/>
      <c r="T42" s="2"/>
      <c r="U42" s="2">
        <v>-272285.58</v>
      </c>
      <c r="V42" s="2">
        <v>-174735</v>
      </c>
    </row>
    <row r="43" spans="2:22" x14ac:dyDescent="0.25">
      <c r="B43" s="40">
        <v>46645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-147621.77499999999</v>
      </c>
      <c r="S43" s="2">
        <v>-218257.63874999998</v>
      </c>
      <c r="T43" s="2"/>
      <c r="U43" s="2">
        <v>-272285.58</v>
      </c>
      <c r="V43" s="2">
        <v>-174735</v>
      </c>
    </row>
    <row r="44" spans="2:22" x14ac:dyDescent="0.25">
      <c r="B44" s="40">
        <v>46675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-218257.63874999998</v>
      </c>
      <c r="T44" s="2"/>
      <c r="U44" s="2"/>
      <c r="V44" s="2">
        <v>-174735</v>
      </c>
    </row>
    <row r="45" spans="2:22" x14ac:dyDescent="0.25">
      <c r="B45" s="40">
        <v>46706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-218257.63874999998</v>
      </c>
      <c r="T45" s="2"/>
      <c r="U45" s="2"/>
      <c r="V45" s="2"/>
    </row>
    <row r="46" spans="2:22" x14ac:dyDescent="0.25">
      <c r="B46" s="40">
        <v>46736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-218257.63874999998</v>
      </c>
      <c r="T46" s="2">
        <v>-218257.64</v>
      </c>
      <c r="U46" s="2"/>
      <c r="V46" s="2"/>
    </row>
    <row r="47" spans="2:22" x14ac:dyDescent="0.25">
      <c r="B47" s="40">
        <v>46767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>
        <v>-218257.64</v>
      </c>
      <c r="U47" s="2"/>
      <c r="V47" s="2"/>
    </row>
    <row r="48" spans="2:22" x14ac:dyDescent="0.25">
      <c r="B48" s="39">
        <v>46798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-218257.64</v>
      </c>
      <c r="U48" s="2"/>
      <c r="V48" s="2"/>
    </row>
    <row r="49" spans="2:22" x14ac:dyDescent="0.25">
      <c r="B49" s="39">
        <v>46827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-218257.64</v>
      </c>
      <c r="U49" s="2"/>
      <c r="V49" s="2"/>
    </row>
    <row r="50" spans="2:22" x14ac:dyDescent="0.25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</sheetData>
  <conditionalFormatting sqref="C4:V4">
    <cfRule type="expression" dxfId="8" priority="1">
      <formula>C4=""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8E96-A958-406B-903E-08480A4B61F7}">
  <sheetPr filterMode="1"/>
  <dimension ref="A1:P54"/>
  <sheetViews>
    <sheetView tabSelected="1" zoomScale="108" zoomScaleNormal="90" workbookViewId="0">
      <pane xSplit="4" ySplit="1" topLeftCell="H13" activePane="bottomRight" state="frozen"/>
      <selection pane="topRight" activeCell="C1" sqref="C1"/>
      <selection pane="bottomLeft" activeCell="A2" sqref="A2"/>
      <selection pane="bottomRight" activeCell="I46" sqref="I46"/>
    </sheetView>
  </sheetViews>
  <sheetFormatPr defaultColWidth="10.42578125" defaultRowHeight="12.75" x14ac:dyDescent="0.25"/>
  <cols>
    <col min="1" max="1" width="10.42578125" style="89"/>
    <col min="2" max="2" width="23" style="89" bestFit="1" customWidth="1"/>
    <col min="3" max="3" width="37.7109375" style="89" customWidth="1"/>
    <col min="4" max="4" width="30.85546875" style="89" bestFit="1" customWidth="1"/>
    <col min="5" max="5" width="16.140625" style="89" customWidth="1"/>
    <col min="6" max="7" width="16.42578125" style="89" customWidth="1"/>
    <col min="8" max="11" width="17.28515625" style="111" bestFit="1" customWidth="1"/>
    <col min="12" max="12" width="25.7109375" style="89" customWidth="1"/>
    <col min="13" max="13" width="18.85546875" style="89" customWidth="1"/>
    <col min="14" max="14" width="23.42578125" style="89" customWidth="1"/>
    <col min="15" max="15" width="86.85546875" style="89" bestFit="1" customWidth="1"/>
    <col min="16" max="16" width="13.140625" style="89" bestFit="1" customWidth="1"/>
    <col min="17" max="16384" width="10.42578125" style="89"/>
  </cols>
  <sheetData>
    <row r="1" spans="1:16" ht="45" x14ac:dyDescent="0.25">
      <c r="A1" s="84" t="s">
        <v>121</v>
      </c>
      <c r="B1" s="84" t="s">
        <v>98</v>
      </c>
      <c r="C1" s="84" t="s">
        <v>97</v>
      </c>
      <c r="D1" s="84" t="s">
        <v>104</v>
      </c>
      <c r="E1" s="85" t="s">
        <v>128</v>
      </c>
      <c r="F1" s="86" t="s">
        <v>99</v>
      </c>
      <c r="G1" s="85" t="s">
        <v>113</v>
      </c>
      <c r="H1" s="87" t="s">
        <v>124</v>
      </c>
      <c r="I1" s="87" t="s">
        <v>125</v>
      </c>
      <c r="J1" s="87" t="s">
        <v>126</v>
      </c>
      <c r="K1" s="87" t="s">
        <v>127</v>
      </c>
      <c r="L1" s="85" t="s">
        <v>152</v>
      </c>
      <c r="M1" s="85" t="s">
        <v>100</v>
      </c>
      <c r="N1" s="85" t="s">
        <v>116</v>
      </c>
      <c r="O1" s="88" t="s">
        <v>120</v>
      </c>
    </row>
    <row r="2" spans="1:16" ht="15" hidden="1" x14ac:dyDescent="0.25">
      <c r="A2" s="90">
        <v>1</v>
      </c>
      <c r="B2" s="90" t="s">
        <v>117</v>
      </c>
      <c r="C2" s="90" t="s">
        <v>2</v>
      </c>
      <c r="D2" s="90" t="s">
        <v>105</v>
      </c>
      <c r="E2" s="91">
        <v>44564</v>
      </c>
      <c r="F2" s="92">
        <v>45626</v>
      </c>
      <c r="G2" s="92">
        <v>45446</v>
      </c>
      <c r="H2" s="93">
        <v>45352</v>
      </c>
      <c r="I2" s="93">
        <v>45373</v>
      </c>
      <c r="J2" s="93">
        <v>45624</v>
      </c>
      <c r="K2" s="93"/>
      <c r="L2" s="94">
        <v>488400</v>
      </c>
      <c r="M2" s="95">
        <v>1</v>
      </c>
      <c r="N2" s="94">
        <v>488400</v>
      </c>
      <c r="O2" s="90" t="s">
        <v>143</v>
      </c>
    </row>
    <row r="3" spans="1:16" ht="15" hidden="1" x14ac:dyDescent="0.25">
      <c r="A3" s="90">
        <v>2</v>
      </c>
      <c r="B3" s="90" t="s">
        <v>117</v>
      </c>
      <c r="C3" s="90" t="s">
        <v>2</v>
      </c>
      <c r="D3" s="90" t="s">
        <v>106</v>
      </c>
      <c r="E3" s="91">
        <v>44564</v>
      </c>
      <c r="F3" s="92">
        <v>45626</v>
      </c>
      <c r="G3" s="92">
        <v>45446</v>
      </c>
      <c r="H3" s="93">
        <v>45474</v>
      </c>
      <c r="I3" s="93">
        <v>45491</v>
      </c>
      <c r="J3" s="93">
        <v>45493</v>
      </c>
      <c r="K3" s="93">
        <v>45496</v>
      </c>
      <c r="L3" s="94">
        <v>59839.23</v>
      </c>
      <c r="M3" s="95">
        <v>1</v>
      </c>
      <c r="N3" s="94">
        <v>59839.23</v>
      </c>
      <c r="O3" s="90"/>
    </row>
    <row r="4" spans="1:16" ht="15" hidden="1" x14ac:dyDescent="0.25">
      <c r="A4" s="90">
        <v>3</v>
      </c>
      <c r="B4" s="90" t="s">
        <v>118</v>
      </c>
      <c r="C4" s="90" t="s">
        <v>18</v>
      </c>
      <c r="D4" s="90" t="s">
        <v>119</v>
      </c>
      <c r="E4" s="91">
        <v>45627</v>
      </c>
      <c r="F4" s="96">
        <v>46690</v>
      </c>
      <c r="G4" s="92">
        <v>45537</v>
      </c>
      <c r="H4" s="93">
        <v>45474</v>
      </c>
      <c r="I4" s="93">
        <v>45474</v>
      </c>
      <c r="J4" s="93">
        <v>45493</v>
      </c>
      <c r="K4" s="93">
        <v>45478</v>
      </c>
      <c r="L4" s="97">
        <v>8496.44</v>
      </c>
      <c r="M4" s="95">
        <v>1</v>
      </c>
      <c r="N4" s="94">
        <v>8496.44</v>
      </c>
      <c r="O4" s="90"/>
      <c r="P4" s="98"/>
    </row>
    <row r="5" spans="1:16" ht="15" hidden="1" x14ac:dyDescent="0.25">
      <c r="A5" s="99">
        <v>4</v>
      </c>
      <c r="B5" s="99" t="s">
        <v>118</v>
      </c>
      <c r="C5" s="99" t="s">
        <v>17</v>
      </c>
      <c r="D5" s="99" t="s">
        <v>129</v>
      </c>
      <c r="E5" s="100">
        <v>45627</v>
      </c>
      <c r="F5" s="101">
        <v>46356</v>
      </c>
      <c r="G5" s="92">
        <v>45537</v>
      </c>
      <c r="H5" s="102">
        <v>45566</v>
      </c>
      <c r="I5" s="102">
        <v>45566</v>
      </c>
      <c r="J5" s="102">
        <v>45616</v>
      </c>
      <c r="K5" s="102"/>
      <c r="L5" s="103">
        <v>60000</v>
      </c>
      <c r="M5" s="104">
        <v>1</v>
      </c>
      <c r="N5" s="94">
        <v>56295.65</v>
      </c>
      <c r="O5" s="99"/>
    </row>
    <row r="6" spans="1:16" ht="15" hidden="1" x14ac:dyDescent="0.25">
      <c r="A6" s="99">
        <v>5</v>
      </c>
      <c r="B6" s="99" t="s">
        <v>118</v>
      </c>
      <c r="C6" s="99" t="s">
        <v>16</v>
      </c>
      <c r="D6" s="99" t="s">
        <v>129</v>
      </c>
      <c r="E6" s="100">
        <v>45627</v>
      </c>
      <c r="F6" s="101">
        <v>46325</v>
      </c>
      <c r="G6" s="92">
        <v>45537</v>
      </c>
      <c r="H6" s="102">
        <v>45566</v>
      </c>
      <c r="I6" s="102">
        <v>45566</v>
      </c>
      <c r="J6" s="102">
        <v>45616</v>
      </c>
      <c r="K6" s="102"/>
      <c r="L6" s="103">
        <v>80000</v>
      </c>
      <c r="M6" s="104">
        <v>1</v>
      </c>
      <c r="N6" s="94">
        <v>72547.600000000006</v>
      </c>
      <c r="O6" s="99"/>
    </row>
    <row r="7" spans="1:16" ht="15" hidden="1" x14ac:dyDescent="0.25">
      <c r="A7" s="90">
        <v>6</v>
      </c>
      <c r="B7" s="90" t="s">
        <v>118</v>
      </c>
      <c r="C7" s="90" t="s">
        <v>17</v>
      </c>
      <c r="D7" s="90" t="s">
        <v>119</v>
      </c>
      <c r="E7" s="100">
        <v>45627</v>
      </c>
      <c r="F7" s="96">
        <v>46356</v>
      </c>
      <c r="G7" s="92">
        <v>45537</v>
      </c>
      <c r="H7" s="93">
        <v>45536</v>
      </c>
      <c r="I7" s="93">
        <v>45536</v>
      </c>
      <c r="J7" s="93">
        <v>45585</v>
      </c>
      <c r="K7" s="93"/>
      <c r="L7" s="103">
        <v>10483.65</v>
      </c>
      <c r="M7" s="104">
        <v>1</v>
      </c>
      <c r="N7" s="103">
        <v>10483.65</v>
      </c>
      <c r="O7" s="99"/>
    </row>
    <row r="8" spans="1:16" ht="15" hidden="1" x14ac:dyDescent="0.25">
      <c r="A8" s="90">
        <v>7</v>
      </c>
      <c r="B8" s="90" t="s">
        <v>118</v>
      </c>
      <c r="C8" s="90" t="s">
        <v>16</v>
      </c>
      <c r="D8" s="90" t="s">
        <v>119</v>
      </c>
      <c r="E8" s="100">
        <v>45627</v>
      </c>
      <c r="F8" s="96">
        <v>46325</v>
      </c>
      <c r="G8" s="92">
        <v>45537</v>
      </c>
      <c r="H8" s="93">
        <v>45536</v>
      </c>
      <c r="I8" s="93">
        <v>45536</v>
      </c>
      <c r="J8" s="93">
        <v>45585</v>
      </c>
      <c r="K8" s="93"/>
      <c r="L8" s="103">
        <v>10483.65</v>
      </c>
      <c r="M8" s="104">
        <v>1</v>
      </c>
      <c r="N8" s="103">
        <v>10483.65</v>
      </c>
      <c r="O8" s="99"/>
    </row>
    <row r="9" spans="1:16" ht="15" hidden="1" x14ac:dyDescent="0.25">
      <c r="A9" s="90">
        <v>8</v>
      </c>
      <c r="B9" s="90" t="s">
        <v>117</v>
      </c>
      <c r="C9" s="90" t="s">
        <v>3</v>
      </c>
      <c r="D9" s="90" t="s">
        <v>132</v>
      </c>
      <c r="E9" s="91">
        <v>45161</v>
      </c>
      <c r="F9" s="92">
        <v>45758</v>
      </c>
      <c r="G9" s="92">
        <v>45578</v>
      </c>
      <c r="H9" s="93">
        <v>45536</v>
      </c>
      <c r="I9" s="93">
        <v>45519</v>
      </c>
      <c r="J9" s="93">
        <v>45555</v>
      </c>
      <c r="K9" s="93">
        <v>45544</v>
      </c>
      <c r="L9" s="103">
        <v>5825</v>
      </c>
      <c r="M9" s="95">
        <v>1</v>
      </c>
      <c r="N9" s="97">
        <v>5825</v>
      </c>
      <c r="O9" s="90" t="s">
        <v>141</v>
      </c>
    </row>
    <row r="10" spans="1:16" ht="15" hidden="1" x14ac:dyDescent="0.25">
      <c r="A10" s="90">
        <v>9</v>
      </c>
      <c r="B10" s="90" t="s">
        <v>117</v>
      </c>
      <c r="C10" s="90" t="s">
        <v>4</v>
      </c>
      <c r="D10" s="90" t="s">
        <v>132</v>
      </c>
      <c r="E10" s="91">
        <v>44928</v>
      </c>
      <c r="F10" s="92">
        <v>45777</v>
      </c>
      <c r="G10" s="92">
        <v>45597</v>
      </c>
      <c r="H10" s="93">
        <v>45536</v>
      </c>
      <c r="I10" s="93">
        <v>45519</v>
      </c>
      <c r="J10" s="93">
        <v>45555</v>
      </c>
      <c r="K10" s="93">
        <v>45544</v>
      </c>
      <c r="L10" s="103">
        <v>5825</v>
      </c>
      <c r="M10" s="95">
        <v>1</v>
      </c>
      <c r="N10" s="97">
        <v>5825</v>
      </c>
      <c r="O10" s="90" t="s">
        <v>141</v>
      </c>
    </row>
    <row r="11" spans="1:16" ht="15" hidden="1" x14ac:dyDescent="0.25">
      <c r="A11" s="90">
        <v>10</v>
      </c>
      <c r="B11" s="90" t="s">
        <v>117</v>
      </c>
      <c r="C11" s="90" t="s">
        <v>3</v>
      </c>
      <c r="D11" s="90" t="s">
        <v>105</v>
      </c>
      <c r="E11" s="91">
        <v>45161</v>
      </c>
      <c r="F11" s="92">
        <v>45758</v>
      </c>
      <c r="G11" s="92"/>
      <c r="H11" s="93"/>
      <c r="I11" s="93"/>
      <c r="J11" s="93"/>
      <c r="K11" s="93"/>
      <c r="L11" s="105">
        <v>600000</v>
      </c>
      <c r="M11" s="95">
        <v>0</v>
      </c>
      <c r="N11" s="97">
        <v>0</v>
      </c>
      <c r="O11" s="90" t="s">
        <v>144</v>
      </c>
    </row>
    <row r="12" spans="1:16" ht="15" hidden="1" x14ac:dyDescent="0.25">
      <c r="A12" s="90">
        <v>11</v>
      </c>
      <c r="B12" s="90" t="s">
        <v>117</v>
      </c>
      <c r="C12" s="90" t="s">
        <v>4</v>
      </c>
      <c r="D12" s="90" t="s">
        <v>105</v>
      </c>
      <c r="E12" s="91">
        <v>44928</v>
      </c>
      <c r="F12" s="92">
        <v>45777</v>
      </c>
      <c r="G12" s="92"/>
      <c r="H12" s="93"/>
      <c r="I12" s="93"/>
      <c r="J12" s="93"/>
      <c r="K12" s="93"/>
      <c r="L12" s="105">
        <v>600000</v>
      </c>
      <c r="M12" s="95">
        <v>0</v>
      </c>
      <c r="N12" s="97">
        <v>0</v>
      </c>
      <c r="O12" s="90" t="s">
        <v>144</v>
      </c>
    </row>
    <row r="13" spans="1:16" ht="15" x14ac:dyDescent="0.25">
      <c r="A13" s="90">
        <v>12</v>
      </c>
      <c r="B13" s="90" t="s">
        <v>117</v>
      </c>
      <c r="C13" s="90" t="s">
        <v>11</v>
      </c>
      <c r="D13" s="90" t="s">
        <v>107</v>
      </c>
      <c r="E13" s="91">
        <v>45140</v>
      </c>
      <c r="F13" s="92">
        <v>45902</v>
      </c>
      <c r="G13" s="92">
        <v>45722</v>
      </c>
      <c r="H13" s="93">
        <v>45292</v>
      </c>
      <c r="I13" s="93">
        <v>45292</v>
      </c>
      <c r="J13" s="93">
        <v>45342</v>
      </c>
      <c r="K13" s="93">
        <v>45342</v>
      </c>
      <c r="L13" s="97">
        <v>29000</v>
      </c>
      <c r="M13" s="95">
        <v>1</v>
      </c>
      <c r="N13" s="97">
        <v>29000</v>
      </c>
      <c r="O13" s="90"/>
    </row>
    <row r="14" spans="1:16" ht="15" x14ac:dyDescent="0.25">
      <c r="A14" s="90">
        <v>13</v>
      </c>
      <c r="B14" s="90" t="s">
        <v>117</v>
      </c>
      <c r="C14" s="90" t="s">
        <v>11</v>
      </c>
      <c r="D14" s="90" t="s">
        <v>133</v>
      </c>
      <c r="E14" s="91">
        <v>45140</v>
      </c>
      <c r="F14" s="92">
        <v>45902</v>
      </c>
      <c r="G14" s="92">
        <v>45722</v>
      </c>
      <c r="H14" s="93">
        <v>45536</v>
      </c>
      <c r="I14" s="93">
        <v>45536</v>
      </c>
      <c r="J14" s="93">
        <v>45617</v>
      </c>
      <c r="K14" s="93"/>
      <c r="L14" s="97">
        <v>30575</v>
      </c>
      <c r="M14" s="95">
        <v>1</v>
      </c>
      <c r="N14" s="97">
        <v>28293.11</v>
      </c>
      <c r="O14" s="90" t="s">
        <v>147</v>
      </c>
    </row>
    <row r="15" spans="1:16" ht="15" x14ac:dyDescent="0.25">
      <c r="A15" s="90">
        <v>14</v>
      </c>
      <c r="B15" s="90" t="s">
        <v>117</v>
      </c>
      <c r="C15" s="90" t="s">
        <v>7</v>
      </c>
      <c r="D15" s="90" t="s">
        <v>107</v>
      </c>
      <c r="E15" s="91">
        <v>44929</v>
      </c>
      <c r="F15" s="92">
        <v>45777</v>
      </c>
      <c r="G15" s="92">
        <v>45597</v>
      </c>
      <c r="H15" s="93">
        <v>45292</v>
      </c>
      <c r="I15" s="93">
        <v>45292</v>
      </c>
      <c r="J15" s="93">
        <v>45342</v>
      </c>
      <c r="K15" s="93">
        <v>45342</v>
      </c>
      <c r="L15" s="97">
        <v>87000</v>
      </c>
      <c r="M15" s="95">
        <v>1</v>
      </c>
      <c r="N15" s="97">
        <v>87000</v>
      </c>
      <c r="O15" s="90"/>
    </row>
    <row r="16" spans="1:16" ht="15" x14ac:dyDescent="0.25">
      <c r="A16" s="99">
        <v>15</v>
      </c>
      <c r="B16" s="90" t="s">
        <v>117</v>
      </c>
      <c r="C16" s="90" t="s">
        <v>7</v>
      </c>
      <c r="D16" s="90" t="s">
        <v>108</v>
      </c>
      <c r="E16" s="91">
        <v>44929</v>
      </c>
      <c r="F16" s="92">
        <v>45777</v>
      </c>
      <c r="G16" s="92">
        <v>45597</v>
      </c>
      <c r="H16" s="93">
        <v>45627</v>
      </c>
      <c r="I16" s="93"/>
      <c r="J16" s="93">
        <v>45736</v>
      </c>
      <c r="K16" s="93"/>
      <c r="L16" s="97">
        <v>819780.03</v>
      </c>
      <c r="M16" s="95">
        <f>5700/L16</f>
        <v>6.9530847195680041E-3</v>
      </c>
      <c r="N16" s="97">
        <v>0</v>
      </c>
      <c r="O16" s="90" t="s">
        <v>145</v>
      </c>
    </row>
    <row r="17" spans="1:15" ht="15" hidden="1" x14ac:dyDescent="0.25">
      <c r="A17" s="90">
        <v>16</v>
      </c>
      <c r="B17" s="90" t="s">
        <v>118</v>
      </c>
      <c r="C17" s="90" t="s">
        <v>20</v>
      </c>
      <c r="D17" s="90" t="s">
        <v>119</v>
      </c>
      <c r="E17" s="91">
        <v>45901</v>
      </c>
      <c r="F17" s="106">
        <v>46995</v>
      </c>
      <c r="G17" s="92">
        <v>45811</v>
      </c>
      <c r="H17" s="93">
        <v>45292</v>
      </c>
      <c r="I17" s="93">
        <v>45307</v>
      </c>
      <c r="J17" s="93">
        <v>45338</v>
      </c>
      <c r="K17" s="93">
        <v>45338</v>
      </c>
      <c r="L17" s="97">
        <v>17205.7</v>
      </c>
      <c r="M17" s="95">
        <v>1</v>
      </c>
      <c r="N17" s="97">
        <v>17205.7</v>
      </c>
      <c r="O17" s="90"/>
    </row>
    <row r="18" spans="1:15" ht="15" hidden="1" x14ac:dyDescent="0.25">
      <c r="A18" s="90">
        <v>17</v>
      </c>
      <c r="B18" s="90" t="s">
        <v>117</v>
      </c>
      <c r="C18" s="90" t="s">
        <v>114</v>
      </c>
      <c r="D18" s="90" t="s">
        <v>112</v>
      </c>
      <c r="E18" s="91">
        <v>45231</v>
      </c>
      <c r="F18" s="107">
        <v>45960</v>
      </c>
      <c r="G18" s="92">
        <v>45780</v>
      </c>
      <c r="H18" s="93">
        <v>45323</v>
      </c>
      <c r="I18" s="93">
        <v>45323</v>
      </c>
      <c r="J18" s="93">
        <v>45371</v>
      </c>
      <c r="K18" s="93">
        <v>45371</v>
      </c>
      <c r="L18" s="97">
        <v>29000</v>
      </c>
      <c r="M18" s="95">
        <v>1</v>
      </c>
      <c r="N18" s="97">
        <v>29000</v>
      </c>
      <c r="O18" s="90"/>
    </row>
    <row r="19" spans="1:15" ht="15" hidden="1" x14ac:dyDescent="0.25">
      <c r="A19" s="90">
        <v>18</v>
      </c>
      <c r="B19" s="90" t="s">
        <v>117</v>
      </c>
      <c r="C19" s="90" t="s">
        <v>14</v>
      </c>
      <c r="D19" s="90" t="s">
        <v>107</v>
      </c>
      <c r="E19" s="91">
        <v>45231</v>
      </c>
      <c r="F19" s="107">
        <v>45960</v>
      </c>
      <c r="G19" s="92">
        <v>45780</v>
      </c>
      <c r="H19" s="93">
        <v>45352</v>
      </c>
      <c r="I19" s="93">
        <v>45352</v>
      </c>
      <c r="J19" s="93">
        <v>45402</v>
      </c>
      <c r="K19" s="93">
        <v>45402</v>
      </c>
      <c r="L19" s="97">
        <v>131000</v>
      </c>
      <c r="M19" s="95">
        <v>1</v>
      </c>
      <c r="N19" s="97">
        <v>131000</v>
      </c>
      <c r="O19" s="90"/>
    </row>
    <row r="20" spans="1:15" ht="15" hidden="1" x14ac:dyDescent="0.25">
      <c r="A20" s="90">
        <v>19</v>
      </c>
      <c r="B20" s="90" t="s">
        <v>117</v>
      </c>
      <c r="C20" s="90" t="s">
        <v>9</v>
      </c>
      <c r="D20" s="90" t="s">
        <v>109</v>
      </c>
      <c r="E20" s="91">
        <v>45110</v>
      </c>
      <c r="F20" s="107">
        <v>46081</v>
      </c>
      <c r="G20" s="92">
        <v>45901</v>
      </c>
      <c r="H20" s="93">
        <v>45717</v>
      </c>
      <c r="I20" s="93"/>
      <c r="J20" s="93">
        <v>45717</v>
      </c>
      <c r="K20" s="93"/>
      <c r="L20" s="97">
        <v>241370.45</v>
      </c>
      <c r="M20" s="95">
        <v>0</v>
      </c>
      <c r="N20" s="97">
        <v>0</v>
      </c>
      <c r="O20" s="90"/>
    </row>
    <row r="21" spans="1:15" ht="15" hidden="1" x14ac:dyDescent="0.25">
      <c r="A21" s="90">
        <v>20</v>
      </c>
      <c r="B21" s="90" t="s">
        <v>117</v>
      </c>
      <c r="C21" s="90" t="s">
        <v>8</v>
      </c>
      <c r="D21" s="90" t="s">
        <v>109</v>
      </c>
      <c r="E21" s="91">
        <v>45110</v>
      </c>
      <c r="F21" s="107">
        <v>46112</v>
      </c>
      <c r="G21" s="92">
        <v>45932</v>
      </c>
      <c r="H21" s="93">
        <v>45717</v>
      </c>
      <c r="I21" s="93"/>
      <c r="J21" s="93">
        <v>45717</v>
      </c>
      <c r="K21" s="93"/>
      <c r="L21" s="97">
        <v>236501.98</v>
      </c>
      <c r="M21" s="95">
        <v>0</v>
      </c>
      <c r="N21" s="97">
        <v>0</v>
      </c>
      <c r="O21" s="90"/>
    </row>
    <row r="22" spans="1:15" ht="15" hidden="1" x14ac:dyDescent="0.25">
      <c r="A22" s="90">
        <v>21</v>
      </c>
      <c r="B22" s="90" t="s">
        <v>117</v>
      </c>
      <c r="C22" s="90" t="s">
        <v>10</v>
      </c>
      <c r="D22" s="90" t="s">
        <v>109</v>
      </c>
      <c r="E22" s="91">
        <v>45110</v>
      </c>
      <c r="F22" s="107">
        <v>46108</v>
      </c>
      <c r="G22" s="92">
        <v>45928</v>
      </c>
      <c r="H22" s="93">
        <v>46082</v>
      </c>
      <c r="I22" s="93"/>
      <c r="J22" s="93">
        <v>46082</v>
      </c>
      <c r="K22" s="93"/>
      <c r="L22" s="97">
        <v>275194.21999999997</v>
      </c>
      <c r="M22" s="95">
        <v>0</v>
      </c>
      <c r="N22" s="97">
        <v>0</v>
      </c>
      <c r="O22" s="90"/>
    </row>
    <row r="23" spans="1:15" ht="15" x14ac:dyDescent="0.25">
      <c r="A23" s="90">
        <v>22</v>
      </c>
      <c r="B23" s="90" t="s">
        <v>117</v>
      </c>
      <c r="C23" s="99" t="s">
        <v>12</v>
      </c>
      <c r="D23" s="90" t="s">
        <v>111</v>
      </c>
      <c r="E23" s="91">
        <v>45231</v>
      </c>
      <c r="F23" s="107">
        <v>46142</v>
      </c>
      <c r="G23" s="92">
        <v>45962</v>
      </c>
      <c r="H23" s="93">
        <v>45383</v>
      </c>
      <c r="I23" s="93">
        <v>45383</v>
      </c>
      <c r="J23" s="93">
        <v>45402</v>
      </c>
      <c r="K23" s="93">
        <v>45408</v>
      </c>
      <c r="L23" s="97">
        <v>2100</v>
      </c>
      <c r="M23" s="95">
        <v>1</v>
      </c>
      <c r="N23" s="97">
        <v>2100</v>
      </c>
      <c r="O23" s="108" t="s">
        <v>101</v>
      </c>
    </row>
    <row r="24" spans="1:15" ht="15" x14ac:dyDescent="0.25">
      <c r="A24" s="90">
        <v>23</v>
      </c>
      <c r="B24" s="90" t="s">
        <v>117</v>
      </c>
      <c r="C24" s="99" t="s">
        <v>12</v>
      </c>
      <c r="D24" s="90" t="s">
        <v>110</v>
      </c>
      <c r="E24" s="91">
        <v>45231</v>
      </c>
      <c r="F24" s="107">
        <v>46142</v>
      </c>
      <c r="G24" s="92">
        <v>45962</v>
      </c>
      <c r="H24" s="93">
        <v>45413</v>
      </c>
      <c r="I24" s="93">
        <v>45413</v>
      </c>
      <c r="J24" s="93">
        <v>45432</v>
      </c>
      <c r="K24" s="93">
        <v>45422</v>
      </c>
      <c r="L24" s="97">
        <v>6500</v>
      </c>
      <c r="M24" s="95">
        <v>1</v>
      </c>
      <c r="N24" s="97">
        <v>6500</v>
      </c>
      <c r="O24" s="108" t="s">
        <v>101</v>
      </c>
    </row>
    <row r="25" spans="1:15" ht="15" x14ac:dyDescent="0.25">
      <c r="A25" s="90">
        <v>24</v>
      </c>
      <c r="B25" s="90" t="s">
        <v>117</v>
      </c>
      <c r="C25" s="99" t="s">
        <v>12</v>
      </c>
      <c r="D25" s="90" t="s">
        <v>105</v>
      </c>
      <c r="E25" s="91">
        <v>45231</v>
      </c>
      <c r="F25" s="107">
        <v>46142</v>
      </c>
      <c r="G25" s="92">
        <v>45962</v>
      </c>
      <c r="H25" s="93">
        <v>45566</v>
      </c>
      <c r="I25" s="93">
        <v>45614</v>
      </c>
      <c r="J25" s="93">
        <v>45708</v>
      </c>
      <c r="K25" s="93"/>
      <c r="L25" s="97">
        <v>950138.37</v>
      </c>
      <c r="M25" s="95">
        <v>0.57375319527147606</v>
      </c>
      <c r="N25" s="97">
        <f>L25</f>
        <v>950138.37</v>
      </c>
      <c r="O25" s="90"/>
    </row>
    <row r="26" spans="1:15" ht="15" hidden="1" x14ac:dyDescent="0.25">
      <c r="A26" s="90">
        <v>25</v>
      </c>
      <c r="B26" s="90" t="s">
        <v>117</v>
      </c>
      <c r="C26" s="90" t="s">
        <v>13</v>
      </c>
      <c r="D26" s="90" t="s">
        <v>112</v>
      </c>
      <c r="E26" s="91">
        <v>45233</v>
      </c>
      <c r="F26" s="107">
        <v>46190</v>
      </c>
      <c r="G26" s="92">
        <v>46010</v>
      </c>
      <c r="H26" s="93">
        <v>46023</v>
      </c>
      <c r="I26" s="93"/>
      <c r="J26" s="93">
        <v>46042</v>
      </c>
      <c r="K26" s="93"/>
      <c r="L26" s="97">
        <v>300000</v>
      </c>
      <c r="M26" s="95">
        <v>0</v>
      </c>
      <c r="N26" s="97">
        <v>0</v>
      </c>
      <c r="O26" s="90"/>
    </row>
    <row r="27" spans="1:15" ht="15" hidden="1" x14ac:dyDescent="0.25">
      <c r="A27" s="90">
        <v>26</v>
      </c>
      <c r="B27" s="90" t="s">
        <v>117</v>
      </c>
      <c r="C27" s="90" t="s">
        <v>16</v>
      </c>
      <c r="D27" s="90" t="s">
        <v>105</v>
      </c>
      <c r="E27" s="100">
        <v>45627</v>
      </c>
      <c r="F27" s="101">
        <v>46325</v>
      </c>
      <c r="G27" s="92">
        <v>46145</v>
      </c>
      <c r="H27" s="93">
        <v>46082</v>
      </c>
      <c r="I27" s="93"/>
      <c r="J27" s="93">
        <v>46193</v>
      </c>
      <c r="K27" s="93"/>
      <c r="L27" s="97">
        <v>280000</v>
      </c>
      <c r="M27" s="95">
        <v>0</v>
      </c>
      <c r="N27" s="97">
        <v>0</v>
      </c>
      <c r="O27" s="90" t="s">
        <v>134</v>
      </c>
    </row>
    <row r="28" spans="1:15" ht="15" hidden="1" x14ac:dyDescent="0.25">
      <c r="A28" s="90">
        <v>27</v>
      </c>
      <c r="B28" s="90" t="s">
        <v>117</v>
      </c>
      <c r="C28" s="90" t="s">
        <v>17</v>
      </c>
      <c r="D28" s="90" t="s">
        <v>105</v>
      </c>
      <c r="E28" s="100">
        <v>45627</v>
      </c>
      <c r="F28" s="101">
        <v>46325</v>
      </c>
      <c r="G28" s="92">
        <v>46145</v>
      </c>
      <c r="H28" s="93">
        <v>46082</v>
      </c>
      <c r="I28" s="93"/>
      <c r="J28" s="93">
        <v>46174</v>
      </c>
      <c r="K28" s="93"/>
      <c r="L28" s="97">
        <v>186000</v>
      </c>
      <c r="M28" s="95">
        <v>0</v>
      </c>
      <c r="N28" s="97">
        <v>0</v>
      </c>
      <c r="O28" s="90" t="s">
        <v>134</v>
      </c>
    </row>
    <row r="29" spans="1:15" ht="15" hidden="1" x14ac:dyDescent="0.25">
      <c r="A29" s="90">
        <v>28</v>
      </c>
      <c r="B29" s="90" t="s">
        <v>117</v>
      </c>
      <c r="C29" s="90" t="s">
        <v>18</v>
      </c>
      <c r="D29" s="90" t="s">
        <v>105</v>
      </c>
      <c r="E29" s="91">
        <v>45627</v>
      </c>
      <c r="F29" s="96">
        <v>46690</v>
      </c>
      <c r="G29" s="92">
        <v>46510</v>
      </c>
      <c r="H29" s="93">
        <v>46510</v>
      </c>
      <c r="I29" s="93"/>
      <c r="J29" s="93">
        <v>46588</v>
      </c>
      <c r="K29" s="93"/>
      <c r="L29" s="97">
        <v>200000</v>
      </c>
      <c r="M29" s="95">
        <v>0</v>
      </c>
      <c r="N29" s="97">
        <v>0</v>
      </c>
      <c r="O29" s="90"/>
    </row>
    <row r="30" spans="1:15" ht="15" hidden="1" x14ac:dyDescent="0.25">
      <c r="A30" s="90">
        <v>29</v>
      </c>
      <c r="B30" s="90" t="s">
        <v>117</v>
      </c>
      <c r="C30" s="90" t="s">
        <v>18</v>
      </c>
      <c r="D30" s="90" t="s">
        <v>110</v>
      </c>
      <c r="E30" s="91">
        <v>45627</v>
      </c>
      <c r="F30" s="96">
        <v>46690</v>
      </c>
      <c r="G30" s="92">
        <v>46510</v>
      </c>
      <c r="H30" s="93">
        <v>45474</v>
      </c>
      <c r="I30" s="93">
        <v>45474</v>
      </c>
      <c r="J30" s="93">
        <v>45493</v>
      </c>
      <c r="K30" s="93">
        <v>45478</v>
      </c>
      <c r="L30" s="97">
        <v>5500</v>
      </c>
      <c r="M30" s="95">
        <v>1</v>
      </c>
      <c r="N30" s="97">
        <v>5500</v>
      </c>
      <c r="O30" s="90" t="s">
        <v>102</v>
      </c>
    </row>
    <row r="31" spans="1:15" ht="15" hidden="1" x14ac:dyDescent="0.25">
      <c r="A31" s="90">
        <v>30</v>
      </c>
      <c r="B31" s="90" t="s">
        <v>117</v>
      </c>
      <c r="C31" s="90" t="s">
        <v>18</v>
      </c>
      <c r="D31" s="90" t="s">
        <v>111</v>
      </c>
      <c r="E31" s="91">
        <v>45627</v>
      </c>
      <c r="F31" s="96">
        <v>46690</v>
      </c>
      <c r="G31" s="92">
        <v>46510</v>
      </c>
      <c r="H31" s="93">
        <v>45505</v>
      </c>
      <c r="I31" s="93">
        <v>45474</v>
      </c>
      <c r="J31" s="93">
        <v>45524</v>
      </c>
      <c r="K31" s="93">
        <v>45478</v>
      </c>
      <c r="L31" s="97">
        <v>6760</v>
      </c>
      <c r="M31" s="95">
        <v>1</v>
      </c>
      <c r="N31" s="97">
        <v>6760</v>
      </c>
      <c r="O31" s="90" t="s">
        <v>103</v>
      </c>
    </row>
    <row r="32" spans="1:15" ht="15" hidden="1" x14ac:dyDescent="0.25">
      <c r="A32" s="90">
        <v>31</v>
      </c>
      <c r="B32" s="90" t="s">
        <v>117</v>
      </c>
      <c r="C32" s="90" t="s">
        <v>146</v>
      </c>
      <c r="D32" s="109" t="s">
        <v>115</v>
      </c>
      <c r="E32" s="91">
        <v>45870</v>
      </c>
      <c r="F32" s="106">
        <v>46751</v>
      </c>
      <c r="G32" s="92">
        <v>46571</v>
      </c>
      <c r="H32" s="93">
        <v>46571</v>
      </c>
      <c r="I32" s="93"/>
      <c r="J32" s="93">
        <v>46711</v>
      </c>
      <c r="K32" s="93"/>
      <c r="L32" s="94">
        <v>1089142.32</v>
      </c>
      <c r="M32" s="95">
        <v>0</v>
      </c>
      <c r="N32" s="94">
        <v>0</v>
      </c>
      <c r="O32" s="90"/>
    </row>
    <row r="33" spans="1:15" ht="15" hidden="1" x14ac:dyDescent="0.25">
      <c r="A33" s="90">
        <v>32</v>
      </c>
      <c r="B33" s="90" t="s">
        <v>117</v>
      </c>
      <c r="C33" s="90" t="s">
        <v>27</v>
      </c>
      <c r="D33" s="109" t="s">
        <v>115</v>
      </c>
      <c r="E33" s="91">
        <v>46235</v>
      </c>
      <c r="F33" s="96">
        <v>46873</v>
      </c>
      <c r="G33" s="92">
        <v>46693</v>
      </c>
      <c r="H33" s="93">
        <v>46693</v>
      </c>
      <c r="I33" s="93"/>
      <c r="J33" s="93">
        <v>46741</v>
      </c>
      <c r="K33" s="93"/>
      <c r="L33" s="97">
        <v>698940</v>
      </c>
      <c r="M33" s="95">
        <v>0</v>
      </c>
      <c r="N33" s="97">
        <v>0</v>
      </c>
      <c r="O33" s="90"/>
    </row>
    <row r="34" spans="1:15" ht="15" hidden="1" x14ac:dyDescent="0.25">
      <c r="A34" s="90">
        <v>33</v>
      </c>
      <c r="B34" s="90" t="s">
        <v>117</v>
      </c>
      <c r="C34" s="90" t="s">
        <v>20</v>
      </c>
      <c r="D34" s="90" t="s">
        <v>105</v>
      </c>
      <c r="E34" s="91">
        <v>45901</v>
      </c>
      <c r="F34" s="106">
        <v>46995</v>
      </c>
      <c r="G34" s="92">
        <v>46815</v>
      </c>
      <c r="H34" s="93">
        <v>46815</v>
      </c>
      <c r="I34" s="93"/>
      <c r="J34" s="93">
        <v>46803</v>
      </c>
      <c r="K34" s="93"/>
      <c r="L34" s="94">
        <v>250000</v>
      </c>
      <c r="M34" s="95">
        <v>0</v>
      </c>
      <c r="N34" s="94">
        <v>0</v>
      </c>
      <c r="O34" s="90"/>
    </row>
    <row r="35" spans="1:15" ht="15" hidden="1" x14ac:dyDescent="0.25">
      <c r="A35" s="90">
        <v>34</v>
      </c>
      <c r="B35" s="90" t="s">
        <v>117</v>
      </c>
      <c r="C35" s="90" t="s">
        <v>24</v>
      </c>
      <c r="D35" s="109" t="s">
        <v>115</v>
      </c>
      <c r="E35" s="91">
        <v>46204</v>
      </c>
      <c r="F35" s="106">
        <v>46964</v>
      </c>
      <c r="G35" s="92">
        <v>46784</v>
      </c>
      <c r="H35" s="93">
        <v>46784</v>
      </c>
      <c r="I35" s="93"/>
      <c r="J35" s="93">
        <v>46863</v>
      </c>
      <c r="K35" s="93"/>
      <c r="L35" s="94">
        <v>873030.56</v>
      </c>
      <c r="M35" s="95">
        <v>0</v>
      </c>
      <c r="N35" s="94">
        <v>0</v>
      </c>
      <c r="O35" s="90"/>
    </row>
    <row r="36" spans="1:15" ht="15" hidden="1" x14ac:dyDescent="0.25">
      <c r="A36" s="90">
        <v>35</v>
      </c>
      <c r="B36" s="90" t="s">
        <v>117</v>
      </c>
      <c r="C36" s="90" t="s">
        <v>25</v>
      </c>
      <c r="D36" s="109" t="s">
        <v>115</v>
      </c>
      <c r="E36" s="91">
        <v>46327</v>
      </c>
      <c r="F36" s="106">
        <v>47087</v>
      </c>
      <c r="G36" s="92">
        <v>46907</v>
      </c>
      <c r="H36" s="93">
        <v>46907</v>
      </c>
      <c r="I36" s="93"/>
      <c r="J36" s="93">
        <v>46985</v>
      </c>
      <c r="K36" s="93"/>
      <c r="L36" s="94">
        <v>873030.56</v>
      </c>
      <c r="M36" s="95">
        <v>0</v>
      </c>
      <c r="N36" s="94">
        <v>0</v>
      </c>
      <c r="O36" s="90"/>
    </row>
    <row r="37" spans="1:15" ht="15" hidden="1" x14ac:dyDescent="0.25">
      <c r="A37" s="90">
        <v>36</v>
      </c>
      <c r="B37" s="90" t="s">
        <v>118</v>
      </c>
      <c r="C37" s="90" t="s">
        <v>135</v>
      </c>
      <c r="D37" s="109" t="s">
        <v>119</v>
      </c>
      <c r="E37" s="91">
        <v>45597</v>
      </c>
      <c r="F37" s="106">
        <v>46356</v>
      </c>
      <c r="G37" s="92">
        <v>45507</v>
      </c>
      <c r="H37" s="93">
        <v>45566</v>
      </c>
      <c r="I37" s="93">
        <v>45566</v>
      </c>
      <c r="J37" s="93">
        <v>45595</v>
      </c>
      <c r="K37" s="93"/>
      <c r="L37" s="94">
        <v>10000</v>
      </c>
      <c r="M37" s="95">
        <v>1</v>
      </c>
      <c r="N37" s="94">
        <v>4333.03</v>
      </c>
      <c r="O37" s="90" t="s">
        <v>142</v>
      </c>
    </row>
    <row r="38" spans="1:15" ht="15" hidden="1" x14ac:dyDescent="0.25">
      <c r="A38" s="90">
        <v>37</v>
      </c>
      <c r="B38" s="90" t="s">
        <v>118</v>
      </c>
      <c r="C38" s="90" t="s">
        <v>136</v>
      </c>
      <c r="D38" s="109" t="s">
        <v>119</v>
      </c>
      <c r="E38" s="91">
        <v>45597</v>
      </c>
      <c r="F38" s="106">
        <v>46356</v>
      </c>
      <c r="G38" s="92">
        <v>45507</v>
      </c>
      <c r="H38" s="93">
        <v>45566</v>
      </c>
      <c r="I38" s="93">
        <v>45566</v>
      </c>
      <c r="J38" s="93">
        <v>45595</v>
      </c>
      <c r="K38" s="93"/>
      <c r="L38" s="94">
        <v>10000</v>
      </c>
      <c r="M38" s="95">
        <v>1</v>
      </c>
      <c r="N38" s="94">
        <v>4984.26</v>
      </c>
      <c r="O38" s="90" t="s">
        <v>142</v>
      </c>
    </row>
    <row r="39" spans="1:15" ht="15" hidden="1" x14ac:dyDescent="0.25">
      <c r="A39" s="90">
        <v>38</v>
      </c>
      <c r="B39" s="90" t="s">
        <v>118</v>
      </c>
      <c r="C39" s="90" t="s">
        <v>23</v>
      </c>
      <c r="D39" s="109" t="s">
        <v>119</v>
      </c>
      <c r="E39" s="91">
        <v>45597</v>
      </c>
      <c r="F39" s="106">
        <v>46325</v>
      </c>
      <c r="G39" s="92">
        <v>45507</v>
      </c>
      <c r="H39" s="93">
        <v>45566</v>
      </c>
      <c r="I39" s="93">
        <v>45566</v>
      </c>
      <c r="J39" s="93">
        <v>45595</v>
      </c>
      <c r="K39" s="93"/>
      <c r="L39" s="94">
        <v>15000</v>
      </c>
      <c r="M39" s="95">
        <v>1</v>
      </c>
      <c r="N39" s="94">
        <v>6953.64</v>
      </c>
      <c r="O39" s="90" t="s">
        <v>142</v>
      </c>
    </row>
    <row r="40" spans="1:15" ht="15" hidden="1" x14ac:dyDescent="0.25">
      <c r="A40" s="90">
        <v>39</v>
      </c>
      <c r="B40" s="90" t="s">
        <v>118</v>
      </c>
      <c r="C40" s="90" t="s">
        <v>18</v>
      </c>
      <c r="D40" s="109" t="s">
        <v>137</v>
      </c>
      <c r="E40" s="91">
        <v>45627</v>
      </c>
      <c r="F40" s="96">
        <v>46690</v>
      </c>
      <c r="G40" s="92">
        <v>45537</v>
      </c>
      <c r="H40" s="93">
        <v>45537</v>
      </c>
      <c r="I40" s="93">
        <v>45536</v>
      </c>
      <c r="J40" s="93">
        <v>45646</v>
      </c>
      <c r="K40" s="93"/>
      <c r="L40" s="94">
        <v>8700</v>
      </c>
      <c r="M40" s="95">
        <v>1</v>
      </c>
      <c r="N40" s="94">
        <v>8700</v>
      </c>
      <c r="O40" s="90"/>
    </row>
    <row r="42" spans="1:15" x14ac:dyDescent="0.25">
      <c r="G42" s="110"/>
    </row>
    <row r="51" spans="10:14" x14ac:dyDescent="0.25">
      <c r="J51" s="148" t="s">
        <v>148</v>
      </c>
      <c r="K51" s="148"/>
      <c r="L51" s="146" t="s">
        <v>151</v>
      </c>
      <c r="M51" s="145" t="s">
        <v>149</v>
      </c>
      <c r="N51" s="145" t="s">
        <v>150</v>
      </c>
    </row>
    <row r="52" spans="10:14" x14ac:dyDescent="0.25">
      <c r="J52" s="111" t="s">
        <v>138</v>
      </c>
      <c r="K52" s="144">
        <v>906780</v>
      </c>
      <c r="L52" s="98">
        <f>N15</f>
        <v>87000</v>
      </c>
      <c r="N52" s="98">
        <f>K52-L52</f>
        <v>819780</v>
      </c>
    </row>
    <row r="53" spans="10:14" x14ac:dyDescent="0.25">
      <c r="J53" s="111" t="s">
        <v>139</v>
      </c>
      <c r="K53" s="144">
        <v>2404384.0099999998</v>
      </c>
      <c r="L53" s="98">
        <f>N25+N24+N23</f>
        <v>958738.37</v>
      </c>
      <c r="M53" s="147">
        <v>1</v>
      </c>
      <c r="N53" s="98">
        <f>K53-L53</f>
        <v>1445645.6399999997</v>
      </c>
    </row>
    <row r="54" spans="10:14" x14ac:dyDescent="0.25">
      <c r="J54" s="111" t="s">
        <v>140</v>
      </c>
      <c r="K54" s="144">
        <v>59685</v>
      </c>
      <c r="L54" s="98">
        <f>N13+N14</f>
        <v>57293.11</v>
      </c>
      <c r="M54" s="147">
        <v>1</v>
      </c>
      <c r="N54" s="98">
        <f>K54-L54</f>
        <v>2391.8899999999994</v>
      </c>
    </row>
  </sheetData>
  <autoFilter ref="B1:O40" xr:uid="{771A8E96-A958-406B-903E-08480A4B61F7}">
    <filterColumn colId="1">
      <filters>
        <filter val="Residencial Plaza de Espanha"/>
        <filter val="Residencial Plaza Mayorca"/>
        <filter val="Residencial Plaza Valencia"/>
      </filters>
    </filterColumn>
    <sortState xmlns:xlrd2="http://schemas.microsoft.com/office/spreadsheetml/2017/richdata2" ref="B2:O36">
      <sortCondition ref="G1:G36"/>
    </sortState>
  </autoFilter>
  <mergeCells count="1">
    <mergeCell ref="J51:K5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CAE5-4C0E-44AC-AB44-6D5A18AF1B76}">
  <dimension ref="A1:P113"/>
  <sheetViews>
    <sheetView zoomScale="114" zoomScaleNormal="70" workbookViewId="0">
      <selection activeCell="F35" sqref="F35"/>
    </sheetView>
  </sheetViews>
  <sheetFormatPr defaultColWidth="8.85546875" defaultRowHeight="15" x14ac:dyDescent="0.25"/>
  <cols>
    <col min="1" max="1" width="7.140625" style="41" bestFit="1" customWidth="1"/>
    <col min="2" max="2" width="33.42578125" bestFit="1" customWidth="1"/>
    <col min="3" max="3" width="27" bestFit="1" customWidth="1"/>
    <col min="4" max="4" width="35" style="41" customWidth="1"/>
    <col min="5" max="5" width="34.28515625" style="41" bestFit="1" customWidth="1"/>
    <col min="6" max="6" width="17.42578125" style="41" customWidth="1"/>
    <col min="7" max="7" width="18.42578125" style="80" customWidth="1"/>
    <col min="8" max="8" width="27" bestFit="1" customWidth="1"/>
    <col min="9" max="9" width="14.42578125" bestFit="1" customWidth="1"/>
  </cols>
  <sheetData>
    <row r="1" spans="1:16" x14ac:dyDescent="0.25">
      <c r="A1" s="81" t="s">
        <v>121</v>
      </c>
      <c r="B1" s="82" t="s">
        <v>97</v>
      </c>
      <c r="C1" s="82" t="s">
        <v>122</v>
      </c>
      <c r="D1" s="81" t="s">
        <v>130</v>
      </c>
      <c r="E1" s="81" t="s">
        <v>123</v>
      </c>
      <c r="F1" s="81" t="s">
        <v>131</v>
      </c>
      <c r="G1" s="83" t="s">
        <v>42</v>
      </c>
      <c r="H1" s="82" t="s">
        <v>98</v>
      </c>
    </row>
    <row r="2" spans="1:16" x14ac:dyDescent="0.25">
      <c r="A2" s="77">
        <v>1</v>
      </c>
      <c r="B2" s="74" t="s">
        <v>2</v>
      </c>
      <c r="C2" s="74" t="s">
        <v>105</v>
      </c>
      <c r="D2" s="75">
        <v>45402</v>
      </c>
      <c r="E2" s="75">
        <v>45402</v>
      </c>
      <c r="F2" s="76">
        <v>104123.32</v>
      </c>
      <c r="G2" s="76">
        <v>104123.32</v>
      </c>
      <c r="H2" s="74" t="s">
        <v>117</v>
      </c>
      <c r="I2" s="78"/>
    </row>
    <row r="3" spans="1:16" x14ac:dyDescent="0.25">
      <c r="A3" s="77">
        <v>1</v>
      </c>
      <c r="B3" s="74" t="s">
        <v>2</v>
      </c>
      <c r="C3" s="74" t="s">
        <v>105</v>
      </c>
      <c r="D3" s="75">
        <v>45402</v>
      </c>
      <c r="E3" s="75">
        <v>45402</v>
      </c>
      <c r="F3" s="76">
        <v>202368.59999999998</v>
      </c>
      <c r="G3" s="76">
        <v>202368.59999999998</v>
      </c>
      <c r="H3" s="74" t="s">
        <v>117</v>
      </c>
    </row>
    <row r="4" spans="1:16" x14ac:dyDescent="0.25">
      <c r="A4" s="77">
        <v>1</v>
      </c>
      <c r="B4" s="74" t="s">
        <v>2</v>
      </c>
      <c r="C4" s="74" t="s">
        <v>105</v>
      </c>
      <c r="D4" s="75">
        <v>45402</v>
      </c>
      <c r="E4" s="75">
        <v>45402</v>
      </c>
      <c r="F4" s="76">
        <v>181908.08000000002</v>
      </c>
      <c r="G4" s="76">
        <v>181908.08000000002</v>
      </c>
      <c r="H4" s="74" t="s">
        <v>117</v>
      </c>
    </row>
    <row r="5" spans="1:16" x14ac:dyDescent="0.25">
      <c r="A5" s="77">
        <v>2</v>
      </c>
      <c r="B5" s="74" t="s">
        <v>2</v>
      </c>
      <c r="C5" s="74" t="s">
        <v>106</v>
      </c>
      <c r="D5" s="75">
        <v>45524</v>
      </c>
      <c r="E5" s="75">
        <v>45524</v>
      </c>
      <c r="F5" s="76">
        <v>59839.23</v>
      </c>
      <c r="G5" s="76">
        <v>59839.23</v>
      </c>
      <c r="H5" s="74" t="s">
        <v>117</v>
      </c>
    </row>
    <row r="6" spans="1:16" x14ac:dyDescent="0.25">
      <c r="A6" s="77">
        <v>3</v>
      </c>
      <c r="B6" s="74" t="s">
        <v>18</v>
      </c>
      <c r="C6" s="74" t="s">
        <v>119</v>
      </c>
      <c r="D6" s="75">
        <v>45524</v>
      </c>
      <c r="E6" s="75">
        <v>45524</v>
      </c>
      <c r="F6" s="79">
        <v>8496.44</v>
      </c>
      <c r="G6" s="76">
        <v>8496.44</v>
      </c>
      <c r="H6" s="74" t="s">
        <v>118</v>
      </c>
    </row>
    <row r="7" spans="1:16" x14ac:dyDescent="0.25">
      <c r="A7" s="77">
        <v>4</v>
      </c>
      <c r="B7" s="74" t="s">
        <v>17</v>
      </c>
      <c r="C7" s="74" t="s">
        <v>129</v>
      </c>
      <c r="D7" s="75">
        <v>45616</v>
      </c>
      <c r="E7" s="75">
        <v>45616</v>
      </c>
      <c r="F7" s="79">
        <v>60000</v>
      </c>
      <c r="G7" s="76">
        <v>56295.65</v>
      </c>
      <c r="H7" s="74" t="s">
        <v>118</v>
      </c>
    </row>
    <row r="8" spans="1:16" x14ac:dyDescent="0.25">
      <c r="A8" s="77">
        <v>5</v>
      </c>
      <c r="B8" s="74" t="s">
        <v>16</v>
      </c>
      <c r="C8" s="74" t="s">
        <v>129</v>
      </c>
      <c r="D8" s="75">
        <v>45616</v>
      </c>
      <c r="E8" s="75">
        <v>45616</v>
      </c>
      <c r="F8" s="79">
        <v>80000</v>
      </c>
      <c r="G8" s="76">
        <v>72547.600000000006</v>
      </c>
      <c r="H8" s="74" t="s">
        <v>118</v>
      </c>
      <c r="M8">
        <f>52286.96</f>
        <v>52286.96</v>
      </c>
      <c r="N8">
        <v>88836.94</v>
      </c>
      <c r="O8">
        <v>126127.43</v>
      </c>
      <c r="P8">
        <v>143004.01</v>
      </c>
    </row>
    <row r="9" spans="1:16" x14ac:dyDescent="0.25">
      <c r="A9" s="77">
        <v>6</v>
      </c>
      <c r="B9" s="74" t="s">
        <v>17</v>
      </c>
      <c r="C9" s="74" t="s">
        <v>119</v>
      </c>
      <c r="D9" s="75">
        <v>45586</v>
      </c>
      <c r="E9" s="75">
        <v>45585</v>
      </c>
      <c r="F9" s="79">
        <v>8483.65</v>
      </c>
      <c r="G9" s="76">
        <v>8483.65</v>
      </c>
      <c r="H9" s="74" t="s">
        <v>118</v>
      </c>
      <c r="M9">
        <f>SUM(M8:P8)</f>
        <v>410255.33999999997</v>
      </c>
    </row>
    <row r="10" spans="1:16" x14ac:dyDescent="0.25">
      <c r="A10" s="77">
        <v>6</v>
      </c>
      <c r="B10" s="74" t="s">
        <v>17</v>
      </c>
      <c r="C10" s="74" t="s">
        <v>119</v>
      </c>
      <c r="D10" s="75">
        <v>45586</v>
      </c>
      <c r="E10" s="75">
        <v>45585</v>
      </c>
      <c r="F10" s="79">
        <v>2000</v>
      </c>
      <c r="G10" s="76">
        <v>2000</v>
      </c>
      <c r="H10" s="74" t="s">
        <v>118</v>
      </c>
    </row>
    <row r="11" spans="1:16" x14ac:dyDescent="0.25">
      <c r="A11" s="77">
        <v>7</v>
      </c>
      <c r="B11" s="74" t="s">
        <v>16</v>
      </c>
      <c r="C11" s="74" t="s">
        <v>119</v>
      </c>
      <c r="D11" s="75">
        <v>45586</v>
      </c>
      <c r="E11" s="75">
        <v>45585</v>
      </c>
      <c r="F11" s="79">
        <v>8483.65</v>
      </c>
      <c r="G11" s="76">
        <v>8483.65</v>
      </c>
      <c r="H11" s="74" t="s">
        <v>118</v>
      </c>
    </row>
    <row r="12" spans="1:16" x14ac:dyDescent="0.25">
      <c r="A12" s="77">
        <v>7</v>
      </c>
      <c r="B12" s="74" t="s">
        <v>16</v>
      </c>
      <c r="C12" s="74" t="s">
        <v>119</v>
      </c>
      <c r="D12" s="75">
        <v>45586</v>
      </c>
      <c r="E12" s="75">
        <v>45585</v>
      </c>
      <c r="F12" s="79">
        <v>2000</v>
      </c>
      <c r="G12" s="76">
        <v>2000</v>
      </c>
      <c r="H12" s="74" t="s">
        <v>118</v>
      </c>
    </row>
    <row r="13" spans="1:16" x14ac:dyDescent="0.25">
      <c r="A13" s="77">
        <v>10</v>
      </c>
      <c r="B13" s="74" t="s">
        <v>3</v>
      </c>
      <c r="C13" s="74" t="s">
        <v>105</v>
      </c>
      <c r="D13" s="75"/>
      <c r="E13" s="75"/>
      <c r="F13" s="79">
        <v>200000</v>
      </c>
      <c r="G13" s="79"/>
      <c r="H13" s="74" t="s">
        <v>117</v>
      </c>
    </row>
    <row r="14" spans="1:16" x14ac:dyDescent="0.25">
      <c r="A14" s="77">
        <v>10</v>
      </c>
      <c r="B14" s="74" t="s">
        <v>3</v>
      </c>
      <c r="C14" s="74" t="s">
        <v>105</v>
      </c>
      <c r="D14" s="75"/>
      <c r="E14" s="75"/>
      <c r="F14" s="79">
        <v>200000</v>
      </c>
      <c r="G14" s="79"/>
      <c r="H14" s="74" t="s">
        <v>117</v>
      </c>
    </row>
    <row r="15" spans="1:16" x14ac:dyDescent="0.25">
      <c r="A15" s="77">
        <v>10</v>
      </c>
      <c r="B15" s="74" t="s">
        <v>3</v>
      </c>
      <c r="C15" s="74" t="s">
        <v>105</v>
      </c>
      <c r="D15" s="75"/>
      <c r="E15" s="75"/>
      <c r="F15" s="79">
        <v>200000</v>
      </c>
      <c r="G15" s="79"/>
      <c r="H15" s="74" t="s">
        <v>117</v>
      </c>
    </row>
    <row r="16" spans="1:16" x14ac:dyDescent="0.25">
      <c r="A16" s="77">
        <v>11</v>
      </c>
      <c r="B16" s="74" t="s">
        <v>4</v>
      </c>
      <c r="C16" s="74" t="s">
        <v>105</v>
      </c>
      <c r="D16" s="75"/>
      <c r="E16" s="75"/>
      <c r="F16" s="79">
        <v>200000</v>
      </c>
      <c r="G16" s="79"/>
      <c r="H16" s="74" t="s">
        <v>117</v>
      </c>
    </row>
    <row r="17" spans="1:9" x14ac:dyDescent="0.25">
      <c r="A17" s="77">
        <v>11</v>
      </c>
      <c r="B17" s="74" t="s">
        <v>4</v>
      </c>
      <c r="C17" s="74" t="s">
        <v>105</v>
      </c>
      <c r="D17" s="75"/>
      <c r="E17" s="75"/>
      <c r="F17" s="79">
        <v>200000</v>
      </c>
      <c r="G17" s="79"/>
      <c r="H17" s="74" t="s">
        <v>117</v>
      </c>
    </row>
    <row r="18" spans="1:9" x14ac:dyDescent="0.25">
      <c r="A18" s="77">
        <v>11</v>
      </c>
      <c r="B18" s="74" t="s">
        <v>4</v>
      </c>
      <c r="C18" s="74" t="s">
        <v>105</v>
      </c>
      <c r="D18" s="75"/>
      <c r="E18" s="75"/>
      <c r="F18" s="79">
        <v>200000</v>
      </c>
      <c r="G18" s="79"/>
      <c r="H18" s="74" t="s">
        <v>117</v>
      </c>
    </row>
    <row r="19" spans="1:9" x14ac:dyDescent="0.25">
      <c r="A19" s="77">
        <v>14</v>
      </c>
      <c r="B19" s="74" t="s">
        <v>7</v>
      </c>
      <c r="C19" s="74" t="s">
        <v>107</v>
      </c>
      <c r="D19" s="75">
        <v>45342</v>
      </c>
      <c r="E19" s="75">
        <v>45342</v>
      </c>
      <c r="F19" s="79">
        <v>87000</v>
      </c>
      <c r="G19" s="79">
        <v>87000</v>
      </c>
      <c r="H19" s="74" t="s">
        <v>117</v>
      </c>
    </row>
    <row r="20" spans="1:9" x14ac:dyDescent="0.25">
      <c r="A20" s="112">
        <v>15</v>
      </c>
      <c r="B20" s="113" t="s">
        <v>7</v>
      </c>
      <c r="C20" s="113" t="s">
        <v>108</v>
      </c>
      <c r="D20" s="114">
        <v>45646</v>
      </c>
      <c r="E20" s="114"/>
      <c r="F20" s="115">
        <v>5700</v>
      </c>
      <c r="G20" s="115"/>
      <c r="H20" s="113" t="s">
        <v>117</v>
      </c>
    </row>
    <row r="21" spans="1:9" x14ac:dyDescent="0.25">
      <c r="A21" s="112">
        <v>15</v>
      </c>
      <c r="B21" s="113" t="s">
        <v>7</v>
      </c>
      <c r="C21" s="113" t="s">
        <v>108</v>
      </c>
      <c r="D21" s="114">
        <v>45677</v>
      </c>
      <c r="E21" s="114"/>
      <c r="F21" s="115">
        <f>273260.01-5700</f>
        <v>267560.01</v>
      </c>
      <c r="G21" s="115"/>
      <c r="H21" s="113" t="s">
        <v>117</v>
      </c>
    </row>
    <row r="22" spans="1:9" x14ac:dyDescent="0.25">
      <c r="A22" s="112">
        <v>15</v>
      </c>
      <c r="B22" s="113" t="s">
        <v>7</v>
      </c>
      <c r="C22" s="113" t="s">
        <v>108</v>
      </c>
      <c r="D22" s="114">
        <v>45708</v>
      </c>
      <c r="E22" s="114"/>
      <c r="F22" s="115">
        <v>273260.01</v>
      </c>
      <c r="G22" s="115"/>
      <c r="H22" s="113" t="s">
        <v>117</v>
      </c>
    </row>
    <row r="23" spans="1:9" x14ac:dyDescent="0.25">
      <c r="A23" s="112">
        <v>15</v>
      </c>
      <c r="B23" s="113" t="s">
        <v>7</v>
      </c>
      <c r="C23" s="113" t="s">
        <v>108</v>
      </c>
      <c r="D23" s="114">
        <v>45736</v>
      </c>
      <c r="E23" s="114"/>
      <c r="F23" s="115">
        <v>273260.01</v>
      </c>
      <c r="G23" s="115"/>
      <c r="H23" s="113" t="s">
        <v>117</v>
      </c>
    </row>
    <row r="24" spans="1:9" x14ac:dyDescent="0.25">
      <c r="A24" s="112">
        <v>16</v>
      </c>
      <c r="B24" s="113" t="s">
        <v>20</v>
      </c>
      <c r="C24" s="113" t="s">
        <v>119</v>
      </c>
      <c r="D24" s="114">
        <v>45342</v>
      </c>
      <c r="E24" s="114">
        <v>45342</v>
      </c>
      <c r="F24" s="115">
        <v>17205.7</v>
      </c>
      <c r="G24" s="115">
        <v>17205.7</v>
      </c>
      <c r="H24" s="113" t="s">
        <v>118</v>
      </c>
    </row>
    <row r="25" spans="1:9" x14ac:dyDescent="0.25">
      <c r="A25" s="112">
        <v>17</v>
      </c>
      <c r="B25" s="113" t="s">
        <v>114</v>
      </c>
      <c r="C25" s="113" t="s">
        <v>112</v>
      </c>
      <c r="D25" s="114">
        <v>45373</v>
      </c>
      <c r="E25" s="114">
        <v>45371</v>
      </c>
      <c r="F25" s="115">
        <v>29000</v>
      </c>
      <c r="G25" s="115">
        <v>29000</v>
      </c>
      <c r="H25" s="113" t="s">
        <v>117</v>
      </c>
    </row>
    <row r="26" spans="1:9" x14ac:dyDescent="0.25">
      <c r="A26" s="112">
        <v>18</v>
      </c>
      <c r="B26" s="113" t="s">
        <v>14</v>
      </c>
      <c r="C26" s="113" t="s">
        <v>107</v>
      </c>
      <c r="D26" s="114">
        <v>45402</v>
      </c>
      <c r="E26" s="114">
        <v>45402</v>
      </c>
      <c r="F26" s="115">
        <v>131000</v>
      </c>
      <c r="G26" s="115">
        <v>131000</v>
      </c>
      <c r="H26" s="113" t="s">
        <v>117</v>
      </c>
    </row>
    <row r="27" spans="1:9" x14ac:dyDescent="0.25">
      <c r="A27" s="112">
        <v>19</v>
      </c>
      <c r="B27" s="113" t="s">
        <v>9</v>
      </c>
      <c r="C27" s="113" t="s">
        <v>109</v>
      </c>
      <c r="D27" s="114">
        <v>45736</v>
      </c>
      <c r="E27" s="114"/>
      <c r="F27" s="115">
        <v>241370.45</v>
      </c>
      <c r="G27" s="115"/>
      <c r="H27" s="113" t="s">
        <v>117</v>
      </c>
    </row>
    <row r="28" spans="1:9" x14ac:dyDescent="0.25">
      <c r="A28" s="112">
        <v>20</v>
      </c>
      <c r="B28" s="113" t="s">
        <v>8</v>
      </c>
      <c r="C28" s="113" t="s">
        <v>109</v>
      </c>
      <c r="D28" s="114">
        <v>45736</v>
      </c>
      <c r="E28" s="114"/>
      <c r="F28" s="115">
        <v>236501.98</v>
      </c>
      <c r="G28" s="115">
        <v>0</v>
      </c>
      <c r="H28" s="113" t="s">
        <v>117</v>
      </c>
    </row>
    <row r="29" spans="1:9" x14ac:dyDescent="0.25">
      <c r="A29" s="112">
        <v>21</v>
      </c>
      <c r="B29" s="113" t="s">
        <v>10</v>
      </c>
      <c r="C29" s="113" t="s">
        <v>109</v>
      </c>
      <c r="D29" s="114">
        <v>46101</v>
      </c>
      <c r="E29" s="114"/>
      <c r="F29" s="115">
        <v>275194.21999999997</v>
      </c>
      <c r="G29" s="115">
        <v>0</v>
      </c>
      <c r="H29" s="113" t="s">
        <v>117</v>
      </c>
    </row>
    <row r="30" spans="1:9" x14ac:dyDescent="0.25">
      <c r="A30" s="112">
        <v>22</v>
      </c>
      <c r="B30" s="113" t="s">
        <v>12</v>
      </c>
      <c r="C30" s="113" t="s">
        <v>111</v>
      </c>
      <c r="D30" s="114">
        <v>45433</v>
      </c>
      <c r="E30" s="114">
        <v>45433</v>
      </c>
      <c r="F30" s="115">
        <v>2100</v>
      </c>
      <c r="G30" s="115">
        <v>2100</v>
      </c>
      <c r="H30" s="113" t="s">
        <v>117</v>
      </c>
    </row>
    <row r="31" spans="1:9" x14ac:dyDescent="0.25">
      <c r="A31" s="112">
        <v>23</v>
      </c>
      <c r="B31" s="113" t="s">
        <v>12</v>
      </c>
      <c r="C31" s="113" t="s">
        <v>110</v>
      </c>
      <c r="D31" s="114">
        <v>45463</v>
      </c>
      <c r="E31" s="114">
        <v>45463</v>
      </c>
      <c r="F31" s="115">
        <v>6500</v>
      </c>
      <c r="G31" s="115">
        <v>6500</v>
      </c>
      <c r="H31" s="113" t="s">
        <v>117</v>
      </c>
    </row>
    <row r="32" spans="1:9" x14ac:dyDescent="0.25">
      <c r="A32" s="112">
        <v>24</v>
      </c>
      <c r="B32" s="113" t="s">
        <v>12</v>
      </c>
      <c r="C32" s="113" t="s">
        <v>105</v>
      </c>
      <c r="D32" s="114">
        <v>45646</v>
      </c>
      <c r="E32" s="114">
        <v>45646</v>
      </c>
      <c r="F32" s="115">
        <v>477006.42</v>
      </c>
      <c r="G32" s="115">
        <f>F32</f>
        <v>477006.42</v>
      </c>
      <c r="H32" s="113" t="s">
        <v>117</v>
      </c>
      <c r="I32" s="120"/>
    </row>
    <row r="33" spans="1:9" x14ac:dyDescent="0.25">
      <c r="A33" s="116">
        <v>24</v>
      </c>
      <c r="B33" s="117" t="s">
        <v>12</v>
      </c>
      <c r="C33" s="117" t="s">
        <v>105</v>
      </c>
      <c r="D33" s="118">
        <v>45311</v>
      </c>
      <c r="E33" s="118"/>
      <c r="F33" s="119">
        <v>68138.5</v>
      </c>
      <c r="G33" s="119"/>
      <c r="H33" s="117" t="s">
        <v>117</v>
      </c>
    </row>
    <row r="34" spans="1:9" x14ac:dyDescent="0.25">
      <c r="A34" s="116">
        <v>24</v>
      </c>
      <c r="B34" s="117" t="s">
        <v>12</v>
      </c>
      <c r="C34" s="117" t="s">
        <v>105</v>
      </c>
      <c r="D34" s="118">
        <v>45342</v>
      </c>
      <c r="E34" s="118"/>
      <c r="F34" s="119">
        <v>374671.94</v>
      </c>
      <c r="G34" s="119"/>
      <c r="H34" s="117" t="s">
        <v>117</v>
      </c>
      <c r="I34">
        <f>374671.94</f>
        <v>374671.94</v>
      </c>
    </row>
    <row r="35" spans="1:9" x14ac:dyDescent="0.25">
      <c r="A35" s="116">
        <v>24</v>
      </c>
      <c r="B35" s="117" t="s">
        <v>12</v>
      </c>
      <c r="C35" s="117" t="s">
        <v>105</v>
      </c>
      <c r="D35" s="118">
        <v>45371</v>
      </c>
      <c r="E35" s="118"/>
      <c r="F35" s="119">
        <f>950138.36-F34-F33-F32</f>
        <v>30321.499999999942</v>
      </c>
      <c r="G35" s="119"/>
      <c r="H35" s="117" t="s">
        <v>117</v>
      </c>
      <c r="I35" s="16">
        <f>'Cronograma Matriz'!L25-'Lançamentos de Pagamentos'!F32-'Lançamentos de Pagamentos'!F33-'Lançamentos de Pagamentos'!I34</f>
        <v>30321.510000000009</v>
      </c>
    </row>
    <row r="36" spans="1:9" x14ac:dyDescent="0.25">
      <c r="A36" s="77">
        <v>25</v>
      </c>
      <c r="B36" s="74" t="s">
        <v>13</v>
      </c>
      <c r="C36" s="74" t="s">
        <v>112</v>
      </c>
      <c r="D36" s="75">
        <v>46073</v>
      </c>
      <c r="E36" s="75"/>
      <c r="F36" s="79">
        <v>300000</v>
      </c>
      <c r="G36" s="79"/>
      <c r="H36" s="74" t="s">
        <v>117</v>
      </c>
    </row>
    <row r="37" spans="1:9" x14ac:dyDescent="0.25">
      <c r="A37" s="77">
        <v>26</v>
      </c>
      <c r="B37" s="74" t="s">
        <v>16</v>
      </c>
      <c r="C37" s="74" t="s">
        <v>105</v>
      </c>
      <c r="D37" s="75">
        <v>46132</v>
      </c>
      <c r="E37" s="75"/>
      <c r="F37" s="79">
        <v>280000</v>
      </c>
      <c r="G37" s="79">
        <v>0</v>
      </c>
      <c r="H37" s="74" t="s">
        <v>117</v>
      </c>
    </row>
    <row r="38" spans="1:9" x14ac:dyDescent="0.25">
      <c r="A38" s="77">
        <v>27</v>
      </c>
      <c r="B38" s="74" t="s">
        <v>17</v>
      </c>
      <c r="C38" s="74" t="s">
        <v>105</v>
      </c>
      <c r="D38" s="75">
        <v>46132</v>
      </c>
      <c r="E38" s="75"/>
      <c r="F38" s="79">
        <v>186000</v>
      </c>
      <c r="G38" s="79">
        <v>0</v>
      </c>
      <c r="H38" s="74" t="s">
        <v>117</v>
      </c>
    </row>
    <row r="39" spans="1:9" x14ac:dyDescent="0.25">
      <c r="A39" s="77">
        <v>28</v>
      </c>
      <c r="B39" s="74" t="s">
        <v>18</v>
      </c>
      <c r="C39" s="74" t="s">
        <v>105</v>
      </c>
      <c r="D39" s="75">
        <v>46560</v>
      </c>
      <c r="E39" s="75"/>
      <c r="F39" s="79">
        <v>200000</v>
      </c>
      <c r="G39" s="79"/>
      <c r="H39" s="74" t="s">
        <v>117</v>
      </c>
    </row>
    <row r="40" spans="1:9" x14ac:dyDescent="0.25">
      <c r="A40" s="77">
        <v>29</v>
      </c>
      <c r="B40" s="74" t="s">
        <v>18</v>
      </c>
      <c r="C40" s="74" t="s">
        <v>110</v>
      </c>
      <c r="D40" s="75">
        <v>45524</v>
      </c>
      <c r="E40" s="75">
        <v>45524</v>
      </c>
      <c r="F40" s="79">
        <v>5500</v>
      </c>
      <c r="G40" s="79">
        <v>5500</v>
      </c>
      <c r="H40" s="74" t="s">
        <v>117</v>
      </c>
    </row>
    <row r="41" spans="1:9" x14ac:dyDescent="0.25">
      <c r="A41" s="77">
        <v>30</v>
      </c>
      <c r="B41" s="74" t="s">
        <v>18</v>
      </c>
      <c r="C41" s="74" t="s">
        <v>111</v>
      </c>
      <c r="D41" s="75">
        <v>45555</v>
      </c>
      <c r="E41" s="75">
        <v>45555</v>
      </c>
      <c r="F41" s="79">
        <v>1690</v>
      </c>
      <c r="G41" s="79">
        <v>1690</v>
      </c>
      <c r="H41" s="74" t="s">
        <v>117</v>
      </c>
    </row>
    <row r="42" spans="1:9" x14ac:dyDescent="0.25">
      <c r="A42" s="77">
        <v>31</v>
      </c>
      <c r="B42" s="74" t="s">
        <v>146</v>
      </c>
      <c r="C42" s="74" t="s">
        <v>115</v>
      </c>
      <c r="D42" s="75">
        <v>46621</v>
      </c>
      <c r="E42" s="75"/>
      <c r="F42" s="79">
        <v>272285.58</v>
      </c>
      <c r="G42" s="79"/>
      <c r="H42" s="74" t="s">
        <v>117</v>
      </c>
    </row>
    <row r="43" spans="1:9" x14ac:dyDescent="0.25">
      <c r="A43" s="77">
        <v>32</v>
      </c>
      <c r="B43" s="74" t="s">
        <v>27</v>
      </c>
      <c r="C43" s="74" t="s">
        <v>115</v>
      </c>
      <c r="D43" s="75">
        <v>46743</v>
      </c>
      <c r="E43" s="75"/>
      <c r="F43" s="79">
        <v>698940</v>
      </c>
      <c r="G43" s="79"/>
      <c r="H43" s="74" t="s">
        <v>117</v>
      </c>
    </row>
    <row r="44" spans="1:9" x14ac:dyDescent="0.25">
      <c r="A44" s="77">
        <v>33</v>
      </c>
      <c r="B44" s="74" t="s">
        <v>20</v>
      </c>
      <c r="C44" s="74" t="s">
        <v>105</v>
      </c>
      <c r="D44" s="75">
        <v>46865</v>
      </c>
      <c r="E44" s="75"/>
      <c r="F44" s="79">
        <v>250000</v>
      </c>
      <c r="G44" s="79">
        <v>0</v>
      </c>
      <c r="H44" s="74" t="s">
        <v>117</v>
      </c>
    </row>
    <row r="45" spans="1:9" x14ac:dyDescent="0.25">
      <c r="A45" s="77">
        <v>34</v>
      </c>
      <c r="B45" s="74" t="s">
        <v>24</v>
      </c>
      <c r="C45" s="74" t="s">
        <v>115</v>
      </c>
      <c r="D45" s="75">
        <v>46834</v>
      </c>
      <c r="E45" s="75"/>
      <c r="F45" s="79">
        <v>873030.56</v>
      </c>
      <c r="G45" s="79">
        <v>0</v>
      </c>
      <c r="H45" s="74" t="s">
        <v>117</v>
      </c>
    </row>
    <row r="46" spans="1:9" x14ac:dyDescent="0.25">
      <c r="A46" s="77">
        <v>35</v>
      </c>
      <c r="B46" s="74" t="s">
        <v>25</v>
      </c>
      <c r="C46" s="74" t="s">
        <v>115</v>
      </c>
      <c r="D46" s="75">
        <v>46957</v>
      </c>
      <c r="E46" s="75"/>
      <c r="F46" s="79">
        <v>873030.56</v>
      </c>
      <c r="G46" s="79"/>
      <c r="H46" s="74" t="s">
        <v>117</v>
      </c>
    </row>
    <row r="47" spans="1:9" x14ac:dyDescent="0.25">
      <c r="A47" s="77">
        <v>36</v>
      </c>
      <c r="B47" s="74" t="s">
        <v>135</v>
      </c>
      <c r="C47" s="74" t="s">
        <v>119</v>
      </c>
      <c r="D47" s="75">
        <v>45616</v>
      </c>
      <c r="E47" s="75"/>
      <c r="F47" s="79">
        <v>10000</v>
      </c>
      <c r="G47" s="79"/>
      <c r="H47" s="74" t="s">
        <v>118</v>
      </c>
    </row>
    <row r="48" spans="1:9" x14ac:dyDescent="0.25">
      <c r="A48" s="77">
        <v>37</v>
      </c>
      <c r="B48" s="74" t="s">
        <v>136</v>
      </c>
      <c r="C48" s="74" t="s">
        <v>119</v>
      </c>
      <c r="D48" s="75">
        <v>45616</v>
      </c>
      <c r="E48" s="75"/>
      <c r="F48" s="79">
        <v>10000</v>
      </c>
      <c r="G48" s="79"/>
      <c r="H48" s="74" t="s">
        <v>118</v>
      </c>
    </row>
    <row r="49" spans="1:8" x14ac:dyDescent="0.25">
      <c r="A49" s="77">
        <v>38</v>
      </c>
      <c r="B49" s="74" t="s">
        <v>23</v>
      </c>
      <c r="C49" s="74" t="s">
        <v>119</v>
      </c>
      <c r="D49" s="75">
        <v>45616</v>
      </c>
      <c r="E49" s="75"/>
      <c r="F49" s="79">
        <v>15000</v>
      </c>
      <c r="G49" s="79"/>
      <c r="H49" s="74" t="s">
        <v>118</v>
      </c>
    </row>
    <row r="50" spans="1:8" x14ac:dyDescent="0.25">
      <c r="A50" s="77">
        <v>39</v>
      </c>
      <c r="B50" s="74" t="s">
        <v>18</v>
      </c>
      <c r="C50" s="74" t="s">
        <v>137</v>
      </c>
      <c r="D50" s="75">
        <v>45587</v>
      </c>
      <c r="E50" s="75"/>
      <c r="F50" s="79">
        <v>8700</v>
      </c>
      <c r="G50" s="79">
        <v>8700</v>
      </c>
      <c r="H50" s="74" t="s">
        <v>118</v>
      </c>
    </row>
    <row r="51" spans="1:8" x14ac:dyDescent="0.25">
      <c r="A51" s="77"/>
      <c r="B51" s="74"/>
      <c r="C51" s="74"/>
      <c r="D51" s="75"/>
      <c r="E51" s="75"/>
      <c r="F51" s="79"/>
      <c r="G51" s="79"/>
      <c r="H51" s="74"/>
    </row>
    <row r="52" spans="1:8" x14ac:dyDescent="0.25">
      <c r="A52" s="77"/>
      <c r="B52" s="74"/>
      <c r="C52" s="74"/>
      <c r="D52" s="75"/>
      <c r="E52" s="75"/>
      <c r="F52" s="79"/>
      <c r="G52" s="79"/>
      <c r="H52" s="74"/>
    </row>
    <row r="53" spans="1:8" x14ac:dyDescent="0.25">
      <c r="A53" s="77"/>
      <c r="B53" s="74"/>
      <c r="C53" s="74"/>
      <c r="D53" s="75"/>
      <c r="E53" s="75"/>
      <c r="F53" s="79"/>
      <c r="G53" s="79"/>
      <c r="H53" s="74"/>
    </row>
    <row r="54" spans="1:8" x14ac:dyDescent="0.25">
      <c r="A54" s="77"/>
      <c r="B54" s="74"/>
      <c r="C54" s="74"/>
      <c r="D54" s="75"/>
      <c r="E54" s="75"/>
      <c r="F54" s="79"/>
      <c r="G54" s="79"/>
      <c r="H54" s="74"/>
    </row>
    <row r="55" spans="1:8" x14ac:dyDescent="0.25">
      <c r="A55" s="77"/>
      <c r="B55" s="74"/>
      <c r="C55" s="74"/>
      <c r="D55" s="75"/>
      <c r="E55" s="75"/>
      <c r="F55" s="79"/>
      <c r="G55" s="79"/>
      <c r="H55" s="74"/>
    </row>
    <row r="56" spans="1:8" x14ac:dyDescent="0.25">
      <c r="A56" s="77"/>
      <c r="B56" s="74"/>
      <c r="C56" s="74"/>
      <c r="D56" s="75"/>
      <c r="E56" s="77"/>
      <c r="F56" s="79"/>
      <c r="G56" s="79"/>
      <c r="H56" s="74"/>
    </row>
    <row r="57" spans="1:8" x14ac:dyDescent="0.25">
      <c r="A57" s="77"/>
      <c r="B57" s="74"/>
      <c r="C57" s="74"/>
      <c r="D57" s="75"/>
      <c r="E57" s="77"/>
      <c r="F57" s="79"/>
      <c r="G57" s="76"/>
      <c r="H57" s="74"/>
    </row>
    <row r="58" spans="1:8" x14ac:dyDescent="0.25">
      <c r="A58" s="77"/>
      <c r="B58" s="74"/>
      <c r="C58" s="74"/>
      <c r="D58" s="75"/>
      <c r="E58" s="77"/>
      <c r="F58" s="79"/>
      <c r="G58" s="76"/>
      <c r="H58" s="74"/>
    </row>
    <row r="59" spans="1:8" x14ac:dyDescent="0.25">
      <c r="A59" s="77"/>
      <c r="B59" s="74"/>
      <c r="C59" s="74"/>
      <c r="D59" s="75"/>
      <c r="E59" s="77"/>
      <c r="F59" s="79"/>
      <c r="G59" s="76"/>
      <c r="H59" s="74"/>
    </row>
    <row r="60" spans="1:8" x14ac:dyDescent="0.25">
      <c r="A60" s="77"/>
      <c r="B60" s="74"/>
      <c r="C60" s="74"/>
      <c r="D60" s="75"/>
      <c r="E60" s="77"/>
      <c r="F60" s="79"/>
      <c r="G60" s="76"/>
      <c r="H60" s="74"/>
    </row>
    <row r="61" spans="1:8" x14ac:dyDescent="0.25">
      <c r="A61" s="77"/>
      <c r="B61" s="74"/>
      <c r="C61" s="74"/>
      <c r="D61" s="75"/>
      <c r="E61" s="77"/>
      <c r="F61" s="79"/>
      <c r="G61" s="76"/>
      <c r="H61" s="74"/>
    </row>
    <row r="62" spans="1:8" x14ac:dyDescent="0.25">
      <c r="A62" s="77"/>
      <c r="B62" s="74"/>
      <c r="C62" s="74"/>
      <c r="D62" s="75"/>
      <c r="E62" s="77"/>
      <c r="F62" s="79"/>
      <c r="G62" s="76"/>
      <c r="H62" s="74"/>
    </row>
    <row r="63" spans="1:8" x14ac:dyDescent="0.25">
      <c r="A63" s="77"/>
      <c r="B63" s="74"/>
      <c r="C63" s="74"/>
      <c r="D63" s="77"/>
      <c r="E63" s="77"/>
      <c r="F63" s="79"/>
      <c r="G63" s="76"/>
      <c r="H63" s="74"/>
    </row>
    <row r="64" spans="1:8" x14ac:dyDescent="0.25">
      <c r="A64" s="77"/>
      <c r="B64" s="74"/>
      <c r="C64" s="74"/>
      <c r="D64" s="77"/>
      <c r="E64" s="77"/>
      <c r="F64" s="79"/>
      <c r="G64" s="76"/>
      <c r="H64" s="74"/>
    </row>
    <row r="65" spans="1:8" x14ac:dyDescent="0.25">
      <c r="A65" s="77"/>
      <c r="B65" s="74"/>
      <c r="C65" s="74"/>
      <c r="D65" s="77"/>
      <c r="E65" s="77"/>
      <c r="F65" s="79"/>
      <c r="G65" s="76"/>
      <c r="H65" s="74"/>
    </row>
    <row r="66" spans="1:8" x14ac:dyDescent="0.25">
      <c r="A66" s="77"/>
      <c r="B66" s="74"/>
      <c r="C66" s="74"/>
      <c r="D66" s="77"/>
      <c r="E66" s="77"/>
      <c r="F66" s="79"/>
      <c r="G66" s="76"/>
      <c r="H66" s="74"/>
    </row>
    <row r="67" spans="1:8" x14ac:dyDescent="0.25">
      <c r="A67" s="77"/>
      <c r="B67" s="74"/>
      <c r="C67" s="74"/>
      <c r="D67" s="77"/>
      <c r="E67" s="77"/>
      <c r="F67" s="79"/>
      <c r="G67" s="76"/>
      <c r="H67" s="74"/>
    </row>
    <row r="68" spans="1:8" x14ac:dyDescent="0.25">
      <c r="A68" s="77"/>
      <c r="B68" s="74"/>
      <c r="C68" s="74"/>
      <c r="D68" s="77"/>
      <c r="E68" s="77"/>
      <c r="F68" s="79"/>
      <c r="G68" s="76"/>
      <c r="H68" s="74"/>
    </row>
    <row r="69" spans="1:8" x14ac:dyDescent="0.25">
      <c r="A69" s="77"/>
      <c r="B69" s="74"/>
      <c r="C69" s="74"/>
      <c r="D69" s="77"/>
      <c r="E69" s="77"/>
      <c r="F69" s="79"/>
      <c r="G69" s="76"/>
      <c r="H69" s="74"/>
    </row>
    <row r="70" spans="1:8" x14ac:dyDescent="0.25">
      <c r="A70" s="77"/>
      <c r="B70" s="74"/>
      <c r="C70" s="74"/>
      <c r="D70" s="77"/>
      <c r="E70" s="77"/>
      <c r="F70" s="79"/>
      <c r="G70" s="76"/>
      <c r="H70" s="74"/>
    </row>
    <row r="71" spans="1:8" x14ac:dyDescent="0.25">
      <c r="A71" s="77"/>
      <c r="B71" s="74"/>
      <c r="C71" s="74"/>
      <c r="D71" s="77"/>
      <c r="E71" s="77"/>
      <c r="F71" s="79"/>
      <c r="G71" s="76"/>
      <c r="H71" s="74"/>
    </row>
    <row r="72" spans="1:8" x14ac:dyDescent="0.25">
      <c r="A72" s="77"/>
      <c r="B72" s="74"/>
      <c r="C72" s="74"/>
      <c r="D72" s="77"/>
      <c r="E72" s="77"/>
      <c r="F72" s="79"/>
      <c r="G72" s="76"/>
      <c r="H72" s="74"/>
    </row>
    <row r="73" spans="1:8" x14ac:dyDescent="0.25">
      <c r="A73" s="77"/>
      <c r="B73" s="74"/>
      <c r="C73" s="74"/>
      <c r="D73" s="77"/>
      <c r="E73" s="77"/>
      <c r="F73" s="79"/>
      <c r="G73" s="76"/>
      <c r="H73" s="74"/>
    </row>
    <row r="74" spans="1:8" x14ac:dyDescent="0.25">
      <c r="A74" s="77"/>
      <c r="B74" s="74"/>
      <c r="C74" s="74"/>
      <c r="D74" s="77"/>
      <c r="E74" s="77"/>
      <c r="F74" s="79"/>
      <c r="G74" s="76"/>
      <c r="H74" s="74"/>
    </row>
    <row r="75" spans="1:8" x14ac:dyDescent="0.25">
      <c r="A75" s="77"/>
      <c r="B75" s="74"/>
      <c r="C75" s="74"/>
      <c r="D75" s="77"/>
      <c r="E75" s="77"/>
      <c r="F75" s="79"/>
      <c r="G75" s="76"/>
      <c r="H75" s="74"/>
    </row>
    <row r="76" spans="1:8" x14ac:dyDescent="0.25">
      <c r="A76" s="77"/>
      <c r="B76" s="74"/>
      <c r="C76" s="74"/>
      <c r="D76" s="77"/>
      <c r="E76" s="77"/>
      <c r="F76" s="79"/>
      <c r="G76" s="76"/>
      <c r="H76" s="74"/>
    </row>
    <row r="77" spans="1:8" x14ac:dyDescent="0.25">
      <c r="A77" s="77"/>
      <c r="B77" s="74"/>
      <c r="C77" s="74"/>
      <c r="D77" s="77"/>
      <c r="E77" s="77"/>
      <c r="F77" s="79"/>
      <c r="G77" s="76"/>
      <c r="H77" s="74"/>
    </row>
    <row r="78" spans="1:8" x14ac:dyDescent="0.25">
      <c r="A78" s="77"/>
      <c r="B78" s="74"/>
      <c r="C78" s="74"/>
      <c r="D78" s="77"/>
      <c r="E78" s="77"/>
      <c r="F78" s="79"/>
      <c r="G78" s="76"/>
      <c r="H78" s="74"/>
    </row>
    <row r="79" spans="1:8" x14ac:dyDescent="0.25">
      <c r="A79" s="77"/>
      <c r="B79" s="74"/>
      <c r="C79" s="74"/>
      <c r="D79" s="77"/>
      <c r="E79" s="77"/>
      <c r="F79" s="79"/>
      <c r="G79" s="76"/>
      <c r="H79" s="74"/>
    </row>
    <row r="80" spans="1:8" x14ac:dyDescent="0.25">
      <c r="A80" s="77"/>
      <c r="B80" s="74"/>
      <c r="C80" s="74"/>
      <c r="D80" s="77"/>
      <c r="E80" s="77"/>
      <c r="F80" s="79"/>
      <c r="G80" s="76"/>
      <c r="H80" s="74"/>
    </row>
    <row r="81" spans="1:8" x14ac:dyDescent="0.25">
      <c r="A81" s="77"/>
      <c r="B81" s="74"/>
      <c r="C81" s="74"/>
      <c r="D81" s="77"/>
      <c r="E81" s="77"/>
      <c r="F81" s="74"/>
      <c r="G81" s="76"/>
      <c r="H81" s="74"/>
    </row>
    <row r="82" spans="1:8" x14ac:dyDescent="0.25">
      <c r="A82" s="77"/>
      <c r="B82" s="74"/>
      <c r="C82" s="74"/>
      <c r="D82" s="77"/>
      <c r="E82" s="77"/>
      <c r="F82" s="74"/>
      <c r="G82" s="76"/>
      <c r="H82" s="74"/>
    </row>
    <row r="83" spans="1:8" x14ac:dyDescent="0.25">
      <c r="A83" s="77"/>
      <c r="B83" s="74"/>
      <c r="C83" s="74"/>
      <c r="D83" s="77"/>
      <c r="E83" s="77"/>
      <c r="F83" s="74"/>
      <c r="G83" s="76"/>
      <c r="H83" s="74"/>
    </row>
    <row r="84" spans="1:8" x14ac:dyDescent="0.25">
      <c r="A84" s="77"/>
      <c r="B84" s="74"/>
      <c r="C84" s="74"/>
      <c r="D84" s="77"/>
      <c r="E84" s="77"/>
      <c r="F84" s="74"/>
      <c r="G84" s="76"/>
      <c r="H84" s="74"/>
    </row>
    <row r="85" spans="1:8" x14ac:dyDescent="0.25">
      <c r="A85" s="77"/>
      <c r="B85" s="74"/>
      <c r="C85" s="74"/>
      <c r="D85" s="77"/>
      <c r="E85" s="77"/>
      <c r="F85" s="74"/>
      <c r="G85" s="76"/>
      <c r="H85" s="74"/>
    </row>
    <row r="86" spans="1:8" x14ac:dyDescent="0.25">
      <c r="A86" s="77"/>
      <c r="B86" s="74"/>
      <c r="C86" s="74"/>
      <c r="D86" s="77"/>
      <c r="E86" s="77"/>
      <c r="F86" s="74"/>
      <c r="G86" s="76"/>
      <c r="H86" s="74"/>
    </row>
    <row r="87" spans="1:8" x14ac:dyDescent="0.25">
      <c r="A87" s="77"/>
      <c r="B87" s="74"/>
      <c r="C87" s="74"/>
      <c r="D87" s="77"/>
      <c r="E87" s="77"/>
      <c r="F87" s="74"/>
      <c r="G87" s="76"/>
      <c r="H87" s="74"/>
    </row>
    <row r="88" spans="1:8" x14ac:dyDescent="0.25">
      <c r="A88" s="77"/>
      <c r="B88" s="74"/>
      <c r="C88" s="74"/>
      <c r="D88" s="77"/>
      <c r="E88" s="77"/>
      <c r="F88" s="74"/>
      <c r="G88" s="76"/>
      <c r="H88" s="74"/>
    </row>
    <row r="89" spans="1:8" x14ac:dyDescent="0.25">
      <c r="A89" s="77"/>
      <c r="B89" s="74"/>
      <c r="C89" s="74"/>
      <c r="D89" s="77"/>
      <c r="E89" s="77"/>
      <c r="F89" s="74"/>
      <c r="G89" s="76"/>
      <c r="H89" s="74"/>
    </row>
    <row r="90" spans="1:8" x14ac:dyDescent="0.25">
      <c r="A90" s="77"/>
      <c r="B90" s="74"/>
      <c r="C90" s="74"/>
      <c r="D90" s="77"/>
      <c r="E90" s="77"/>
      <c r="F90" s="74"/>
      <c r="G90" s="76"/>
      <c r="H90" s="74"/>
    </row>
    <row r="91" spans="1:8" x14ac:dyDescent="0.25">
      <c r="A91" s="77"/>
      <c r="B91" s="74"/>
      <c r="C91" s="74"/>
      <c r="D91" s="77"/>
      <c r="E91" s="77"/>
      <c r="F91" s="74"/>
      <c r="G91" s="76"/>
      <c r="H91" s="74"/>
    </row>
    <row r="92" spans="1:8" x14ac:dyDescent="0.25">
      <c r="A92" s="77"/>
      <c r="B92" s="74"/>
      <c r="C92" s="74"/>
      <c r="D92" s="77"/>
      <c r="E92" s="77"/>
      <c r="F92" s="74"/>
      <c r="G92" s="76"/>
      <c r="H92" s="74"/>
    </row>
    <row r="93" spans="1:8" x14ac:dyDescent="0.25">
      <c r="A93" s="77"/>
      <c r="B93" s="74"/>
      <c r="C93" s="74"/>
      <c r="D93" s="77"/>
      <c r="E93" s="77"/>
      <c r="F93" s="74"/>
      <c r="G93" s="76"/>
      <c r="H93" s="74"/>
    </row>
    <row r="94" spans="1:8" x14ac:dyDescent="0.25">
      <c r="A94" s="77"/>
      <c r="B94" s="74"/>
      <c r="C94" s="74"/>
      <c r="D94" s="77"/>
      <c r="E94" s="77"/>
      <c r="F94" s="74"/>
      <c r="G94" s="76"/>
      <c r="H94" s="74"/>
    </row>
    <row r="95" spans="1:8" x14ac:dyDescent="0.25">
      <c r="A95" s="77"/>
      <c r="B95" s="74"/>
      <c r="C95" s="74"/>
      <c r="D95" s="77"/>
      <c r="E95" s="77"/>
      <c r="F95" s="74"/>
      <c r="G95" s="76"/>
      <c r="H95" s="74"/>
    </row>
    <row r="96" spans="1:8" x14ac:dyDescent="0.25">
      <c r="A96" s="77"/>
      <c r="B96" s="74"/>
      <c r="C96" s="74"/>
      <c r="D96" s="77"/>
      <c r="E96" s="77"/>
      <c r="F96" s="74"/>
      <c r="G96" s="76"/>
      <c r="H96" s="74"/>
    </row>
    <row r="97" spans="1:8" x14ac:dyDescent="0.25">
      <c r="A97" s="77"/>
      <c r="B97" s="74"/>
      <c r="C97" s="74"/>
      <c r="D97" s="77"/>
      <c r="E97" s="77"/>
      <c r="F97" s="74"/>
      <c r="G97" s="76"/>
      <c r="H97" s="74"/>
    </row>
    <row r="98" spans="1:8" x14ac:dyDescent="0.25">
      <c r="A98" s="77"/>
      <c r="B98" s="74"/>
      <c r="C98" s="74"/>
      <c r="D98" s="77"/>
      <c r="E98" s="77"/>
      <c r="F98" s="74"/>
      <c r="G98" s="76"/>
      <c r="H98" s="74"/>
    </row>
    <row r="99" spans="1:8" x14ac:dyDescent="0.25">
      <c r="A99" s="77"/>
      <c r="B99" s="74"/>
      <c r="C99" s="74"/>
      <c r="D99" s="77"/>
      <c r="E99" s="77"/>
      <c r="F99" s="74"/>
      <c r="G99" s="76"/>
      <c r="H99" s="74"/>
    </row>
    <row r="100" spans="1:8" x14ac:dyDescent="0.25">
      <c r="A100" s="77"/>
      <c r="B100" s="74"/>
      <c r="C100" s="74"/>
      <c r="D100" s="77"/>
      <c r="E100" s="77"/>
      <c r="F100" s="74"/>
      <c r="G100" s="76"/>
      <c r="H100" s="74"/>
    </row>
    <row r="101" spans="1:8" x14ac:dyDescent="0.25">
      <c r="A101" s="77"/>
      <c r="B101" s="74"/>
      <c r="C101" s="74"/>
      <c r="D101" s="77"/>
      <c r="E101" s="77"/>
      <c r="F101" s="74"/>
      <c r="G101" s="76"/>
      <c r="H101" s="74"/>
    </row>
    <row r="102" spans="1:8" x14ac:dyDescent="0.25">
      <c r="A102" s="77"/>
      <c r="B102" s="74"/>
      <c r="C102" s="74"/>
      <c r="D102" s="77"/>
      <c r="E102" s="77"/>
      <c r="F102" s="74"/>
      <c r="G102" s="76"/>
      <c r="H102" s="74"/>
    </row>
    <row r="103" spans="1:8" x14ac:dyDescent="0.25">
      <c r="A103" s="77"/>
      <c r="B103" s="74"/>
      <c r="C103" s="74"/>
      <c r="D103" s="77"/>
      <c r="E103" s="77"/>
      <c r="F103" s="74"/>
      <c r="G103" s="76"/>
      <c r="H103" s="74"/>
    </row>
    <row r="104" spans="1:8" x14ac:dyDescent="0.25">
      <c r="A104" s="77"/>
      <c r="B104" s="74"/>
      <c r="C104" s="74"/>
      <c r="D104" s="77"/>
      <c r="E104" s="77"/>
      <c r="F104" s="74"/>
      <c r="G104" s="76"/>
      <c r="H104" s="74"/>
    </row>
    <row r="105" spans="1:8" x14ac:dyDescent="0.25">
      <c r="A105" s="77"/>
      <c r="B105" s="74"/>
      <c r="C105" s="74"/>
      <c r="D105" s="77"/>
      <c r="E105" s="77"/>
      <c r="F105" s="74"/>
      <c r="G105" s="76"/>
      <c r="H105" s="74"/>
    </row>
    <row r="106" spans="1:8" x14ac:dyDescent="0.25">
      <c r="A106" s="77"/>
      <c r="B106" s="74"/>
      <c r="C106" s="74"/>
      <c r="D106" s="77"/>
      <c r="E106" s="77"/>
      <c r="F106" s="74"/>
      <c r="G106" s="76"/>
      <c r="H106" s="74"/>
    </row>
    <row r="107" spans="1:8" x14ac:dyDescent="0.25">
      <c r="A107" s="77"/>
      <c r="B107" s="74"/>
      <c r="C107" s="74"/>
      <c r="D107" s="77"/>
      <c r="E107" s="77"/>
      <c r="F107" s="74"/>
      <c r="G107" s="76"/>
      <c r="H107" s="74"/>
    </row>
    <row r="108" spans="1:8" x14ac:dyDescent="0.25">
      <c r="A108" s="77"/>
      <c r="B108" s="74"/>
      <c r="C108" s="74"/>
      <c r="D108" s="77"/>
      <c r="E108" s="77"/>
      <c r="F108" s="74"/>
      <c r="G108" s="76"/>
      <c r="H108" s="74"/>
    </row>
    <row r="109" spans="1:8" x14ac:dyDescent="0.25">
      <c r="A109" s="77"/>
      <c r="B109" s="74"/>
      <c r="C109" s="74"/>
      <c r="D109" s="77"/>
      <c r="E109" s="77"/>
      <c r="F109" s="74"/>
      <c r="G109" s="76"/>
      <c r="H109" s="74"/>
    </row>
    <row r="110" spans="1:8" x14ac:dyDescent="0.25">
      <c r="A110" s="77"/>
      <c r="B110" s="74"/>
      <c r="C110" s="74"/>
      <c r="D110" s="77"/>
      <c r="E110" s="77"/>
      <c r="F110" s="74"/>
      <c r="G110" s="76"/>
      <c r="H110" s="74"/>
    </row>
    <row r="111" spans="1:8" x14ac:dyDescent="0.25">
      <c r="A111" s="77"/>
      <c r="B111" s="74"/>
      <c r="C111" s="74"/>
      <c r="D111" s="77"/>
      <c r="E111" s="77"/>
      <c r="F111" s="74"/>
      <c r="G111" s="76"/>
      <c r="H111" s="74"/>
    </row>
    <row r="112" spans="1:8" x14ac:dyDescent="0.25">
      <c r="A112" s="77"/>
      <c r="B112" s="74"/>
      <c r="C112" s="74"/>
      <c r="D112" s="77"/>
      <c r="E112" s="77"/>
      <c r="F112" s="74"/>
      <c r="G112" s="76"/>
      <c r="H112" s="74"/>
    </row>
    <row r="113" spans="1:8" x14ac:dyDescent="0.25">
      <c r="A113" s="77"/>
      <c r="B113" s="74"/>
      <c r="C113" s="74"/>
      <c r="D113" s="77"/>
      <c r="E113" s="77"/>
      <c r="F113" s="74"/>
      <c r="G113" s="76"/>
      <c r="H113" s="74"/>
    </row>
  </sheetData>
  <autoFilter ref="A1:H113" xr:uid="{4794CAE5-4C0E-44AC-AB44-6D5A18AF1B76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0CBA-8533-4AE7-B9FC-BEAF045E190C}">
  <dimension ref="A1:Y48"/>
  <sheetViews>
    <sheetView topLeftCell="F1" workbookViewId="0">
      <selection activeCell="G18" sqref="G18:G19"/>
    </sheetView>
  </sheetViews>
  <sheetFormatPr defaultColWidth="8.85546875" defaultRowHeight="15" outlineLevelRow="1" x14ac:dyDescent="0.25"/>
  <cols>
    <col min="1" max="1" width="9.140625" style="41"/>
    <col min="2" max="2" width="19.28515625" style="41" bestFit="1" customWidth="1"/>
    <col min="3" max="3" width="19.28515625" style="41" customWidth="1"/>
    <col min="4" max="7" width="29.28515625" customWidth="1"/>
    <col min="8" max="8" width="29" style="43" bestFit="1" customWidth="1"/>
    <col min="9" max="9" width="28.28515625" style="43" bestFit="1" customWidth="1"/>
    <col min="10" max="10" width="19.28515625" style="41" bestFit="1" customWidth="1"/>
    <col min="11" max="11" width="9.42578125" style="42" bestFit="1" customWidth="1"/>
    <col min="24" max="24" width="13.7109375" customWidth="1"/>
    <col min="25" max="25" width="8.42578125" style="42" bestFit="1" customWidth="1"/>
  </cols>
  <sheetData>
    <row r="1" spans="1:25" ht="16.5" thickTop="1" thickBot="1" x14ac:dyDescent="0.3">
      <c r="A1" s="134" t="s">
        <v>50</v>
      </c>
      <c r="B1" s="134" t="s">
        <v>52</v>
      </c>
      <c r="C1" s="134" t="s">
        <v>51</v>
      </c>
      <c r="D1" s="134" t="s">
        <v>57</v>
      </c>
      <c r="E1" s="134" t="s">
        <v>59</v>
      </c>
      <c r="F1" s="134" t="s">
        <v>58</v>
      </c>
      <c r="G1" s="134" t="s">
        <v>60</v>
      </c>
      <c r="H1" s="138" t="s">
        <v>54</v>
      </c>
      <c r="I1" s="138" t="s">
        <v>55</v>
      </c>
      <c r="J1" s="134" t="s">
        <v>49</v>
      </c>
      <c r="K1" s="140" t="s">
        <v>56</v>
      </c>
      <c r="L1" s="136" t="s">
        <v>94</v>
      </c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42" t="s">
        <v>70</v>
      </c>
      <c r="Y1" s="132" t="s">
        <v>71</v>
      </c>
    </row>
    <row r="2" spans="1:25" ht="16.5" thickTop="1" thickBot="1" x14ac:dyDescent="0.3">
      <c r="A2" s="135"/>
      <c r="B2" s="135"/>
      <c r="C2" s="135"/>
      <c r="D2" s="135"/>
      <c r="E2" s="135"/>
      <c r="F2" s="135"/>
      <c r="G2" s="135"/>
      <c r="H2" s="139"/>
      <c r="I2" s="139"/>
      <c r="J2" s="135"/>
      <c r="K2" s="141"/>
      <c r="L2" s="48">
        <v>45292</v>
      </c>
      <c r="M2" s="48">
        <v>45323</v>
      </c>
      <c r="N2" s="48">
        <v>45352</v>
      </c>
      <c r="O2" s="48">
        <v>45383</v>
      </c>
      <c r="P2" s="48">
        <v>45413</v>
      </c>
      <c r="Q2" s="48">
        <v>45444</v>
      </c>
      <c r="R2" s="48">
        <v>45474</v>
      </c>
      <c r="S2" s="48">
        <v>45505</v>
      </c>
      <c r="T2" s="48">
        <v>45536</v>
      </c>
      <c r="U2" s="48">
        <v>45566</v>
      </c>
      <c r="V2" s="48">
        <v>45597</v>
      </c>
      <c r="W2" s="48">
        <v>45627</v>
      </c>
      <c r="X2" s="143"/>
      <c r="Y2" s="133"/>
    </row>
    <row r="3" spans="1:25" s="41" customFormat="1" ht="15.75" thickTop="1" x14ac:dyDescent="0.25">
      <c r="A3" s="64">
        <v>1</v>
      </c>
      <c r="B3" s="52" t="s">
        <v>53</v>
      </c>
      <c r="C3" s="52" t="s">
        <v>61</v>
      </c>
      <c r="D3" s="52" t="s">
        <v>92</v>
      </c>
      <c r="E3" s="62">
        <f>SUM(E4:E22)</f>
        <v>636000</v>
      </c>
      <c r="F3" s="62">
        <f>SUM(F4:F22)</f>
        <v>614461</v>
      </c>
      <c r="G3" s="52" t="s">
        <v>42</v>
      </c>
      <c r="H3" s="60">
        <f>MIN(H4:H22)</f>
        <v>45376</v>
      </c>
      <c r="I3" s="60">
        <f>MAX(I4:I22)</f>
        <v>45468</v>
      </c>
      <c r="J3" s="52" t="s">
        <v>93</v>
      </c>
      <c r="K3" s="65">
        <f t="shared" ref="K3:V3" si="0">(K4*$F$4+K6*$F$6+K8*$F$8+K10*$F$10+K12*$F$12+K14*$F$14+K16*$F$16+K18*$F$18+K20*$F$20+K22*$F$22)/$F$3</f>
        <v>0.15162371574436784</v>
      </c>
      <c r="L3" s="65">
        <f>(L4*$F$4+L6*$F$6+L8*$F$8+L10*$F$10+L12*$F$12+L14*$F$14+L16*$F$16+L18*$F$18+L20*$F$20+L22*$F$22)/$F$3</f>
        <v>0</v>
      </c>
      <c r="M3" s="65">
        <f t="shared" si="0"/>
        <v>0</v>
      </c>
      <c r="N3" s="65">
        <f t="shared" si="0"/>
        <v>0</v>
      </c>
      <c r="O3" s="65">
        <f t="shared" si="0"/>
        <v>0.15162371574436784</v>
      </c>
      <c r="P3" s="65">
        <f t="shared" si="0"/>
        <v>0.42824759016438796</v>
      </c>
      <c r="Q3" s="65">
        <f t="shared" si="0"/>
        <v>0.19641880851673255</v>
      </c>
      <c r="R3" s="65">
        <f t="shared" si="0"/>
        <v>0</v>
      </c>
      <c r="S3" s="65">
        <f t="shared" si="0"/>
        <v>0</v>
      </c>
      <c r="T3" s="65">
        <f t="shared" si="0"/>
        <v>0</v>
      </c>
      <c r="U3" s="65">
        <f t="shared" si="0"/>
        <v>0</v>
      </c>
      <c r="V3" s="65">
        <f t="shared" si="0"/>
        <v>0</v>
      </c>
      <c r="W3" s="65">
        <f>(W4*$F$4+W6*$F$6+W8*$F$8+W10*$F$10+W12*$F$12+W14*$F$14+W16*$F$16+W18*$F$18+W20*$F$20+W22*$F$22)/$F$3</f>
        <v>0</v>
      </c>
      <c r="X3" s="62">
        <f>IF(K3*F3=0,"",K3*F3)</f>
        <v>93166.86</v>
      </c>
      <c r="Y3" s="55">
        <f>IFERROR(X3/F3,"")</f>
        <v>0.15162371574436784</v>
      </c>
    </row>
    <row r="4" spans="1:25" s="41" customFormat="1" outlineLevel="1" x14ac:dyDescent="0.25">
      <c r="A4" s="128" t="s">
        <v>43</v>
      </c>
      <c r="B4" s="124" t="s">
        <v>53</v>
      </c>
      <c r="C4" s="124" t="s">
        <v>61</v>
      </c>
      <c r="D4" s="124" t="s">
        <v>47</v>
      </c>
      <c r="E4" s="126">
        <v>3116.69</v>
      </c>
      <c r="F4" s="126">
        <v>3116.69</v>
      </c>
      <c r="G4" s="124" t="s">
        <v>69</v>
      </c>
      <c r="H4" s="130">
        <v>45376</v>
      </c>
      <c r="I4" s="130">
        <v>45407</v>
      </c>
      <c r="J4" s="130" t="s">
        <v>96</v>
      </c>
      <c r="K4" s="122">
        <v>1</v>
      </c>
      <c r="L4" s="66"/>
      <c r="M4" s="66"/>
      <c r="N4" s="66"/>
      <c r="O4" s="66">
        <v>1</v>
      </c>
      <c r="P4" s="66"/>
      <c r="Q4" s="66"/>
      <c r="R4" s="66"/>
      <c r="S4" s="66"/>
      <c r="T4" s="66"/>
      <c r="U4" s="66"/>
      <c r="V4" s="66"/>
      <c r="W4" s="67"/>
      <c r="X4" s="63">
        <f>IF(K4*F4=0,"",K4*F4)</f>
        <v>3116.69</v>
      </c>
      <c r="Y4" s="51">
        <f>IFERROR(X4/F4,"")</f>
        <v>1</v>
      </c>
    </row>
    <row r="5" spans="1:25" s="41" customFormat="1" outlineLevel="1" x14ac:dyDescent="0.25">
      <c r="A5" s="129"/>
      <c r="B5" s="125"/>
      <c r="C5" s="125"/>
      <c r="D5" s="125"/>
      <c r="E5" s="127"/>
      <c r="F5" s="127"/>
      <c r="G5" s="125"/>
      <c r="H5" s="131"/>
      <c r="I5" s="131"/>
      <c r="J5" s="131"/>
      <c r="K5" s="123"/>
      <c r="L5" s="68"/>
      <c r="M5" s="68"/>
      <c r="N5" s="68"/>
      <c r="O5" s="68">
        <v>1</v>
      </c>
      <c r="P5" s="68"/>
      <c r="Q5" s="68"/>
      <c r="R5" s="68"/>
      <c r="S5" s="68"/>
      <c r="T5" s="68"/>
      <c r="U5" s="68"/>
      <c r="V5" s="68"/>
      <c r="W5" s="69"/>
      <c r="X5" s="63"/>
      <c r="Y5" s="51"/>
    </row>
    <row r="6" spans="1:25" s="41" customFormat="1" outlineLevel="1" x14ac:dyDescent="0.25">
      <c r="A6" s="128" t="s">
        <v>44</v>
      </c>
      <c r="B6" s="124" t="s">
        <v>53</v>
      </c>
      <c r="C6" s="124" t="s">
        <v>61</v>
      </c>
      <c r="D6" s="124" t="s">
        <v>46</v>
      </c>
      <c r="E6" s="126">
        <v>49517.72</v>
      </c>
      <c r="F6" s="126">
        <v>49517.72</v>
      </c>
      <c r="G6" s="124" t="s">
        <v>69</v>
      </c>
      <c r="H6" s="130">
        <v>45408</v>
      </c>
      <c r="I6" s="130">
        <v>45425</v>
      </c>
      <c r="J6" s="130" t="s">
        <v>96</v>
      </c>
      <c r="K6" s="122">
        <v>0.5</v>
      </c>
      <c r="L6" s="66"/>
      <c r="M6" s="66"/>
      <c r="N6" s="66"/>
      <c r="O6" s="66">
        <v>0.5</v>
      </c>
      <c r="P6" s="66">
        <v>0.5</v>
      </c>
      <c r="Q6" s="66"/>
      <c r="R6" s="66"/>
      <c r="S6" s="66"/>
      <c r="T6" s="66"/>
      <c r="U6" s="66"/>
      <c r="V6" s="66"/>
      <c r="W6" s="67"/>
      <c r="X6" s="63">
        <f>IF(K6*F6=0,"",K6*F6)</f>
        <v>24758.86</v>
      </c>
      <c r="Y6" s="51">
        <f t="shared" ref="Y6:Y47" si="1">IFERROR(X6/F6,"")</f>
        <v>0.5</v>
      </c>
    </row>
    <row r="7" spans="1:25" s="41" customFormat="1" outlineLevel="1" x14ac:dyDescent="0.25">
      <c r="A7" s="129"/>
      <c r="B7" s="125"/>
      <c r="C7" s="125"/>
      <c r="D7" s="125"/>
      <c r="E7" s="127"/>
      <c r="F7" s="127"/>
      <c r="G7" s="125"/>
      <c r="H7" s="131"/>
      <c r="I7" s="131"/>
      <c r="J7" s="131"/>
      <c r="K7" s="123"/>
      <c r="L7" s="68"/>
      <c r="M7" s="68"/>
      <c r="N7" s="68"/>
      <c r="O7" s="68">
        <v>0.5</v>
      </c>
      <c r="P7" s="68"/>
      <c r="Q7" s="68"/>
      <c r="R7" s="68"/>
      <c r="S7" s="68"/>
      <c r="T7" s="68"/>
      <c r="U7" s="68"/>
      <c r="V7" s="68"/>
      <c r="W7" s="69"/>
      <c r="X7" s="63"/>
      <c r="Y7" s="51"/>
    </row>
    <row r="8" spans="1:25" s="41" customFormat="1" outlineLevel="1" x14ac:dyDescent="0.25">
      <c r="A8" s="128" t="s">
        <v>45</v>
      </c>
      <c r="B8" s="124" t="s">
        <v>53</v>
      </c>
      <c r="C8" s="124" t="s">
        <v>61</v>
      </c>
      <c r="D8" s="124" t="s">
        <v>62</v>
      </c>
      <c r="E8" s="126">
        <v>155082.51</v>
      </c>
      <c r="F8" s="126">
        <v>155082.51</v>
      </c>
      <c r="G8" s="124" t="s">
        <v>69</v>
      </c>
      <c r="H8" s="130">
        <v>45408</v>
      </c>
      <c r="I8" s="130">
        <v>45439</v>
      </c>
      <c r="J8" s="130" t="s">
        <v>93</v>
      </c>
      <c r="K8" s="122"/>
      <c r="L8" s="66"/>
      <c r="M8" s="66"/>
      <c r="N8" s="66"/>
      <c r="O8" s="66"/>
      <c r="P8" s="66">
        <v>0.75</v>
      </c>
      <c r="Q8" s="66">
        <v>0.25</v>
      </c>
      <c r="R8" s="66"/>
      <c r="S8" s="66"/>
      <c r="T8" s="66"/>
      <c r="U8" s="66"/>
      <c r="V8" s="66"/>
      <c r="W8" s="67"/>
      <c r="X8" s="63" t="str">
        <f t="shared" ref="X8:X47" si="2">IF(K8*F8=0,"",K8*F8)</f>
        <v/>
      </c>
      <c r="Y8" s="51" t="str">
        <f t="shared" si="1"/>
        <v/>
      </c>
    </row>
    <row r="9" spans="1:25" s="41" customFormat="1" outlineLevel="1" x14ac:dyDescent="0.25">
      <c r="A9" s="129"/>
      <c r="B9" s="125"/>
      <c r="C9" s="125"/>
      <c r="D9" s="125"/>
      <c r="E9" s="127"/>
      <c r="F9" s="127"/>
      <c r="G9" s="125"/>
      <c r="H9" s="131"/>
      <c r="I9" s="131"/>
      <c r="J9" s="131"/>
      <c r="K9" s="123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9"/>
      <c r="X9" s="63"/>
      <c r="Y9" s="51"/>
    </row>
    <row r="10" spans="1:25" s="41" customFormat="1" outlineLevel="1" x14ac:dyDescent="0.25">
      <c r="A10" s="128" t="s">
        <v>85</v>
      </c>
      <c r="B10" s="124" t="s">
        <v>53</v>
      </c>
      <c r="C10" s="124" t="s">
        <v>61</v>
      </c>
      <c r="D10" s="124" t="s">
        <v>63</v>
      </c>
      <c r="E10" s="126">
        <v>85774.76</v>
      </c>
      <c r="F10" s="126">
        <v>85774.76</v>
      </c>
      <c r="G10" s="124" t="s">
        <v>69</v>
      </c>
      <c r="H10" s="130">
        <v>45424</v>
      </c>
      <c r="I10" s="130">
        <v>45439</v>
      </c>
      <c r="J10" s="130"/>
      <c r="K10" s="122"/>
      <c r="L10" s="66"/>
      <c r="M10" s="66"/>
      <c r="N10" s="66"/>
      <c r="O10" s="66"/>
      <c r="P10" s="66">
        <v>0.25</v>
      </c>
      <c r="Q10" s="66">
        <v>0.75</v>
      </c>
      <c r="R10" s="66"/>
      <c r="S10" s="66"/>
      <c r="T10" s="66"/>
      <c r="U10" s="66"/>
      <c r="V10" s="66"/>
      <c r="W10" s="67"/>
      <c r="X10" s="63" t="str">
        <f t="shared" si="2"/>
        <v/>
      </c>
      <c r="Y10" s="51" t="str">
        <f t="shared" si="1"/>
        <v/>
      </c>
    </row>
    <row r="11" spans="1:25" s="41" customFormat="1" outlineLevel="1" x14ac:dyDescent="0.25">
      <c r="A11" s="129"/>
      <c r="B11" s="125"/>
      <c r="C11" s="125"/>
      <c r="D11" s="125"/>
      <c r="E11" s="127"/>
      <c r="F11" s="127"/>
      <c r="G11" s="125"/>
      <c r="H11" s="131"/>
      <c r="I11" s="131"/>
      <c r="J11" s="131"/>
      <c r="K11" s="123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63"/>
      <c r="Y11" s="51"/>
    </row>
    <row r="12" spans="1:25" s="41" customFormat="1" outlineLevel="1" x14ac:dyDescent="0.25">
      <c r="A12" s="128" t="s">
        <v>86</v>
      </c>
      <c r="B12" s="124" t="s">
        <v>53</v>
      </c>
      <c r="C12" s="124" t="s">
        <v>61</v>
      </c>
      <c r="D12" s="124" t="s">
        <v>64</v>
      </c>
      <c r="E12" s="126">
        <v>11581.9</v>
      </c>
      <c r="F12" s="126">
        <v>11581.9</v>
      </c>
      <c r="G12" s="124" t="s">
        <v>69</v>
      </c>
      <c r="H12" s="130">
        <v>45415</v>
      </c>
      <c r="I12" s="130">
        <v>45432</v>
      </c>
      <c r="J12" s="130" t="s">
        <v>93</v>
      </c>
      <c r="K12" s="122"/>
      <c r="L12" s="66"/>
      <c r="M12" s="66"/>
      <c r="N12" s="66"/>
      <c r="O12" s="66"/>
      <c r="P12" s="66">
        <v>1</v>
      </c>
      <c r="Q12" s="66"/>
      <c r="R12" s="66"/>
      <c r="S12" s="66"/>
      <c r="T12" s="66"/>
      <c r="U12" s="66"/>
      <c r="V12" s="66"/>
      <c r="W12" s="67"/>
      <c r="X12" s="63" t="str">
        <f t="shared" si="2"/>
        <v/>
      </c>
      <c r="Y12" s="51" t="str">
        <f t="shared" si="1"/>
        <v/>
      </c>
    </row>
    <row r="13" spans="1:25" s="41" customFormat="1" outlineLevel="1" x14ac:dyDescent="0.25">
      <c r="A13" s="129"/>
      <c r="B13" s="125"/>
      <c r="C13" s="125"/>
      <c r="D13" s="125"/>
      <c r="E13" s="127"/>
      <c r="F13" s="127"/>
      <c r="G13" s="125"/>
      <c r="H13" s="131"/>
      <c r="I13" s="131"/>
      <c r="J13" s="131"/>
      <c r="K13" s="123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63"/>
      <c r="Y13" s="51"/>
    </row>
    <row r="14" spans="1:25" s="41" customFormat="1" outlineLevel="1" x14ac:dyDescent="0.25">
      <c r="A14" s="128" t="s">
        <v>87</v>
      </c>
      <c r="B14" s="124" t="s">
        <v>53</v>
      </c>
      <c r="C14" s="124" t="s">
        <v>61</v>
      </c>
      <c r="D14" s="124" t="s">
        <v>65</v>
      </c>
      <c r="E14" s="126">
        <v>67281.34</v>
      </c>
      <c r="F14" s="126">
        <v>67281.34</v>
      </c>
      <c r="G14" s="124" t="s">
        <v>69</v>
      </c>
      <c r="H14" s="130">
        <v>45415</v>
      </c>
      <c r="I14" s="130">
        <v>45447</v>
      </c>
      <c r="J14" s="130"/>
      <c r="K14" s="122"/>
      <c r="L14" s="66"/>
      <c r="M14" s="66"/>
      <c r="N14" s="66"/>
      <c r="O14" s="66"/>
      <c r="P14" s="66">
        <v>1</v>
      </c>
      <c r="Q14" s="66"/>
      <c r="R14" s="66"/>
      <c r="S14" s="66"/>
      <c r="T14" s="66"/>
      <c r="U14" s="66"/>
      <c r="V14" s="66"/>
      <c r="W14" s="67"/>
      <c r="X14" s="63" t="str">
        <f t="shared" si="2"/>
        <v/>
      </c>
      <c r="Y14" s="51" t="str">
        <f t="shared" si="1"/>
        <v/>
      </c>
    </row>
    <row r="15" spans="1:25" s="41" customFormat="1" outlineLevel="1" x14ac:dyDescent="0.25">
      <c r="A15" s="129"/>
      <c r="B15" s="125"/>
      <c r="C15" s="125"/>
      <c r="D15" s="125"/>
      <c r="E15" s="127"/>
      <c r="F15" s="127"/>
      <c r="G15" s="125"/>
      <c r="H15" s="131"/>
      <c r="I15" s="131"/>
      <c r="J15" s="131"/>
      <c r="K15" s="123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3"/>
      <c r="Y15" s="51"/>
    </row>
    <row r="16" spans="1:25" s="41" customFormat="1" outlineLevel="1" x14ac:dyDescent="0.25">
      <c r="A16" s="128" t="s">
        <v>88</v>
      </c>
      <c r="B16" s="124" t="s">
        <v>53</v>
      </c>
      <c r="C16" s="124" t="s">
        <v>61</v>
      </c>
      <c r="D16" s="124" t="s">
        <v>66</v>
      </c>
      <c r="E16" s="126">
        <v>12140</v>
      </c>
      <c r="F16" s="126">
        <v>12140</v>
      </c>
      <c r="G16" s="124" t="s">
        <v>69</v>
      </c>
      <c r="H16" s="130">
        <v>45440</v>
      </c>
      <c r="I16" s="130">
        <v>45447</v>
      </c>
      <c r="J16" s="130"/>
      <c r="K16" s="122"/>
      <c r="L16" s="66"/>
      <c r="M16" s="66"/>
      <c r="N16" s="66"/>
      <c r="O16" s="66"/>
      <c r="P16" s="66"/>
      <c r="Q16" s="66">
        <v>1</v>
      </c>
      <c r="R16" s="66"/>
      <c r="S16" s="66"/>
      <c r="T16" s="66"/>
      <c r="U16" s="66"/>
      <c r="V16" s="66"/>
      <c r="W16" s="67"/>
      <c r="X16" s="63" t="str">
        <f t="shared" si="2"/>
        <v/>
      </c>
      <c r="Y16" s="51" t="str">
        <f t="shared" si="1"/>
        <v/>
      </c>
    </row>
    <row r="17" spans="1:25" s="41" customFormat="1" outlineLevel="1" x14ac:dyDescent="0.25">
      <c r="A17" s="129"/>
      <c r="B17" s="125"/>
      <c r="C17" s="125"/>
      <c r="D17" s="125"/>
      <c r="E17" s="127"/>
      <c r="F17" s="127"/>
      <c r="G17" s="125"/>
      <c r="H17" s="131"/>
      <c r="I17" s="131"/>
      <c r="J17" s="131"/>
      <c r="K17" s="123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3"/>
      <c r="Y17" s="51"/>
    </row>
    <row r="18" spans="1:25" s="41" customFormat="1" outlineLevel="1" x14ac:dyDescent="0.25">
      <c r="A18" s="128" t="s">
        <v>89</v>
      </c>
      <c r="B18" s="124" t="s">
        <v>53</v>
      </c>
      <c r="C18" s="124" t="s">
        <v>61</v>
      </c>
      <c r="D18" s="124" t="s">
        <v>48</v>
      </c>
      <c r="E18" s="126">
        <v>87055.08</v>
      </c>
      <c r="F18" s="126">
        <v>87055.08</v>
      </c>
      <c r="G18" s="124" t="s">
        <v>69</v>
      </c>
      <c r="H18" s="130">
        <v>45376</v>
      </c>
      <c r="I18" s="130">
        <v>45423</v>
      </c>
      <c r="J18" s="130" t="s">
        <v>93</v>
      </c>
      <c r="K18" s="122">
        <v>0.75</v>
      </c>
      <c r="L18" s="66"/>
      <c r="M18" s="66"/>
      <c r="N18" s="66"/>
      <c r="O18" s="66">
        <v>0.75</v>
      </c>
      <c r="P18" s="66">
        <v>0.25</v>
      </c>
      <c r="Q18" s="66"/>
      <c r="R18" s="66"/>
      <c r="S18" s="66"/>
      <c r="T18" s="66"/>
      <c r="U18" s="66"/>
      <c r="V18" s="66"/>
      <c r="W18" s="67"/>
      <c r="X18" s="63">
        <f t="shared" si="2"/>
        <v>65291.31</v>
      </c>
      <c r="Y18" s="51">
        <f t="shared" si="1"/>
        <v>0.75</v>
      </c>
    </row>
    <row r="19" spans="1:25" s="41" customFormat="1" outlineLevel="1" x14ac:dyDescent="0.25">
      <c r="A19" s="129"/>
      <c r="B19" s="125"/>
      <c r="C19" s="125"/>
      <c r="D19" s="125"/>
      <c r="E19" s="127"/>
      <c r="F19" s="127"/>
      <c r="G19" s="125"/>
      <c r="H19" s="131"/>
      <c r="I19" s="131"/>
      <c r="J19" s="131"/>
      <c r="K19" s="123"/>
      <c r="L19" s="68"/>
      <c r="M19" s="68"/>
      <c r="N19" s="68"/>
      <c r="O19" s="68">
        <v>0.75</v>
      </c>
      <c r="P19" s="68"/>
      <c r="Q19" s="68"/>
      <c r="R19" s="68"/>
      <c r="S19" s="68"/>
      <c r="T19" s="68"/>
      <c r="U19" s="68"/>
      <c r="V19" s="68"/>
      <c r="W19" s="69"/>
      <c r="X19" s="63"/>
      <c r="Y19" s="51"/>
    </row>
    <row r="20" spans="1:25" s="41" customFormat="1" outlineLevel="1" x14ac:dyDescent="0.25">
      <c r="A20" s="128" t="s">
        <v>90</v>
      </c>
      <c r="B20" s="124" t="s">
        <v>53</v>
      </c>
      <c r="C20" s="124" t="s">
        <v>61</v>
      </c>
      <c r="D20" s="124" t="s">
        <v>67</v>
      </c>
      <c r="E20" s="126">
        <v>5450</v>
      </c>
      <c r="F20" s="126">
        <v>5450</v>
      </c>
      <c r="G20" s="124" t="s">
        <v>69</v>
      </c>
      <c r="H20" s="130">
        <v>45440</v>
      </c>
      <c r="I20" s="130">
        <v>45447</v>
      </c>
      <c r="J20" s="130"/>
      <c r="K20" s="122"/>
      <c r="L20" s="66"/>
      <c r="M20" s="66"/>
      <c r="N20" s="66"/>
      <c r="O20" s="66"/>
      <c r="P20" s="66"/>
      <c r="Q20" s="66">
        <v>1</v>
      </c>
      <c r="R20" s="66"/>
      <c r="S20" s="66"/>
      <c r="T20" s="66"/>
      <c r="U20" s="66"/>
      <c r="V20" s="66"/>
      <c r="W20" s="67"/>
      <c r="X20" s="63" t="str">
        <f t="shared" si="2"/>
        <v/>
      </c>
      <c r="Y20" s="51" t="str">
        <f t="shared" si="1"/>
        <v/>
      </c>
    </row>
    <row r="21" spans="1:25" s="41" customFormat="1" outlineLevel="1" x14ac:dyDescent="0.25">
      <c r="A21" s="129"/>
      <c r="B21" s="125"/>
      <c r="C21" s="125"/>
      <c r="D21" s="125"/>
      <c r="E21" s="127"/>
      <c r="F21" s="127"/>
      <c r="G21" s="125"/>
      <c r="H21" s="131"/>
      <c r="I21" s="131"/>
      <c r="J21" s="131"/>
      <c r="K21" s="123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9"/>
      <c r="X21" s="63"/>
      <c r="Y21" s="51"/>
    </row>
    <row r="22" spans="1:25" s="41" customFormat="1" outlineLevel="1" x14ac:dyDescent="0.25">
      <c r="A22" s="128" t="s">
        <v>91</v>
      </c>
      <c r="B22" s="124" t="s">
        <v>53</v>
      </c>
      <c r="C22" s="124" t="s">
        <v>72</v>
      </c>
      <c r="D22" s="124" t="s">
        <v>68</v>
      </c>
      <c r="E22" s="126">
        <f>636000-SUM(E4:E20)</f>
        <v>158999.99999999994</v>
      </c>
      <c r="F22" s="126">
        <v>137461</v>
      </c>
      <c r="G22" s="124" t="s">
        <v>73</v>
      </c>
      <c r="H22" s="130">
        <v>45383</v>
      </c>
      <c r="I22" s="130">
        <f>H22+15+30+40</f>
        <v>45468</v>
      </c>
      <c r="J22" s="130"/>
      <c r="K22" s="122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7"/>
      <c r="X22" s="63" t="str">
        <f t="shared" si="2"/>
        <v/>
      </c>
      <c r="Y22" s="51" t="str">
        <f t="shared" si="1"/>
        <v/>
      </c>
    </row>
    <row r="23" spans="1:25" s="41" customFormat="1" outlineLevel="1" x14ac:dyDescent="0.25">
      <c r="A23" s="129"/>
      <c r="B23" s="125"/>
      <c r="C23" s="125"/>
      <c r="D23" s="125"/>
      <c r="E23" s="127"/>
      <c r="F23" s="127"/>
      <c r="G23" s="125"/>
      <c r="H23" s="131"/>
      <c r="I23" s="131"/>
      <c r="J23" s="131"/>
      <c r="K23" s="123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9"/>
      <c r="X23" s="63"/>
      <c r="Y23" s="51"/>
    </row>
    <row r="24" spans="1:25" s="59" customFormat="1" x14ac:dyDescent="0.25">
      <c r="A24" s="56">
        <v>2</v>
      </c>
      <c r="B24" s="52" t="s">
        <v>74</v>
      </c>
      <c r="C24" s="52"/>
      <c r="D24" s="53"/>
      <c r="E24" s="54"/>
      <c r="F24" s="53"/>
      <c r="G24" s="53"/>
      <c r="H24" s="60"/>
      <c r="I24" s="60"/>
      <c r="J24" s="52"/>
      <c r="K24" s="5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54" t="str">
        <f t="shared" si="2"/>
        <v/>
      </c>
      <c r="Y24" s="55" t="str">
        <f t="shared" si="1"/>
        <v/>
      </c>
    </row>
    <row r="25" spans="1:25" s="59" customFormat="1" x14ac:dyDescent="0.25">
      <c r="A25" s="56">
        <f t="shared" ref="A25:A46" si="3">IF(B25="","",A24+1)</f>
        <v>3</v>
      </c>
      <c r="B25" s="52" t="s">
        <v>75</v>
      </c>
      <c r="C25" s="52"/>
      <c r="D25" s="53"/>
      <c r="E25" s="53"/>
      <c r="F25" s="53"/>
      <c r="G25" s="53"/>
      <c r="H25" s="60"/>
      <c r="I25" s="60"/>
      <c r="J25" s="52"/>
      <c r="K25" s="5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54" t="str">
        <f t="shared" si="2"/>
        <v/>
      </c>
      <c r="Y25" s="55" t="str">
        <f t="shared" si="1"/>
        <v/>
      </c>
    </row>
    <row r="26" spans="1:25" s="59" customFormat="1" x14ac:dyDescent="0.25">
      <c r="A26" s="56">
        <f t="shared" si="3"/>
        <v>4</v>
      </c>
      <c r="B26" s="52" t="s">
        <v>76</v>
      </c>
      <c r="C26" s="52"/>
      <c r="D26" s="53"/>
      <c r="E26" s="54"/>
      <c r="F26" s="53"/>
      <c r="G26" s="53"/>
      <c r="H26" s="60"/>
      <c r="I26" s="60"/>
      <c r="J26" s="52"/>
      <c r="K26" s="5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54" t="str">
        <f t="shared" si="2"/>
        <v/>
      </c>
      <c r="Y26" s="55" t="str">
        <f t="shared" si="1"/>
        <v/>
      </c>
    </row>
    <row r="27" spans="1:25" s="59" customFormat="1" x14ac:dyDescent="0.25">
      <c r="A27" s="56">
        <f t="shared" si="3"/>
        <v>5</v>
      </c>
      <c r="B27" s="52" t="s">
        <v>83</v>
      </c>
      <c r="C27" s="52"/>
      <c r="D27" s="53"/>
      <c r="E27" s="54"/>
      <c r="F27" s="53"/>
      <c r="G27" s="53"/>
      <c r="H27" s="60"/>
      <c r="I27" s="60"/>
      <c r="J27" s="52"/>
      <c r="K27" s="55"/>
      <c r="L27" s="57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4" t="str">
        <f t="shared" si="2"/>
        <v/>
      </c>
      <c r="Y27" s="55" t="str">
        <f t="shared" si="1"/>
        <v/>
      </c>
    </row>
    <row r="28" spans="1:25" s="59" customFormat="1" x14ac:dyDescent="0.25">
      <c r="A28" s="56">
        <f t="shared" si="3"/>
        <v>6</v>
      </c>
      <c r="B28" s="52" t="s">
        <v>78</v>
      </c>
      <c r="C28" s="52"/>
      <c r="D28" s="53"/>
      <c r="E28" s="54"/>
      <c r="F28" s="53"/>
      <c r="G28" s="53"/>
      <c r="H28" s="60"/>
      <c r="I28" s="60"/>
      <c r="J28" s="52"/>
      <c r="K28" s="55"/>
      <c r="L28" s="57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4" t="str">
        <f t="shared" si="2"/>
        <v/>
      </c>
      <c r="Y28" s="55" t="str">
        <f t="shared" si="1"/>
        <v/>
      </c>
    </row>
    <row r="29" spans="1:25" s="59" customFormat="1" x14ac:dyDescent="0.25">
      <c r="A29" s="56">
        <f t="shared" si="3"/>
        <v>7</v>
      </c>
      <c r="B29" s="52" t="s">
        <v>79</v>
      </c>
      <c r="C29" s="52"/>
      <c r="D29" s="53"/>
      <c r="E29" s="53"/>
      <c r="F29" s="53"/>
      <c r="G29" s="53"/>
      <c r="H29" s="60"/>
      <c r="I29" s="60"/>
      <c r="J29" s="52"/>
      <c r="K29" s="55"/>
      <c r="L29" s="57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4" t="str">
        <f t="shared" si="2"/>
        <v/>
      </c>
      <c r="Y29" s="55" t="str">
        <f t="shared" si="1"/>
        <v/>
      </c>
    </row>
    <row r="30" spans="1:25" s="59" customFormat="1" x14ac:dyDescent="0.25">
      <c r="A30" s="56">
        <f t="shared" si="3"/>
        <v>8</v>
      </c>
      <c r="B30" s="52" t="s">
        <v>80</v>
      </c>
      <c r="C30" s="52"/>
      <c r="D30" s="53"/>
      <c r="E30" s="53"/>
      <c r="F30" s="53"/>
      <c r="G30" s="53"/>
      <c r="H30" s="60"/>
      <c r="I30" s="60"/>
      <c r="J30" s="52"/>
      <c r="K30" s="55"/>
      <c r="L30" s="57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4" t="str">
        <f t="shared" si="2"/>
        <v/>
      </c>
      <c r="Y30" s="55" t="str">
        <f t="shared" si="1"/>
        <v/>
      </c>
    </row>
    <row r="31" spans="1:25" s="59" customFormat="1" x14ac:dyDescent="0.25">
      <c r="A31" s="56">
        <f t="shared" si="3"/>
        <v>9</v>
      </c>
      <c r="B31" s="52" t="s">
        <v>81</v>
      </c>
      <c r="C31" s="52"/>
      <c r="D31" s="53"/>
      <c r="E31" s="53"/>
      <c r="F31" s="53"/>
      <c r="G31" s="53"/>
      <c r="H31" s="60"/>
      <c r="I31" s="60"/>
      <c r="J31" s="52"/>
      <c r="K31" s="55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4" t="str">
        <f t="shared" si="2"/>
        <v/>
      </c>
      <c r="Y31" s="55" t="str">
        <f t="shared" si="1"/>
        <v/>
      </c>
    </row>
    <row r="32" spans="1:25" s="59" customFormat="1" x14ac:dyDescent="0.25">
      <c r="A32" s="56">
        <f t="shared" si="3"/>
        <v>10</v>
      </c>
      <c r="B32" s="52" t="s">
        <v>77</v>
      </c>
      <c r="C32" s="52"/>
      <c r="D32" s="53"/>
      <c r="E32" s="53"/>
      <c r="F32" s="53"/>
      <c r="G32" s="53"/>
      <c r="H32" s="60"/>
      <c r="I32" s="60"/>
      <c r="J32" s="52"/>
      <c r="K32" s="55"/>
      <c r="L32" s="57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4" t="str">
        <f t="shared" si="2"/>
        <v/>
      </c>
      <c r="Y32" s="55" t="str">
        <f t="shared" si="1"/>
        <v/>
      </c>
    </row>
    <row r="33" spans="1:25" s="59" customFormat="1" x14ac:dyDescent="0.25">
      <c r="A33" s="56">
        <f t="shared" si="3"/>
        <v>11</v>
      </c>
      <c r="B33" s="52" t="s">
        <v>82</v>
      </c>
      <c r="C33" s="52"/>
      <c r="D33" s="53"/>
      <c r="E33" s="53"/>
      <c r="F33" s="53"/>
      <c r="G33" s="53"/>
      <c r="H33" s="60"/>
      <c r="I33" s="60"/>
      <c r="J33" s="52"/>
      <c r="K33" s="55"/>
      <c r="L33" s="57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4" t="str">
        <f t="shared" si="2"/>
        <v/>
      </c>
      <c r="Y33" s="55" t="str">
        <f t="shared" si="1"/>
        <v/>
      </c>
    </row>
    <row r="34" spans="1:25" s="59" customFormat="1" x14ac:dyDescent="0.25">
      <c r="A34" s="56">
        <f t="shared" si="3"/>
        <v>12</v>
      </c>
      <c r="B34" s="52" t="s">
        <v>84</v>
      </c>
      <c r="C34" s="52"/>
      <c r="D34" s="53"/>
      <c r="E34" s="53"/>
      <c r="F34" s="53"/>
      <c r="G34" s="53"/>
      <c r="H34" s="60"/>
      <c r="I34" s="60"/>
      <c r="J34" s="52"/>
      <c r="K34" s="55"/>
      <c r="L34" s="57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4" t="str">
        <f t="shared" si="2"/>
        <v/>
      </c>
      <c r="Y34" s="55" t="str">
        <f t="shared" si="1"/>
        <v/>
      </c>
    </row>
    <row r="35" spans="1:25" x14ac:dyDescent="0.25">
      <c r="A35" s="47" t="str">
        <f t="shared" si="3"/>
        <v/>
      </c>
      <c r="B35" s="49"/>
      <c r="C35" s="49"/>
      <c r="D35" s="46"/>
      <c r="E35" s="46"/>
      <c r="F35" s="46"/>
      <c r="G35" s="46"/>
      <c r="H35" s="61"/>
      <c r="I35" s="61"/>
      <c r="J35" s="49"/>
      <c r="K35" s="51"/>
      <c r="L35" s="4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50" t="str">
        <f t="shared" si="2"/>
        <v/>
      </c>
      <c r="Y35" s="51" t="str">
        <f t="shared" si="1"/>
        <v/>
      </c>
    </row>
    <row r="36" spans="1:25" x14ac:dyDescent="0.25">
      <c r="A36" s="47" t="str">
        <f t="shared" si="3"/>
        <v/>
      </c>
      <c r="B36" s="49"/>
      <c r="C36" s="49"/>
      <c r="D36" s="46"/>
      <c r="E36" s="46"/>
      <c r="F36" s="46"/>
      <c r="G36" s="46"/>
      <c r="H36" s="61"/>
      <c r="I36" s="61"/>
      <c r="J36" s="49"/>
      <c r="K36" s="51"/>
      <c r="L36" s="4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50" t="str">
        <f t="shared" si="2"/>
        <v/>
      </c>
      <c r="Y36" s="51" t="str">
        <f t="shared" si="1"/>
        <v/>
      </c>
    </row>
    <row r="37" spans="1:25" x14ac:dyDescent="0.25">
      <c r="A37" s="47" t="str">
        <f t="shared" si="3"/>
        <v/>
      </c>
      <c r="B37" s="49"/>
      <c r="C37" s="49"/>
      <c r="D37" s="46"/>
      <c r="E37" s="46"/>
      <c r="F37" s="46"/>
      <c r="G37" s="46"/>
      <c r="H37" s="61"/>
      <c r="I37" s="61"/>
      <c r="J37" s="49"/>
      <c r="K37" s="51"/>
      <c r="L37" s="44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50" t="str">
        <f t="shared" si="2"/>
        <v/>
      </c>
      <c r="Y37" s="51" t="str">
        <f t="shared" si="1"/>
        <v/>
      </c>
    </row>
    <row r="38" spans="1:25" x14ac:dyDescent="0.25">
      <c r="A38" s="47" t="str">
        <f t="shared" si="3"/>
        <v/>
      </c>
      <c r="B38" s="49"/>
      <c r="C38" s="49"/>
      <c r="D38" s="46"/>
      <c r="E38" s="46"/>
      <c r="F38" s="46"/>
      <c r="G38" s="46"/>
      <c r="H38" s="61"/>
      <c r="I38" s="61"/>
      <c r="J38" s="49"/>
      <c r="K38" s="51"/>
      <c r="L38" s="44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50" t="str">
        <f t="shared" si="2"/>
        <v/>
      </c>
      <c r="Y38" s="51" t="str">
        <f t="shared" si="1"/>
        <v/>
      </c>
    </row>
    <row r="39" spans="1:25" x14ac:dyDescent="0.25">
      <c r="A39" s="47" t="str">
        <f t="shared" si="3"/>
        <v/>
      </c>
      <c r="B39" s="49"/>
      <c r="C39" s="49"/>
      <c r="D39" s="46"/>
      <c r="E39" s="46"/>
      <c r="F39" s="46"/>
      <c r="G39" s="46"/>
      <c r="H39" s="61"/>
      <c r="I39" s="61"/>
      <c r="J39" s="49"/>
      <c r="K39" s="51"/>
      <c r="L39" s="44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50" t="str">
        <f t="shared" si="2"/>
        <v/>
      </c>
      <c r="Y39" s="51" t="str">
        <f t="shared" si="1"/>
        <v/>
      </c>
    </row>
    <row r="40" spans="1:25" x14ac:dyDescent="0.25">
      <c r="A40" s="47" t="str">
        <f t="shared" si="3"/>
        <v/>
      </c>
      <c r="B40" s="49"/>
      <c r="C40" s="49"/>
      <c r="D40" s="46"/>
      <c r="E40" s="46"/>
      <c r="F40" s="46"/>
      <c r="G40" s="46"/>
      <c r="H40" s="61"/>
      <c r="I40" s="61"/>
      <c r="J40" s="49"/>
      <c r="K40" s="51"/>
      <c r="L40" s="44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50" t="str">
        <f t="shared" si="2"/>
        <v/>
      </c>
      <c r="Y40" s="51" t="str">
        <f t="shared" si="1"/>
        <v/>
      </c>
    </row>
    <row r="41" spans="1:25" x14ac:dyDescent="0.25">
      <c r="A41" s="47" t="str">
        <f t="shared" si="3"/>
        <v/>
      </c>
      <c r="B41" s="49"/>
      <c r="C41" s="49"/>
      <c r="D41" s="46"/>
      <c r="E41" s="46"/>
      <c r="F41" s="46"/>
      <c r="G41" s="46"/>
      <c r="H41" s="61"/>
      <c r="I41" s="61"/>
      <c r="J41" s="49"/>
      <c r="K41" s="51"/>
      <c r="L41" s="44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50" t="str">
        <f t="shared" si="2"/>
        <v/>
      </c>
      <c r="Y41" s="51" t="str">
        <f t="shared" si="1"/>
        <v/>
      </c>
    </row>
    <row r="42" spans="1:25" x14ac:dyDescent="0.25">
      <c r="A42" s="47" t="str">
        <f t="shared" si="3"/>
        <v/>
      </c>
      <c r="B42" s="49"/>
      <c r="C42" s="49"/>
      <c r="D42" s="46"/>
      <c r="E42" s="46"/>
      <c r="F42" s="46"/>
      <c r="G42" s="46"/>
      <c r="H42" s="61"/>
      <c r="I42" s="61"/>
      <c r="J42" s="49"/>
      <c r="K42" s="51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50" t="str">
        <f t="shared" si="2"/>
        <v/>
      </c>
      <c r="Y42" s="51" t="str">
        <f t="shared" si="1"/>
        <v/>
      </c>
    </row>
    <row r="43" spans="1:25" x14ac:dyDescent="0.25">
      <c r="A43" s="47" t="str">
        <f t="shared" si="3"/>
        <v/>
      </c>
      <c r="B43" s="49"/>
      <c r="C43" s="49"/>
      <c r="D43" s="46"/>
      <c r="E43" s="46"/>
      <c r="F43" s="46"/>
      <c r="G43" s="46"/>
      <c r="H43" s="61"/>
      <c r="I43" s="61"/>
      <c r="J43" s="49"/>
      <c r="K43" s="51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50" t="str">
        <f t="shared" si="2"/>
        <v/>
      </c>
      <c r="Y43" s="51" t="str">
        <f t="shared" si="1"/>
        <v/>
      </c>
    </row>
    <row r="44" spans="1:25" x14ac:dyDescent="0.25">
      <c r="A44" s="47" t="str">
        <f t="shared" si="3"/>
        <v/>
      </c>
      <c r="B44" s="49"/>
      <c r="C44" s="49"/>
      <c r="D44" s="46"/>
      <c r="E44" s="46"/>
      <c r="F44" s="46"/>
      <c r="G44" s="46"/>
      <c r="H44" s="61"/>
      <c r="I44" s="61"/>
      <c r="J44" s="49"/>
      <c r="K44" s="51"/>
      <c r="L44" s="44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50" t="str">
        <f t="shared" si="2"/>
        <v/>
      </c>
      <c r="Y44" s="51" t="str">
        <f t="shared" si="1"/>
        <v/>
      </c>
    </row>
    <row r="45" spans="1:25" x14ac:dyDescent="0.25">
      <c r="A45" s="47" t="str">
        <f t="shared" si="3"/>
        <v/>
      </c>
      <c r="B45" s="49"/>
      <c r="C45" s="49"/>
      <c r="D45" s="46"/>
      <c r="E45" s="46"/>
      <c r="F45" s="46"/>
      <c r="G45" s="46"/>
      <c r="H45" s="61"/>
      <c r="I45" s="61"/>
      <c r="J45" s="49"/>
      <c r="K45" s="51"/>
      <c r="L45" s="44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50" t="str">
        <f t="shared" si="2"/>
        <v/>
      </c>
      <c r="Y45" s="51" t="str">
        <f t="shared" si="1"/>
        <v/>
      </c>
    </row>
    <row r="46" spans="1:25" x14ac:dyDescent="0.25">
      <c r="A46" s="47" t="str">
        <f t="shared" si="3"/>
        <v/>
      </c>
      <c r="B46" s="49"/>
      <c r="C46" s="49"/>
      <c r="D46" s="46"/>
      <c r="E46" s="46"/>
      <c r="F46" s="46"/>
      <c r="G46" s="46"/>
      <c r="H46" s="61"/>
      <c r="I46" s="61"/>
      <c r="J46" s="49"/>
      <c r="K46" s="51"/>
      <c r="L46" s="44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50" t="str">
        <f t="shared" si="2"/>
        <v/>
      </c>
      <c r="Y46" s="51" t="str">
        <f t="shared" si="1"/>
        <v/>
      </c>
    </row>
    <row r="47" spans="1:25" x14ac:dyDescent="0.25">
      <c r="A47" s="47" t="str">
        <f t="shared" ref="A47" si="4">IF(B47="","",A46+1)</f>
        <v/>
      </c>
      <c r="B47" s="49"/>
      <c r="C47" s="49"/>
      <c r="D47" s="46"/>
      <c r="E47" s="46"/>
      <c r="F47" s="46"/>
      <c r="G47" s="46"/>
      <c r="H47" s="61"/>
      <c r="I47" s="61"/>
      <c r="J47" s="49"/>
      <c r="K47" s="51"/>
      <c r="L47" s="44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50" t="str">
        <f t="shared" si="2"/>
        <v/>
      </c>
      <c r="Y47" s="51" t="str">
        <f t="shared" si="1"/>
        <v/>
      </c>
    </row>
    <row r="48" spans="1:25" x14ac:dyDescent="0.25">
      <c r="B48" s="49"/>
      <c r="C48" s="49"/>
      <c r="J48" s="49"/>
      <c r="K48" s="51"/>
      <c r="Y48" s="51"/>
    </row>
  </sheetData>
  <mergeCells count="124">
    <mergeCell ref="K22:K23"/>
    <mergeCell ref="F22:F23"/>
    <mergeCell ref="G22:G23"/>
    <mergeCell ref="H22:H23"/>
    <mergeCell ref="I22:I23"/>
    <mergeCell ref="J22:J23"/>
    <mergeCell ref="A22:A23"/>
    <mergeCell ref="B22:B23"/>
    <mergeCell ref="C22:C23"/>
    <mergeCell ref="D22:D23"/>
    <mergeCell ref="E22:E23"/>
    <mergeCell ref="K18:K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K14:K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F14:F15"/>
    <mergeCell ref="G14:G15"/>
    <mergeCell ref="H14:H15"/>
    <mergeCell ref="I14:I15"/>
    <mergeCell ref="J14:J15"/>
    <mergeCell ref="A14:A15"/>
    <mergeCell ref="B14:B15"/>
    <mergeCell ref="C14:C15"/>
    <mergeCell ref="D14:D15"/>
    <mergeCell ref="E14:E15"/>
    <mergeCell ref="K10:K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F10:F11"/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K6:K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Y1:Y2"/>
    <mergeCell ref="A1:A2"/>
    <mergeCell ref="B1:B2"/>
    <mergeCell ref="L1:W1"/>
    <mergeCell ref="D1:D2"/>
    <mergeCell ref="E1:E2"/>
    <mergeCell ref="H1:H2"/>
    <mergeCell ref="I1:I2"/>
    <mergeCell ref="C1:C2"/>
    <mergeCell ref="K1:K2"/>
    <mergeCell ref="J1:J2"/>
    <mergeCell ref="F1:F2"/>
    <mergeCell ref="X1:X2"/>
    <mergeCell ref="G1:G2"/>
    <mergeCell ref="K4:K5"/>
    <mergeCell ref="B4:B5"/>
    <mergeCell ref="C4:C5"/>
    <mergeCell ref="D4:D5"/>
    <mergeCell ref="E4:E5"/>
    <mergeCell ref="F4:F5"/>
    <mergeCell ref="A4:A5"/>
    <mergeCell ref="G4:G5"/>
    <mergeCell ref="H4:H5"/>
    <mergeCell ref="I4:I5"/>
    <mergeCell ref="J4:J5"/>
  </mergeCells>
  <phoneticPr fontId="19" type="noConversion"/>
  <conditionalFormatting sqref="A3:K3 X3:X47 A4:U4 A6:U6 A8:U8 A10:U10 A12:U12 A14:U14 A16:U16 A18:U18 A20:U20 A22:U22 A24:A47 D24:I47 B24:C48 J24:K48">
    <cfRule type="expression" dxfId="7" priority="5">
      <formula>$A3="sub-etapa"</formula>
    </cfRule>
    <cfRule type="expression" dxfId="6" priority="6">
      <formula>$A3="etapa"</formula>
    </cfRule>
  </conditionalFormatting>
  <conditionalFormatting sqref="A3:X3 A4:U4 L4:X47 A6:K6 A8:K8 A10:K10 A12:K12 A14:K14 A16:K16 A18:K18 A20:K20 A22:K22 A24:A47 D24:I47 B24:C48 J24:K48">
    <cfRule type="expression" dxfId="5" priority="7">
      <formula>$A3="sub-etapa"</formula>
    </cfRule>
    <cfRule type="expression" dxfId="4" priority="8">
      <formula>$A3="etapa"</formula>
    </cfRule>
  </conditionalFormatting>
  <conditionalFormatting sqref="Y3:Y48">
    <cfRule type="expression" dxfId="3" priority="1">
      <formula>$A3="sub-etapa"</formula>
    </cfRule>
    <cfRule type="expression" dxfId="2" priority="2">
      <formula>$A3="etapa"</formula>
    </cfRule>
    <cfRule type="expression" dxfId="1" priority="3">
      <formula>$A3="sub-etapa"</formula>
    </cfRule>
    <cfRule type="expression" dxfId="0" priority="4">
      <formula>$A3="etapa"</formula>
    </cfRule>
  </conditionalFormatting>
  <dataValidations disablePrompts="1" count="1">
    <dataValidation type="list" allowBlank="1" showInputMessage="1" showErrorMessage="1" sqref="J3:J23" xr:uid="{DDECAB07-9FA0-42A8-A61C-65F63EDE77FC}">
      <formula1>"Não Iniciado, Em andamento, Concluído"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01 12 2023</vt:lpstr>
      <vt:lpstr>10 01 2024</vt:lpstr>
      <vt:lpstr>26 01 2024</vt:lpstr>
      <vt:lpstr>19 02 2024</vt:lpstr>
      <vt:lpstr>Contrapartidas</vt:lpstr>
      <vt:lpstr>Cronograma Matriz</vt:lpstr>
      <vt:lpstr>Lançamentos de Pagamentos</vt:lpstr>
      <vt:lpstr>Cronograma Contrapartidas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Borges</dc:creator>
  <cp:lastModifiedBy>Lucas Oliveira</cp:lastModifiedBy>
  <dcterms:created xsi:type="dcterms:W3CDTF">2023-12-01T17:05:00Z</dcterms:created>
  <dcterms:modified xsi:type="dcterms:W3CDTF">2025-02-26T17:12:14Z</dcterms:modified>
</cp:coreProperties>
</file>