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iva/Documents/GitHub/Lovelace/Firmware/motorware_1_01_00_18/docs/labs/"/>
    </mc:Choice>
  </mc:AlternateContent>
  <xr:revisionPtr revIDLastSave="0" documentId="13_ncr:1_{56DBAEF4-9852-C949-B833-2D33C399A708}" xr6:coauthVersionLast="47" xr6:coauthVersionMax="47" xr10:uidLastSave="{00000000-0000-0000-0000-000000000000}"/>
  <bookViews>
    <workbookView xWindow="0" yWindow="880" windowWidth="36000" windowHeight="21280" xr2:uid="{00000000-000D-0000-FFFF-FFFF00000000}"/>
  </bookViews>
  <sheets>
    <sheet name="MotorWare USER 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E4" i="1"/>
  <c r="I21" i="1"/>
  <c r="E7" i="1"/>
  <c r="E8" i="1" s="1"/>
  <c r="I15" i="1"/>
  <c r="I4" i="1"/>
  <c r="E5" i="1"/>
  <c r="I14" i="1"/>
  <c r="E10" i="1" l="1"/>
  <c r="I11" i="1" s="1"/>
  <c r="I22" i="1"/>
  <c r="I7" i="1"/>
  <c r="I8" i="1" s="1"/>
  <c r="E9" i="1"/>
  <c r="I3" i="1"/>
  <c r="B21" i="1" s="1"/>
  <c r="I19" i="1" l="1"/>
  <c r="I12" i="1"/>
  <c r="I20" i="1"/>
  <c r="E17" i="1" s="1"/>
  <c r="I18" i="1" s="1"/>
  <c r="I9" i="1"/>
  <c r="I10" i="1"/>
  <c r="B22" i="1"/>
  <c r="I5" i="1"/>
  <c r="I6" i="1" l="1"/>
  <c r="I13" i="1"/>
</calcChain>
</file>

<file path=xl/sharedStrings.xml><?xml version="1.0" encoding="utf-8"?>
<sst xmlns="http://schemas.openxmlformats.org/spreadsheetml/2006/main" count="90" uniqueCount="79">
  <si>
    <t xml:space="preserve">USER_IQ_FULL_SCALE_CURRENT_A  </t>
  </si>
  <si>
    <t xml:space="preserve">USER_ADC_FULL_SCALE_CURRENT_A </t>
  </si>
  <si>
    <t xml:space="preserve">USER_ADC_FULL_SCALE_VOLTAGE_V </t>
  </si>
  <si>
    <t xml:space="preserve">USER_MOTOR_NUM_POLE_PAIRS </t>
  </si>
  <si>
    <t>Hz</t>
  </si>
  <si>
    <t>V</t>
  </si>
  <si>
    <t>A</t>
  </si>
  <si>
    <t>RPM</t>
  </si>
  <si>
    <t>POLES</t>
  </si>
  <si>
    <t>PAIRS</t>
  </si>
  <si>
    <t>Maximum Bus Voltage</t>
  </si>
  <si>
    <t>USER_PWM_FREQ_kHz</t>
  </si>
  <si>
    <t>kHz</t>
  </si>
  <si>
    <t xml:space="preserve">USER_NUM_PWM_TICKS_PER_ISR_TICK </t>
  </si>
  <si>
    <t xml:space="preserve">USER_NUM_ISR_TICKS_PER_CTRL_TICK </t>
  </si>
  <si>
    <t xml:space="preserve">USER_NUM_CTRL_TICKS_PER_EST_TICK </t>
  </si>
  <si>
    <t>USER_NUM_CTRL_TICKS_PER_CURRENT_TICK</t>
  </si>
  <si>
    <t>ticks</t>
  </si>
  <si>
    <t>sub-calculations</t>
  </si>
  <si>
    <t xml:space="preserve">USER_MAX_ACCEL_EST_Hzps  </t>
  </si>
  <si>
    <t xml:space="preserve">USER_SYSTEM_FREQ_MHz </t>
  </si>
  <si>
    <t>MHz</t>
  </si>
  <si>
    <t>USER_MOTOR_RATED_FLUX</t>
  </si>
  <si>
    <t>V/Hz</t>
  </si>
  <si>
    <t>USER_MOTOR_Ls_d</t>
  </si>
  <si>
    <t>H</t>
  </si>
  <si>
    <t>IQ_VOLTAGE &lt; RATED_FLUX * EST Hz</t>
  </si>
  <si>
    <t>CURRENT  Hz &gt; MAX_Hz * 7</t>
  </si>
  <si>
    <t>EST &lt;= CTRL</t>
  </si>
  <si>
    <t>Minimum Flux Measurement &lt; 0.9 * RATED_FLUX</t>
  </si>
  <si>
    <t>Hz MIN</t>
  </si>
  <si>
    <t xml:space="preserve">Maximum Target RPM </t>
  </si>
  <si>
    <t xml:space="preserve">If FALSE increase EST Rate </t>
  </si>
  <si>
    <t xml:space="preserve">Hz </t>
  </si>
  <si>
    <t>Initially set to bus voltage until flux is identified</t>
  </si>
  <si>
    <t>USER_VOLTAGE_FILTER_POLE_Hz</t>
  </si>
  <si>
    <t>Target Hz with 10% buffer</t>
  </si>
  <si>
    <t>Lower of Ideal and Maximum</t>
  </si>
  <si>
    <t xml:space="preserve"> If USER_MOTOR_FLUX_EST_FREQ_Hz &gt; 50 Hz must increase the acceleration during ID to avoid a timeout</t>
  </si>
  <si>
    <t>Minimum Pole</t>
  </si>
  <si>
    <t>Maximum RPM  Supported</t>
  </si>
  <si>
    <t>Rotor Hz can be 1.98 * USER_IQ_FULL_SCALE_FREQ_HZ; EST speed will roll-over outside boundary!!!!</t>
  </si>
  <si>
    <t>4 * USER_VOLTAGE_FILTER_POLE_Hz [with 5% buffer]</t>
  </si>
  <si>
    <t>EST &gt; 10 * USER_VOLTAGE_FILTER_POLE_Hz (+10% margin)</t>
  </si>
  <si>
    <t>If FALSE increase CURRENT kHz or reduce MAX_HZ; Standard good practice for control systems</t>
  </si>
  <si>
    <t>If FALSE correct; No need to run the estimator if results are not being updated in control loop</t>
  </si>
  <si>
    <t>Slightly &gt;= 0.5 * ADC_FULL_SCALE_CURRENT_A</t>
  </si>
  <si>
    <t>Maximum allowed USER_IQ_FULL_SCALE_FREQ_HZ for HW</t>
  </si>
  <si>
    <t>Ideal USER_IQ_FULL_SCALE_FREQ_Hz  for Motor</t>
  </si>
  <si>
    <t>a) Bus Voltage</t>
  </si>
  <si>
    <t>b) Bemf Generated @ Target Hz + 10% buffer</t>
  </si>
  <si>
    <t>Ideal* Pole  &gt;=</t>
  </si>
  <si>
    <t>Half** Pole &gt;=</t>
  </si>
  <si>
    <t>USER_IQ_FULL_SCALE_FREQ_Hz</t>
  </si>
  <si>
    <t>Typical Minimum, but can reduce as low as Bus Voltage / 2 + 10% buffer</t>
  </si>
  <si>
    <t xml:space="preserve">starting USER_IQ_FULL_SCALE_VOLTAGE_V </t>
  </si>
  <si>
    <t xml:space="preserve">new USER_IQ_FULL_SCALE_VOLTAGE_V </t>
  </si>
  <si>
    <t>If FALSE, reduce new USER_IQ_FULL_SCALE_VOLTAGE as low as Bus Voltage / 2 + 10% buffer</t>
  </si>
  <si>
    <t>If FALSE, reduce new USER_IQ_FULL_SCALE_VOLTAGE or increase EST_Hz</t>
  </si>
  <si>
    <t>* Use Ideal pole to keep Target Hz &lt;  USER_IQ_FULL_SCALE_FREQ_Hz but note that as pole Hz increases you are more susceptible to drift/error and should use higher precision Vph filter Capacitors</t>
  </si>
  <si>
    <t>** You may use a lower pole (down to half the value of the ideal) that is less sensitive to capacitor error/offset/drift.  Set USER_IQ_FULL_SCALE_FREQ_HZ &lt;= 4 * Lowered Pole  * 0.95 buffer. Target Hz can reach +/- 1.98 * USER_IQ_FULL_SCALE_FREQ_Hz</t>
  </si>
  <si>
    <t>USER_MOTOR_FLUX_EST_FREQ_Hz</t>
  </si>
  <si>
    <t>5-150 Hz; ~10% of Maximum Target Hz but use low as possible where Ls and Flux can be ID'd consistently</t>
  </si>
  <si>
    <t>USER_ZEROSPEEDLIMIT</t>
  </si>
  <si>
    <t>FLUX_EST_FREQ &gt; ZEROSPEEDLIMIT * FULL_SCALE_FREQ</t>
  </si>
  <si>
    <t>If FALSE, lower ZEROSPEEDLIMIT</t>
  </si>
  <si>
    <t>= Minimum Flux that can be measured with new USER_IQ_FULL_SCALE_VOLTAGE_V (cell I20)</t>
  </si>
  <si>
    <t>Tune to HW Pole</t>
  </si>
  <si>
    <t>EST &gt; 8 * TARGET_Hz</t>
  </si>
  <si>
    <t>If FALSE, increase effective EST Frequency using TICKs</t>
  </si>
  <si>
    <r>
      <t xml:space="preserve">Performance difference between the two is typically very marginal though.  </t>
    </r>
    <r>
      <rPr>
        <b/>
        <sz val="11"/>
        <color rgb="FFFF0000"/>
        <rFont val="Calibri"/>
        <family val="2"/>
        <scheme val="minor"/>
      </rPr>
      <t>Do NOT use a filter pole &lt; Minimum Pole!!!</t>
    </r>
  </si>
  <si>
    <r>
      <t xml:space="preserve">1. FILL IN </t>
    </r>
    <r>
      <rPr>
        <b/>
        <sz val="11"/>
        <color rgb="FFFFFF00"/>
        <rFont val="Calibri"/>
        <family val="2"/>
        <scheme val="minor"/>
      </rPr>
      <t>THESE VALUES</t>
    </r>
    <r>
      <rPr>
        <b/>
        <sz val="11"/>
        <color theme="0"/>
        <rFont val="Calibri"/>
        <family val="2"/>
        <scheme val="minor"/>
      </rPr>
      <t xml:space="preserve"> FOR YOUR USER.H, MOTOR, and INVERTER HW</t>
    </r>
  </si>
  <si>
    <t>2. The following are set by HW design, use defaults for TI EVM or your own HW</t>
  </si>
  <si>
    <t>4. Once Motor ID is attempted, update these as best you can and check IQ_V Scaling</t>
  </si>
  <si>
    <t>5. * Ideal Pole Design when you build wwn HW</t>
  </si>
  <si>
    <r>
      <rPr>
        <b/>
        <sz val="11"/>
        <color rgb="FF00B050"/>
        <rFont val="Calibri"/>
        <family val="2"/>
        <scheme val="minor"/>
      </rPr>
      <t>3. THESE VALUES</t>
    </r>
    <r>
      <rPr>
        <b/>
        <sz val="11"/>
        <color theme="0"/>
        <rFont val="Calibri"/>
        <family val="2"/>
        <scheme val="minor"/>
      </rPr>
      <t xml:space="preserve"> ARE RECOMMENDED FOR USE once </t>
    </r>
    <r>
      <rPr>
        <b/>
        <sz val="11"/>
        <color rgb="FF00B050"/>
        <rFont val="Calibri"/>
        <family val="2"/>
        <scheme val="minor"/>
      </rPr>
      <t xml:space="preserve">TRUE </t>
    </r>
    <r>
      <rPr>
        <b/>
        <sz val="11"/>
        <color theme="0"/>
        <rFont val="Calibri"/>
        <family val="2"/>
        <scheme val="minor"/>
      </rPr>
      <t>checks are satisfied</t>
    </r>
  </si>
  <si>
    <t>4. Check after valid USER_MOTOR_RATED_FLUX Identification</t>
  </si>
  <si>
    <t>Use larger of a) or b).  Minimum of Bus Voltage / 2 + 10% buffer if required to make I18 &amp; I19 TRUE</t>
  </si>
  <si>
    <t>v2p1  2014-May-28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</si>
</sst>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1" fillId="3" borderId="1" xfId="0" applyFont="1" applyFill="1" applyBorder="1"/>
    <xf numFmtId="0" fontId="0" fillId="6" borderId="0" xfId="0" applyFill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64" fontId="3" fillId="2" borderId="0" xfId="0" applyNumberFormat="1" applyFont="1" applyFill="1"/>
    <xf numFmtId="0" fontId="0" fillId="8" borderId="3" xfId="0" applyFill="1" applyBorder="1"/>
    <xf numFmtId="0" fontId="0" fillId="8" borderId="0" xfId="0" applyFill="1"/>
    <xf numFmtId="0" fontId="0" fillId="4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0" borderId="8" xfId="0" applyBorder="1"/>
    <xf numFmtId="0" fontId="0" fillId="2" borderId="9" xfId="0" applyFill="1" applyBorder="1"/>
    <xf numFmtId="0" fontId="0" fillId="5" borderId="0" xfId="0" applyFill="1"/>
    <xf numFmtId="0" fontId="2" fillId="0" borderId="0" xfId="0" applyFont="1"/>
    <xf numFmtId="0" fontId="0" fillId="0" borderId="9" xfId="0" applyBorder="1"/>
    <xf numFmtId="0" fontId="1" fillId="2" borderId="8" xfId="0" applyFont="1" applyFill="1" applyBorder="1"/>
    <xf numFmtId="0" fontId="1" fillId="2" borderId="0" xfId="0" applyFont="1" applyFill="1"/>
    <xf numFmtId="0" fontId="0" fillId="9" borderId="0" xfId="0" applyFill="1"/>
    <xf numFmtId="0" fontId="1" fillId="8" borderId="8" xfId="0" applyFont="1" applyFill="1" applyBorder="1"/>
    <xf numFmtId="0" fontId="0" fillId="8" borderId="9" xfId="0" applyFill="1" applyBorder="1"/>
    <xf numFmtId="0" fontId="3" fillId="2" borderId="0" xfId="0" quotePrefix="1" applyFont="1" applyFill="1"/>
    <xf numFmtId="0" fontId="0" fillId="6" borderId="8" xfId="0" applyFill="1" applyBorder="1"/>
    <xf numFmtId="0" fontId="0" fillId="2" borderId="8" xfId="0" applyFill="1" applyBorder="1"/>
    <xf numFmtId="0" fontId="3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1" fillId="9" borderId="1" xfId="0" applyFont="1" applyFill="1" applyBorder="1"/>
    <xf numFmtId="0" fontId="0" fillId="6" borderId="9" xfId="0" applyFill="1" applyBorder="1"/>
    <xf numFmtId="0" fontId="3" fillId="6" borderId="12" xfId="0" applyFont="1" applyFill="1" applyBorder="1"/>
    <xf numFmtId="0" fontId="3" fillId="2" borderId="1" xfId="0" applyFont="1" applyFill="1" applyBorder="1"/>
    <xf numFmtId="2" fontId="3" fillId="3" borderId="1" xfId="0" applyNumberFormat="1" applyFont="1" applyFill="1" applyBorder="1"/>
    <xf numFmtId="2" fontId="0" fillId="4" borderId="3" xfId="0" applyNumberFormat="1" applyFill="1" applyBorder="1"/>
    <xf numFmtId="0" fontId="1" fillId="2" borderId="6" xfId="0" applyFont="1" applyFill="1" applyBorder="1" applyAlignment="1">
      <alignment horizontal="left"/>
    </xf>
    <xf numFmtId="0" fontId="1" fillId="8" borderId="0" xfId="0" applyFont="1" applyFill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zoomScale="132" zoomScaleNormal="150" workbookViewId="0">
      <selection activeCell="H4" sqref="H4"/>
    </sheetView>
  </sheetViews>
  <sheetFormatPr baseColWidth="10" defaultColWidth="8.83203125" defaultRowHeight="15" x14ac:dyDescent="0.2"/>
  <cols>
    <col min="1" max="1" width="48.33203125" customWidth="1"/>
    <col min="2" max="2" width="9.5" customWidth="1"/>
    <col min="3" max="3" width="7.5" customWidth="1"/>
    <col min="4" max="4" width="2.1640625" style="1" customWidth="1"/>
    <col min="5" max="5" width="12.5" customWidth="1"/>
    <col min="6" max="6" width="7" customWidth="1"/>
    <col min="7" max="7" width="4.33203125" style="1" customWidth="1"/>
    <col min="8" max="8" width="82.33203125" customWidth="1"/>
    <col min="9" max="9" width="20.83203125" customWidth="1"/>
    <col min="10" max="10" width="92.1640625" customWidth="1"/>
  </cols>
  <sheetData>
    <row r="1" spans="1:10" ht="16" thickBot="1" x14ac:dyDescent="0.25">
      <c r="A1" s="22" t="s">
        <v>71</v>
      </c>
      <c r="B1" s="23"/>
      <c r="C1" s="23"/>
      <c r="D1" s="23"/>
      <c r="E1" s="23"/>
      <c r="F1" s="23"/>
      <c r="G1" s="24"/>
      <c r="H1" s="48" t="s">
        <v>75</v>
      </c>
      <c r="I1" s="14"/>
      <c r="J1" s="25"/>
    </row>
    <row r="2" spans="1:10" x14ac:dyDescent="0.2">
      <c r="A2" s="26" t="s">
        <v>20</v>
      </c>
      <c r="B2" s="3">
        <v>90</v>
      </c>
      <c r="C2" t="s">
        <v>21</v>
      </c>
      <c r="E2" s="8" t="s">
        <v>18</v>
      </c>
      <c r="F2" s="8"/>
      <c r="H2" s="1"/>
      <c r="I2" s="1"/>
      <c r="J2" s="27"/>
    </row>
    <row r="3" spans="1:10" x14ac:dyDescent="0.2">
      <c r="A3" s="26" t="s">
        <v>10</v>
      </c>
      <c r="B3" s="4">
        <v>200</v>
      </c>
      <c r="C3" t="s">
        <v>5</v>
      </c>
      <c r="E3" s="28"/>
      <c r="F3" s="28"/>
      <c r="H3" s="8" t="s">
        <v>48</v>
      </c>
      <c r="I3" s="18">
        <f>E4*1.1</f>
        <v>220.00000000000003</v>
      </c>
      <c r="J3" s="9" t="s">
        <v>36</v>
      </c>
    </row>
    <row r="4" spans="1:10" ht="16" thickBot="1" x14ac:dyDescent="0.25">
      <c r="A4" s="26" t="s">
        <v>31</v>
      </c>
      <c r="B4" s="4">
        <v>6000</v>
      </c>
      <c r="C4" t="s">
        <v>7</v>
      </c>
      <c r="E4" s="28">
        <f>B4*B5/60</f>
        <v>200</v>
      </c>
      <c r="F4" s="28" t="s">
        <v>4</v>
      </c>
      <c r="H4" s="8" t="s">
        <v>47</v>
      </c>
      <c r="I4" s="18">
        <f>ROUND(4*B13*0.95,0)</f>
        <v>931</v>
      </c>
      <c r="J4" s="9" t="s">
        <v>42</v>
      </c>
    </row>
    <row r="5" spans="1:10" ht="16" thickBot="1" x14ac:dyDescent="0.25">
      <c r="A5" s="26" t="s">
        <v>3</v>
      </c>
      <c r="B5" s="4">
        <v>2</v>
      </c>
      <c r="C5" t="s">
        <v>9</v>
      </c>
      <c r="E5" s="28">
        <f>B5*2</f>
        <v>4</v>
      </c>
      <c r="F5" s="28" t="s">
        <v>8</v>
      </c>
      <c r="H5" s="29" t="s">
        <v>53</v>
      </c>
      <c r="I5" s="15">
        <f>MIN(I4,I3)</f>
        <v>220.00000000000003</v>
      </c>
      <c r="J5" s="30" t="s">
        <v>37</v>
      </c>
    </row>
    <row r="6" spans="1:10" ht="16" thickBot="1" x14ac:dyDescent="0.25">
      <c r="A6" s="26" t="s">
        <v>11</v>
      </c>
      <c r="B6" s="4">
        <v>10</v>
      </c>
      <c r="C6" t="s">
        <v>12</v>
      </c>
      <c r="E6" s="28"/>
      <c r="F6" s="28"/>
      <c r="H6" s="8" t="s">
        <v>40</v>
      </c>
      <c r="I6" s="8">
        <f>ROUND(I5*120/E5*1.98,0)</f>
        <v>13068</v>
      </c>
      <c r="J6" s="9" t="s">
        <v>41</v>
      </c>
    </row>
    <row r="7" spans="1:10" ht="16" thickBot="1" x14ac:dyDescent="0.25">
      <c r="A7" s="26" t="s">
        <v>13</v>
      </c>
      <c r="B7" s="4">
        <v>1</v>
      </c>
      <c r="C7" t="s">
        <v>17</v>
      </c>
      <c r="E7" s="28">
        <f>B6/B7</f>
        <v>10</v>
      </c>
      <c r="F7" s="28" t="s">
        <v>12</v>
      </c>
      <c r="H7" s="29" t="s">
        <v>61</v>
      </c>
      <c r="I7" s="15">
        <f>MIN(ROUND(E4*0.1,0),150)</f>
        <v>20</v>
      </c>
      <c r="J7" s="30" t="s">
        <v>62</v>
      </c>
    </row>
    <row r="8" spans="1:10" ht="16" thickBot="1" x14ac:dyDescent="0.25">
      <c r="A8" s="26" t="s">
        <v>14</v>
      </c>
      <c r="B8" s="4">
        <v>1</v>
      </c>
      <c r="C8" t="s">
        <v>17</v>
      </c>
      <c r="E8" s="28">
        <f>E7/B8</f>
        <v>10</v>
      </c>
      <c r="F8" s="28" t="s">
        <v>12</v>
      </c>
      <c r="H8" s="29" t="s">
        <v>19</v>
      </c>
      <c r="I8" s="15">
        <f>INT(I7/10 + 5)</f>
        <v>7</v>
      </c>
      <c r="J8" s="30" t="s">
        <v>38</v>
      </c>
    </row>
    <row r="9" spans="1:10" ht="16" thickBot="1" x14ac:dyDescent="0.25">
      <c r="A9" s="26" t="s">
        <v>16</v>
      </c>
      <c r="B9" s="4">
        <v>1</v>
      </c>
      <c r="C9" t="s">
        <v>17</v>
      </c>
      <c r="E9" s="28">
        <f>E8/B9</f>
        <v>10</v>
      </c>
      <c r="F9" s="28" t="s">
        <v>12</v>
      </c>
      <c r="H9" s="5" t="s">
        <v>27</v>
      </c>
      <c r="I9" s="45" t="b">
        <f>E9*1000&gt;E4*7</f>
        <v>1</v>
      </c>
      <c r="J9" s="6" t="s">
        <v>44</v>
      </c>
    </row>
    <row r="10" spans="1:10" ht="16" thickBot="1" x14ac:dyDescent="0.25">
      <c r="A10" s="26" t="s">
        <v>15</v>
      </c>
      <c r="B10" s="4">
        <v>2</v>
      </c>
      <c r="C10" t="s">
        <v>17</v>
      </c>
      <c r="E10" s="28">
        <f>E8/B10</f>
        <v>5</v>
      </c>
      <c r="F10" s="28" t="s">
        <v>12</v>
      </c>
      <c r="H10" s="7" t="s">
        <v>28</v>
      </c>
      <c r="I10" s="45" t="b">
        <f>E9&gt;=E10</f>
        <v>1</v>
      </c>
      <c r="J10" s="9" t="s">
        <v>45</v>
      </c>
    </row>
    <row r="11" spans="1:10" ht="16" thickBot="1" x14ac:dyDescent="0.25">
      <c r="A11" s="26" t="s">
        <v>63</v>
      </c>
      <c r="B11" s="4">
        <v>2E-3</v>
      </c>
      <c r="E11" s="28"/>
      <c r="F11" s="28"/>
      <c r="H11" s="10" t="s">
        <v>43</v>
      </c>
      <c r="I11" s="45" t="b">
        <f>E10*1000&gt;10*B13*1.1</f>
        <v>1</v>
      </c>
      <c r="J11" s="11" t="s">
        <v>32</v>
      </c>
    </row>
    <row r="12" spans="1:10" ht="16" thickBot="1" x14ac:dyDescent="0.25">
      <c r="A12" s="31" t="s">
        <v>72</v>
      </c>
      <c r="B12" s="2"/>
      <c r="C12" s="32"/>
      <c r="D12" s="32"/>
      <c r="E12" s="32"/>
      <c r="F12" s="1"/>
      <c r="H12" s="8" t="s">
        <v>68</v>
      </c>
      <c r="I12" s="45" t="b">
        <f>E10*1000&gt;8*E4</f>
        <v>1</v>
      </c>
      <c r="J12" s="8" t="s">
        <v>69</v>
      </c>
    </row>
    <row r="13" spans="1:10" ht="16" thickBot="1" x14ac:dyDescent="0.25">
      <c r="A13" s="26" t="s">
        <v>35</v>
      </c>
      <c r="B13" s="4">
        <v>245</v>
      </c>
      <c r="C13" t="s">
        <v>4</v>
      </c>
      <c r="E13" s="33" t="s">
        <v>67</v>
      </c>
      <c r="F13" s="33"/>
      <c r="H13" s="8" t="s">
        <v>64</v>
      </c>
      <c r="I13" s="46" t="b">
        <f>I7&gt;B11*I5</f>
        <v>1</v>
      </c>
      <c r="J13" s="8" t="s">
        <v>65</v>
      </c>
    </row>
    <row r="14" spans="1:10" ht="16" thickBot="1" x14ac:dyDescent="0.25">
      <c r="A14" s="26" t="s">
        <v>1</v>
      </c>
      <c r="B14" s="47">
        <v>970</v>
      </c>
      <c r="C14" t="s">
        <v>6</v>
      </c>
      <c r="E14" s="28"/>
      <c r="F14" s="28"/>
      <c r="H14" s="29" t="s">
        <v>0</v>
      </c>
      <c r="I14" s="15">
        <f>ROUND(B14/2 + 1, 0)</f>
        <v>486</v>
      </c>
      <c r="J14" s="30" t="s">
        <v>46</v>
      </c>
    </row>
    <row r="15" spans="1:10" ht="16" thickBot="1" x14ac:dyDescent="0.25">
      <c r="A15" s="26" t="s">
        <v>2</v>
      </c>
      <c r="B15" s="4">
        <v>202</v>
      </c>
      <c r="C15" t="s">
        <v>5</v>
      </c>
      <c r="E15" s="28"/>
      <c r="F15" s="28"/>
      <c r="H15" s="29" t="s">
        <v>55</v>
      </c>
      <c r="I15" s="15">
        <f>B3</f>
        <v>200</v>
      </c>
      <c r="J15" s="30" t="s">
        <v>34</v>
      </c>
    </row>
    <row r="16" spans="1:10" x14ac:dyDescent="0.2">
      <c r="A16" s="34" t="s">
        <v>73</v>
      </c>
      <c r="B16" s="19"/>
      <c r="C16" s="20"/>
      <c r="D16" s="20"/>
      <c r="E16" s="20"/>
      <c r="F16" s="20"/>
      <c r="G16" s="20"/>
      <c r="H16" s="49" t="s">
        <v>76</v>
      </c>
      <c r="I16" s="20"/>
      <c r="J16" s="35"/>
    </row>
    <row r="17" spans="1:10" x14ac:dyDescent="0.2">
      <c r="A17" s="26" t="s">
        <v>22</v>
      </c>
      <c r="B17" s="16">
        <f>0.8165*60/120</f>
        <v>0.40825</v>
      </c>
      <c r="C17" t="s">
        <v>23</v>
      </c>
      <c r="E17" s="28">
        <f>I20/(E10*1000)/0.7</f>
        <v>5.7142857142857148E-2</v>
      </c>
      <c r="F17" s="28" t="s">
        <v>23</v>
      </c>
      <c r="H17" s="36" t="s">
        <v>66</v>
      </c>
      <c r="I17" s="1"/>
      <c r="J17" s="27"/>
    </row>
    <row r="18" spans="1:10" ht="16" thickBot="1" x14ac:dyDescent="0.25">
      <c r="A18" s="26" t="s">
        <v>24</v>
      </c>
      <c r="B18" s="17">
        <v>5.0000000000000002E-5</v>
      </c>
      <c r="C18" t="s">
        <v>25</v>
      </c>
      <c r="E18" s="28"/>
      <c r="F18" s="28"/>
      <c r="H18" s="8" t="s">
        <v>29</v>
      </c>
      <c r="I18" s="8" t="b">
        <f>E17&lt;B17*0.9</f>
        <v>1</v>
      </c>
      <c r="J18" s="9" t="s">
        <v>57</v>
      </c>
    </row>
    <row r="19" spans="1:10" ht="16" thickBot="1" x14ac:dyDescent="0.25">
      <c r="A19" s="34" t="s">
        <v>74</v>
      </c>
      <c r="B19" s="20"/>
      <c r="C19" s="20"/>
      <c r="E19" s="28"/>
      <c r="F19" s="28"/>
      <c r="H19" s="8" t="s">
        <v>26</v>
      </c>
      <c r="I19" s="8" t="b">
        <f>I15&lt;B17*(E10*1000)</f>
        <v>1</v>
      </c>
      <c r="J19" s="9" t="s">
        <v>58</v>
      </c>
    </row>
    <row r="20" spans="1:10" ht="16" thickBot="1" x14ac:dyDescent="0.25">
      <c r="A20" s="26" t="s">
        <v>39</v>
      </c>
      <c r="B20" s="42">
        <v>200</v>
      </c>
      <c r="C20" t="s">
        <v>30</v>
      </c>
      <c r="E20" s="28"/>
      <c r="F20" s="28"/>
      <c r="H20" s="29" t="s">
        <v>56</v>
      </c>
      <c r="I20" s="15">
        <f>ROUNDUP(MAX(I21,I22),0)</f>
        <v>200</v>
      </c>
      <c r="J20" s="30" t="s">
        <v>77</v>
      </c>
    </row>
    <row r="21" spans="1:10" ht="16" thickBot="1" x14ac:dyDescent="0.25">
      <c r="A21" s="26" t="s">
        <v>51</v>
      </c>
      <c r="B21" s="12">
        <f>I3/4</f>
        <v>55.000000000000007</v>
      </c>
      <c r="C21" t="s">
        <v>33</v>
      </c>
      <c r="E21" s="28"/>
      <c r="F21" s="28"/>
      <c r="H21" s="8" t="s">
        <v>49</v>
      </c>
      <c r="I21" s="18">
        <f>B3</f>
        <v>200</v>
      </c>
      <c r="J21" s="9" t="s">
        <v>54</v>
      </c>
    </row>
    <row r="22" spans="1:10" ht="16" thickBot="1" x14ac:dyDescent="0.25">
      <c r="A22" s="26" t="s">
        <v>52</v>
      </c>
      <c r="B22" s="21">
        <f>B21*0.5</f>
        <v>27.500000000000004</v>
      </c>
      <c r="C22" s="13" t="s">
        <v>4</v>
      </c>
      <c r="E22" s="28"/>
      <c r="F22" s="28"/>
      <c r="H22" s="8" t="s">
        <v>50</v>
      </c>
      <c r="I22" s="18">
        <f>B17*E4*1.1</f>
        <v>89.815000000000012</v>
      </c>
      <c r="J22" s="9"/>
    </row>
    <row r="23" spans="1:10" x14ac:dyDescent="0.2">
      <c r="A23" s="38"/>
      <c r="B23" s="1"/>
      <c r="C23" s="1"/>
      <c r="E23" s="1"/>
      <c r="F23" s="1"/>
      <c r="H23" s="36"/>
      <c r="I23" s="18"/>
      <c r="J23" s="9"/>
    </row>
    <row r="24" spans="1:10" s="13" customFormat="1" x14ac:dyDescent="0.2">
      <c r="A24" s="37" t="s">
        <v>59</v>
      </c>
      <c r="J24" s="39"/>
    </row>
    <row r="25" spans="1:10" s="13" customFormat="1" x14ac:dyDescent="0.2">
      <c r="A25" s="37" t="s">
        <v>60</v>
      </c>
      <c r="J25" s="43"/>
    </row>
    <row r="26" spans="1:10" s="13" customFormat="1" ht="16" thickBot="1" x14ac:dyDescent="0.25">
      <c r="A26" s="40" t="s">
        <v>70</v>
      </c>
      <c r="B26" s="41"/>
      <c r="C26" s="41"/>
      <c r="D26" s="41"/>
      <c r="E26" s="41"/>
      <c r="F26" s="41"/>
      <c r="G26" s="41"/>
      <c r="H26" s="41"/>
      <c r="I26" s="41"/>
      <c r="J26" s="44"/>
    </row>
    <row r="27" spans="1:10" x14ac:dyDescent="0.2">
      <c r="D27"/>
      <c r="G27"/>
    </row>
    <row r="28" spans="1:10" x14ac:dyDescent="0.2">
      <c r="A28" s="13" t="s">
        <v>78</v>
      </c>
      <c r="D28"/>
      <c r="G28"/>
    </row>
    <row r="29" spans="1:10" x14ac:dyDescent="0.2">
      <c r="D29"/>
      <c r="G29"/>
    </row>
    <row r="30" spans="1:10" x14ac:dyDescent="0.2">
      <c r="D30"/>
      <c r="G30"/>
    </row>
    <row r="31" spans="1:10" x14ac:dyDescent="0.2">
      <c r="D31"/>
      <c r="G31"/>
    </row>
    <row r="32" spans="1:10" x14ac:dyDescent="0.2">
      <c r="D32"/>
      <c r="G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</sheetData>
  <conditionalFormatting sqref="I9:I12">
    <cfRule type="containsText" dxfId="11" priority="1" operator="containsText" text="TRUE">
      <formula>NOT(ISERROR(SEARCH("TRUE",I9)))</formula>
    </cfRule>
    <cfRule type="containsText" dxfId="10" priority="2" operator="containsText" text="FALSE">
      <formula>NOT(ISERROR(SEARCH("FALSE",I9)))</formula>
    </cfRule>
    <cfRule type="containsText" dxfId="9" priority="3" operator="containsText" text="FALSE">
      <formula>NOT(ISERROR(SEARCH("FALSE",I9)))</formula>
    </cfRule>
    <cfRule type="expression" dxfId="8" priority="4">
      <formula>"FALSE"</formula>
    </cfRule>
    <cfRule type="expression" dxfId="7" priority="5">
      <formula>FALSE</formula>
    </cfRule>
    <cfRule type="cellIs" dxfId="6" priority="6" operator="equal">
      <formula>0</formula>
    </cfRule>
  </conditionalFormatting>
  <conditionalFormatting sqref="I18:I19 I14">
    <cfRule type="expression" dxfId="5" priority="10">
      <formula>"FALSE"</formula>
    </cfRule>
  </conditionalFormatting>
  <conditionalFormatting sqref="I18:I19">
    <cfRule type="containsText" dxfId="4" priority="8" operator="containsText" text="FALSE">
      <formula>NOT(ISERROR(SEARCH("FALSE",I18)))</formula>
    </cfRule>
    <cfRule type="containsText" dxfId="3" priority="9" operator="containsText" text="FALSE">
      <formula>NOT(ISERROR(SEARCH("FALSE",I18)))</formula>
    </cfRule>
    <cfRule type="containsText" dxfId="2" priority="7" operator="containsText" text="TRUE">
      <formula>NOT(ISERROR(SEARCH("TRUE",I18)))</formula>
    </cfRule>
    <cfRule type="expression" dxfId="1" priority="11">
      <formula>FALSE</formula>
    </cfRule>
    <cfRule type="cellIs" dxfId="0" priority="1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MotorWare USER Variables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Clearman, Chris</dc:creator>
  <cp:lastModifiedBy>Lucas Paiva da Silva</cp:lastModifiedBy>
  <dcterms:created xsi:type="dcterms:W3CDTF">2014-02-05T18:53:57Z</dcterms:created>
  <dcterms:modified xsi:type="dcterms:W3CDTF">2024-05-03T02:02:53Z</dcterms:modified>
</cp:coreProperties>
</file>