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63360b7313d4a6/Documentos/GitHub/UC3M_Projects/FinancialManagement/"/>
    </mc:Choice>
  </mc:AlternateContent>
  <xr:revisionPtr revIDLastSave="1212" documentId="13_ncr:1_{9CE7DB7C-C080-4BB2-8A92-1D4A7BD45BE5}" xr6:coauthVersionLast="47" xr6:coauthVersionMax="47" xr10:uidLastSave="{3BD52936-3BCE-45F9-8BE6-0837C7518215}"/>
  <bookViews>
    <workbookView xWindow="-108" yWindow="-108" windowWidth="23256" windowHeight="12456" firstSheet="3" activeTab="7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  <sheet name="Cálculos" sheetId="8" r:id="rId8"/>
    <sheet name="Gráficos" sheetId="9" r:id="rId9"/>
  </sheets>
  <definedNames>
    <definedName name="_xlchart.v1.0" hidden="1">Cálculos!$B$2:$B$51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2" i="8"/>
  <c r="G26" i="8" s="1"/>
  <c r="G21" i="8"/>
  <c r="K3" i="8"/>
  <c r="K4" i="8"/>
  <c r="K5" i="8"/>
  <c r="K6" i="8"/>
  <c r="K7" i="8"/>
  <c r="K8" i="8"/>
  <c r="K9" i="8"/>
  <c r="K10" i="8"/>
  <c r="K2" i="8"/>
  <c r="G13" i="8"/>
  <c r="C2" i="8" a="1"/>
  <c r="C2" i="8" s="1"/>
  <c r="G9" i="8" s="1"/>
  <c r="A2" i="8" a="1"/>
  <c r="A2" i="8" s="1"/>
  <c r="G4" i="8" s="1"/>
  <c r="A42" i="8" a="1"/>
  <c r="A42" i="8" s="1"/>
  <c r="A32" i="8" a="1"/>
  <c r="A32" i="8" s="1"/>
  <c r="A22" i="8" a="1"/>
  <c r="A22" i="8" s="1"/>
  <c r="A12" i="8" a="1"/>
  <c r="A12" i="8" s="1"/>
  <c r="T11" i="7"/>
  <c r="S11" i="7"/>
  <c r="T10" i="7"/>
  <c r="S10" i="7"/>
  <c r="T9" i="7"/>
  <c r="S9" i="7"/>
  <c r="T8" i="7"/>
  <c r="S8" i="7"/>
  <c r="T7" i="7"/>
  <c r="S7" i="7"/>
  <c r="T6" i="7"/>
  <c r="S6" i="7"/>
  <c r="T5" i="7"/>
  <c r="S5" i="7"/>
  <c r="T4" i="7"/>
  <c r="S4" i="7"/>
  <c r="T3" i="7"/>
  <c r="S3" i="7"/>
  <c r="T2" i="7"/>
  <c r="T11" i="6"/>
  <c r="S11" i="6"/>
  <c r="T10" i="6"/>
  <c r="S10" i="6"/>
  <c r="T9" i="6"/>
  <c r="S9" i="6"/>
  <c r="T8" i="6"/>
  <c r="S8" i="6"/>
  <c r="T7" i="6"/>
  <c r="S7" i="6"/>
  <c r="T6" i="6"/>
  <c r="S6" i="6"/>
  <c r="T5" i="6"/>
  <c r="S5" i="6"/>
  <c r="T4" i="6"/>
  <c r="S4" i="6"/>
  <c r="T3" i="6"/>
  <c r="S3" i="6"/>
  <c r="T2" i="6"/>
  <c r="T11" i="5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T3" i="4"/>
  <c r="T4" i="4"/>
  <c r="T5" i="4"/>
  <c r="T6" i="4"/>
  <c r="T7" i="4"/>
  <c r="T8" i="4"/>
  <c r="T9" i="4"/>
  <c r="T10" i="4"/>
  <c r="T11" i="4"/>
  <c r="T2" i="4"/>
  <c r="S4" i="4"/>
  <c r="S5" i="4"/>
  <c r="S6" i="4"/>
  <c r="S7" i="4"/>
  <c r="S8" i="4"/>
  <c r="S9" i="4"/>
  <c r="S10" i="4"/>
  <c r="S11" i="4"/>
  <c r="S3" i="4"/>
  <c r="H10" i="3"/>
  <c r="H4" i="3"/>
  <c r="T3" i="3"/>
  <c r="T4" i="3"/>
  <c r="T5" i="3"/>
  <c r="T6" i="3"/>
  <c r="T7" i="3"/>
  <c r="T8" i="3"/>
  <c r="T9" i="3"/>
  <c r="T10" i="3"/>
  <c r="T11" i="3"/>
  <c r="T2" i="3"/>
  <c r="S4" i="3"/>
  <c r="S5" i="3"/>
  <c r="S6" i="3"/>
  <c r="S7" i="3"/>
  <c r="S8" i="3"/>
  <c r="S9" i="3"/>
  <c r="S10" i="3"/>
  <c r="S11" i="3"/>
  <c r="S3" i="3"/>
  <c r="R11" i="7"/>
  <c r="R11" i="5"/>
  <c r="R11" i="3"/>
  <c r="G19" i="8" l="1"/>
  <c r="G24" i="8"/>
  <c r="G17" i="8"/>
  <c r="G2" i="8"/>
  <c r="G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R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R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</authors>
  <commentList>
    <comment ref="R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R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R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<sst xmlns="http://schemas.openxmlformats.org/spreadsheetml/2006/main" count="333" uniqueCount="214">
  <si>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</si>
  <si>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</si>
  <si>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</si>
  <si>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</si>
  <si>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</si>
  <si>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</si>
  <si>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</si>
  <si>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</si>
  <si>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</si>
  <si>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</si>
  <si>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</si>
  <si>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</si>
  <si>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</si>
  <si>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</si>
  <si>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</si>
  <si>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</si>
  <si>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</si>
  <si>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</si>
  <si>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</si>
  <si>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</si>
  <si>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</si>
  <si>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</si>
  <si>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</si>
  <si>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</si>
  <si>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</si>
  <si>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</si>
  <si>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</si>
  <si>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</si>
  <si>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</si>
  <si>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</si>
  <si>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</si>
  <si>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</si>
  <si>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</si>
  <si>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</si>
  <si>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</si>
  <si>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</si>
  <si>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</si>
  <si>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</si>
  <si>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</si>
  <si>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</si>
  <si>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</si>
  <si>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</si>
  <si>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</si>
  <si>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</si>
  <si>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</si>
  <si>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</si>
  <si>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</si>
  <si>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</si>
  <si>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</si>
  <si>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</si>
  <si>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</si>
  <si>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</si>
  <si>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</si>
  <si>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</si>
  <si>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</si>
  <si>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</si>
  <si>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</si>
  <si>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</si>
  <si>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</si>
  <si>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</si>
  <si>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</si>
  <si>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</si>
  <si>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</si>
  <si>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</si>
  <si>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</si>
  <si>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</si>
  <si>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</si>
  <si>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</si>
  <si>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</si>
  <si>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</si>
  <si>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</si>
  <si>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</si>
  <si>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</si>
  <si>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</si>
  <si>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</si>
  <si>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</si>
  <si>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</si>
  <si>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</si>
  <si>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</si>
  <si>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</si>
  <si>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</si>
  <si>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</si>
  <si>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</si>
  <si>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</si>
  <si>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</si>
  <si>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</si>
  <si>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</si>
  <si>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</si>
  <si>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</si>
  <si>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</si>
  <si>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</si>
  <si>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</si>
  <si>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</si>
  <si>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</si>
  <si>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</si>
  <si>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</si>
  <si>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</si>
  <si>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</si>
  <si>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</si>
  <si>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</si>
  <si>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</si>
  <si>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</si>
  <si>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</si>
  <si>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</si>
  <si>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</si>
  <si>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</si>
  <si>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</si>
  <si>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</si>
  <si>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</si>
  <si>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</si>
  <si>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</si>
  <si>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</si>
  <si>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</si>
  <si>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</si>
  <si>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</si>
  <si>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</si>
  <si>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</si>
  <si>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</si>
  <si>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</si>
  <si>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</si>
  <si>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</si>
  <si>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</si>
  <si>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</si>
  <si>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</si>
  <si>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</si>
  <si>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</si>
  <si>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</si>
  <si>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</si>
  <si>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</si>
  <si>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</si>
  <si>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</si>
  <si>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</si>
  <si>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</si>
  <si>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</si>
  <si>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</si>
  <si>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</si>
  <si>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</si>
  <si>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</si>
  <si>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</si>
  <si>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</si>
  <si>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</si>
  <si>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</si>
  <si>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</si>
  <si>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</si>
  <si>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</si>
  <si>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</si>
  <si>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</si>
  <si>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</si>
  <si>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</si>
  <si>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</si>
  <si>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</si>
  <si>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</si>
  <si>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</si>
  <si>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</si>
  <si>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</si>
  <si>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</si>
  <si>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</si>
  <si>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</si>
  <si>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</si>
  <si>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</si>
  <si>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</si>
  <si>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</si>
  <si>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</si>
  <si>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</si>
  <si>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</si>
  <si>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</si>
  <si>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</si>
  <si>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</si>
  <si>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</si>
  <si>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</si>
  <si>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</si>
  <si>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</si>
  <si>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</si>
  <si>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</si>
  <si>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</si>
  <si>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</si>
  <si>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</si>
  <si>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</si>
  <si>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</si>
  <si>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</si>
  <si>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</si>
  <si>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</si>
  <si>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</si>
  <si>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Sales</t>
  </si>
  <si>
    <t>D&amp;A</t>
  </si>
  <si>
    <t>Year</t>
  </si>
  <si>
    <t>D</t>
  </si>
  <si>
    <t>t_c</t>
  </si>
  <si>
    <t>ICR</t>
  </si>
  <si>
    <t>Financial Expenses
th USD
2014</t>
  </si>
  <si>
    <t>Financial Expenses
th USD
2015</t>
  </si>
  <si>
    <t>Financial Expenses
th USD
2016</t>
  </si>
  <si>
    <t>Financial Expenses
th USD
2017</t>
  </si>
  <si>
    <t>Financial Expenses
th USD
2018</t>
  </si>
  <si>
    <t>Financial Expenses
th USD
2019</t>
  </si>
  <si>
    <t>Financial Expenses
th USD
2020</t>
  </si>
  <si>
    <t>Financial Expenses
th USD
2021</t>
  </si>
  <si>
    <t>Financial Expenses
th USD
2022</t>
  </si>
  <si>
    <t>Financial Expenses
th USD
2023</t>
  </si>
  <si>
    <t>InterestExpense</t>
  </si>
  <si>
    <t>g</t>
  </si>
  <si>
    <t>N/A</t>
  </si>
  <si>
    <t>D/E</t>
  </si>
  <si>
    <t>La mediana ha sido:</t>
  </si>
  <si>
    <t xml:space="preserve">La media compuesta ha sido: </t>
  </si>
  <si>
    <t>La media del crecimiento de BVE de J&amp;J ha sido:</t>
  </si>
  <si>
    <t>g_ventas</t>
  </si>
  <si>
    <t>La media del crecimiento de las ventas de J&amp;J ha sido:</t>
  </si>
  <si>
    <t>La mediana fue:</t>
  </si>
  <si>
    <t>La media compuesta ha sido:</t>
  </si>
  <si>
    <t>La media del ratio D/E del sector fue:</t>
  </si>
  <si>
    <t>D&amp;A / Ventas</t>
  </si>
  <si>
    <t>La media del ratio D&amp;A / Ventas de J&amp;J fue: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</si>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</sst>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0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</font>
    <font>
      <b/>
      <u/>
      <sz val="11"/>
      <color theme="3" tint="9.9978637043366805E-2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7" fillId="0" borderId="0" xfId="0" applyFont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168" fontId="0" fillId="9" borderId="0" xfId="0" applyNumberFormat="1" applyFill="1"/>
    <xf numFmtId="10" fontId="0" fillId="9" borderId="0" xfId="0" applyNumberFormat="1" applyFill="1"/>
    <xf numFmtId="0" fontId="9" fillId="9" borderId="0" xfId="0" applyFont="1" applyFill="1"/>
    <xf numFmtId="0" fontId="0" fillId="10" borderId="0" xfId="0" applyFill="1"/>
    <xf numFmtId="0" fontId="6" fillId="6" borderId="7" xfId="0" applyFont="1" applyFill="1" applyBorder="1" applyAlignment="1">
      <alignment horizontal="center"/>
    </xf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0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9" fillId="8" borderId="11" xfId="0" applyFont="1" applyFill="1" applyBorder="1"/>
    <xf numFmtId="10" fontId="0" fillId="8" borderId="0" xfId="1" applyNumberFormat="1" applyFont="1" applyFill="1" applyBorder="1" applyAlignment="1">
      <alignment horizontal="center"/>
    </xf>
    <xf numFmtId="10" fontId="9" fillId="8" borderId="0" xfId="1" applyNumberFormat="1" applyFont="1" applyFill="1" applyBorder="1" applyAlignment="1">
      <alignment horizontal="center"/>
    </xf>
    <xf numFmtId="10" fontId="0" fillId="8" borderId="17" xfId="1" applyNumberFormat="1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10" fontId="9" fillId="8" borderId="17" xfId="1" applyNumberFormat="1" applyFont="1" applyFill="1" applyBorder="1" applyAlignment="1">
      <alignment horizontal="center"/>
    </xf>
    <xf numFmtId="10" fontId="0" fillId="9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Johnson</a:t>
            </a:r>
            <a:r>
              <a:rPr lang="es-ES" baseline="0"/>
              <a:t> &amp; Johnson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'JOHNSON &amp; JOHNSON'!$N$2:$N$11</c:f>
              <c:numCache>
                <c:formatCode>General</c:formatCode>
                <c:ptCount val="10"/>
                <c:pt idx="0">
                  <c:v>74331000</c:v>
                </c:pt>
                <c:pt idx="1">
                  <c:v>70074000</c:v>
                </c:pt>
                <c:pt idx="2">
                  <c:v>71890000</c:v>
                </c:pt>
                <c:pt idx="3">
                  <c:v>76450000</c:v>
                </c:pt>
                <c:pt idx="4">
                  <c:v>81581000</c:v>
                </c:pt>
                <c:pt idx="5">
                  <c:v>82059000</c:v>
                </c:pt>
                <c:pt idx="6">
                  <c:v>82584000</c:v>
                </c:pt>
                <c:pt idx="7">
                  <c:v>78740000</c:v>
                </c:pt>
                <c:pt idx="8">
                  <c:v>79990000</c:v>
                </c:pt>
                <c:pt idx="9">
                  <c:v>85159000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1-42F3-B4CC-5BE18FEE8721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'JOHNSON &amp; JOHNSON'!$L$2:$L$11</c:f>
              <c:numCache>
                <c:formatCode>General</c:formatCode>
                <c:ptCount val="10"/>
                <c:pt idx="0">
                  <c:v>21034000</c:v>
                </c:pt>
                <c:pt idx="1">
                  <c:v>19652000</c:v>
                </c:pt>
                <c:pt idx="2">
                  <c:v>20215000</c:v>
                </c:pt>
                <c:pt idx="3">
                  <c:v>18222000</c:v>
                </c:pt>
                <c:pt idx="4">
                  <c:v>18393000</c:v>
                </c:pt>
                <c:pt idx="5">
                  <c:v>17145000</c:v>
                </c:pt>
                <c:pt idx="6">
                  <c:v>16087000</c:v>
                </c:pt>
                <c:pt idx="7">
                  <c:v>19524000</c:v>
                </c:pt>
                <c:pt idx="8">
                  <c:v>20131000</c:v>
                </c:pt>
                <c:pt idx="9">
                  <c:v>15539000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1-42F3-B4CC-5BE18FEE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Roche Holding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'ROCHE HOLDING AG'!$N$2:$N$11</c:f>
              <c:numCache>
                <c:formatCode>General</c:formatCode>
                <c:ptCount val="10"/>
                <c:pt idx="0">
                  <c:v>47985034.294366799</c:v>
                </c:pt>
                <c:pt idx="1">
                  <c:v>48528375.848531701</c:v>
                </c:pt>
                <c:pt idx="2">
                  <c:v>49779527.938842803</c:v>
                </c:pt>
                <c:pt idx="3">
                  <c:v>54648825.782060601</c:v>
                </c:pt>
                <c:pt idx="4">
                  <c:v>57729258.299827598</c:v>
                </c:pt>
                <c:pt idx="5">
                  <c:v>63484815.380811699</c:v>
                </c:pt>
                <c:pt idx="6">
                  <c:v>66185883.4676743</c:v>
                </c:pt>
                <c:pt idx="7">
                  <c:v>68807935.450196296</c:v>
                </c:pt>
                <c:pt idx="8">
                  <c:v>68541564.745306998</c:v>
                </c:pt>
                <c:pt idx="9">
                  <c:v>69895841.634750396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309-A16B-3940F2DDBF9F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B-4309-A16B-3940F2DDB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Pfizer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'PFIZER INC'!$N$2:$N$11</c:f>
              <c:numCache>
                <c:formatCode>General</c:formatCode>
                <c:ptCount val="10"/>
                <c:pt idx="0">
                  <c:v>49605000</c:v>
                </c:pt>
                <c:pt idx="1">
                  <c:v>48851000</c:v>
                </c:pt>
                <c:pt idx="2">
                  <c:v>52824000</c:v>
                </c:pt>
                <c:pt idx="3">
                  <c:v>52546000</c:v>
                </c:pt>
                <c:pt idx="4">
                  <c:v>40825000</c:v>
                </c:pt>
                <c:pt idx="5">
                  <c:v>41172000</c:v>
                </c:pt>
                <c:pt idx="6">
                  <c:v>41651000</c:v>
                </c:pt>
                <c:pt idx="7">
                  <c:v>81288000</c:v>
                </c:pt>
                <c:pt idx="8">
                  <c:v>100330000</c:v>
                </c:pt>
                <c:pt idx="9">
                  <c:v>58496000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4-4390-BB19-B63BB85EF722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'ROCHE HOLDING AG'!$L$2:$L$11</c:f>
              <c:numCache>
                <c:formatCode>General</c:formatCode>
                <c:ptCount val="10"/>
                <c:pt idx="0">
                  <c:v>14245272.7067471</c:v>
                </c:pt>
                <c:pt idx="1">
                  <c:v>13931055.8230877</c:v>
                </c:pt>
                <c:pt idx="2">
                  <c:v>13847441.0505295</c:v>
                </c:pt>
                <c:pt idx="3">
                  <c:v>13332307.954073001</c:v>
                </c:pt>
                <c:pt idx="4">
                  <c:v>14998476.864337901</c:v>
                </c:pt>
                <c:pt idx="5">
                  <c:v>18124353.956699401</c:v>
                </c:pt>
                <c:pt idx="6">
                  <c:v>21042896.235466</c:v>
                </c:pt>
                <c:pt idx="7">
                  <c:v>19891531.4739943</c:v>
                </c:pt>
                <c:pt idx="8">
                  <c:v>18928784.081935901</c:v>
                </c:pt>
                <c:pt idx="9">
                  <c:v>18326290.6527519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4-4390-BB19-B63BB85E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  <c:max val="105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8"/>
          <c:y val="0.27645778652668418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Novartis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'NOVARTIS AG'!$N$2:$N$11</c:f>
              <c:numCache>
                <c:formatCode>General</c:formatCode>
                <c:ptCount val="10"/>
                <c:pt idx="0">
                  <c:v>59276000</c:v>
                </c:pt>
                <c:pt idx="1">
                  <c:v>50387000</c:v>
                </c:pt>
                <c:pt idx="2">
                  <c:v>49436000</c:v>
                </c:pt>
                <c:pt idx="3">
                  <c:v>50135000</c:v>
                </c:pt>
                <c:pt idx="4">
                  <c:v>53166000</c:v>
                </c:pt>
                <c:pt idx="5">
                  <c:v>50486000</c:v>
                </c:pt>
                <c:pt idx="6">
                  <c:v>49898000</c:v>
                </c:pt>
                <c:pt idx="7">
                  <c:v>52877000</c:v>
                </c:pt>
                <c:pt idx="8">
                  <c:v>51828000</c:v>
                </c:pt>
                <c:pt idx="9">
                  <c:v>54107000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5-9A21-B6F76A90B638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'NOVARTIS AG'!$L$2:$L$11</c:f>
              <c:numCache>
                <c:formatCode>General</c:formatCode>
                <c:ptCount val="10"/>
                <c:pt idx="0">
                  <c:v>10736000</c:v>
                </c:pt>
                <c:pt idx="1">
                  <c:v>8977000</c:v>
                </c:pt>
                <c:pt idx="2">
                  <c:v>8268000</c:v>
                </c:pt>
                <c:pt idx="3">
                  <c:v>8629000</c:v>
                </c:pt>
                <c:pt idx="4">
                  <c:v>8169000</c:v>
                </c:pt>
                <c:pt idx="5">
                  <c:v>9157000</c:v>
                </c:pt>
                <c:pt idx="6">
                  <c:v>10152000</c:v>
                </c:pt>
                <c:pt idx="7">
                  <c:v>11689000</c:v>
                </c:pt>
                <c:pt idx="8">
                  <c:v>9197000</c:v>
                </c:pt>
                <c:pt idx="9">
                  <c:v>10030000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3-4785-9A21-B6F76A90B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Ventas y BAIT de Eli Lilly &amp; Company</a:t>
            </a:r>
            <a:endParaRPr lang="es-ES" baseline="0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'JOHNSON &amp; JOHNSON'!$A$2:$A$11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'ELI LILLY AND COMPANY'!$N$2:$N$11</c:f>
              <c:numCache>
                <c:formatCode>General</c:formatCode>
                <c:ptCount val="10"/>
                <c:pt idx="0">
                  <c:v>19615600</c:v>
                </c:pt>
                <c:pt idx="1">
                  <c:v>19958700</c:v>
                </c:pt>
                <c:pt idx="2">
                  <c:v>21222100</c:v>
                </c:pt>
                <c:pt idx="3">
                  <c:v>19973800</c:v>
                </c:pt>
                <c:pt idx="4">
                  <c:v>21493300</c:v>
                </c:pt>
                <c:pt idx="5">
                  <c:v>22319500</c:v>
                </c:pt>
                <c:pt idx="6">
                  <c:v>24539800</c:v>
                </c:pt>
                <c:pt idx="7">
                  <c:v>28318400</c:v>
                </c:pt>
                <c:pt idx="8">
                  <c:v>28541400</c:v>
                </c:pt>
                <c:pt idx="9">
                  <c:v>34124100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710-800E-7B016A7C07EB}"/>
            </c:ext>
          </c:extLst>
        </c:ser>
        <c:ser>
          <c:idx val="1"/>
          <c:order val="1"/>
          <c:tx>
            <c:v>BAIT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'ELI LILLY AND COMPANY'!$L$2:$L$11</c:f>
              <c:numCache>
                <c:formatCode>General</c:formatCode>
                <c:ptCount val="10"/>
                <c:pt idx="0">
                  <c:v>2659800</c:v>
                </c:pt>
                <c:pt idx="1">
                  <c:v>2522700</c:v>
                </c:pt>
                <c:pt idx="2">
                  <c:v>3458800</c:v>
                </c:pt>
                <c:pt idx="3">
                  <c:v>2003300</c:v>
                </c:pt>
                <c:pt idx="4">
                  <c:v>3534500</c:v>
                </c:pt>
                <c:pt idx="5">
                  <c:v>5031600</c:v>
                </c:pt>
                <c:pt idx="6">
                  <c:v>6058000</c:v>
                </c:pt>
                <c:pt idx="7">
                  <c:v>5951900</c:v>
                </c:pt>
                <c:pt idx="8">
                  <c:v>7127300</c:v>
                </c:pt>
                <c:pt idx="9">
                  <c:v>6457900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C-4710-800E-7B016A7C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176623"/>
        <c:axId val="2135174223"/>
      </c:barChart>
      <c:catAx>
        <c:axId val="21351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4223"/>
        <c:crosses val="autoZero"/>
        <c:auto val="1"/>
        <c:lblAlgn val="ctr"/>
        <c:lblOffset val="100"/>
        <c:noMultiLvlLbl val="0"/>
      </c:catAx>
      <c:valAx>
        <c:axId val="213517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5176623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2222222222222223E-2"/>
                <c:y val="0.2877777777777778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Miles</a:t>
                  </a:r>
                  <a:r>
                    <a:rPr lang="en-US" baseline="0"/>
                    <a:t> de millones de dólares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3696412948378"/>
          <c:y val="0.19775408282298043"/>
          <c:w val="0.11285192475940506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074D4-69EA-4B95-936A-5681D1749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624791-A580-40F0-8CF4-DE84D89C4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2D5E6A-9E59-4035-809C-19E1F8D0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7</xdr:col>
      <xdr:colOff>304800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57900-3ADA-44F2-9FA4-86C63EAA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98AC38-5662-4BF1-B99D-C0ED03F5F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11" dT="2024-04-16T20:45:44.09" personId="{D102DFAF-7AB4-4E26-AD3A-9DDD4F90D851}" id="{427EB58A-84ED-4BA1-BFBD-2D82CABA1FF1}">
    <text xml:space="preserve">7,25% del Estad de Nueva York y 21% federal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R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25" t="s">
        <v>0</v>
      </c>
      <c r="B1" s="26"/>
      <c r="C1" s="27" t="s">
        <v>1</v>
      </c>
      <c r="D1" s="26"/>
      <c r="E1" s="28"/>
    </row>
    <row r="2" spans="1:6" ht="14.4" customHeight="1" x14ac:dyDescent="0.3">
      <c r="A2" s="25" t="s">
        <v>2</v>
      </c>
      <c r="B2" s="26"/>
      <c r="C2" s="27" t="s">
        <v>3</v>
      </c>
      <c r="D2" s="26"/>
      <c r="E2" s="28"/>
    </row>
    <row r="3" spans="1:6" ht="14.4" customHeight="1" x14ac:dyDescent="0.3">
      <c r="A3" s="25" t="s">
        <v>4</v>
      </c>
      <c r="B3" s="26"/>
      <c r="C3" s="27" t="s">
        <v>5</v>
      </c>
      <c r="D3" s="26"/>
      <c r="E3" s="28"/>
    </row>
    <row r="4" spans="1:6" ht="14.4" customHeight="1" x14ac:dyDescent="0.3">
      <c r="A4" s="25" t="s">
        <v>6</v>
      </c>
      <c r="B4" s="26"/>
      <c r="C4" s="27" t="s">
        <v>7</v>
      </c>
      <c r="D4" s="26"/>
      <c r="E4" s="28"/>
    </row>
    <row r="5" spans="1:6" ht="14.4" customHeight="1" x14ac:dyDescent="0.3">
      <c r="A5" s="25" t="s">
        <v>8</v>
      </c>
      <c r="B5" s="26"/>
      <c r="C5" s="27" t="s">
        <v>9</v>
      </c>
      <c r="D5" s="26"/>
      <c r="E5" s="28"/>
    </row>
    <row r="6" spans="1:6" ht="14.4" customHeight="1" x14ac:dyDescent="0.3">
      <c r="A6" s="25" t="s">
        <v>10</v>
      </c>
      <c r="B6" s="26"/>
      <c r="C6" s="27" t="s">
        <v>11</v>
      </c>
      <c r="D6" s="26"/>
      <c r="E6" s="28"/>
    </row>
    <row r="7" spans="1:6" ht="14.4" customHeight="1" x14ac:dyDescent="0.3">
      <c r="A7" s="25" t="s">
        <v>12</v>
      </c>
      <c r="B7" s="26"/>
      <c r="C7" s="27" t="s">
        <v>13</v>
      </c>
      <c r="D7" s="26"/>
      <c r="E7" s="28"/>
    </row>
    <row r="8" spans="1:6" ht="14.4" customHeight="1" x14ac:dyDescent="0.3">
      <c r="A8" s="29"/>
      <c r="B8" s="26"/>
      <c r="C8" s="26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30" t="s">
        <v>17</v>
      </c>
      <c r="C9" s="26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30" t="s">
        <v>20</v>
      </c>
      <c r="C10" s="26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30" t="s">
        <v>23</v>
      </c>
      <c r="C11" s="26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30" t="s">
        <v>27</v>
      </c>
      <c r="C12" s="26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32" t="s">
        <v>30</v>
      </c>
      <c r="C13" s="33"/>
      <c r="D13" s="7" t="s">
        <v>18</v>
      </c>
      <c r="E13" s="8" t="s">
        <v>31</v>
      </c>
    </row>
    <row r="14" spans="1:6" ht="14.4" customHeight="1" x14ac:dyDescent="0.3">
      <c r="B14" s="34" t="s">
        <v>32</v>
      </c>
      <c r="C14" s="26"/>
      <c r="D14" s="26"/>
      <c r="E14" s="26"/>
    </row>
    <row r="15" spans="1:6" ht="14.4" customHeight="1" x14ac:dyDescent="0.3">
      <c r="A15" s="26"/>
      <c r="B15" s="26"/>
      <c r="C15" s="26"/>
      <c r="D15" s="9" t="s">
        <v>33</v>
      </c>
      <c r="E15" s="10" t="s">
        <v>31</v>
      </c>
    </row>
    <row r="16" spans="1:6" ht="13.2" customHeight="1" x14ac:dyDescent="0.3">
      <c r="A16" s="26"/>
      <c r="B16" s="26"/>
      <c r="C16" s="26"/>
      <c r="D16" s="26"/>
      <c r="E16" s="26"/>
      <c r="F16" s="26"/>
    </row>
    <row r="17" spans="1:6" ht="14.4" customHeight="1" x14ac:dyDescent="0.3">
      <c r="A17" s="31" t="s">
        <v>34</v>
      </c>
      <c r="B17" s="26"/>
      <c r="C17" s="26"/>
      <c r="D17" s="26"/>
      <c r="E17" s="26"/>
      <c r="F17" s="26"/>
    </row>
  </sheetData>
  <mergeCells count="24">
    <mergeCell ref="A16:F16"/>
    <mergeCell ref="A17:F17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topLeftCell="DO1" workbookViewId="0">
      <selection activeCell="DI14" sqref="DI14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189</v>
      </c>
      <c r="DJ1" s="14" t="s">
        <v>190</v>
      </c>
      <c r="DK1" s="14" t="s">
        <v>191</v>
      </c>
      <c r="DL1" s="14" t="s">
        <v>192</v>
      </c>
      <c r="DM1" s="14" t="s">
        <v>193</v>
      </c>
      <c r="DN1" s="14" t="s">
        <v>194</v>
      </c>
      <c r="DO1" s="14" t="s">
        <v>195</v>
      </c>
      <c r="DP1" s="14" t="s">
        <v>196</v>
      </c>
      <c r="DQ1" s="14" t="s">
        <v>197</v>
      </c>
      <c r="DR1" s="14" t="s">
        <v>198</v>
      </c>
      <c r="DS1" s="14" t="s">
        <v>146</v>
      </c>
      <c r="DT1" s="14" t="s">
        <v>147</v>
      </c>
      <c r="DU1" s="14" t="s">
        <v>148</v>
      </c>
      <c r="DV1" s="14" t="s">
        <v>149</v>
      </c>
      <c r="DW1" s="14" t="s">
        <v>150</v>
      </c>
      <c r="DX1" s="14" t="s">
        <v>151</v>
      </c>
      <c r="DY1" s="14" t="s">
        <v>152</v>
      </c>
      <c r="DZ1" s="14" t="s">
        <v>153</v>
      </c>
      <c r="EA1" s="14" t="s">
        <v>154</v>
      </c>
      <c r="EB1" s="14" t="s">
        <v>155</v>
      </c>
      <c r="EC1" s="14" t="s">
        <v>156</v>
      </c>
      <c r="ED1" s="14" t="s">
        <v>157</v>
      </c>
      <c r="EE1" s="14" t="s">
        <v>158</v>
      </c>
      <c r="EF1" s="14" t="s">
        <v>159</v>
      </c>
      <c r="EG1" s="14" t="s">
        <v>160</v>
      </c>
      <c r="EH1" s="14" t="s">
        <v>161</v>
      </c>
      <c r="EI1" s="14" t="s">
        <v>162</v>
      </c>
      <c r="EJ1" s="14" t="s">
        <v>163</v>
      </c>
      <c r="EK1" s="14" t="s">
        <v>164</v>
      </c>
      <c r="EL1" s="14" t="s">
        <v>165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166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167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167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533000</v>
      </c>
      <c r="DJ2" s="17">
        <v>552000</v>
      </c>
      <c r="DK2" s="17">
        <v>726000</v>
      </c>
      <c r="DL2" s="17">
        <v>934000</v>
      </c>
      <c r="DM2" s="17">
        <v>1005000</v>
      </c>
      <c r="DN2" s="17">
        <v>318000</v>
      </c>
      <c r="DO2" s="17">
        <v>201000</v>
      </c>
      <c r="DP2" s="17">
        <v>183000</v>
      </c>
      <c r="DQ2" s="17">
        <v>276000</v>
      </c>
      <c r="DR2" s="17">
        <v>772000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168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167</v>
      </c>
      <c r="CF3" s="24" t="s">
        <v>167</v>
      </c>
      <c r="CG3" s="24" t="s">
        <v>167</v>
      </c>
      <c r="CH3" s="24" t="s">
        <v>167</v>
      </c>
      <c r="CI3" s="24" t="s">
        <v>167</v>
      </c>
      <c r="CJ3" s="24" t="s">
        <v>167</v>
      </c>
      <c r="CK3" s="24" t="s">
        <v>167</v>
      </c>
      <c r="CL3" s="24" t="s">
        <v>167</v>
      </c>
      <c r="CM3" s="24" t="s">
        <v>167</v>
      </c>
      <c r="CN3" s="24" t="s">
        <v>167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1859265.8983469</v>
      </c>
      <c r="DJ3" s="22">
        <v>1625844.22564507</v>
      </c>
      <c r="DK3" s="22">
        <v>1099409.45720673</v>
      </c>
      <c r="DL3" s="22">
        <v>863324.10192489601</v>
      </c>
      <c r="DM3" s="22">
        <v>815476.80425643898</v>
      </c>
      <c r="DN3" s="22">
        <v>1043172.86849022</v>
      </c>
      <c r="DO3" s="22">
        <v>643440.76824188197</v>
      </c>
      <c r="DP3" s="22">
        <v>479894.83809471101</v>
      </c>
      <c r="DQ3" s="22">
        <v>879501.755237579</v>
      </c>
      <c r="DR3" s="22">
        <v>1570144.6814536999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169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1360000</v>
      </c>
      <c r="DJ4" s="17">
        <v>1199000</v>
      </c>
      <c r="DK4" s="17">
        <v>1186000</v>
      </c>
      <c r="DL4" s="17">
        <v>1270000</v>
      </c>
      <c r="DM4" s="17">
        <v>1316000</v>
      </c>
      <c r="DN4" s="17">
        <v>1573000</v>
      </c>
      <c r="DO4" s="17">
        <v>1449000</v>
      </c>
      <c r="DP4" s="17">
        <v>1291000</v>
      </c>
      <c r="DQ4" s="17">
        <v>1238000</v>
      </c>
      <c r="DR4" s="17">
        <v>2209000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170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167</v>
      </c>
      <c r="CF5" s="24" t="s">
        <v>167</v>
      </c>
      <c r="CG5" s="24" t="s">
        <v>167</v>
      </c>
      <c r="CH5" s="24" t="s">
        <v>167</v>
      </c>
      <c r="CI5" s="24" t="s">
        <v>167</v>
      </c>
      <c r="CJ5" s="24" t="s">
        <v>167</v>
      </c>
      <c r="CK5" s="24" t="s">
        <v>167</v>
      </c>
      <c r="CL5" s="24" t="s">
        <v>167</v>
      </c>
      <c r="CM5" s="24" t="s">
        <v>167</v>
      </c>
      <c r="CN5" s="24" t="s">
        <v>167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792000</v>
      </c>
      <c r="DJ5" s="22">
        <v>890000</v>
      </c>
      <c r="DK5" s="22">
        <v>728000</v>
      </c>
      <c r="DL5" s="22">
        <v>803000</v>
      </c>
      <c r="DM5" s="22">
        <v>1000000</v>
      </c>
      <c r="DN5" s="22">
        <v>915000</v>
      </c>
      <c r="DO5" s="22">
        <v>921000</v>
      </c>
      <c r="DP5" s="22">
        <v>905000</v>
      </c>
      <c r="DQ5" s="22">
        <v>1031000</v>
      </c>
      <c r="DR5" s="22">
        <v>1120000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171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148800</v>
      </c>
      <c r="DJ6" s="17">
        <v>161200</v>
      </c>
      <c r="DK6" s="17">
        <v>185200</v>
      </c>
      <c r="DL6" s="17">
        <v>225000</v>
      </c>
      <c r="DM6" s="17">
        <v>242500</v>
      </c>
      <c r="DN6" s="17">
        <v>400600</v>
      </c>
      <c r="DO6" s="17">
        <v>359600</v>
      </c>
      <c r="DP6" s="17">
        <v>339800</v>
      </c>
      <c r="DQ6" s="17">
        <v>331600</v>
      </c>
      <c r="DR6" s="17">
        <v>485900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U17"/>
  <sheetViews>
    <sheetView topLeftCell="M1" workbookViewId="0">
      <selection activeCell="W7" sqref="W7"/>
    </sheetView>
  </sheetViews>
  <sheetFormatPr defaultRowHeight="14.4" x14ac:dyDescent="0.3"/>
  <cols>
    <col min="1" max="1" width="5" bestFit="1" customWidth="1"/>
    <col min="2" max="2" width="13.88671875" bestFit="1" customWidth="1"/>
    <col min="3" max="4" width="9" bestFit="1" customWidth="1"/>
    <col min="5" max="5" width="10.33203125" bestFit="1" customWidth="1"/>
    <col min="6" max="7" width="7" bestFit="1" customWidth="1"/>
    <col min="8" max="8" width="12" bestFit="1" customWidth="1"/>
    <col min="9" max="9" width="14.33203125" bestFit="1" customWidth="1"/>
    <col min="10" max="10" width="25" bestFit="1" customWidth="1"/>
    <col min="11" max="12" width="9" bestFit="1" customWidth="1"/>
    <col min="13" max="13" width="14.4414062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  <col min="19" max="19" width="12.6640625" bestFit="1" customWidth="1"/>
    <col min="20" max="20" width="12" bestFit="1" customWidth="1"/>
  </cols>
  <sheetData>
    <row r="1" spans="1:21" ht="15" thickBot="1" x14ac:dyDescent="0.35">
      <c r="A1" s="35" t="s">
        <v>185</v>
      </c>
      <c r="B1" s="36" t="s">
        <v>172</v>
      </c>
      <c r="C1" s="36" t="s">
        <v>173</v>
      </c>
      <c r="D1" s="36" t="s">
        <v>174</v>
      </c>
      <c r="E1" s="36" t="s">
        <v>175</v>
      </c>
      <c r="F1" s="36" t="s">
        <v>176</v>
      </c>
      <c r="G1" s="36" t="s">
        <v>177</v>
      </c>
      <c r="H1" s="36" t="s">
        <v>178</v>
      </c>
      <c r="I1" s="36" t="s">
        <v>179</v>
      </c>
      <c r="J1" s="36" t="s">
        <v>180</v>
      </c>
      <c r="K1" s="36" t="s">
        <v>181</v>
      </c>
      <c r="L1" s="36" t="s">
        <v>182</v>
      </c>
      <c r="M1" s="36" t="s">
        <v>199</v>
      </c>
      <c r="N1" s="36" t="s">
        <v>183</v>
      </c>
      <c r="O1" s="36" t="s">
        <v>184</v>
      </c>
      <c r="P1" s="36" t="s">
        <v>186</v>
      </c>
      <c r="Q1" s="36" t="s">
        <v>188</v>
      </c>
      <c r="R1" s="36" t="s">
        <v>187</v>
      </c>
      <c r="S1" s="36" t="s">
        <v>200</v>
      </c>
      <c r="T1" s="36" t="s">
        <v>202</v>
      </c>
      <c r="U1" s="37" t="s">
        <v>213</v>
      </c>
    </row>
    <row r="2" spans="1:21" x14ac:dyDescent="0.3">
      <c r="A2" s="38">
        <v>2014</v>
      </c>
      <c r="B2" s="39">
        <v>131119000</v>
      </c>
      <c r="C2" s="39">
        <v>69752000</v>
      </c>
      <c r="D2" s="39">
        <v>16323000</v>
      </c>
      <c r="E2" s="39">
        <v>292702970</v>
      </c>
      <c r="F2" s="39">
        <v>0.29480000000000001</v>
      </c>
      <c r="G2" s="39">
        <v>0.15679999999999999</v>
      </c>
      <c r="H2" s="39">
        <v>104.57</v>
      </c>
      <c r="I2" s="39">
        <v>278373970</v>
      </c>
      <c r="J2" s="39">
        <v>2783000</v>
      </c>
      <c r="K2" s="39">
        <v>33089000</v>
      </c>
      <c r="L2" s="39">
        <v>21034000</v>
      </c>
      <c r="M2" s="39">
        <v>533000</v>
      </c>
      <c r="N2" s="39">
        <v>74331000</v>
      </c>
      <c r="O2" s="39">
        <v>3895000</v>
      </c>
      <c r="P2" s="39">
        <v>18760000</v>
      </c>
      <c r="Q2" s="39">
        <v>39.463414634146339</v>
      </c>
      <c r="R2" s="41"/>
      <c r="S2" s="41" t="s">
        <v>201</v>
      </c>
      <c r="T2" s="41">
        <f>P2/E2</f>
        <v>6.4092277574088155E-2</v>
      </c>
      <c r="U2" s="42"/>
    </row>
    <row r="3" spans="1:21" x14ac:dyDescent="0.3">
      <c r="A3" s="38">
        <v>2015</v>
      </c>
      <c r="B3" s="39">
        <v>133411000</v>
      </c>
      <c r="C3" s="39">
        <v>71150000</v>
      </c>
      <c r="D3" s="39">
        <v>15409000</v>
      </c>
      <c r="E3" s="39">
        <v>284220453</v>
      </c>
      <c r="F3" s="39">
        <v>0.26979999999999998</v>
      </c>
      <c r="G3" s="39">
        <v>0.1439</v>
      </c>
      <c r="H3" s="39">
        <v>102.72</v>
      </c>
      <c r="I3" s="39">
        <v>265705453</v>
      </c>
      <c r="J3" s="39">
        <v>2755000</v>
      </c>
      <c r="K3" s="39">
        <v>38376000</v>
      </c>
      <c r="L3" s="39">
        <v>19652000</v>
      </c>
      <c r="M3" s="39">
        <v>552000</v>
      </c>
      <c r="N3" s="39">
        <v>70074000</v>
      </c>
      <c r="O3" s="39">
        <v>3746000</v>
      </c>
      <c r="P3" s="39">
        <v>19861000</v>
      </c>
      <c r="Q3" s="39">
        <v>35.60144927536232</v>
      </c>
      <c r="R3" s="41"/>
      <c r="S3" s="41">
        <f>C3/C2 - 1</f>
        <v>2.0042436059181101E-2</v>
      </c>
      <c r="T3" s="41">
        <f t="shared" ref="T3:T11" si="0">P3/E3</f>
        <v>6.9878855621977348E-2</v>
      </c>
      <c r="U3" s="42"/>
    </row>
    <row r="4" spans="1:21" x14ac:dyDescent="0.3">
      <c r="A4" s="38">
        <v>2016</v>
      </c>
      <c r="B4" s="39">
        <v>141208000</v>
      </c>
      <c r="C4" s="39">
        <v>70418000</v>
      </c>
      <c r="D4" s="39">
        <v>16540000</v>
      </c>
      <c r="E4" s="39">
        <v>313432458</v>
      </c>
      <c r="F4" s="39">
        <v>0.28120000000000001</v>
      </c>
      <c r="G4" s="39">
        <v>0.14019999999999999</v>
      </c>
      <c r="H4" s="39">
        <f>E4/J4</f>
        <v>115.78590986331733</v>
      </c>
      <c r="I4" s="39">
        <v>298651458</v>
      </c>
      <c r="J4" s="39">
        <v>2707000</v>
      </c>
      <c r="K4" s="39">
        <v>41907000</v>
      </c>
      <c r="L4" s="39">
        <v>20215000</v>
      </c>
      <c r="M4" s="39">
        <v>726000</v>
      </c>
      <c r="N4" s="39">
        <v>71890000</v>
      </c>
      <c r="O4" s="39">
        <v>3754000</v>
      </c>
      <c r="P4" s="39">
        <v>27126000</v>
      </c>
      <c r="Q4" s="39">
        <v>27.844352617079888</v>
      </c>
      <c r="R4" s="41"/>
      <c r="S4" s="41">
        <f t="shared" ref="S4:S11" si="1">C4/C3 - 1</f>
        <v>-1.0288123682361205E-2</v>
      </c>
      <c r="T4" s="41">
        <f t="shared" si="0"/>
        <v>8.6544961466626408E-2</v>
      </c>
      <c r="U4" s="42"/>
    </row>
    <row r="5" spans="1:21" x14ac:dyDescent="0.3">
      <c r="A5" s="38">
        <v>2017</v>
      </c>
      <c r="B5" s="39">
        <v>157303000</v>
      </c>
      <c r="C5" s="39">
        <v>60160000</v>
      </c>
      <c r="D5" s="39">
        <v>1300000</v>
      </c>
      <c r="E5" s="39">
        <v>375360585</v>
      </c>
      <c r="F5" s="39">
        <v>0.29380000000000001</v>
      </c>
      <c r="G5" s="39">
        <v>0.1124</v>
      </c>
      <c r="H5" s="39">
        <v>139.72</v>
      </c>
      <c r="I5" s="39">
        <v>391645585</v>
      </c>
      <c r="J5" s="39">
        <v>2683000</v>
      </c>
      <c r="K5" s="39">
        <v>18296000</v>
      </c>
      <c r="L5" s="39">
        <v>18222000</v>
      </c>
      <c r="M5" s="39">
        <v>934000</v>
      </c>
      <c r="N5" s="39">
        <v>76450000</v>
      </c>
      <c r="O5" s="39">
        <v>5642000</v>
      </c>
      <c r="P5" s="39">
        <v>34581000</v>
      </c>
      <c r="Q5" s="39">
        <v>19.509635974304068</v>
      </c>
      <c r="R5" s="41"/>
      <c r="S5" s="41">
        <f t="shared" si="1"/>
        <v>-0.14567298133999829</v>
      </c>
      <c r="T5" s="41">
        <f t="shared" si="0"/>
        <v>9.2127413963828939E-2</v>
      </c>
      <c r="U5" s="42"/>
    </row>
    <row r="6" spans="1:21" x14ac:dyDescent="0.3">
      <c r="A6" s="38">
        <v>2018</v>
      </c>
      <c r="B6" s="39">
        <v>152954000</v>
      </c>
      <c r="C6" s="39">
        <v>59752000</v>
      </c>
      <c r="D6" s="39">
        <v>15297000</v>
      </c>
      <c r="E6" s="39">
        <v>346109265</v>
      </c>
      <c r="F6" s="39">
        <v>0.30120000000000002</v>
      </c>
      <c r="G6" s="39">
        <v>0.1177</v>
      </c>
      <c r="H6" s="39">
        <v>129.05000000000001</v>
      </c>
      <c r="I6" s="39">
        <v>356403265</v>
      </c>
      <c r="J6" s="39">
        <v>2662000</v>
      </c>
      <c r="K6" s="39">
        <v>19687000</v>
      </c>
      <c r="L6" s="39">
        <v>18393000</v>
      </c>
      <c r="M6" s="39">
        <v>1005000</v>
      </c>
      <c r="N6" s="39">
        <v>81581000</v>
      </c>
      <c r="O6" s="39">
        <v>6929000</v>
      </c>
      <c r="P6" s="39">
        <v>29981000</v>
      </c>
      <c r="Q6" s="39">
        <v>18.301492537313433</v>
      </c>
      <c r="R6" s="41"/>
      <c r="S6" s="41">
        <f t="shared" si="1"/>
        <v>-6.7819148936170137E-3</v>
      </c>
      <c r="T6" s="41">
        <f t="shared" si="0"/>
        <v>8.6622933945440614E-2</v>
      </c>
      <c r="U6" s="42"/>
    </row>
    <row r="7" spans="1:21" x14ac:dyDescent="0.3">
      <c r="A7" s="38">
        <v>2019</v>
      </c>
      <c r="B7" s="39">
        <v>157728000</v>
      </c>
      <c r="C7" s="39">
        <v>59471000</v>
      </c>
      <c r="D7" s="39">
        <v>15119000</v>
      </c>
      <c r="E7" s="39">
        <v>383911214</v>
      </c>
      <c r="F7" s="39">
        <v>0.29139999999999999</v>
      </c>
      <c r="G7" s="39">
        <v>0.1099</v>
      </c>
      <c r="H7" s="39">
        <v>145.87</v>
      </c>
      <c r="I7" s="39">
        <v>392320214</v>
      </c>
      <c r="J7" s="39">
        <v>2633000</v>
      </c>
      <c r="K7" s="39">
        <v>19287000</v>
      </c>
      <c r="L7" s="39">
        <v>17145000</v>
      </c>
      <c r="M7" s="39">
        <v>318000</v>
      </c>
      <c r="N7" s="39">
        <v>82059000</v>
      </c>
      <c r="O7" s="39">
        <v>7009000</v>
      </c>
      <c r="P7" s="39">
        <v>27696000</v>
      </c>
      <c r="Q7" s="39">
        <v>53.915094339622641</v>
      </c>
      <c r="R7" s="41"/>
      <c r="S7" s="41">
        <f t="shared" si="1"/>
        <v>-4.7027714553488087E-3</v>
      </c>
      <c r="T7" s="41">
        <f t="shared" si="0"/>
        <v>7.2141680133365416E-2</v>
      </c>
      <c r="U7" s="61">
        <v>6.3E-3</v>
      </c>
    </row>
    <row r="8" spans="1:21" x14ac:dyDescent="0.3">
      <c r="A8" s="38">
        <v>2020</v>
      </c>
      <c r="B8" s="39">
        <v>174894000</v>
      </c>
      <c r="C8" s="39">
        <v>63278000</v>
      </c>
      <c r="D8" s="39">
        <v>14714000</v>
      </c>
      <c r="E8" s="39">
        <v>414309579</v>
      </c>
      <c r="F8" s="39">
        <v>0.26069999999999999</v>
      </c>
      <c r="G8" s="39">
        <v>9.4299999999999995E-2</v>
      </c>
      <c r="H8" s="39">
        <v>157.38</v>
      </c>
      <c r="I8" s="39">
        <v>424390579</v>
      </c>
      <c r="J8" s="39">
        <v>2629000</v>
      </c>
      <c r="K8" s="39">
        <v>25185000</v>
      </c>
      <c r="L8" s="39">
        <v>16087000</v>
      </c>
      <c r="M8" s="39">
        <v>201000</v>
      </c>
      <c r="N8" s="39">
        <v>82584000</v>
      </c>
      <c r="O8" s="39">
        <v>7300000</v>
      </c>
      <c r="P8" s="39">
        <v>35266000</v>
      </c>
      <c r="Q8" s="39">
        <v>80.03482587064677</v>
      </c>
      <c r="R8" s="41"/>
      <c r="S8" s="41">
        <f t="shared" si="1"/>
        <v>6.4014393569975292E-2</v>
      </c>
      <c r="T8" s="41">
        <f t="shared" si="0"/>
        <v>8.5119924296995317E-2</v>
      </c>
      <c r="U8" s="61">
        <v>6.8999999999999999E-3</v>
      </c>
    </row>
    <row r="9" spans="1:21" x14ac:dyDescent="0.3">
      <c r="A9" s="38">
        <v>2021</v>
      </c>
      <c r="B9" s="39">
        <v>182018000</v>
      </c>
      <c r="C9" s="39">
        <v>74023000</v>
      </c>
      <c r="D9" s="39">
        <v>20878000</v>
      </c>
      <c r="E9" s="39">
        <v>450358383</v>
      </c>
      <c r="F9" s="39">
        <v>0.2591</v>
      </c>
      <c r="G9" s="39">
        <v>0.10539999999999999</v>
      </c>
      <c r="H9" s="39">
        <v>171.07</v>
      </c>
      <c r="I9" s="39">
        <v>452501383</v>
      </c>
      <c r="J9" s="39">
        <v>2633000</v>
      </c>
      <c r="K9" s="39">
        <v>31608000</v>
      </c>
      <c r="L9" s="39">
        <v>19524000</v>
      </c>
      <c r="M9" s="39">
        <v>183000</v>
      </c>
      <c r="N9" s="39">
        <v>78740000</v>
      </c>
      <c r="O9" s="39">
        <v>7390000</v>
      </c>
      <c r="P9" s="39">
        <v>33751000</v>
      </c>
      <c r="Q9" s="39">
        <v>106.68852459016394</v>
      </c>
      <c r="R9" s="41"/>
      <c r="S9" s="41">
        <f t="shared" si="1"/>
        <v>0.16980625177786912</v>
      </c>
      <c r="T9" s="41">
        <f t="shared" si="0"/>
        <v>7.4942537485751651E-2</v>
      </c>
      <c r="U9" s="61">
        <v>6.7000000000000002E-3</v>
      </c>
    </row>
    <row r="10" spans="1:21" x14ac:dyDescent="0.3">
      <c r="A10" s="38">
        <v>2022</v>
      </c>
      <c r="B10" s="39">
        <v>187378000</v>
      </c>
      <c r="C10" s="39">
        <v>76804000</v>
      </c>
      <c r="D10" s="39">
        <v>17941000</v>
      </c>
      <c r="E10" s="39">
        <v>461848513</v>
      </c>
      <c r="F10" s="39">
        <v>0.25209999999999999</v>
      </c>
      <c r="G10" s="39">
        <v>0.1033</v>
      </c>
      <c r="H10" s="39">
        <f>E10/J10</f>
        <v>176.68267521040551</v>
      </c>
      <c r="I10" s="39">
        <v>477988513</v>
      </c>
      <c r="J10" s="39">
        <v>2614000</v>
      </c>
      <c r="K10" s="39">
        <v>23519000</v>
      </c>
      <c r="L10" s="39">
        <v>20131000</v>
      </c>
      <c r="M10" s="39">
        <v>276000</v>
      </c>
      <c r="N10" s="39">
        <v>79990000</v>
      </c>
      <c r="O10" s="39">
        <v>6970000</v>
      </c>
      <c r="P10" s="39">
        <v>39659000</v>
      </c>
      <c r="Q10" s="39">
        <v>72.938405797101453</v>
      </c>
      <c r="R10" s="41"/>
      <c r="S10" s="41">
        <f t="shared" si="1"/>
        <v>3.75694041041299E-2</v>
      </c>
      <c r="T10" s="41">
        <f t="shared" si="0"/>
        <v>8.5870147642978331E-2</v>
      </c>
      <c r="U10" s="61">
        <v>6.8999999999999999E-3</v>
      </c>
    </row>
    <row r="11" spans="1:21" x14ac:dyDescent="0.3">
      <c r="A11" s="38">
        <v>2023</v>
      </c>
      <c r="B11" s="39">
        <v>167558000</v>
      </c>
      <c r="C11" s="39">
        <v>68774000</v>
      </c>
      <c r="D11" s="39">
        <v>35153000</v>
      </c>
      <c r="E11" s="39">
        <v>377316864</v>
      </c>
      <c r="F11" s="39">
        <v>0.21899999999999997</v>
      </c>
      <c r="G11" s="39">
        <v>8.9900000000000008E-2</v>
      </c>
      <c r="H11" s="39">
        <v>156.74</v>
      </c>
      <c r="I11" s="39">
        <v>383721864</v>
      </c>
      <c r="J11" s="39">
        <v>2407000</v>
      </c>
      <c r="K11" s="39">
        <v>22927000</v>
      </c>
      <c r="L11" s="39">
        <v>15539000</v>
      </c>
      <c r="M11" s="39">
        <v>772000</v>
      </c>
      <c r="N11" s="39">
        <v>85159000</v>
      </c>
      <c r="O11" s="39">
        <v>7103000</v>
      </c>
      <c r="P11" s="39">
        <v>29332000</v>
      </c>
      <c r="Q11" s="39">
        <v>20.128238341968913</v>
      </c>
      <c r="R11" s="43">
        <f>9% + 21%</f>
        <v>0.3</v>
      </c>
      <c r="S11" s="41">
        <f t="shared" si="1"/>
        <v>-0.1045518462580074</v>
      </c>
      <c r="T11" s="41">
        <f t="shared" si="0"/>
        <v>7.773837535128035E-2</v>
      </c>
      <c r="U11" s="61">
        <v>5.8999999999999999E-3</v>
      </c>
    </row>
    <row r="12" spans="1:21" x14ac:dyDescent="0.3">
      <c r="A12" s="40">
        <v>2024</v>
      </c>
    </row>
    <row r="13" spans="1:21" x14ac:dyDescent="0.3">
      <c r="A13" s="40">
        <v>2025</v>
      </c>
    </row>
    <row r="14" spans="1:21" x14ac:dyDescent="0.3">
      <c r="A14" s="40">
        <v>2026</v>
      </c>
    </row>
    <row r="15" spans="1:21" x14ac:dyDescent="0.3">
      <c r="A15" s="40">
        <v>2027</v>
      </c>
    </row>
    <row r="16" spans="1:21" x14ac:dyDescent="0.3">
      <c r="A16" s="40">
        <v>2028</v>
      </c>
    </row>
    <row r="17" spans="1:1" x14ac:dyDescent="0.3">
      <c r="A17" s="40">
        <v>2029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T11"/>
  <sheetViews>
    <sheetView topLeftCell="D1" workbookViewId="0">
      <selection activeCell="S2" sqref="S2"/>
    </sheetView>
  </sheetViews>
  <sheetFormatPr defaultRowHeight="14.4" x14ac:dyDescent="0.3"/>
  <cols>
    <col min="1" max="1" width="5" bestFit="1" customWidth="1"/>
    <col min="2" max="2" width="13.33203125" bestFit="1" customWidth="1"/>
    <col min="3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12" bestFit="1" customWidth="1"/>
    <col min="13" max="13" width="14.109375" bestFit="1" customWidth="1"/>
    <col min="14" max="17" width="12" bestFit="1" customWidth="1"/>
    <col min="18" max="18" width="6.88671875" bestFit="1" customWidth="1"/>
  </cols>
  <sheetData>
    <row r="1" spans="1:20" ht="15" thickBot="1" x14ac:dyDescent="0.35">
      <c r="A1" s="35" t="s">
        <v>185</v>
      </c>
      <c r="B1" s="36" t="s">
        <v>172</v>
      </c>
      <c r="C1" s="36" t="s">
        <v>173</v>
      </c>
      <c r="D1" s="36" t="s">
        <v>174</v>
      </c>
      <c r="E1" s="36" t="s">
        <v>175</v>
      </c>
      <c r="F1" s="36" t="s">
        <v>176</v>
      </c>
      <c r="G1" s="36" t="s">
        <v>177</v>
      </c>
      <c r="H1" s="36" t="s">
        <v>178</v>
      </c>
      <c r="I1" s="36" t="s">
        <v>179</v>
      </c>
      <c r="J1" s="36" t="s">
        <v>180</v>
      </c>
      <c r="K1" s="36" t="s">
        <v>181</v>
      </c>
      <c r="L1" s="36" t="s">
        <v>182</v>
      </c>
      <c r="M1" s="36" t="s">
        <v>199</v>
      </c>
      <c r="N1" s="36" t="s">
        <v>183</v>
      </c>
      <c r="O1" s="36" t="s">
        <v>184</v>
      </c>
      <c r="P1" s="36" t="s">
        <v>186</v>
      </c>
      <c r="Q1" s="36" t="s">
        <v>188</v>
      </c>
      <c r="R1" s="36" t="s">
        <v>187</v>
      </c>
      <c r="S1" s="36" t="s">
        <v>200</v>
      </c>
      <c r="T1" s="37" t="s">
        <v>202</v>
      </c>
    </row>
    <row r="2" spans="1:20" x14ac:dyDescent="0.3">
      <c r="A2" s="38">
        <v>2014</v>
      </c>
      <c r="B2" s="39">
        <v>76474568.687796593</v>
      </c>
      <c r="C2" s="39">
        <v>21795570.5473423</v>
      </c>
      <c r="D2" s="39">
        <v>9434839.2405509893</v>
      </c>
      <c r="E2" s="39">
        <v>191711311.431133</v>
      </c>
      <c r="F2" s="39">
        <v>0.58050000000000002</v>
      </c>
      <c r="G2" s="39">
        <v>0.16550000000000001</v>
      </c>
      <c r="H2" s="39">
        <v>272.87431536912902</v>
      </c>
      <c r="I2" s="39">
        <v>205876713.55279601</v>
      </c>
      <c r="J2" s="39">
        <v>702563</v>
      </c>
      <c r="K2" s="39">
        <v>11831967.813134201</v>
      </c>
      <c r="L2" s="39">
        <v>14245272.7067471</v>
      </c>
      <c r="M2" s="39">
        <v>1859265.8983469</v>
      </c>
      <c r="N2" s="39">
        <v>47985034.294366799</v>
      </c>
      <c r="O2" s="39">
        <v>4632493.93486977</v>
      </c>
      <c r="P2" s="39">
        <v>25997369.934797198</v>
      </c>
      <c r="Q2" s="39">
        <v>7.6617727025557647</v>
      </c>
      <c r="R2" s="41"/>
      <c r="S2" s="44" t="s">
        <v>201</v>
      </c>
      <c r="T2" s="42">
        <f>P2/E2</f>
        <v>0.13560686503433594</v>
      </c>
    </row>
    <row r="3" spans="1:20" x14ac:dyDescent="0.3">
      <c r="A3" s="38">
        <v>2015</v>
      </c>
      <c r="B3" s="39">
        <v>76366296.384096101</v>
      </c>
      <c r="C3" s="39">
        <v>23485536.551475499</v>
      </c>
      <c r="D3" s="39">
        <v>8933575.5560398102</v>
      </c>
      <c r="E3" s="39">
        <v>195734636.39291701</v>
      </c>
      <c r="F3" s="39">
        <v>0.51450000000000007</v>
      </c>
      <c r="G3" s="39">
        <v>0.15820000000000001</v>
      </c>
      <c r="H3" s="39">
        <v>278.60095720291099</v>
      </c>
      <c r="I3" s="39">
        <v>208609347.052659</v>
      </c>
      <c r="J3" s="39">
        <v>702563</v>
      </c>
      <c r="K3" s="39">
        <v>10561435.7075691</v>
      </c>
      <c r="L3" s="39">
        <v>13931055.8230877</v>
      </c>
      <c r="M3" s="39">
        <v>1625844.22564507</v>
      </c>
      <c r="N3" s="39">
        <v>48528375.848531701</v>
      </c>
      <c r="O3" s="39">
        <v>3931055.4742813101</v>
      </c>
      <c r="P3" s="39">
        <v>23436146.36731109</v>
      </c>
      <c r="Q3" s="39">
        <v>8.5685058896466018</v>
      </c>
      <c r="R3" s="41"/>
      <c r="S3" s="41">
        <f>C3/C2 -1</f>
        <v>7.7537130788221997E-2</v>
      </c>
      <c r="T3" s="42">
        <f t="shared" ref="T3:T11" si="0">P3/E3</f>
        <v>0.11973428310493527</v>
      </c>
    </row>
    <row r="4" spans="1:20" x14ac:dyDescent="0.3">
      <c r="A4" s="38">
        <v>2016</v>
      </c>
      <c r="B4" s="39">
        <v>75609252.545356795</v>
      </c>
      <c r="C4" s="39">
        <v>25986220.670700099</v>
      </c>
      <c r="D4" s="39">
        <v>9425196.9223022498</v>
      </c>
      <c r="E4" s="39">
        <v>160842607.829494</v>
      </c>
      <c r="F4" s="39">
        <v>0.49270000000000003</v>
      </c>
      <c r="G4" s="39">
        <v>0.16930000000000001</v>
      </c>
      <c r="H4" s="39">
        <v>228.937009620666</v>
      </c>
      <c r="I4" s="39">
        <v>172786505.55841401</v>
      </c>
      <c r="J4" s="39">
        <v>702563</v>
      </c>
      <c r="K4" s="39">
        <v>10059055.194854699</v>
      </c>
      <c r="L4" s="39">
        <v>13847441.0505295</v>
      </c>
      <c r="M4" s="39">
        <v>1099409.45720673</v>
      </c>
      <c r="N4" s="39">
        <v>49779527.938842803</v>
      </c>
      <c r="O4" s="39">
        <v>5649606.3423156701</v>
      </c>
      <c r="P4" s="39">
        <v>22002952.923774719</v>
      </c>
      <c r="Q4" s="39">
        <v>12.595344673231844</v>
      </c>
      <c r="R4" s="41"/>
      <c r="S4" s="41">
        <f>C4/C3 -1</f>
        <v>0.10647762352559464</v>
      </c>
      <c r="T4" s="42">
        <f t="shared" si="0"/>
        <v>0.13679803642017296</v>
      </c>
    </row>
    <row r="5" spans="1:20" x14ac:dyDescent="0.3">
      <c r="A5" s="38">
        <v>2017</v>
      </c>
      <c r="B5" s="39">
        <v>78617860.854148895</v>
      </c>
      <c r="C5" s="39">
        <v>29741617.8438663</v>
      </c>
      <c r="D5" s="39">
        <v>8851635.35857201</v>
      </c>
      <c r="E5" s="39">
        <v>177567625.19450799</v>
      </c>
      <c r="F5" s="39">
        <v>0.42219999999999996</v>
      </c>
      <c r="G5" s="39">
        <v>0.15970000000000001</v>
      </c>
      <c r="H5" s="39">
        <v>252.74274480342899</v>
      </c>
      <c r="I5" s="39">
        <v>183834414.874989</v>
      </c>
      <c r="J5" s="39">
        <v>702563</v>
      </c>
      <c r="K5" s="39">
        <v>13173382.495880101</v>
      </c>
      <c r="L5" s="39">
        <v>13332307.954073001</v>
      </c>
      <c r="M5" s="39">
        <v>863324.10192489601</v>
      </c>
      <c r="N5" s="39">
        <v>54648825.782060601</v>
      </c>
      <c r="O5" s="39">
        <v>7831436.4495277395</v>
      </c>
      <c r="P5" s="39">
        <v>19440172.176361114</v>
      </c>
      <c r="Q5" s="39">
        <v>15.442992874109324</v>
      </c>
      <c r="R5" s="41"/>
      <c r="S5" s="41">
        <f>C5/C4 -1</f>
        <v>0.14451494200541726</v>
      </c>
      <c r="T5" s="42">
        <f t="shared" si="0"/>
        <v>0.10948038616311</v>
      </c>
    </row>
    <row r="6" spans="1:20" x14ac:dyDescent="0.3">
      <c r="A6" s="38">
        <v>2018</v>
      </c>
      <c r="B6" s="39">
        <v>79736976.637363404</v>
      </c>
      <c r="C6" s="39">
        <v>30837818.976402301</v>
      </c>
      <c r="D6" s="39">
        <v>10663146.2574005</v>
      </c>
      <c r="E6" s="39">
        <v>173660768.60041499</v>
      </c>
      <c r="F6" s="39">
        <v>0.46590000000000004</v>
      </c>
      <c r="G6" s="39">
        <v>0.1802</v>
      </c>
      <c r="H6" s="39">
        <v>247.181885623932</v>
      </c>
      <c r="I6" s="39">
        <v>179390432.52272499</v>
      </c>
      <c r="J6" s="39">
        <v>702563</v>
      </c>
      <c r="K6" s="39">
        <v>13331979.434967</v>
      </c>
      <c r="L6" s="39">
        <v>14998476.864337901</v>
      </c>
      <c r="M6" s="39">
        <v>815476.80425643898</v>
      </c>
      <c r="N6" s="39">
        <v>57729258.299827598</v>
      </c>
      <c r="O6" s="39">
        <v>7172743.0491447402</v>
      </c>
      <c r="P6" s="39">
        <v>19061643.357277006</v>
      </c>
      <c r="Q6" s="39">
        <v>18.392278953922769</v>
      </c>
      <c r="R6" s="41"/>
      <c r="S6" s="41">
        <f>C6/C5 -1</f>
        <v>3.6857481603411735E-2</v>
      </c>
      <c r="T6" s="42">
        <f t="shared" si="0"/>
        <v>0.10976367034938629</v>
      </c>
    </row>
    <row r="7" spans="1:20" x14ac:dyDescent="0.3">
      <c r="A7" s="38">
        <v>2019</v>
      </c>
      <c r="B7" s="39">
        <v>85820076.055169106</v>
      </c>
      <c r="C7" s="39">
        <v>37045030.964493804</v>
      </c>
      <c r="D7" s="39">
        <v>13940301.1940718</v>
      </c>
      <c r="E7" s="39">
        <v>227850321.757144</v>
      </c>
      <c r="F7" s="39">
        <v>0.4632</v>
      </c>
      <c r="G7" s="39">
        <v>0.19989999999999999</v>
      </c>
      <c r="H7" s="39">
        <v>324.31314921379101</v>
      </c>
      <c r="I7" s="39">
        <v>231678043.19340599</v>
      </c>
      <c r="J7" s="39">
        <v>702563</v>
      </c>
      <c r="K7" s="39">
        <v>12266060.382366201</v>
      </c>
      <c r="L7" s="39">
        <v>18124353.956699401</v>
      </c>
      <c r="M7" s="39">
        <v>1043172.86849022</v>
      </c>
      <c r="N7" s="39">
        <v>63484815.380811699</v>
      </c>
      <c r="O7" s="39">
        <v>6516215.4725789996</v>
      </c>
      <c r="P7" s="39">
        <v>16093781.818628192</v>
      </c>
      <c r="Q7" s="39">
        <v>17.374257425742588</v>
      </c>
      <c r="R7" s="41"/>
      <c r="S7" s="41">
        <f>C7/C6 -1</f>
        <v>0.20128570029032788</v>
      </c>
      <c r="T7" s="42">
        <f t="shared" si="0"/>
        <v>7.0633131849521247E-2</v>
      </c>
    </row>
    <row r="8" spans="1:20" x14ac:dyDescent="0.3">
      <c r="A8" s="38">
        <v>2020</v>
      </c>
      <c r="B8" s="39">
        <v>97750795.2289581</v>
      </c>
      <c r="C8" s="39">
        <v>45135043.519020103</v>
      </c>
      <c r="D8" s="39">
        <v>16222197.146415699</v>
      </c>
      <c r="E8" s="39">
        <v>246359369.27453601</v>
      </c>
      <c r="F8" s="39">
        <v>0.45169999999999999</v>
      </c>
      <c r="G8" s="39">
        <v>0.20860000000000001</v>
      </c>
      <c r="H8" s="39">
        <v>350.65819644928001</v>
      </c>
      <c r="I8" s="39">
        <v>249840985.28329501</v>
      </c>
      <c r="J8" s="39">
        <v>702563</v>
      </c>
      <c r="K8" s="39">
        <v>14007035.983085601</v>
      </c>
      <c r="L8" s="39">
        <v>21042896.235466</v>
      </c>
      <c r="M8" s="39">
        <v>643440.76824188197</v>
      </c>
      <c r="N8" s="39">
        <v>66185883.4676743</v>
      </c>
      <c r="O8" s="39">
        <v>5911257.4281692496</v>
      </c>
      <c r="P8" s="39">
        <v>17488651.991844594</v>
      </c>
      <c r="Q8" s="39">
        <v>32.703703703703717</v>
      </c>
      <c r="R8" s="41"/>
      <c r="S8" s="41">
        <f>C8/C7 -1</f>
        <v>0.21838320400596389</v>
      </c>
      <c r="T8" s="42">
        <f t="shared" si="0"/>
        <v>7.0988377845519354E-2</v>
      </c>
    </row>
    <row r="9" spans="1:20" x14ac:dyDescent="0.3">
      <c r="A9" s="38">
        <v>2021</v>
      </c>
      <c r="B9" s="39">
        <v>101147150.15614</v>
      </c>
      <c r="C9" s="39">
        <v>31056208.186745599</v>
      </c>
      <c r="D9" s="39">
        <v>15262408.891916299</v>
      </c>
      <c r="E9" s="39">
        <v>291817174.58843303</v>
      </c>
      <c r="F9" s="39">
        <v>0.61380000000000001</v>
      </c>
      <c r="G9" s="39">
        <v>0.1885</v>
      </c>
      <c r="H9" s="39">
        <v>415.36103452444098</v>
      </c>
      <c r="I9" s="39">
        <v>313192216.58932298</v>
      </c>
      <c r="J9" s="39">
        <v>702563</v>
      </c>
      <c r="K9" s="39">
        <v>14290567.0622587</v>
      </c>
      <c r="L9" s="39">
        <v>19891531.4739943</v>
      </c>
      <c r="M9" s="39">
        <v>479894.83809471101</v>
      </c>
      <c r="N9" s="39">
        <v>68807935.450196296</v>
      </c>
      <c r="O9" s="39">
        <v>5583434.0066909799</v>
      </c>
      <c r="P9" s="39">
        <v>35665609.063148677</v>
      </c>
      <c r="Q9" s="39">
        <v>41.449771689497837</v>
      </c>
      <c r="R9" s="41"/>
      <c r="S9" s="41">
        <f>C9/C8 -1</f>
        <v>-0.31192692494783181</v>
      </c>
      <c r="T9" s="42">
        <f t="shared" si="0"/>
        <v>0.12221901988273991</v>
      </c>
    </row>
    <row r="10" spans="1:20" x14ac:dyDescent="0.3">
      <c r="A10" s="38">
        <v>2022</v>
      </c>
      <c r="B10" s="39">
        <v>95479013.825058907</v>
      </c>
      <c r="C10" s="39">
        <v>34676414.647698402</v>
      </c>
      <c r="D10" s="39">
        <v>13453560.7165098</v>
      </c>
      <c r="E10" s="39">
        <v>221060886.24396399</v>
      </c>
      <c r="F10" s="39">
        <v>0.51</v>
      </c>
      <c r="G10" s="39">
        <v>0.1852</v>
      </c>
      <c r="H10" s="39">
        <v>314.64933484792698</v>
      </c>
      <c r="I10" s="39">
        <v>239226063.50638899</v>
      </c>
      <c r="J10" s="39">
        <v>702563</v>
      </c>
      <c r="K10" s="39">
        <v>10585431.8398237</v>
      </c>
      <c r="L10" s="39">
        <v>18928784.081935901</v>
      </c>
      <c r="M10" s="39">
        <v>879501.755237579</v>
      </c>
      <c r="N10" s="39">
        <v>68541564.745306998</v>
      </c>
      <c r="O10" s="39">
        <v>7375033.8071584702</v>
      </c>
      <c r="P10" s="39">
        <v>28750609.102248698</v>
      </c>
      <c r="Q10" s="39">
        <v>21.522167487684758</v>
      </c>
      <c r="R10" s="41"/>
      <c r="S10" s="41">
        <f>C10/C9 -1</f>
        <v>0.11656949358350399</v>
      </c>
      <c r="T10" s="42">
        <f t="shared" si="0"/>
        <v>0.13005742259858386</v>
      </c>
    </row>
    <row r="11" spans="1:20" x14ac:dyDescent="0.3">
      <c r="A11" s="38">
        <v>2023</v>
      </c>
      <c r="B11" s="39">
        <v>107693592.905045</v>
      </c>
      <c r="C11" s="39">
        <v>39596453.782558396</v>
      </c>
      <c r="D11" s="39">
        <v>13687280.9305191</v>
      </c>
      <c r="E11" s="39">
        <v>204483763.245511</v>
      </c>
      <c r="F11" s="39">
        <v>0.42330000000000001</v>
      </c>
      <c r="G11" s="39">
        <v>0.15560000000000002</v>
      </c>
      <c r="H11" s="39">
        <v>291.05411267280601</v>
      </c>
      <c r="I11" s="39">
        <v>228591852.77454799</v>
      </c>
      <c r="J11" s="39">
        <v>702563</v>
      </c>
      <c r="K11" s="39">
        <v>12534968.5335159</v>
      </c>
      <c r="L11" s="39">
        <v>18326290.6527519</v>
      </c>
      <c r="M11" s="39">
        <v>1570144.6814536999</v>
      </c>
      <c r="N11" s="39">
        <v>69895841.634750396</v>
      </c>
      <c r="O11" s="39">
        <v>5643711.85350418</v>
      </c>
      <c r="P11" s="39">
        <v>36643058.062552899</v>
      </c>
      <c r="Q11" s="39">
        <v>11.671721000758172</v>
      </c>
      <c r="R11" s="43">
        <v>0.15</v>
      </c>
      <c r="S11" s="41">
        <f>C11/C10 -1</f>
        <v>0.14188430911459737</v>
      </c>
      <c r="T11" s="42">
        <f t="shared" si="0"/>
        <v>0.17919788584171276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T11"/>
  <sheetViews>
    <sheetView workbookViewId="0">
      <selection activeCell="T10" sqref="T10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0" bestFit="1" customWidth="1"/>
    <col min="6" max="7" width="7" bestFit="1" customWidth="1"/>
    <col min="8" max="8" width="6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44140625" bestFit="1" customWidth="1"/>
    <col min="14" max="14" width="10" bestFit="1" customWidth="1"/>
    <col min="15" max="16" width="9" bestFit="1" customWidth="1"/>
    <col min="17" max="17" width="12.6640625" bestFit="1" customWidth="1"/>
    <col min="18" max="18" width="6.88671875" bestFit="1" customWidth="1"/>
  </cols>
  <sheetData>
    <row r="1" spans="1:20" ht="15" thickBot="1" x14ac:dyDescent="0.35">
      <c r="A1" s="35" t="s">
        <v>185</v>
      </c>
      <c r="B1" s="36" t="s">
        <v>172</v>
      </c>
      <c r="C1" s="36" t="s">
        <v>173</v>
      </c>
      <c r="D1" s="36" t="s">
        <v>174</v>
      </c>
      <c r="E1" s="36" t="s">
        <v>175</v>
      </c>
      <c r="F1" s="36" t="s">
        <v>176</v>
      </c>
      <c r="G1" s="36" t="s">
        <v>177</v>
      </c>
      <c r="H1" s="36" t="s">
        <v>178</v>
      </c>
      <c r="I1" s="36" t="s">
        <v>179</v>
      </c>
      <c r="J1" s="36" t="s">
        <v>180</v>
      </c>
      <c r="K1" s="36" t="s">
        <v>181</v>
      </c>
      <c r="L1" s="36" t="s">
        <v>182</v>
      </c>
      <c r="M1" s="36" t="s">
        <v>199</v>
      </c>
      <c r="N1" s="36" t="s">
        <v>183</v>
      </c>
      <c r="O1" s="36" t="s">
        <v>184</v>
      </c>
      <c r="P1" s="36" t="s">
        <v>186</v>
      </c>
      <c r="Q1" s="36" t="s">
        <v>188</v>
      </c>
      <c r="R1" s="36" t="s">
        <v>187</v>
      </c>
      <c r="S1" s="36" t="s">
        <v>200</v>
      </c>
      <c r="T1" s="37" t="s">
        <v>202</v>
      </c>
    </row>
    <row r="2" spans="1:20" x14ac:dyDescent="0.3">
      <c r="A2" s="38">
        <v>2014</v>
      </c>
      <c r="B2" s="39">
        <v>167566000</v>
      </c>
      <c r="C2" s="39">
        <v>71301000</v>
      </c>
      <c r="D2" s="39">
        <v>9134000</v>
      </c>
      <c r="E2" s="39">
        <v>196265471</v>
      </c>
      <c r="F2" s="39">
        <v>0.1716</v>
      </c>
      <c r="G2" s="39">
        <v>7.2999999999999995E-2</v>
      </c>
      <c r="H2" s="39">
        <v>31.15</v>
      </c>
      <c r="I2" s="39">
        <v>196825471</v>
      </c>
      <c r="J2" s="39">
        <v>6291000</v>
      </c>
      <c r="K2" s="39">
        <v>36122000</v>
      </c>
      <c r="L2" s="39">
        <v>12726000</v>
      </c>
      <c r="M2" s="39">
        <v>1360000</v>
      </c>
      <c r="N2" s="39">
        <v>49605000</v>
      </c>
      <c r="O2" s="39">
        <v>6006000</v>
      </c>
      <c r="P2" s="39">
        <v>36682000</v>
      </c>
      <c r="Q2" s="39">
        <v>9.3573529411764707</v>
      </c>
      <c r="R2" s="41"/>
      <c r="S2" s="44" t="s">
        <v>201</v>
      </c>
      <c r="T2" s="42">
        <f>P2/E2</f>
        <v>0.18689991577784967</v>
      </c>
    </row>
    <row r="3" spans="1:20" x14ac:dyDescent="0.3">
      <c r="A3" s="38">
        <v>2015</v>
      </c>
      <c r="B3" s="39">
        <v>167381000</v>
      </c>
      <c r="C3" s="39">
        <v>64720000</v>
      </c>
      <c r="D3" s="39">
        <v>6959000</v>
      </c>
      <c r="E3" s="39">
        <v>199264495</v>
      </c>
      <c r="F3" s="39">
        <v>0.13849999999999998</v>
      </c>
      <c r="G3" s="39">
        <v>5.3600000000000002E-2</v>
      </c>
      <c r="H3" s="39">
        <v>32.28</v>
      </c>
      <c r="I3" s="39">
        <v>214873495</v>
      </c>
      <c r="J3" s="39">
        <v>6175000</v>
      </c>
      <c r="K3" s="39">
        <v>23290000</v>
      </c>
      <c r="L3" s="39">
        <v>10329000</v>
      </c>
      <c r="M3" s="39">
        <v>1199000</v>
      </c>
      <c r="N3" s="39">
        <v>48851000</v>
      </c>
      <c r="O3" s="39">
        <v>5975000</v>
      </c>
      <c r="P3" s="39">
        <v>38899000</v>
      </c>
      <c r="Q3" s="39">
        <v>8.614678899082568</v>
      </c>
      <c r="R3" s="41"/>
      <c r="S3" s="41">
        <f>C3/C2 -1</f>
        <v>-9.2298845738488899E-2</v>
      </c>
      <c r="T3" s="42">
        <f t="shared" ref="T3:T11" si="0">P3/E3</f>
        <v>0.19521290032125391</v>
      </c>
    </row>
    <row r="4" spans="1:20" x14ac:dyDescent="0.3">
      <c r="A4" s="38">
        <v>2016</v>
      </c>
      <c r="B4" s="39">
        <v>171615000</v>
      </c>
      <c r="C4" s="39">
        <v>59544000</v>
      </c>
      <c r="D4" s="39">
        <v>7213000</v>
      </c>
      <c r="E4" s="39">
        <v>197100172</v>
      </c>
      <c r="F4" s="39">
        <v>0.14019999999999999</v>
      </c>
      <c r="G4" s="39">
        <v>4.87E-2</v>
      </c>
      <c r="H4" s="39">
        <v>32.479999999999997</v>
      </c>
      <c r="I4" s="39">
        <v>221336172</v>
      </c>
      <c r="J4" s="39">
        <v>6070000</v>
      </c>
      <c r="K4" s="39">
        <v>17850000</v>
      </c>
      <c r="L4" s="39">
        <v>9004000</v>
      </c>
      <c r="M4" s="39">
        <v>1186000</v>
      </c>
      <c r="N4" s="39">
        <v>52824000</v>
      </c>
      <c r="O4" s="39">
        <v>7204000</v>
      </c>
      <c r="P4" s="39">
        <v>42086000</v>
      </c>
      <c r="Q4" s="39">
        <v>7.5919055649241143</v>
      </c>
      <c r="R4" s="41"/>
      <c r="S4" s="41">
        <f>C4/C3 -1</f>
        <v>-7.997527812113725E-2</v>
      </c>
      <c r="T4" s="42">
        <f t="shared" si="0"/>
        <v>0.2135259425344388</v>
      </c>
    </row>
    <row r="5" spans="1:20" x14ac:dyDescent="0.3">
      <c r="A5" s="38">
        <v>2017</v>
      </c>
      <c r="B5" s="39">
        <v>171797000</v>
      </c>
      <c r="C5" s="39">
        <v>71308000</v>
      </c>
      <c r="D5" s="39">
        <v>21308000</v>
      </c>
      <c r="E5" s="39">
        <v>215896826</v>
      </c>
      <c r="F5" s="39">
        <v>0.1726</v>
      </c>
      <c r="G5" s="39">
        <v>7.1599999999999997E-2</v>
      </c>
      <c r="H5" s="39">
        <v>36.22</v>
      </c>
      <c r="I5" s="39">
        <v>239395826</v>
      </c>
      <c r="J5" s="39">
        <v>5979000</v>
      </c>
      <c r="K5" s="39">
        <v>19992000</v>
      </c>
      <c r="L5" s="39">
        <v>12989000</v>
      </c>
      <c r="M5" s="39">
        <v>1270000</v>
      </c>
      <c r="N5" s="39">
        <v>52546000</v>
      </c>
      <c r="O5" s="39">
        <v>6664000</v>
      </c>
      <c r="P5" s="39">
        <v>43491000</v>
      </c>
      <c r="Q5" s="39">
        <v>10.22755905511811</v>
      </c>
      <c r="R5" s="41"/>
      <c r="S5" s="41">
        <f>C5/C4 -1</f>
        <v>0.19756818487169148</v>
      </c>
      <c r="T5" s="42">
        <f t="shared" si="0"/>
        <v>0.20144344317502844</v>
      </c>
    </row>
    <row r="6" spans="1:20" x14ac:dyDescent="0.3">
      <c r="A6" s="38">
        <v>2018</v>
      </c>
      <c r="B6" s="39">
        <v>159422000</v>
      </c>
      <c r="C6" s="39">
        <v>63407000</v>
      </c>
      <c r="D6" s="39">
        <v>11151000</v>
      </c>
      <c r="E6" s="39">
        <v>252317724</v>
      </c>
      <c r="F6" s="39">
        <v>5.67E-2</v>
      </c>
      <c r="G6" s="39">
        <v>2.2499999999999999E-2</v>
      </c>
      <c r="H6" s="39">
        <v>43.65</v>
      </c>
      <c r="I6" s="39">
        <v>275224724</v>
      </c>
      <c r="J6" s="39">
        <v>5717000</v>
      </c>
      <c r="K6" s="39">
        <v>18833000</v>
      </c>
      <c r="L6" s="39">
        <v>4062000</v>
      </c>
      <c r="M6" s="39">
        <v>1316000</v>
      </c>
      <c r="N6" s="39">
        <v>40825000</v>
      </c>
      <c r="O6" s="39">
        <v>9499000</v>
      </c>
      <c r="P6" s="39">
        <v>41740000</v>
      </c>
      <c r="Q6" s="39">
        <v>3.0866261398176293</v>
      </c>
      <c r="R6" s="41"/>
      <c r="S6" s="41">
        <f>C6/C5 -1</f>
        <v>-0.11080103214225612</v>
      </c>
      <c r="T6" s="42">
        <f t="shared" si="0"/>
        <v>0.16542634951795934</v>
      </c>
    </row>
    <row r="7" spans="1:20" x14ac:dyDescent="0.3">
      <c r="A7" s="38">
        <v>2019</v>
      </c>
      <c r="B7" s="39">
        <v>167594000</v>
      </c>
      <c r="C7" s="39">
        <v>63144000</v>
      </c>
      <c r="D7" s="39">
        <v>16272000</v>
      </c>
      <c r="E7" s="39">
        <v>216826916</v>
      </c>
      <c r="F7" s="39">
        <v>0.18190000000000001</v>
      </c>
      <c r="G7" s="39">
        <v>6.8499999999999991E-2</v>
      </c>
      <c r="H7" s="39">
        <v>39.18</v>
      </c>
      <c r="I7" s="39">
        <v>259330916</v>
      </c>
      <c r="J7" s="39">
        <v>5534000</v>
      </c>
      <c r="K7" s="39">
        <v>9646000</v>
      </c>
      <c r="L7" s="39">
        <v>12331000</v>
      </c>
      <c r="M7" s="39">
        <v>1573000</v>
      </c>
      <c r="N7" s="39">
        <v>41172000</v>
      </c>
      <c r="O7" s="39">
        <v>8853000</v>
      </c>
      <c r="P7" s="39">
        <v>52150000</v>
      </c>
      <c r="Q7" s="39">
        <v>7.8391608391608392</v>
      </c>
      <c r="R7" s="41"/>
      <c r="S7" s="41">
        <f>C7/C6 -1</f>
        <v>-4.1478070244610477E-3</v>
      </c>
      <c r="T7" s="42">
        <f t="shared" si="0"/>
        <v>0.24051442026690081</v>
      </c>
    </row>
    <row r="8" spans="1:20" x14ac:dyDescent="0.3">
      <c r="A8" s="38">
        <v>2020</v>
      </c>
      <c r="B8" s="39">
        <v>154229000</v>
      </c>
      <c r="C8" s="39">
        <v>63238000</v>
      </c>
      <c r="D8" s="39">
        <v>9159000</v>
      </c>
      <c r="E8" s="39">
        <v>204604586</v>
      </c>
      <c r="F8" s="39">
        <v>0.11130000000000001</v>
      </c>
      <c r="G8" s="39">
        <v>4.5599999999999995E-2</v>
      </c>
      <c r="H8" s="39">
        <v>36.81</v>
      </c>
      <c r="I8" s="39">
        <v>232219586</v>
      </c>
      <c r="J8" s="39">
        <v>5620000</v>
      </c>
      <c r="K8" s="39">
        <v>12221000</v>
      </c>
      <c r="L8" s="39">
        <v>7534000</v>
      </c>
      <c r="M8" s="39">
        <v>1449000</v>
      </c>
      <c r="N8" s="39">
        <v>41651000</v>
      </c>
      <c r="O8" s="39">
        <v>6468000</v>
      </c>
      <c r="P8" s="39">
        <v>39836000</v>
      </c>
      <c r="Q8" s="39">
        <v>5.1994478951000689</v>
      </c>
      <c r="R8" s="41"/>
      <c r="S8" s="41">
        <f>C8/C7 -1</f>
        <v>1.4886608387179034E-3</v>
      </c>
      <c r="T8" s="42">
        <f t="shared" si="0"/>
        <v>0.1946974932419159</v>
      </c>
    </row>
    <row r="9" spans="1:20" x14ac:dyDescent="0.3">
      <c r="A9" s="38">
        <v>2021</v>
      </c>
      <c r="B9" s="39">
        <v>181476000</v>
      </c>
      <c r="C9" s="39">
        <v>77200000</v>
      </c>
      <c r="D9" s="39">
        <v>21980000</v>
      </c>
      <c r="E9" s="39">
        <v>331439768</v>
      </c>
      <c r="F9" s="39">
        <v>0.31489999999999996</v>
      </c>
      <c r="G9" s="39">
        <v>0.13400000000000001</v>
      </c>
      <c r="H9" s="39">
        <v>59.05</v>
      </c>
      <c r="I9" s="39">
        <v>338806768</v>
      </c>
      <c r="J9" s="39">
        <v>5567000</v>
      </c>
      <c r="K9" s="39">
        <v>31069000</v>
      </c>
      <c r="L9" s="39">
        <v>23486000</v>
      </c>
      <c r="M9" s="39">
        <v>1291000</v>
      </c>
      <c r="N9" s="39">
        <v>81288000</v>
      </c>
      <c r="O9" s="39">
        <v>5277000</v>
      </c>
      <c r="P9" s="39">
        <v>38436000</v>
      </c>
      <c r="Q9" s="39">
        <v>18.192099147947328</v>
      </c>
      <c r="R9" s="41"/>
      <c r="S9" s="41">
        <f>C9/C8 -1</f>
        <v>0.22078497106170336</v>
      </c>
      <c r="T9" s="42">
        <f t="shared" si="0"/>
        <v>0.11596677197770668</v>
      </c>
    </row>
    <row r="10" spans="1:20" x14ac:dyDescent="0.3">
      <c r="A10" s="38">
        <v>2022</v>
      </c>
      <c r="B10" s="39">
        <v>197205000</v>
      </c>
      <c r="C10" s="39">
        <v>95660000</v>
      </c>
      <c r="D10" s="39">
        <v>31372000</v>
      </c>
      <c r="E10" s="39">
        <v>287626246</v>
      </c>
      <c r="F10" s="39">
        <v>0.36299999999999999</v>
      </c>
      <c r="G10" s="39">
        <v>0.17610000000000001</v>
      </c>
      <c r="H10" s="39">
        <v>51.24</v>
      </c>
      <c r="I10" s="39">
        <v>300723246</v>
      </c>
      <c r="J10" s="39">
        <v>5616000</v>
      </c>
      <c r="K10" s="39">
        <v>22732000</v>
      </c>
      <c r="L10" s="39">
        <v>36237000</v>
      </c>
      <c r="M10" s="39">
        <v>1238000</v>
      </c>
      <c r="N10" s="39">
        <v>100330000</v>
      </c>
      <c r="O10" s="39">
        <v>5485000</v>
      </c>
      <c r="P10" s="39">
        <v>35829000</v>
      </c>
      <c r="Q10" s="39">
        <v>29.27059773828756</v>
      </c>
      <c r="R10" s="41"/>
      <c r="S10" s="41">
        <f>C10/C9 -1</f>
        <v>0.23911917098445601</v>
      </c>
      <c r="T10" s="42">
        <f t="shared" si="0"/>
        <v>0.12456790886878939</v>
      </c>
    </row>
    <row r="11" spans="1:20" x14ac:dyDescent="0.3">
      <c r="A11" s="38">
        <v>2023</v>
      </c>
      <c r="B11" s="39">
        <v>226502000</v>
      </c>
      <c r="C11" s="39">
        <v>89014000</v>
      </c>
      <c r="D11" s="39">
        <v>2119000</v>
      </c>
      <c r="E11" s="39">
        <v>162560244</v>
      </c>
      <c r="F11" s="39">
        <v>1.1899999999999999E-2</v>
      </c>
      <c r="G11" s="39">
        <v>4.6999999999999993E-3</v>
      </c>
      <c r="H11" s="39">
        <v>28.79</v>
      </c>
      <c r="I11" s="39">
        <v>221758244</v>
      </c>
      <c r="J11" s="39">
        <v>5646000</v>
      </c>
      <c r="K11" s="39">
        <v>12690000</v>
      </c>
      <c r="L11" s="39">
        <v>-929000</v>
      </c>
      <c r="M11" s="39">
        <v>2209000</v>
      </c>
      <c r="N11" s="39">
        <v>58496000</v>
      </c>
      <c r="O11" s="39">
        <v>15514000</v>
      </c>
      <c r="P11" s="39">
        <v>71888000</v>
      </c>
      <c r="Q11" s="39">
        <v>-0.42055228610230871</v>
      </c>
      <c r="R11" s="43">
        <f>7.25% + 21%</f>
        <v>0.28249999999999997</v>
      </c>
      <c r="S11" s="41">
        <f>C11/C10 -1</f>
        <v>-6.9475224754338316E-2</v>
      </c>
      <c r="T11" s="42">
        <f t="shared" si="0"/>
        <v>0.44222374567794082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T11"/>
  <sheetViews>
    <sheetView topLeftCell="B1" workbookViewId="0">
      <selection activeCell="S2" sqref="S2:T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2" width="9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0" ht="15" thickBot="1" x14ac:dyDescent="0.35">
      <c r="A1" s="35" t="s">
        <v>185</v>
      </c>
      <c r="B1" s="36" t="s">
        <v>172</v>
      </c>
      <c r="C1" s="36" t="s">
        <v>173</v>
      </c>
      <c r="D1" s="36" t="s">
        <v>174</v>
      </c>
      <c r="E1" s="36" t="s">
        <v>175</v>
      </c>
      <c r="F1" s="36" t="s">
        <v>176</v>
      </c>
      <c r="G1" s="36" t="s">
        <v>177</v>
      </c>
      <c r="H1" s="36" t="s">
        <v>178</v>
      </c>
      <c r="I1" s="36" t="s">
        <v>179</v>
      </c>
      <c r="J1" s="36" t="s">
        <v>180</v>
      </c>
      <c r="K1" s="36" t="s">
        <v>181</v>
      </c>
      <c r="L1" s="36" t="s">
        <v>182</v>
      </c>
      <c r="M1" s="36" t="s">
        <v>199</v>
      </c>
      <c r="N1" s="36" t="s">
        <v>183</v>
      </c>
      <c r="O1" s="36" t="s">
        <v>184</v>
      </c>
      <c r="P1" s="36" t="s">
        <v>186</v>
      </c>
      <c r="Q1" s="36" t="s">
        <v>188</v>
      </c>
      <c r="R1" s="36" t="s">
        <v>187</v>
      </c>
      <c r="S1" s="36" t="s">
        <v>200</v>
      </c>
      <c r="T1" s="37" t="s">
        <v>202</v>
      </c>
    </row>
    <row r="2" spans="1:20" x14ac:dyDescent="0.3">
      <c r="A2" s="38">
        <v>2014</v>
      </c>
      <c r="B2" s="39">
        <v>125387000</v>
      </c>
      <c r="C2" s="39">
        <v>70844000</v>
      </c>
      <c r="D2" s="39">
        <v>10210000</v>
      </c>
      <c r="E2" s="39">
        <v>252671019.956</v>
      </c>
      <c r="F2" s="39">
        <v>0.16829999999999998</v>
      </c>
      <c r="G2" s="39">
        <v>9.5100000000000004E-2</v>
      </c>
      <c r="H2" s="39">
        <v>93.367702943086599</v>
      </c>
      <c r="I2" s="39">
        <v>259524019.956</v>
      </c>
      <c r="J2" s="39">
        <v>2706193</v>
      </c>
      <c r="K2" s="39">
        <v>13506000</v>
      </c>
      <c r="L2" s="39">
        <v>10736000</v>
      </c>
      <c r="M2" s="39">
        <v>792000</v>
      </c>
      <c r="N2" s="39">
        <v>59276000</v>
      </c>
      <c r="O2" s="39">
        <v>4774000</v>
      </c>
      <c r="P2" s="39">
        <v>20358999.99999997</v>
      </c>
      <c r="Q2" s="39">
        <v>13.555555555555555</v>
      </c>
      <c r="R2" s="41"/>
      <c r="S2" s="44" t="s">
        <v>201</v>
      </c>
      <c r="T2" s="42">
        <f>P2/E2</f>
        <v>8.0575128891098302E-2</v>
      </c>
    </row>
    <row r="3" spans="1:20" x14ac:dyDescent="0.3">
      <c r="A3" s="38">
        <v>2015</v>
      </c>
      <c r="B3" s="39">
        <v>131556000</v>
      </c>
      <c r="C3" s="39">
        <v>77122000</v>
      </c>
      <c r="D3" s="39">
        <v>17783000</v>
      </c>
      <c r="E3" s="39">
        <v>234213293.69499999</v>
      </c>
      <c r="F3" s="39">
        <v>0.10550000000000001</v>
      </c>
      <c r="G3" s="39">
        <v>6.1799999999999994E-2</v>
      </c>
      <c r="H3" s="39">
        <v>87.491183376312307</v>
      </c>
      <c r="I3" s="39">
        <v>250810293.69499999</v>
      </c>
      <c r="J3" s="39">
        <v>2676993</v>
      </c>
      <c r="K3" s="39">
        <v>5304000</v>
      </c>
      <c r="L3" s="39">
        <v>8977000</v>
      </c>
      <c r="M3" s="39">
        <v>890000</v>
      </c>
      <c r="N3" s="39">
        <v>50387000</v>
      </c>
      <c r="O3" s="39">
        <v>4148000</v>
      </c>
      <c r="P3" s="39">
        <v>21901000</v>
      </c>
      <c r="Q3" s="39">
        <v>10.086516853932585</v>
      </c>
      <c r="R3" s="41"/>
      <c r="S3" s="41">
        <f>C3/C2 -1</f>
        <v>8.8617243520975775E-2</v>
      </c>
      <c r="T3" s="42">
        <f t="shared" ref="T3:T11" si="0">P3/E3</f>
        <v>9.3508782761580478E-2</v>
      </c>
    </row>
    <row r="4" spans="1:20" x14ac:dyDescent="0.3">
      <c r="A4" s="38">
        <v>2016</v>
      </c>
      <c r="B4" s="39">
        <v>130124000</v>
      </c>
      <c r="C4" s="39">
        <v>74891000</v>
      </c>
      <c r="D4" s="39">
        <v>6712000</v>
      </c>
      <c r="E4" s="39">
        <v>191603548.85699999</v>
      </c>
      <c r="F4" s="39">
        <v>0.10439999999999999</v>
      </c>
      <c r="G4" s="39">
        <v>6.0100000000000001E-2</v>
      </c>
      <c r="H4" s="39">
        <v>72.933071422576901</v>
      </c>
      <c r="I4" s="39">
        <v>207742548.85699999</v>
      </c>
      <c r="J4" s="39">
        <v>2627115</v>
      </c>
      <c r="K4" s="39">
        <v>7547000</v>
      </c>
      <c r="L4" s="39">
        <v>8268000</v>
      </c>
      <c r="M4" s="39">
        <v>728000</v>
      </c>
      <c r="N4" s="39">
        <v>49436000</v>
      </c>
      <c r="O4" s="39">
        <v>6063000</v>
      </c>
      <c r="P4" s="39">
        <v>23686000</v>
      </c>
      <c r="Q4" s="39">
        <v>11.357142857142858</v>
      </c>
      <c r="R4" s="41"/>
      <c r="S4" s="41">
        <f>C4/C3 -1</f>
        <v>-2.8928191696273475E-2</v>
      </c>
      <c r="T4" s="42">
        <f t="shared" si="0"/>
        <v>0.12361983972268509</v>
      </c>
    </row>
    <row r="5" spans="1:20" x14ac:dyDescent="0.3">
      <c r="A5" s="38">
        <v>2017</v>
      </c>
      <c r="B5" s="39">
        <v>133079000</v>
      </c>
      <c r="C5" s="39">
        <v>74227000</v>
      </c>
      <c r="D5" s="39">
        <v>7703000</v>
      </c>
      <c r="E5" s="39">
        <v>221088912.42899999</v>
      </c>
      <c r="F5" s="39">
        <v>0.12119999999999999</v>
      </c>
      <c r="G5" s="39">
        <v>6.7599999999999993E-2</v>
      </c>
      <c r="H5" s="39">
        <v>84.486824226379397</v>
      </c>
      <c r="I5" s="39">
        <v>240059912.42899999</v>
      </c>
      <c r="J5" s="39">
        <v>2616845</v>
      </c>
      <c r="K5" s="39">
        <v>9454000</v>
      </c>
      <c r="L5" s="39">
        <v>8629000</v>
      </c>
      <c r="M5" s="39">
        <v>803000</v>
      </c>
      <c r="N5" s="39">
        <v>50135000</v>
      </c>
      <c r="O5" s="39">
        <v>6108000</v>
      </c>
      <c r="P5" s="39">
        <v>28425000</v>
      </c>
      <c r="Q5" s="39">
        <v>10.745952677459528</v>
      </c>
      <c r="R5" s="41"/>
      <c r="S5" s="41">
        <f>C5/C4 -1</f>
        <v>-8.8662189048083206E-3</v>
      </c>
      <c r="T5" s="42">
        <f t="shared" si="0"/>
        <v>0.12856818411971854</v>
      </c>
    </row>
    <row r="6" spans="1:20" x14ac:dyDescent="0.3">
      <c r="A6" s="38">
        <v>2018</v>
      </c>
      <c r="B6" s="39">
        <v>145563000</v>
      </c>
      <c r="C6" s="39">
        <v>78692000</v>
      </c>
      <c r="D6" s="39">
        <v>12611000</v>
      </c>
      <c r="E6" s="39">
        <v>217685096.62900001</v>
      </c>
      <c r="F6" s="39">
        <v>0.17579999999999998</v>
      </c>
      <c r="G6" s="39">
        <v>9.5000000000000001E-2</v>
      </c>
      <c r="H6" s="39">
        <v>85.345791568756098</v>
      </c>
      <c r="I6" s="39">
        <v>233941096.62900001</v>
      </c>
      <c r="J6" s="39">
        <v>2550625</v>
      </c>
      <c r="K6" s="39">
        <v>15834000</v>
      </c>
      <c r="L6" s="39">
        <v>8169000</v>
      </c>
      <c r="M6" s="39">
        <v>1000000</v>
      </c>
      <c r="N6" s="39">
        <v>53166000</v>
      </c>
      <c r="O6" s="39">
        <v>6729000</v>
      </c>
      <c r="P6" s="39">
        <v>32090000</v>
      </c>
      <c r="Q6" s="39">
        <v>8.1690000000000005</v>
      </c>
      <c r="R6" s="41"/>
      <c r="S6" s="41">
        <f>C6/C5 -1</f>
        <v>6.0153313484311743E-2</v>
      </c>
      <c r="T6" s="42">
        <f t="shared" si="0"/>
        <v>0.14741477711122725</v>
      </c>
    </row>
    <row r="7" spans="1:20" x14ac:dyDescent="0.3">
      <c r="A7" s="38">
        <v>2019</v>
      </c>
      <c r="B7" s="39">
        <v>118370000</v>
      </c>
      <c r="C7" s="39">
        <v>55551000</v>
      </c>
      <c r="D7" s="39">
        <v>11732000</v>
      </c>
      <c r="E7" s="39">
        <v>239894384.63999999</v>
      </c>
      <c r="F7" s="39">
        <v>0.16200000000000001</v>
      </c>
      <c r="G7" s="39">
        <v>7.5999999999999998E-2</v>
      </c>
      <c r="H7" s="39">
        <v>94.918402588367499</v>
      </c>
      <c r="I7" s="39">
        <v>257698384.63999999</v>
      </c>
      <c r="J7" s="39">
        <v>2527375</v>
      </c>
      <c r="K7" s="39">
        <v>11344000</v>
      </c>
      <c r="L7" s="39">
        <v>9157000</v>
      </c>
      <c r="M7" s="39">
        <v>915000</v>
      </c>
      <c r="N7" s="39">
        <v>50486000</v>
      </c>
      <c r="O7" s="39">
        <v>5866000</v>
      </c>
      <c r="P7" s="39">
        <v>29148000</v>
      </c>
      <c r="Q7" s="39">
        <v>10.007650273224044</v>
      </c>
      <c r="R7" s="41"/>
      <c r="S7" s="41">
        <f>C7/C6 -1</f>
        <v>-0.29407055355055156</v>
      </c>
      <c r="T7" s="42">
        <f t="shared" si="0"/>
        <v>0.12150346930271523</v>
      </c>
    </row>
    <row r="8" spans="1:20" x14ac:dyDescent="0.3">
      <c r="A8" s="38">
        <v>2020</v>
      </c>
      <c r="B8" s="39">
        <v>132059000</v>
      </c>
      <c r="C8" s="39">
        <v>56666000</v>
      </c>
      <c r="D8" s="39">
        <v>8072000</v>
      </c>
      <c r="E8" s="39">
        <v>234191615.44800001</v>
      </c>
      <c r="F8" s="39">
        <v>0.17430000000000001</v>
      </c>
      <c r="G8" s="39">
        <v>7.4800000000000005E-2</v>
      </c>
      <c r="H8" s="39">
        <v>94.927372598648105</v>
      </c>
      <c r="I8" s="39">
        <v>260642615.44800001</v>
      </c>
      <c r="J8" s="39">
        <v>2467061</v>
      </c>
      <c r="K8" s="39">
        <v>11404000</v>
      </c>
      <c r="L8" s="39">
        <v>10152000</v>
      </c>
      <c r="M8" s="39">
        <v>921000</v>
      </c>
      <c r="N8" s="39">
        <v>49898000</v>
      </c>
      <c r="O8" s="39">
        <v>6471000</v>
      </c>
      <c r="P8" s="39">
        <v>37855000</v>
      </c>
      <c r="Q8" s="39">
        <v>11.022801302931596</v>
      </c>
      <c r="R8" s="41"/>
      <c r="S8" s="41">
        <f>C8/C7 -1</f>
        <v>2.0071645874961686E-2</v>
      </c>
      <c r="T8" s="42">
        <f t="shared" si="0"/>
        <v>0.16164114128332377</v>
      </c>
    </row>
    <row r="9" spans="1:20" x14ac:dyDescent="0.3">
      <c r="A9" s="38">
        <v>2021</v>
      </c>
      <c r="B9" s="39">
        <v>131795000</v>
      </c>
      <c r="C9" s="39">
        <v>67822000</v>
      </c>
      <c r="D9" s="39">
        <v>24021000</v>
      </c>
      <c r="E9" s="39">
        <v>214128757.36000001</v>
      </c>
      <c r="F9" s="39">
        <v>0.38539999999999996</v>
      </c>
      <c r="G9" s="39">
        <v>0.19829999999999998</v>
      </c>
      <c r="H9" s="39">
        <v>87.958807311058095</v>
      </c>
      <c r="I9" s="39">
        <v>216929757.36000001</v>
      </c>
      <c r="J9" s="39">
        <v>2434421</v>
      </c>
      <c r="K9" s="39">
        <v>28224000</v>
      </c>
      <c r="L9" s="39">
        <v>11689000</v>
      </c>
      <c r="M9" s="39">
        <v>905000</v>
      </c>
      <c r="N9" s="39">
        <v>52877000</v>
      </c>
      <c r="O9" s="39">
        <v>6216000</v>
      </c>
      <c r="P9" s="39">
        <v>31025000</v>
      </c>
      <c r="Q9" s="39">
        <v>12.916022099447513</v>
      </c>
      <c r="R9" s="41"/>
      <c r="S9" s="41">
        <f>C9/C8 -1</f>
        <v>0.19687290438711047</v>
      </c>
      <c r="T9" s="42">
        <f t="shared" si="0"/>
        <v>0.14488945988623</v>
      </c>
    </row>
    <row r="10" spans="1:20" x14ac:dyDescent="0.3">
      <c r="A10" s="38">
        <v>2022</v>
      </c>
      <c r="B10" s="39">
        <v>117453000</v>
      </c>
      <c r="C10" s="39">
        <v>59423000</v>
      </c>
      <c r="D10" s="39">
        <v>6955000</v>
      </c>
      <c r="E10" s="39">
        <v>217630164.68399999</v>
      </c>
      <c r="F10" s="39">
        <v>0.1409</v>
      </c>
      <c r="G10" s="39">
        <v>7.1300000000000002E-2</v>
      </c>
      <c r="H10" s="39">
        <v>90.538856798410393</v>
      </c>
      <c r="I10" s="39">
        <v>226813164.68399999</v>
      </c>
      <c r="J10" s="39">
        <v>2403721</v>
      </c>
      <c r="K10" s="39">
        <v>18726000</v>
      </c>
      <c r="L10" s="39">
        <v>9197000</v>
      </c>
      <c r="M10" s="39">
        <v>1031000</v>
      </c>
      <c r="N10" s="39">
        <v>51828000</v>
      </c>
      <c r="O10" s="39">
        <v>7188000</v>
      </c>
      <c r="P10" s="39">
        <v>27909000</v>
      </c>
      <c r="Q10" s="39">
        <v>8.9204655674102806</v>
      </c>
      <c r="R10" s="41"/>
      <c r="S10" s="41">
        <f>C10/C9 -1</f>
        <v>-0.12383887234230784</v>
      </c>
      <c r="T10" s="42">
        <f t="shared" si="0"/>
        <v>0.12824049478859698</v>
      </c>
    </row>
    <row r="11" spans="1:20" x14ac:dyDescent="0.3">
      <c r="A11" s="38">
        <v>2023</v>
      </c>
      <c r="B11" s="39">
        <v>99945000</v>
      </c>
      <c r="C11" s="39">
        <v>46750000</v>
      </c>
      <c r="D11" s="39">
        <v>14854000</v>
      </c>
      <c r="E11" s="39">
        <v>230092909.801</v>
      </c>
      <c r="F11" s="39">
        <v>0.1996</v>
      </c>
      <c r="G11" s="39">
        <v>9.3399999999999997E-2</v>
      </c>
      <c r="H11" s="39">
        <v>101.029703650475</v>
      </c>
      <c r="I11" s="39">
        <v>242367909.801</v>
      </c>
      <c r="J11" s="39">
        <v>2277478</v>
      </c>
      <c r="K11" s="39">
        <v>14073000</v>
      </c>
      <c r="L11" s="39">
        <v>10030000</v>
      </c>
      <c r="M11" s="39">
        <v>1120000</v>
      </c>
      <c r="N11" s="39">
        <v>54107000</v>
      </c>
      <c r="O11" s="39">
        <v>8293000</v>
      </c>
      <c r="P11" s="39">
        <v>26348000</v>
      </c>
      <c r="Q11" s="39">
        <v>8.9553571428571423</v>
      </c>
      <c r="R11" s="43">
        <v>0.15</v>
      </c>
      <c r="S11" s="41">
        <f>C11/C10 -1</f>
        <v>-0.21326758999040774</v>
      </c>
      <c r="T11" s="42">
        <f t="shared" si="0"/>
        <v>0.11451026466998719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T11"/>
  <sheetViews>
    <sheetView workbookViewId="0">
      <selection activeCell="T1" sqref="T1"/>
    </sheetView>
  </sheetViews>
  <sheetFormatPr defaultRowHeight="14.4" x14ac:dyDescent="0.3"/>
  <cols>
    <col min="1" max="1" width="5" bestFit="1" customWidth="1"/>
    <col min="2" max="2" width="13.88671875" bestFit="1" customWidth="1"/>
    <col min="3" max="3" width="9" bestFit="1" customWidth="1"/>
    <col min="4" max="4" width="8" bestFit="1" customWidth="1"/>
    <col min="5" max="5" width="12" bestFit="1" customWidth="1"/>
    <col min="6" max="8" width="7" bestFit="1" customWidth="1"/>
    <col min="9" max="9" width="13.88671875" bestFit="1" customWidth="1"/>
    <col min="10" max="10" width="23.88671875" bestFit="1" customWidth="1"/>
    <col min="11" max="12" width="8" bestFit="1" customWidth="1"/>
    <col min="13" max="13" width="14.109375" bestFit="1" customWidth="1"/>
    <col min="14" max="14" width="9" bestFit="1" customWidth="1"/>
    <col min="15" max="15" width="8" bestFit="1" customWidth="1"/>
    <col min="16" max="16" width="9" bestFit="1" customWidth="1"/>
    <col min="17" max="17" width="12" bestFit="1" customWidth="1"/>
    <col min="18" max="18" width="6.88671875" bestFit="1" customWidth="1"/>
  </cols>
  <sheetData>
    <row r="1" spans="1:20" ht="15" thickBot="1" x14ac:dyDescent="0.35">
      <c r="A1" s="35" t="s">
        <v>185</v>
      </c>
      <c r="B1" s="36" t="s">
        <v>172</v>
      </c>
      <c r="C1" s="36" t="s">
        <v>173</v>
      </c>
      <c r="D1" s="36" t="s">
        <v>174</v>
      </c>
      <c r="E1" s="36" t="s">
        <v>175</v>
      </c>
      <c r="F1" s="36" t="s">
        <v>176</v>
      </c>
      <c r="G1" s="36" t="s">
        <v>177</v>
      </c>
      <c r="H1" s="36" t="s">
        <v>178</v>
      </c>
      <c r="I1" s="36" t="s">
        <v>179</v>
      </c>
      <c r="J1" s="36" t="s">
        <v>180</v>
      </c>
      <c r="K1" s="36" t="s">
        <v>181</v>
      </c>
      <c r="L1" s="36" t="s">
        <v>182</v>
      </c>
      <c r="M1" s="36" t="s">
        <v>199</v>
      </c>
      <c r="N1" s="36" t="s">
        <v>183</v>
      </c>
      <c r="O1" s="36" t="s">
        <v>184</v>
      </c>
      <c r="P1" s="36" t="s">
        <v>186</v>
      </c>
      <c r="Q1" s="36" t="s">
        <v>188</v>
      </c>
      <c r="R1" s="36" t="s">
        <v>187</v>
      </c>
      <c r="S1" s="36" t="s">
        <v>200</v>
      </c>
      <c r="T1" s="37" t="s">
        <v>202</v>
      </c>
    </row>
    <row r="2" spans="1:20" x14ac:dyDescent="0.3">
      <c r="A2" s="38">
        <v>2014</v>
      </c>
      <c r="B2" s="39">
        <v>36307600</v>
      </c>
      <c r="C2" s="39">
        <v>15373200</v>
      </c>
      <c r="D2" s="39">
        <v>2390500</v>
      </c>
      <c r="E2" s="39">
        <v>76815520.695999995</v>
      </c>
      <c r="F2" s="39">
        <v>0.19519999999999998</v>
      </c>
      <c r="G2" s="39">
        <v>8.2599999999999993E-2</v>
      </c>
      <c r="H2" s="39">
        <v>68.989999999999995</v>
      </c>
      <c r="I2" s="39">
        <v>80010020.695999995</v>
      </c>
      <c r="J2" s="39">
        <v>1111000</v>
      </c>
      <c r="K2" s="39">
        <v>4827000</v>
      </c>
      <c r="L2" s="39">
        <v>2659800</v>
      </c>
      <c r="M2" s="39">
        <v>148800</v>
      </c>
      <c r="N2" s="39">
        <v>19615600</v>
      </c>
      <c r="O2" s="39">
        <v>1847700</v>
      </c>
      <c r="P2" s="39">
        <v>8021500</v>
      </c>
      <c r="Q2" s="39">
        <v>17.875</v>
      </c>
      <c r="R2" s="41"/>
      <c r="S2" s="44" t="s">
        <v>201</v>
      </c>
      <c r="T2" s="42">
        <f>P2/E2</f>
        <v>0.10442551098163294</v>
      </c>
    </row>
    <row r="3" spans="1:20" x14ac:dyDescent="0.3">
      <c r="A3" s="38">
        <v>2015</v>
      </c>
      <c r="B3" s="39">
        <v>35568900</v>
      </c>
      <c r="C3" s="39">
        <v>14571300</v>
      </c>
      <c r="D3" s="39">
        <v>2408400</v>
      </c>
      <c r="E3" s="39">
        <v>93366532.386000007</v>
      </c>
      <c r="F3" s="39">
        <v>0.19149999999999998</v>
      </c>
      <c r="G3" s="39">
        <v>7.8399999999999997E-2</v>
      </c>
      <c r="H3" s="39">
        <v>84.26</v>
      </c>
      <c r="I3" s="39">
        <v>96893232.386000007</v>
      </c>
      <c r="J3" s="39">
        <v>1105000</v>
      </c>
      <c r="K3" s="39">
        <v>4451800</v>
      </c>
      <c r="L3" s="39">
        <v>2522700</v>
      </c>
      <c r="M3" s="39">
        <v>161200</v>
      </c>
      <c r="N3" s="39">
        <v>19958700</v>
      </c>
      <c r="O3" s="39">
        <v>1654400</v>
      </c>
      <c r="P3" s="39">
        <v>7978500</v>
      </c>
      <c r="Q3" s="39">
        <v>15.649503722084367</v>
      </c>
      <c r="R3" s="41"/>
      <c r="S3" s="41">
        <f>C3/C2 -1</f>
        <v>-5.2162204355631903E-2</v>
      </c>
      <c r="T3" s="42">
        <f t="shared" ref="T3:T11" si="0">P3/E3</f>
        <v>8.5453532396543713E-2</v>
      </c>
    </row>
    <row r="4" spans="1:20" x14ac:dyDescent="0.3">
      <c r="A4" s="38">
        <v>2016</v>
      </c>
      <c r="B4" s="39">
        <v>38805900</v>
      </c>
      <c r="C4" s="39">
        <v>14007700</v>
      </c>
      <c r="D4" s="39">
        <v>2737600</v>
      </c>
      <c r="E4" s="39">
        <v>81195395.685000002</v>
      </c>
      <c r="F4" s="39">
        <v>0.2409</v>
      </c>
      <c r="G4" s="39">
        <v>8.6899999999999991E-2</v>
      </c>
      <c r="H4" s="39">
        <v>73.55</v>
      </c>
      <c r="I4" s="39">
        <v>85461995.685000002</v>
      </c>
      <c r="J4" s="39">
        <v>1101000</v>
      </c>
      <c r="K4" s="39">
        <v>6038600</v>
      </c>
      <c r="L4" s="39">
        <v>3458800</v>
      </c>
      <c r="M4" s="39">
        <v>185200</v>
      </c>
      <c r="N4" s="39">
        <v>21222100</v>
      </c>
      <c r="O4" s="39">
        <v>1752400</v>
      </c>
      <c r="P4" s="39">
        <v>10305200</v>
      </c>
      <c r="Q4" s="39">
        <v>18.676025917926566</v>
      </c>
      <c r="R4" s="41"/>
      <c r="S4" s="41">
        <f>C4/C3 -1</f>
        <v>-3.867877265583719E-2</v>
      </c>
      <c r="T4" s="42">
        <f t="shared" si="0"/>
        <v>0.12691852675956325</v>
      </c>
    </row>
    <row r="5" spans="1:20" x14ac:dyDescent="0.3">
      <c r="A5" s="38">
        <v>2017</v>
      </c>
      <c r="B5" s="39">
        <v>44981000</v>
      </c>
      <c r="C5" s="39">
        <v>11592200</v>
      </c>
      <c r="D5" s="39">
        <v>-204100</v>
      </c>
      <c r="E5" s="39">
        <v>92998458.283000007</v>
      </c>
      <c r="F5" s="39">
        <v>0.19879999999999998</v>
      </c>
      <c r="G5" s="39">
        <v>5.1200000000000002E-2</v>
      </c>
      <c r="H5" s="39">
        <v>84.46</v>
      </c>
      <c r="I5" s="39">
        <v>98611458.283000007</v>
      </c>
      <c r="J5" s="39">
        <v>1100000</v>
      </c>
      <c r="K5" s="39">
        <v>8034100</v>
      </c>
      <c r="L5" s="39">
        <v>2003300</v>
      </c>
      <c r="M5" s="39">
        <v>225000</v>
      </c>
      <c r="N5" s="39">
        <v>19973800</v>
      </c>
      <c r="O5" s="39">
        <v>2297900</v>
      </c>
      <c r="P5" s="39">
        <v>13647100</v>
      </c>
      <c r="Q5" s="39">
        <v>8.9035555555555561</v>
      </c>
      <c r="R5" s="41"/>
      <c r="S5" s="41">
        <f>C5/C4 -1</f>
        <v>-0.17244087180622092</v>
      </c>
      <c r="T5" s="42">
        <f t="shared" si="0"/>
        <v>0.14674544344026691</v>
      </c>
    </row>
    <row r="6" spans="1:20" x14ac:dyDescent="0.3">
      <c r="A6" s="38">
        <v>2018</v>
      </c>
      <c r="B6" s="39">
        <v>43908400</v>
      </c>
      <c r="C6" s="39">
        <v>9828700</v>
      </c>
      <c r="D6" s="39">
        <v>3232000</v>
      </c>
      <c r="E6" s="39">
        <v>122584772.642</v>
      </c>
      <c r="F6" s="39">
        <v>0.37439999999999996</v>
      </c>
      <c r="G6" s="39">
        <v>8.3800000000000013E-2</v>
      </c>
      <c r="H6" s="39">
        <v>115.72</v>
      </c>
      <c r="I6" s="39">
        <v>125474472.642</v>
      </c>
      <c r="J6" s="39">
        <v>1058000</v>
      </c>
      <c r="K6" s="39">
        <v>7408900</v>
      </c>
      <c r="L6" s="39">
        <v>3534500</v>
      </c>
      <c r="M6" s="39">
        <v>242500</v>
      </c>
      <c r="N6" s="39">
        <v>21493300</v>
      </c>
      <c r="O6" s="39">
        <v>1748100</v>
      </c>
      <c r="P6" s="39">
        <v>10298600</v>
      </c>
      <c r="Q6" s="39">
        <v>14.575257731958763</v>
      </c>
      <c r="R6" s="41"/>
      <c r="S6" s="41">
        <f>C6/C5 -1</f>
        <v>-0.15212815513880018</v>
      </c>
      <c r="T6" s="42">
        <f t="shared" si="0"/>
        <v>8.4012065920098564E-2</v>
      </c>
    </row>
    <row r="7" spans="1:20" x14ac:dyDescent="0.3">
      <c r="A7" s="38">
        <v>2019</v>
      </c>
      <c r="B7" s="39">
        <v>39286100</v>
      </c>
      <c r="C7" s="39">
        <v>2606900</v>
      </c>
      <c r="D7" s="39">
        <v>8318400</v>
      </c>
      <c r="E7" s="39">
        <v>126189980.2</v>
      </c>
      <c r="F7" s="39">
        <v>2.02</v>
      </c>
      <c r="G7" s="39">
        <v>0.13400000000000001</v>
      </c>
      <c r="H7" s="39">
        <v>131.43</v>
      </c>
      <c r="I7" s="39">
        <v>139068680.19999999</v>
      </c>
      <c r="J7" s="39">
        <v>958000</v>
      </c>
      <c r="K7" s="39">
        <v>2438500</v>
      </c>
      <c r="L7" s="39">
        <v>5031600</v>
      </c>
      <c r="M7" s="39">
        <v>400600</v>
      </c>
      <c r="N7" s="39">
        <v>22319500</v>
      </c>
      <c r="O7" s="39">
        <v>1730400</v>
      </c>
      <c r="P7" s="39">
        <v>15317199.999999985</v>
      </c>
      <c r="Q7" s="39">
        <v>12.560159760359461</v>
      </c>
      <c r="R7" s="41"/>
      <c r="S7" s="41">
        <f>C7/C6 -1</f>
        <v>-0.73476655101895472</v>
      </c>
      <c r="T7" s="42">
        <f t="shared" si="0"/>
        <v>0.12138206199670983</v>
      </c>
    </row>
    <row r="8" spans="1:20" x14ac:dyDescent="0.3">
      <c r="A8" s="38">
        <v>2020</v>
      </c>
      <c r="B8" s="39">
        <v>46633100</v>
      </c>
      <c r="C8" s="39">
        <v>5641600</v>
      </c>
      <c r="D8" s="39">
        <v>6193700</v>
      </c>
      <c r="E8" s="39">
        <v>161509233.50299999</v>
      </c>
      <c r="F8" s="39">
        <v>1.2815000000000001</v>
      </c>
      <c r="G8" s="39">
        <v>0.155</v>
      </c>
      <c r="H8" s="39">
        <v>168.84</v>
      </c>
      <c r="I8" s="39">
        <v>174423233.50299999</v>
      </c>
      <c r="J8" s="39">
        <v>954000</v>
      </c>
      <c r="K8" s="39">
        <v>3681300</v>
      </c>
      <c r="L8" s="39">
        <v>6058000</v>
      </c>
      <c r="M8" s="39">
        <v>359600</v>
      </c>
      <c r="N8" s="39">
        <v>24539800</v>
      </c>
      <c r="O8" s="39">
        <v>1303900</v>
      </c>
      <c r="P8" s="39">
        <v>16595300</v>
      </c>
      <c r="Q8" s="39">
        <v>16.846496106785317</v>
      </c>
      <c r="R8" s="41"/>
      <c r="S8" s="41">
        <f>C8/C7 -1</f>
        <v>1.1641029575357704</v>
      </c>
      <c r="T8" s="42">
        <f t="shared" si="0"/>
        <v>0.10275140089555157</v>
      </c>
    </row>
    <row r="9" spans="1:20" x14ac:dyDescent="0.3">
      <c r="A9" s="38">
        <v>2021</v>
      </c>
      <c r="B9" s="39">
        <v>48806000</v>
      </c>
      <c r="C9" s="39">
        <v>8979200</v>
      </c>
      <c r="D9" s="39">
        <v>5581700</v>
      </c>
      <c r="E9" s="39">
        <v>264229951.96200001</v>
      </c>
      <c r="F9" s="39">
        <v>0.6855</v>
      </c>
      <c r="G9" s="39">
        <v>0.12609999999999999</v>
      </c>
      <c r="H9" s="39">
        <v>276.22000000000003</v>
      </c>
      <c r="I9" s="39">
        <v>277206051.96200001</v>
      </c>
      <c r="J9" s="39">
        <v>957000</v>
      </c>
      <c r="K9" s="39">
        <v>3908600</v>
      </c>
      <c r="L9" s="39">
        <v>5951900</v>
      </c>
      <c r="M9" s="39">
        <v>339800</v>
      </c>
      <c r="N9" s="39">
        <v>28318400</v>
      </c>
      <c r="O9" s="39">
        <v>1850700</v>
      </c>
      <c r="P9" s="39">
        <v>16884700</v>
      </c>
      <c r="Q9" s="39">
        <v>17.515891701000587</v>
      </c>
      <c r="R9" s="41"/>
      <c r="S9" s="41">
        <f>C9/C8 -1</f>
        <v>0.59160521837776514</v>
      </c>
      <c r="T9" s="42">
        <f t="shared" si="0"/>
        <v>6.3901536803928488E-2</v>
      </c>
    </row>
    <row r="10" spans="1:20" x14ac:dyDescent="0.3">
      <c r="A10" s="38">
        <v>2022</v>
      </c>
      <c r="B10" s="39">
        <v>49489800</v>
      </c>
      <c r="C10" s="39">
        <v>10649800</v>
      </c>
      <c r="D10" s="39">
        <v>6244800</v>
      </c>
      <c r="E10" s="39">
        <v>347613079.45599997</v>
      </c>
      <c r="F10" s="39">
        <v>0.6391</v>
      </c>
      <c r="G10" s="39">
        <v>0.13750000000000001</v>
      </c>
      <c r="H10" s="39">
        <v>365.84</v>
      </c>
      <c r="I10" s="39">
        <v>361639879.45599997</v>
      </c>
      <c r="J10" s="39">
        <v>950000</v>
      </c>
      <c r="K10" s="39">
        <v>2211800</v>
      </c>
      <c r="L10" s="39">
        <v>7127300</v>
      </c>
      <c r="M10" s="39">
        <v>331600</v>
      </c>
      <c r="N10" s="39">
        <v>28541400</v>
      </c>
      <c r="O10" s="39">
        <v>1744100</v>
      </c>
      <c r="P10" s="39">
        <v>16238600</v>
      </c>
      <c r="Q10" s="39">
        <v>21.493667068757539</v>
      </c>
      <c r="R10" s="41"/>
      <c r="S10" s="41">
        <f>C10/C9 -1</f>
        <v>0.18605220955096224</v>
      </c>
      <c r="T10" s="42">
        <f t="shared" si="0"/>
        <v>4.6714582850026054E-2</v>
      </c>
    </row>
    <row r="11" spans="1:20" x14ac:dyDescent="0.3">
      <c r="A11" s="38">
        <v>2023</v>
      </c>
      <c r="B11" s="39">
        <v>64006300</v>
      </c>
      <c r="C11" s="39">
        <v>10771900</v>
      </c>
      <c r="D11" s="39">
        <v>5240400</v>
      </c>
      <c r="E11" s="39">
        <v>553370158.36899996</v>
      </c>
      <c r="F11" s="39">
        <v>0.60850000000000004</v>
      </c>
      <c r="G11" s="39">
        <v>0.1024</v>
      </c>
      <c r="H11" s="39">
        <v>582.91999999999996</v>
      </c>
      <c r="I11" s="39">
        <v>575667758.36899996</v>
      </c>
      <c r="J11" s="39">
        <v>949000</v>
      </c>
      <c r="K11" s="39">
        <v>2927700</v>
      </c>
      <c r="L11" s="39">
        <v>6457900</v>
      </c>
      <c r="M11" s="39">
        <v>485900</v>
      </c>
      <c r="N11" s="39">
        <v>34124100</v>
      </c>
      <c r="O11" s="39">
        <v>1549500</v>
      </c>
      <c r="P11" s="39">
        <v>25225300</v>
      </c>
      <c r="Q11" s="39">
        <v>13.290594772586951</v>
      </c>
      <c r="R11" s="43">
        <f>8.5% + 21%</f>
        <v>0.29499999999999998</v>
      </c>
      <c r="S11" s="41">
        <f>C11/C10 -1</f>
        <v>1.1465004037634507E-2</v>
      </c>
      <c r="T11" s="42">
        <f t="shared" si="0"/>
        <v>4.5584857836116252E-2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D640-FACA-47DD-A6E4-D0E6DE97DB38}">
  <dimension ref="A1:K51"/>
  <sheetViews>
    <sheetView tabSelected="1" workbookViewId="0">
      <selection activeCell="N23" sqref="N23"/>
    </sheetView>
  </sheetViews>
  <sheetFormatPr defaultRowHeight="14.4" x14ac:dyDescent="0.3"/>
  <cols>
    <col min="1" max="1" width="8.88671875" style="45"/>
    <col min="2" max="2" width="13.109375" style="45" bestFit="1" customWidth="1"/>
    <col min="3" max="4" width="8.88671875" style="45"/>
    <col min="5" max="5" width="8.88671875" style="45" customWidth="1"/>
    <col min="6" max="6" width="8.88671875" style="45"/>
    <col min="7" max="7" width="34.33203125" style="45" bestFit="1" customWidth="1"/>
    <col min="8" max="18" width="8.88671875" style="45"/>
    <col min="19" max="19" width="10.6640625" style="45" bestFit="1" customWidth="1"/>
    <col min="20" max="16384" width="8.88671875" style="45"/>
  </cols>
  <sheetData>
    <row r="1" spans="1:11" ht="15" thickBot="1" x14ac:dyDescent="0.35">
      <c r="A1" s="46" t="s">
        <v>202</v>
      </c>
      <c r="B1" s="46" t="s">
        <v>211</v>
      </c>
      <c r="C1" s="46" t="s">
        <v>200</v>
      </c>
      <c r="E1" s="55"/>
      <c r="F1" s="47"/>
      <c r="G1" s="59" t="s">
        <v>210</v>
      </c>
      <c r="H1" s="47"/>
      <c r="I1" s="48"/>
      <c r="K1" s="46" t="s">
        <v>206</v>
      </c>
    </row>
    <row r="2" spans="1:11" x14ac:dyDescent="0.3">
      <c r="A2" s="45" cm="1">
        <f t="array" ref="A2:A11">'JOHNSON &amp; JOHNSON'!T2:T11</f>
        <v>6.4092277574088155E-2</v>
      </c>
      <c r="B2" s="45">
        <f>'JOHNSON &amp; JOHNSON'!O2/'JOHNSON &amp; JOHNSON'!N2</f>
        <v>5.2400748005542772E-2</v>
      </c>
      <c r="C2" s="45" cm="1">
        <f t="array" ref="C2:C10">'JOHNSON &amp; JOHNSON'!S3:S11</f>
        <v>2.0042436059181101E-2</v>
      </c>
      <c r="E2" s="49"/>
      <c r="F2" s="50"/>
      <c r="G2" s="56">
        <f>AVERAGE(A2:A51)</f>
        <v>0.12584781207593759</v>
      </c>
      <c r="H2" s="50"/>
      <c r="I2" s="51"/>
      <c r="K2" s="45">
        <f>'JOHNSON &amp; JOHNSON'!N3/'JOHNSON &amp; JOHNSON'!N2  - 1</f>
        <v>-5.7270856035839701E-2</v>
      </c>
    </row>
    <row r="3" spans="1:11" x14ac:dyDescent="0.3">
      <c r="A3" s="45">
        <v>6.9878855621977348E-2</v>
      </c>
      <c r="B3" s="45">
        <f>'JOHNSON &amp; JOHNSON'!O3/'JOHNSON &amp; JOHNSON'!N3</f>
        <v>5.3457773211176757E-2</v>
      </c>
      <c r="C3" s="45">
        <v>-1.0288123682361205E-2</v>
      </c>
      <c r="E3" s="49"/>
      <c r="F3" s="50"/>
      <c r="G3" s="57" t="s">
        <v>208</v>
      </c>
      <c r="H3" s="50"/>
      <c r="I3" s="51"/>
      <c r="K3" s="45">
        <f>'JOHNSON &amp; JOHNSON'!N4/'JOHNSON &amp; JOHNSON'!N3  - 1</f>
        <v>2.5915460798584311E-2</v>
      </c>
    </row>
    <row r="4" spans="1:11" x14ac:dyDescent="0.3">
      <c r="A4" s="45">
        <v>8.6544961466626408E-2</v>
      </c>
      <c r="B4" s="45">
        <f>'JOHNSON &amp; JOHNSON'!O4/'JOHNSON &amp; JOHNSON'!N4</f>
        <v>5.2218667408540829E-2</v>
      </c>
      <c r="C4" s="45">
        <v>-0.14567298133999829</v>
      </c>
      <c r="E4" s="49"/>
      <c r="F4" s="50"/>
      <c r="G4" s="56">
        <f>MEDIAN(A2:A51)</f>
        <v>0.12144276564971253</v>
      </c>
      <c r="H4" s="50"/>
      <c r="I4" s="51"/>
      <c r="K4" s="45">
        <f>'JOHNSON &amp; JOHNSON'!N5/'JOHNSON &amp; JOHNSON'!N4  - 1</f>
        <v>6.3430240645430569E-2</v>
      </c>
    </row>
    <row r="5" spans="1:11" x14ac:dyDescent="0.3">
      <c r="A5" s="45">
        <v>9.2127413963828939E-2</v>
      </c>
      <c r="B5" s="45">
        <f>'JOHNSON &amp; JOHNSON'!O5/'JOHNSON &amp; JOHNSON'!N5</f>
        <v>7.3799869195552648E-2</v>
      </c>
      <c r="C5" s="45">
        <v>-6.7819148936170137E-3</v>
      </c>
      <c r="E5" s="49"/>
      <c r="F5" s="50"/>
      <c r="G5" s="57"/>
      <c r="H5" s="50"/>
      <c r="I5" s="51"/>
      <c r="K5" s="45">
        <f>'JOHNSON &amp; JOHNSON'!N6/'JOHNSON &amp; JOHNSON'!N5  - 1</f>
        <v>6.7115761935905738E-2</v>
      </c>
    </row>
    <row r="6" spans="1:11" ht="15" thickBot="1" x14ac:dyDescent="0.35">
      <c r="A6" s="45">
        <v>8.6622933945440614E-2</v>
      </c>
      <c r="B6" s="45">
        <f>'JOHNSON &amp; JOHNSON'!O6/'JOHNSON &amp; JOHNSON'!N6</f>
        <v>8.493399198342752E-2</v>
      </c>
      <c r="C6" s="45">
        <v>-4.7027714553488087E-3</v>
      </c>
      <c r="E6" s="52"/>
      <c r="F6" s="53"/>
      <c r="G6" s="60"/>
      <c r="H6" s="53"/>
      <c r="I6" s="54"/>
      <c r="K6" s="45">
        <f>'JOHNSON &amp; JOHNSON'!N7/'JOHNSON &amp; JOHNSON'!N6  - 1</f>
        <v>5.8592074134908856E-3</v>
      </c>
    </row>
    <row r="7" spans="1:11" ht="15" thickBot="1" x14ac:dyDescent="0.35">
      <c r="A7" s="45">
        <v>7.2141680133365416E-2</v>
      </c>
      <c r="B7" s="45">
        <f>'JOHNSON &amp; JOHNSON'!O7/'JOHNSON &amp; JOHNSON'!N7</f>
        <v>8.5414153231211695E-2</v>
      </c>
      <c r="C7" s="45">
        <v>6.4014393569975292E-2</v>
      </c>
      <c r="K7" s="45">
        <f>'JOHNSON &amp; JOHNSON'!N8/'JOHNSON &amp; JOHNSON'!N7  - 1</f>
        <v>6.3978357035792133E-3</v>
      </c>
    </row>
    <row r="8" spans="1:11" x14ac:dyDescent="0.3">
      <c r="A8" s="45">
        <v>8.5119924296995317E-2</v>
      </c>
      <c r="B8" s="45">
        <f>'JOHNSON &amp; JOHNSON'!O8/'JOHNSON &amp; JOHNSON'!N8</f>
        <v>8.8394846459362589E-2</v>
      </c>
      <c r="C8" s="45">
        <v>0.16980625177786912</v>
      </c>
      <c r="E8" s="55"/>
      <c r="F8" s="47"/>
      <c r="G8" s="59" t="s">
        <v>205</v>
      </c>
      <c r="H8" s="47"/>
      <c r="I8" s="48"/>
      <c r="K8" s="45">
        <f>'JOHNSON &amp; JOHNSON'!N9/'JOHNSON &amp; JOHNSON'!N8  - 1</f>
        <v>-4.6546546546546552E-2</v>
      </c>
    </row>
    <row r="9" spans="1:11" x14ac:dyDescent="0.3">
      <c r="A9" s="45">
        <v>7.4942537485751651E-2</v>
      </c>
      <c r="B9" s="45">
        <f>'JOHNSON &amp; JOHNSON'!O9/'JOHNSON &amp; JOHNSON'!N9</f>
        <v>9.3853187706375407E-2</v>
      </c>
      <c r="C9" s="45">
        <v>3.75694041041299E-2</v>
      </c>
      <c r="E9" s="49"/>
      <c r="F9" s="50"/>
      <c r="G9" s="56">
        <f>AVERAGE(_xlfn.ANCHORARRAY(C2))</f>
        <v>2.1594275424247447E-3</v>
      </c>
      <c r="H9" s="50"/>
      <c r="I9" s="51"/>
      <c r="K9" s="45">
        <f>'JOHNSON &amp; JOHNSON'!N10/'JOHNSON &amp; JOHNSON'!N9  - 1</f>
        <v>1.5875031750063551E-2</v>
      </c>
    </row>
    <row r="10" spans="1:11" x14ac:dyDescent="0.3">
      <c r="A10" s="45">
        <v>8.5870147642978331E-2</v>
      </c>
      <c r="B10" s="45">
        <f>'JOHNSON &amp; JOHNSON'!O10/'JOHNSON &amp; JOHNSON'!N10</f>
        <v>8.7135891986498307E-2</v>
      </c>
      <c r="C10" s="45">
        <v>-0.1045518462580074</v>
      </c>
      <c r="E10" s="49"/>
      <c r="F10" s="50"/>
      <c r="G10" s="57" t="s">
        <v>203</v>
      </c>
      <c r="H10" s="50"/>
      <c r="I10" s="51"/>
      <c r="K10" s="45">
        <f>'JOHNSON &amp; JOHNSON'!N11/'JOHNSON &amp; JOHNSON'!N10  - 1</f>
        <v>6.4620577572196414E-2</v>
      </c>
    </row>
    <row r="11" spans="1:11" x14ac:dyDescent="0.3">
      <c r="A11" s="45">
        <v>7.773837535128035E-2</v>
      </c>
      <c r="B11" s="45">
        <f>'JOHNSON &amp; JOHNSON'!O11/'JOHNSON &amp; JOHNSON'!N11</f>
        <v>8.3408682581993687E-2</v>
      </c>
      <c r="E11" s="49"/>
      <c r="F11" s="50"/>
      <c r="G11" s="56">
        <f>MEDIAN(_xlfn.ANCHORARRAY(C2))</f>
        <v>-4.7027714553488087E-3</v>
      </c>
      <c r="H11" s="50"/>
      <c r="I11" s="51"/>
    </row>
    <row r="12" spans="1:11" x14ac:dyDescent="0.3">
      <c r="A12" s="45" cm="1">
        <f t="array" ref="A12:A21" xml:space="preserve"> 'PFIZER INC'!T2:T11</f>
        <v>0.18689991577784967</v>
      </c>
      <c r="E12" s="49"/>
      <c r="F12" s="50"/>
      <c r="G12" s="57" t="s">
        <v>204</v>
      </c>
      <c r="H12" s="50"/>
      <c r="I12" s="51"/>
    </row>
    <row r="13" spans="1:11" ht="15" thickBot="1" x14ac:dyDescent="0.35">
      <c r="A13" s="45">
        <v>0.19521290032125391</v>
      </c>
      <c r="E13" s="52"/>
      <c r="F13" s="53"/>
      <c r="G13" s="58">
        <f>('JOHNSON &amp; JOHNSON'!B11 / 'JOHNSON &amp; JOHNSON'!B2)^(1/10) - 1</f>
        <v>2.4825572786371986E-2</v>
      </c>
      <c r="H13" s="53"/>
      <c r="I13" s="54"/>
    </row>
    <row r="14" spans="1:11" x14ac:dyDescent="0.3">
      <c r="A14" s="45">
        <v>0.2135259425344388</v>
      </c>
    </row>
    <row r="15" spans="1:11" ht="15" thickBot="1" x14ac:dyDescent="0.35">
      <c r="A15" s="45">
        <v>0.20144344317502844</v>
      </c>
    </row>
    <row r="16" spans="1:11" x14ac:dyDescent="0.3">
      <c r="A16" s="45">
        <v>0.16542634951795934</v>
      </c>
      <c r="E16" s="55"/>
      <c r="F16" s="47"/>
      <c r="G16" s="59" t="s">
        <v>207</v>
      </c>
      <c r="H16" s="47"/>
      <c r="I16" s="48"/>
    </row>
    <row r="17" spans="1:9" x14ac:dyDescent="0.3">
      <c r="A17" s="45">
        <v>0.24051442026690081</v>
      </c>
      <c r="E17" s="49"/>
      <c r="F17" s="50"/>
      <c r="G17" s="56">
        <f>AVERAGE(K2:K10)</f>
        <v>1.6155190359651603E-2</v>
      </c>
      <c r="H17" s="50"/>
      <c r="I17" s="51"/>
    </row>
    <row r="18" spans="1:9" x14ac:dyDescent="0.3">
      <c r="A18" s="45">
        <v>0.1946974932419159</v>
      </c>
      <c r="E18" s="49"/>
      <c r="F18" s="50"/>
      <c r="G18" s="57" t="s">
        <v>203</v>
      </c>
      <c r="H18" s="50"/>
      <c r="I18" s="51"/>
    </row>
    <row r="19" spans="1:9" x14ac:dyDescent="0.3">
      <c r="A19" s="45">
        <v>0.11596677197770668</v>
      </c>
      <c r="E19" s="49"/>
      <c r="F19" s="50"/>
      <c r="G19" s="56">
        <f>MEDIAN(K2:K10)</f>
        <v>1.5875031750063551E-2</v>
      </c>
      <c r="H19" s="50"/>
      <c r="I19" s="51"/>
    </row>
    <row r="20" spans="1:9" x14ac:dyDescent="0.3">
      <c r="A20" s="45">
        <v>0.12456790886878939</v>
      </c>
      <c r="E20" s="49"/>
      <c r="F20" s="50"/>
      <c r="G20" s="57" t="s">
        <v>209</v>
      </c>
      <c r="H20" s="50"/>
      <c r="I20" s="51"/>
    </row>
    <row r="21" spans="1:9" ht="15" thickBot="1" x14ac:dyDescent="0.35">
      <c r="A21" s="45">
        <v>0.44222374567794082</v>
      </c>
      <c r="E21" s="52"/>
      <c r="F21" s="53"/>
      <c r="G21" s="58">
        <f>('JOHNSON &amp; JOHNSON'!N11 / 'JOHNSON &amp; JOHNSON'!N2) ^(1 / 10) - 1</f>
        <v>1.3692090244024291E-2</v>
      </c>
      <c r="H21" s="53"/>
      <c r="I21" s="54"/>
    </row>
    <row r="22" spans="1:9" ht="15" thickBot="1" x14ac:dyDescent="0.35">
      <c r="A22" s="45" cm="1">
        <f t="array" ref="A22:A31">'NOVARTIS AG'!T2:T11</f>
        <v>8.0575128891098302E-2</v>
      </c>
    </row>
    <row r="23" spans="1:9" x14ac:dyDescent="0.3">
      <c r="A23" s="45">
        <v>9.3508782761580478E-2</v>
      </c>
      <c r="E23" s="55"/>
      <c r="F23" s="47"/>
      <c r="G23" s="59" t="s">
        <v>212</v>
      </c>
      <c r="H23" s="47"/>
      <c r="I23" s="48"/>
    </row>
    <row r="24" spans="1:9" x14ac:dyDescent="0.3">
      <c r="A24" s="45">
        <v>0.12361983972268509</v>
      </c>
      <c r="E24" s="49"/>
      <c r="F24" s="50"/>
      <c r="G24" s="56">
        <f>AVERAGE(B2:B11)</f>
        <v>7.5501781176968222E-2</v>
      </c>
      <c r="H24" s="50"/>
      <c r="I24" s="51"/>
    </row>
    <row r="25" spans="1:9" x14ac:dyDescent="0.3">
      <c r="A25" s="45">
        <v>0.12856818411971854</v>
      </c>
      <c r="E25" s="49"/>
      <c r="F25" s="50"/>
      <c r="G25" s="57" t="s">
        <v>203</v>
      </c>
      <c r="H25" s="50"/>
      <c r="I25" s="51"/>
    </row>
    <row r="26" spans="1:9" x14ac:dyDescent="0.3">
      <c r="A26" s="45">
        <v>0.14741477711122725</v>
      </c>
      <c r="E26" s="49"/>
      <c r="F26" s="50"/>
      <c r="G26" s="56">
        <f>MEDIAN(B2:B11)</f>
        <v>8.4171337282710604E-2</v>
      </c>
      <c r="H26" s="50"/>
      <c r="I26" s="51"/>
    </row>
    <row r="27" spans="1:9" x14ac:dyDescent="0.3">
      <c r="A27" s="45">
        <v>0.12150346930271523</v>
      </c>
      <c r="E27" s="49"/>
      <c r="F27" s="50"/>
      <c r="G27" s="57"/>
      <c r="H27" s="50"/>
      <c r="I27" s="51"/>
    </row>
    <row r="28" spans="1:9" ht="15" thickBot="1" x14ac:dyDescent="0.35">
      <c r="A28" s="45">
        <v>0.16164114128332377</v>
      </c>
      <c r="E28" s="52"/>
      <c r="F28" s="53"/>
      <c r="G28" s="58"/>
      <c r="H28" s="53"/>
      <c r="I28" s="54"/>
    </row>
    <row r="29" spans="1:9" x14ac:dyDescent="0.3">
      <c r="A29" s="45">
        <v>0.14488945988623</v>
      </c>
    </row>
    <row r="30" spans="1:9" x14ac:dyDescent="0.3">
      <c r="A30" s="45">
        <v>0.12824049478859698</v>
      </c>
    </row>
    <row r="31" spans="1:9" x14ac:dyDescent="0.3">
      <c r="A31" s="45">
        <v>0.11451026466998719</v>
      </c>
    </row>
    <row r="32" spans="1:9" x14ac:dyDescent="0.3">
      <c r="A32" s="45" cm="1">
        <f t="array" ref="A32:A41">'NOVARTIS AG'!T2:T11</f>
        <v>8.0575128891098302E-2</v>
      </c>
    </row>
    <row r="33" spans="1:1" x14ac:dyDescent="0.3">
      <c r="A33" s="45">
        <v>9.3508782761580478E-2</v>
      </c>
    </row>
    <row r="34" spans="1:1" x14ac:dyDescent="0.3">
      <c r="A34" s="45">
        <v>0.12361983972268509</v>
      </c>
    </row>
    <row r="35" spans="1:1" x14ac:dyDescent="0.3">
      <c r="A35" s="45">
        <v>0.12856818411971854</v>
      </c>
    </row>
    <row r="36" spans="1:1" x14ac:dyDescent="0.3">
      <c r="A36" s="45">
        <v>0.14741477711122725</v>
      </c>
    </row>
    <row r="37" spans="1:1" x14ac:dyDescent="0.3">
      <c r="A37" s="45">
        <v>0.12150346930271523</v>
      </c>
    </row>
    <row r="38" spans="1:1" x14ac:dyDescent="0.3">
      <c r="A38" s="45">
        <v>0.16164114128332377</v>
      </c>
    </row>
    <row r="39" spans="1:1" x14ac:dyDescent="0.3">
      <c r="A39" s="45">
        <v>0.14488945988623</v>
      </c>
    </row>
    <row r="40" spans="1:1" x14ac:dyDescent="0.3">
      <c r="A40" s="45">
        <v>0.12824049478859698</v>
      </c>
    </row>
    <row r="41" spans="1:1" x14ac:dyDescent="0.3">
      <c r="A41" s="45">
        <v>0.11451026466998719</v>
      </c>
    </row>
    <row r="42" spans="1:1" x14ac:dyDescent="0.3">
      <c r="A42" s="45" cm="1">
        <f t="array" ref="A42:A51">'ELI LILLY AND COMPANY'!T2:T11</f>
        <v>0.10442551098163294</v>
      </c>
    </row>
    <row r="43" spans="1:1" x14ac:dyDescent="0.3">
      <c r="A43" s="45">
        <v>8.5453532396543713E-2</v>
      </c>
    </row>
    <row r="44" spans="1:1" x14ac:dyDescent="0.3">
      <c r="A44" s="45">
        <v>0.12691852675956325</v>
      </c>
    </row>
    <row r="45" spans="1:1" x14ac:dyDescent="0.3">
      <c r="A45" s="45">
        <v>0.14674544344026691</v>
      </c>
    </row>
    <row r="46" spans="1:1" x14ac:dyDescent="0.3">
      <c r="A46" s="45">
        <v>8.4012065920098564E-2</v>
      </c>
    </row>
    <row r="47" spans="1:1" x14ac:dyDescent="0.3">
      <c r="A47" s="45">
        <v>0.12138206199670983</v>
      </c>
    </row>
    <row r="48" spans="1:1" x14ac:dyDescent="0.3">
      <c r="A48" s="45">
        <v>0.10275140089555157</v>
      </c>
    </row>
    <row r="49" spans="1:1" x14ac:dyDescent="0.3">
      <c r="A49" s="45">
        <v>6.3901536803928488E-2</v>
      </c>
    </row>
    <row r="50" spans="1:1" x14ac:dyDescent="0.3">
      <c r="A50" s="45">
        <v>4.6714582850026054E-2</v>
      </c>
    </row>
    <row r="51" spans="1:1" x14ac:dyDescent="0.3">
      <c r="A51" s="45">
        <v>4.5584857836116252E-2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CA64-9DF2-4FC1-BEFD-FEA468E129B0}">
  <dimension ref="A1"/>
  <sheetViews>
    <sheetView workbookViewId="0">
      <selection activeCell="R20" sqref="R20"/>
    </sheetView>
  </sheetViews>
  <sheetFormatPr defaultRowHeight="14.4" x14ac:dyDescent="0.3"/>
  <cols>
    <col min="1" max="16384" width="8.88671875" style="4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  <vt:lpstr>Cálculos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2024-04-19T15:05:25Z</dcterms:modified>
</cp:coreProperties>
</file>